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zhenfei/Downloads/02 投资测算/202511 永旺北地块项目/20251204 苏州园区永旺北地块V1成本测算资料-集团/"/>
    </mc:Choice>
  </mc:AlternateContent>
  <xr:revisionPtr revIDLastSave="0" documentId="13_ncr:1_{FC61B7FD-F5F2-EB42-85AB-AC2A6C77C424}" xr6:coauthVersionLast="47" xr6:coauthVersionMax="47" xr10:uidLastSave="{00000000-0000-0000-0000-000000000000}"/>
  <bookViews>
    <workbookView xWindow="28800" yWindow="-9540" windowWidth="51200" windowHeight="28180" tabRatio="891" activeTab="6" xr2:uid="{00000000-000D-0000-FFFF-FFFF00000000}"/>
  </bookViews>
  <sheets>
    <sheet name="args" sheetId="1" state="hidden" r:id="rId1"/>
    <sheet name="00 成本测算关注点" sheetId="28" r:id="rId2"/>
    <sheet name="01 商业总则" sheetId="3" state="hidden" r:id="rId3"/>
    <sheet name="02 项目基础信息（输入）" sheetId="4" r:id="rId4"/>
    <sheet name="03 成本测算（输入）" sheetId="5" r:id="rId5"/>
    <sheet name="04 目标成本控制表" sheetId="6" r:id="rId6"/>
    <sheet name="05 成本测算明细" sheetId="7" r:id="rId7"/>
    <sheet name="06 分析汇报表（住宅）" sheetId="8" r:id="rId8"/>
    <sheet name="投资会简述" sheetId="12" r:id="rId9"/>
    <sheet name="总指标" sheetId="13" r:id="rId10"/>
    <sheet name="含量测算" sheetId="25" r:id="rId11"/>
    <sheet name="PC 增量测算" sheetId="24" r:id="rId12"/>
    <sheet name="苏州园区配套参考" sheetId="26" r:id="rId13"/>
    <sheet name="桩基单价" sheetId="23" r:id="rId14"/>
    <sheet name="桩基" sheetId="15" r:id="rId15"/>
    <sheet name="土方" sheetId="16" r:id="rId16"/>
    <sheet name="支护" sheetId="17" r:id="rId17"/>
    <sheet name="电梯" sheetId="18" r:id="rId18"/>
    <sheet name="门窗栏杆" sheetId="19" r:id="rId19"/>
    <sheet name="太阳能" sheetId="27" r:id="rId20"/>
    <sheet name="卖场策划" sheetId="22" r:id="rId21"/>
    <sheet name="07 大数据沉淀（住宅）" sheetId="9" state="hidden" r:id="rId22"/>
    <sheet name="08分析报表（商业）" sheetId="10" state="hidden" r:id="rId23"/>
    <sheet name="09大数据沉淀（商业）" sheetId="11" state="hidden" r:id="rId24"/>
  </sheets>
  <definedNames>
    <definedName name="\a" localSheetId="18">#REF!</definedName>
    <definedName name="\a" localSheetId="15">#REF!</definedName>
    <definedName name="\a" localSheetId="16">#REF!</definedName>
    <definedName name="\a" localSheetId="14">#REF!</definedName>
    <definedName name="\a">#REF!</definedName>
    <definedName name="\C" localSheetId="18">#REF!</definedName>
    <definedName name="\C" localSheetId="15">#REF!</definedName>
    <definedName name="\C" localSheetId="16">#REF!</definedName>
    <definedName name="\C" localSheetId="14">#REF!</definedName>
    <definedName name="\C">#REF!</definedName>
    <definedName name="\d" localSheetId="18">#REF!</definedName>
    <definedName name="\d" localSheetId="15">#REF!</definedName>
    <definedName name="\d" localSheetId="16">#REF!</definedName>
    <definedName name="\d" localSheetId="14">#REF!</definedName>
    <definedName name="\d">#REF!</definedName>
    <definedName name="\L" localSheetId="18">#REF!</definedName>
    <definedName name="\L" localSheetId="15">#REF!</definedName>
    <definedName name="\L" localSheetId="16">#REF!</definedName>
    <definedName name="\L" localSheetId="14">#REF!</definedName>
    <definedName name="\L">#REF!</definedName>
    <definedName name="\p" localSheetId="18">#REF!</definedName>
    <definedName name="\p" localSheetId="15">#REF!</definedName>
    <definedName name="\p" localSheetId="16">#REF!</definedName>
    <definedName name="\p" localSheetId="14">#REF!</definedName>
    <definedName name="\p">#REF!</definedName>
    <definedName name="\s" localSheetId="18">#REF!</definedName>
    <definedName name="\s" localSheetId="15">#REF!</definedName>
    <definedName name="\s" localSheetId="16">#REF!</definedName>
    <definedName name="\s" localSheetId="14">#REF!</definedName>
    <definedName name="\s">#REF!</definedName>
    <definedName name="\z" localSheetId="18">#REF!</definedName>
    <definedName name="\z" localSheetId="15">#REF!</definedName>
    <definedName name="\z" localSheetId="16">#REF!</definedName>
    <definedName name="\z" localSheetId="14">#REF!</definedName>
    <definedName name="\z">#REF!</definedName>
    <definedName name="_.dbf" localSheetId="18">#REF!</definedName>
    <definedName name="_.dbf" localSheetId="15">#REF!</definedName>
    <definedName name="_.dbf" localSheetId="16">#REF!</definedName>
    <definedName name="_.dbf" localSheetId="14">#REF!</definedName>
    <definedName name="_.dbf">#REF!</definedName>
    <definedName name="_?" localSheetId="18">#REF!</definedName>
    <definedName name="_?" localSheetId="15">#REF!</definedName>
    <definedName name="_?" localSheetId="16">#REF!</definedName>
    <definedName name="_?" localSheetId="14">#REF!</definedName>
    <definedName name="_?">#REF!</definedName>
    <definedName name="_??????" localSheetId="18">#REF!</definedName>
    <definedName name="_??????" localSheetId="15">#REF!</definedName>
    <definedName name="_??????" localSheetId="16">#REF!</definedName>
    <definedName name="_??????" localSheetId="14">#REF!</definedName>
    <definedName name="_??????">#REF!</definedName>
    <definedName name="__?" localSheetId="18">#REF!</definedName>
    <definedName name="__?" localSheetId="15">#REF!</definedName>
    <definedName name="__?" localSheetId="16">#REF!</definedName>
    <definedName name="__?" localSheetId="14">#REF!</definedName>
    <definedName name="__?">#REF!</definedName>
    <definedName name="__??????" localSheetId="18">#REF!</definedName>
    <definedName name="__??????" localSheetId="15">#REF!</definedName>
    <definedName name="__??????" localSheetId="16">#REF!</definedName>
    <definedName name="__??????" localSheetId="14">#REF!</definedName>
    <definedName name="__??????">#REF!</definedName>
    <definedName name="___?" localSheetId="18">#REF!</definedName>
    <definedName name="___?" localSheetId="15">#REF!</definedName>
    <definedName name="___?" localSheetId="16">#REF!</definedName>
    <definedName name="___?" localSheetId="14">#REF!</definedName>
    <definedName name="___?">#REF!</definedName>
    <definedName name="___??????" localSheetId="18">#REF!</definedName>
    <definedName name="___??????" localSheetId="15">#REF!</definedName>
    <definedName name="___??????" localSheetId="16">#REF!</definedName>
    <definedName name="___??????" localSheetId="14">#REF!</definedName>
    <definedName name="___??????">#REF!</definedName>
    <definedName name="____?" localSheetId="18">#REF!</definedName>
    <definedName name="____?" localSheetId="15">#REF!</definedName>
    <definedName name="____?" localSheetId="16">#REF!</definedName>
    <definedName name="____?" localSheetId="14">#REF!</definedName>
    <definedName name="____?">#REF!</definedName>
    <definedName name="____??????" localSheetId="18">#REF!</definedName>
    <definedName name="____??????" localSheetId="15">#REF!</definedName>
    <definedName name="____??????" localSheetId="16">#REF!</definedName>
    <definedName name="____??????" localSheetId="14">#REF!</definedName>
    <definedName name="____??????">#REF!</definedName>
    <definedName name="_____?" localSheetId="18">#REF!</definedName>
    <definedName name="_____?" localSheetId="15">#REF!</definedName>
    <definedName name="_____?" localSheetId="16">#REF!</definedName>
    <definedName name="_____?" localSheetId="14">#REF!</definedName>
    <definedName name="_____?">#REF!</definedName>
    <definedName name="_____??????" localSheetId="18">#REF!</definedName>
    <definedName name="_____??????" localSheetId="15">#REF!</definedName>
    <definedName name="_____??????" localSheetId="16">#REF!</definedName>
    <definedName name="_____??????" localSheetId="14">#REF!</definedName>
    <definedName name="_____??????">#REF!</definedName>
    <definedName name="______?" localSheetId="18">#REF!</definedName>
    <definedName name="______?" localSheetId="15">#REF!</definedName>
    <definedName name="______?" localSheetId="16">#REF!</definedName>
    <definedName name="______?" localSheetId="14">#REF!</definedName>
    <definedName name="______?">#REF!</definedName>
    <definedName name="______??????" localSheetId="18">#REF!</definedName>
    <definedName name="______??????" localSheetId="15">#REF!</definedName>
    <definedName name="______??????" localSheetId="16">#REF!</definedName>
    <definedName name="______??????" localSheetId="14">#REF!</definedName>
    <definedName name="______??????">#REF!</definedName>
    <definedName name="_______?" localSheetId="18">#REF!</definedName>
    <definedName name="_______?" localSheetId="15">#REF!</definedName>
    <definedName name="_______?" localSheetId="16">#REF!</definedName>
    <definedName name="_______?" localSheetId="14">#REF!</definedName>
    <definedName name="_______?">#REF!</definedName>
    <definedName name="_______??????" localSheetId="18">#REF!</definedName>
    <definedName name="_______??????" localSheetId="15">#REF!</definedName>
    <definedName name="_______??????" localSheetId="16">#REF!</definedName>
    <definedName name="_______??????" localSheetId="14">#REF!</definedName>
    <definedName name="_______??????">#REF!</definedName>
    <definedName name="________?" localSheetId="18">#REF!</definedName>
    <definedName name="________?" localSheetId="15">#REF!</definedName>
    <definedName name="________?" localSheetId="16">#REF!</definedName>
    <definedName name="________?" localSheetId="14">#REF!</definedName>
    <definedName name="________?">#REF!</definedName>
    <definedName name="________??????" localSheetId="18">#REF!</definedName>
    <definedName name="________??????" localSheetId="15">#REF!</definedName>
    <definedName name="________??????" localSheetId="16">#REF!</definedName>
    <definedName name="________??????" localSheetId="14">#REF!</definedName>
    <definedName name="________??????">#REF!</definedName>
    <definedName name="_________?" localSheetId="18">#REF!</definedName>
    <definedName name="_________?" localSheetId="15">#REF!</definedName>
    <definedName name="_________?" localSheetId="16">#REF!</definedName>
    <definedName name="_________?" localSheetId="14">#REF!</definedName>
    <definedName name="_________?">#REF!</definedName>
    <definedName name="_________??????" localSheetId="18">#REF!</definedName>
    <definedName name="_________??????" localSheetId="15">#REF!</definedName>
    <definedName name="_________??????" localSheetId="16">#REF!</definedName>
    <definedName name="_________??????" localSheetId="14">#REF!</definedName>
    <definedName name="_________??????">#REF!</definedName>
    <definedName name="__________??????" localSheetId="18">#REF!</definedName>
    <definedName name="__________??????" localSheetId="15">#REF!</definedName>
    <definedName name="__________??????" localSheetId="16">#REF!</definedName>
    <definedName name="__________??????" localSheetId="14">#REF!</definedName>
    <definedName name="__________??????">#REF!</definedName>
    <definedName name="__a1" localSheetId="18" hidden="1">#REF!</definedName>
    <definedName name="__a1" localSheetId="15" hidden="1">#REF!</definedName>
    <definedName name="__a1" localSheetId="16" hidden="1">#REF!</definedName>
    <definedName name="__a1" localSheetId="14" hidden="1">#REF!</definedName>
    <definedName name="__a1" hidden="1">#REF!</definedName>
    <definedName name="__FDS_HYPERLINK_TOGGLE_STATE__" hidden="1">"ON"</definedName>
    <definedName name="_002" localSheetId="18">#REF!</definedName>
    <definedName name="_002" localSheetId="15">#REF!</definedName>
    <definedName name="_002" localSheetId="16">#REF!</definedName>
    <definedName name="_002" localSheetId="14">#REF!</definedName>
    <definedName name="_002">#REF!</definedName>
    <definedName name="_1" localSheetId="18">#REF!</definedName>
    <definedName name="_1" localSheetId="15">#REF!</definedName>
    <definedName name="_1" localSheetId="16">#REF!</definedName>
    <definedName name="_1" localSheetId="14">#REF!</definedName>
    <definedName name="_1">#REF!</definedName>
    <definedName name="_1_?" localSheetId="18">#REF!</definedName>
    <definedName name="_1_?" localSheetId="15">#REF!</definedName>
    <definedName name="_1_?" localSheetId="16">#REF!</definedName>
    <definedName name="_1_?" localSheetId="14">#REF!</definedName>
    <definedName name="_1_?">#REF!</definedName>
    <definedName name="_13" localSheetId="18">#REF!</definedName>
    <definedName name="_13" localSheetId="15">#REF!</definedName>
    <definedName name="_13" localSheetId="16">#REF!</definedName>
    <definedName name="_13" localSheetId="14">#REF!</definedName>
    <definedName name="_13">#REF!</definedName>
    <definedName name="_1固定资产数据库_筛选打印" localSheetId="18">#REF!</definedName>
    <definedName name="_1固定资产数据库_筛选打印" localSheetId="15">#REF!</definedName>
    <definedName name="_1固定资产数据库_筛选打印" localSheetId="16">#REF!</definedName>
    <definedName name="_1固定资产数据库_筛选打印" localSheetId="14">#REF!</definedName>
    <definedName name="_1固定资产数据库_筛选打印">#REF!</definedName>
    <definedName name="_2">#N/A</definedName>
    <definedName name="_2_??????" localSheetId="18">#REF!</definedName>
    <definedName name="_2_??????" localSheetId="15">#REF!</definedName>
    <definedName name="_2_??????" localSheetId="16">#REF!</definedName>
    <definedName name="_2_??????" localSheetId="14">#REF!</definedName>
    <definedName name="_2_??????">#REF!</definedName>
    <definedName name="_2余额表_一级_.dbf" localSheetId="18">#REF!</definedName>
    <definedName name="_2余额表_一级_.dbf" localSheetId="15">#REF!</definedName>
    <definedName name="_2余额表_一级_.dbf" localSheetId="16">#REF!</definedName>
    <definedName name="_2余额表_一级_.dbf" localSheetId="14">#REF!</definedName>
    <definedName name="_2余额表_一级_.dbf">#REF!</definedName>
    <definedName name="_3a1_" localSheetId="18" hidden="1">#REF!</definedName>
    <definedName name="_3a1_" localSheetId="15" hidden="1">#REF!</definedName>
    <definedName name="_3a1_" localSheetId="16" hidden="1">#REF!</definedName>
    <definedName name="_3a1_" localSheetId="14" hidden="1">#REF!</definedName>
    <definedName name="_3a1_" hidden="1">#REF!</definedName>
    <definedName name="_4_?" localSheetId="18">#REF!</definedName>
    <definedName name="_4_?" localSheetId="15">#REF!</definedName>
    <definedName name="_4_?" localSheetId="16">#REF!</definedName>
    <definedName name="_4_?" localSheetId="14">#REF!</definedName>
    <definedName name="_4_?">#REF!</definedName>
    <definedName name="_501" localSheetId="18">#REF!</definedName>
    <definedName name="_501" localSheetId="15">#REF!</definedName>
    <definedName name="_501" localSheetId="16">#REF!</definedName>
    <definedName name="_501" localSheetId="14">#REF!</definedName>
    <definedName name="_501">#REF!</definedName>
    <definedName name="_502" localSheetId="18">#REF!</definedName>
    <definedName name="_502" localSheetId="15">#REF!</definedName>
    <definedName name="_502" localSheetId="16">#REF!</definedName>
    <definedName name="_502" localSheetId="14">#REF!</definedName>
    <definedName name="_502">#REF!</definedName>
    <definedName name="_8_??????" localSheetId="18">#REF!</definedName>
    <definedName name="_8_??????" localSheetId="15">#REF!</definedName>
    <definedName name="_8_??????" localSheetId="16">#REF!</definedName>
    <definedName name="_8_??????" localSheetId="14">#REF!</definedName>
    <definedName name="_8_??????">#REF!</definedName>
    <definedName name="_a1" localSheetId="18" hidden="1">#REF!</definedName>
    <definedName name="_a1" localSheetId="15" hidden="1">#REF!</definedName>
    <definedName name="_a1" localSheetId="16" hidden="1">#REF!</definedName>
    <definedName name="_a1" localSheetId="14" hidden="1">#REF!</definedName>
    <definedName name="_a1" hidden="1">#REF!</definedName>
    <definedName name="_Fill" localSheetId="18" hidden="1">#REF!</definedName>
    <definedName name="_Fill" localSheetId="15" hidden="1">#REF!</definedName>
    <definedName name="_Fill" localSheetId="16" hidden="1">#REF!</definedName>
    <definedName name="_Fill" localSheetId="14" hidden="1">#REF!</definedName>
    <definedName name="_Fill" hidden="1">#REF!</definedName>
    <definedName name="_xlnm._FilterDatabase" localSheetId="6">'05 成本测算明细'!$A$2:$U$4313</definedName>
    <definedName name="_xlnm._FilterDatabase" localSheetId="18" hidden="1">门窗栏杆!$A$3:$J$7</definedName>
    <definedName name="_xlnm._FilterDatabase" localSheetId="15" hidden="1">土方!$A$2:$L$11</definedName>
    <definedName name="_xlnm._FilterDatabase" localSheetId="16" hidden="1">支护!$A$2:$P$19</definedName>
    <definedName name="_xlnm._FilterDatabase" localSheetId="14" hidden="1">桩基!$A$2:$N$26</definedName>
    <definedName name="_Key1" localSheetId="18" hidden="1">#REF!</definedName>
    <definedName name="_Key1" localSheetId="15" hidden="1">#REF!</definedName>
    <definedName name="_Key1" localSheetId="16" hidden="1">#REF!</definedName>
    <definedName name="_Key1" localSheetId="14" hidden="1">#REF!</definedName>
    <definedName name="_Key1" hidden="1">#REF!</definedName>
    <definedName name="_Key2" localSheetId="18" hidden="1">#REF!</definedName>
    <definedName name="_Key2" localSheetId="15" hidden="1">#REF!</definedName>
    <definedName name="_Key2" localSheetId="16" hidden="1">#REF!</definedName>
    <definedName name="_Key2" localSheetId="14" hidden="1">#REF!</definedName>
    <definedName name="_Key2" hidden="1">#REF!</definedName>
    <definedName name="_Key3" localSheetId="18" hidden="1">#REF!</definedName>
    <definedName name="_Key3" localSheetId="15" hidden="1">#REF!</definedName>
    <definedName name="_Key3" localSheetId="16" hidden="1">#REF!</definedName>
    <definedName name="_Key3" localSheetId="14" hidden="1">#REF!</definedName>
    <definedName name="_Key3" hidden="1">#REF!</definedName>
    <definedName name="_Order1" hidden="1">255</definedName>
    <definedName name="_Order2" hidden="1">0</definedName>
    <definedName name="_Sort" localSheetId="18" hidden="1">#REF!</definedName>
    <definedName name="_Sort" localSheetId="15" hidden="1">#REF!</definedName>
    <definedName name="_Sort" localSheetId="16" hidden="1">#REF!</definedName>
    <definedName name="_Sort" localSheetId="14" hidden="1">#REF!</definedName>
    <definedName name="_Sort" hidden="1">#REF!</definedName>
    <definedName name="_Table1_In1" localSheetId="18" hidden="1">#REF!</definedName>
    <definedName name="_Table1_In1" localSheetId="15" hidden="1">#REF!</definedName>
    <definedName name="_Table1_In1" localSheetId="16" hidden="1">#REF!</definedName>
    <definedName name="_Table1_In1" localSheetId="14" hidden="1">#REF!</definedName>
    <definedName name="_Table1_In1" hidden="1">#REF!</definedName>
    <definedName name="_Table1_Out" localSheetId="18" hidden="1">#REF!</definedName>
    <definedName name="_Table1_Out" localSheetId="15" hidden="1">#REF!</definedName>
    <definedName name="_Table1_Out" localSheetId="16" hidden="1">#REF!</definedName>
    <definedName name="_Table1_Out" localSheetId="14" hidden="1">#REF!</definedName>
    <definedName name="_Table1_Out" hidden="1">#REF!</definedName>
    <definedName name="_YS1" localSheetId="18">#REF!</definedName>
    <definedName name="_YS1" localSheetId="15">#REF!</definedName>
    <definedName name="_YS1" localSheetId="16">#REF!</definedName>
    <definedName name="_YS1" localSheetId="14">#REF!</definedName>
    <definedName name="_YS1">#REF!</definedName>
    <definedName name="a" localSheetId="18">#REF!</definedName>
    <definedName name="a" localSheetId="15">#REF!</definedName>
    <definedName name="a" localSheetId="16">#REF!</definedName>
    <definedName name="a" localSheetId="14">#REF!</definedName>
    <definedName name="a" localSheetId="13">#REF!</definedName>
    <definedName name="a">#REF!</definedName>
    <definedName name="aa" localSheetId="18">#REF!</definedName>
    <definedName name="aa" localSheetId="15">#REF!</definedName>
    <definedName name="aa" localSheetId="16">#REF!</definedName>
    <definedName name="aa" localSheetId="14">#REF!</definedName>
    <definedName name="aa">#REF!</definedName>
    <definedName name="aaa" localSheetId="18">#REF!</definedName>
    <definedName name="aaa" localSheetId="15">#REF!</definedName>
    <definedName name="aaa" localSheetId="16">#REF!</definedName>
    <definedName name="aaa" localSheetId="14">#REF!</definedName>
    <definedName name="aaa">#REF!</definedName>
    <definedName name="aaaaaaa" localSheetId="18">#REF!</definedName>
    <definedName name="aaaaaaa" localSheetId="15">#REF!</definedName>
    <definedName name="aaaaaaa" localSheetId="16">#REF!</definedName>
    <definedName name="aaaaaaa" localSheetId="14">#REF!</definedName>
    <definedName name="aaaaaaa">#REF!</definedName>
    <definedName name="aaaaaaaaa" localSheetId="18">#REF!</definedName>
    <definedName name="aaaaaaaaa" localSheetId="15">#REF!</definedName>
    <definedName name="aaaaaaaaa" localSheetId="16">#REF!</definedName>
    <definedName name="aaaaaaaaa" localSheetId="14">#REF!</definedName>
    <definedName name="aaaaaaaaa">#REF!</definedName>
    <definedName name="aaaaaaaaaaaaaa" localSheetId="18">#REF!</definedName>
    <definedName name="aaaaaaaaaaaaaa" localSheetId="15">#REF!</definedName>
    <definedName name="aaaaaaaaaaaaaa" localSheetId="16">#REF!</definedName>
    <definedName name="aaaaaaaaaaaaaa" localSheetId="14">#REF!</definedName>
    <definedName name="aaaaaaaaaaaaaa">#REF!</definedName>
    <definedName name="aabc" localSheetId="18">#REF!</definedName>
    <definedName name="aabc" localSheetId="15">#REF!</definedName>
    <definedName name="aabc" localSheetId="16">#REF!</definedName>
    <definedName name="aabc" localSheetId="14">#REF!</definedName>
    <definedName name="aabc">#REF!</definedName>
    <definedName name="aabnncc" localSheetId="18">#REF!</definedName>
    <definedName name="aabnncc" localSheetId="15">#REF!</definedName>
    <definedName name="aabnncc" localSheetId="16">#REF!</definedName>
    <definedName name="aabnncc" localSheetId="14">#REF!</definedName>
    <definedName name="aabnncc">#REF!</definedName>
    <definedName name="ab" localSheetId="18">#REF!</definedName>
    <definedName name="ab" localSheetId="15">#REF!</definedName>
    <definedName name="ab" localSheetId="16">#REF!</definedName>
    <definedName name="ab" localSheetId="14">#REF!</definedName>
    <definedName name="ab">#REF!</definedName>
    <definedName name="abc" localSheetId="18">#REF!</definedName>
    <definedName name="abc" localSheetId="15">#REF!</definedName>
    <definedName name="abc" localSheetId="16">#REF!</definedName>
    <definedName name="abc" localSheetId="14">#REF!</definedName>
    <definedName name="abc">#REF!</definedName>
    <definedName name="ac" localSheetId="18">#REF!</definedName>
    <definedName name="ac" localSheetId="15">#REF!</definedName>
    <definedName name="ac" localSheetId="16">#REF!</definedName>
    <definedName name="ac" localSheetId="14">#REF!</definedName>
    <definedName name="AC" localSheetId="13">#REF!</definedName>
    <definedName name="ac">#REF!</definedName>
    <definedName name="ACCOUNTS" localSheetId="18">#REF!</definedName>
    <definedName name="ACCOUNTS" localSheetId="15">#REF!</definedName>
    <definedName name="ACCOUNTS" localSheetId="16">#REF!</definedName>
    <definedName name="ACCOUNTS" localSheetId="14">#REF!</definedName>
    <definedName name="ACCOUNTS">#REF!</definedName>
    <definedName name="actual" localSheetId="18">#REF!</definedName>
    <definedName name="actual" localSheetId="15">#REF!</definedName>
    <definedName name="actual" localSheetId="16">#REF!</definedName>
    <definedName name="actual" localSheetId="14">#REF!</definedName>
    <definedName name="actual">#REF!</definedName>
    <definedName name="ad" localSheetId="18">#REF!</definedName>
    <definedName name="ad" localSheetId="15">#REF!</definedName>
    <definedName name="ad" localSheetId="16">#REF!</definedName>
    <definedName name="ad" localSheetId="14">#REF!</definedName>
    <definedName name="ad">#REF!</definedName>
    <definedName name="add" localSheetId="18">#REF!</definedName>
    <definedName name="add" localSheetId="15">#REF!</definedName>
    <definedName name="add" localSheetId="16">#REF!</definedName>
    <definedName name="add" localSheetId="14">#REF!</definedName>
    <definedName name="add">#REF!</definedName>
    <definedName name="ADJ" localSheetId="18">#REF!</definedName>
    <definedName name="ADJ" localSheetId="15">#REF!</definedName>
    <definedName name="ADJ" localSheetId="16">#REF!</definedName>
    <definedName name="ADJ" localSheetId="14">#REF!</definedName>
    <definedName name="ADJ">#REF!</definedName>
    <definedName name="ads" localSheetId="11" hidden="1">{"Volume",#N/A,FALSE,"Guangzhou";"capacity",#N/A,FALSE,"Guangzhou"}</definedName>
    <definedName name="ads" localSheetId="17" hidden="1">{"Volume",#N/A,FALSE,"Guangzhou";"capacity",#N/A,FALSE,"Guangzhou"}</definedName>
    <definedName name="ads" localSheetId="10" hidden="1">{"Volume",#N/A,FALSE,"Guangzhou";"capacity",#N/A,FALSE,"Guangzhou"}</definedName>
    <definedName name="ads" localSheetId="20" hidden="1">{"Volume",#N/A,FALSE,"Guangzhou";"capacity",#N/A,FALSE,"Guangzhou"}</definedName>
    <definedName name="ads" localSheetId="18" hidden="1">{"Volume",#N/A,FALSE,"Guangzhou";"capacity",#N/A,FALSE,"Guangzhou"}</definedName>
    <definedName name="ads" localSheetId="19" hidden="1">{"Volume",#N/A,FALSE,"Guangzhou";"capacity",#N/A,FALSE,"Guangzhou"}</definedName>
    <definedName name="ads" localSheetId="13" hidden="1">{"Volume",#N/A,FALSE,"Guangzhou";"capacity",#N/A,FALSE,"Guangzhou"}</definedName>
    <definedName name="ads" hidden="1">{"Volume",#N/A,FALSE,"Guangzhou";"capacity",#N/A,FALSE,"Guangzhou"}</definedName>
    <definedName name="ae" localSheetId="18">#REF!</definedName>
    <definedName name="ae" localSheetId="15">#REF!</definedName>
    <definedName name="ae" localSheetId="16">#REF!</definedName>
    <definedName name="ae" localSheetId="14">#REF!</definedName>
    <definedName name="ae">#REF!</definedName>
    <definedName name="afsdavad" localSheetId="18" hidden="1">#REF!</definedName>
    <definedName name="afsdavad" localSheetId="15" hidden="1">#REF!</definedName>
    <definedName name="afsdavad" localSheetId="16" hidden="1">#REF!</definedName>
    <definedName name="afsdavad" localSheetId="14" hidden="1">#REF!</definedName>
    <definedName name="afsdavad" hidden="1">#REF!</definedName>
    <definedName name="after_tax" localSheetId="18">#REF!</definedName>
    <definedName name="after_tax" localSheetId="15">#REF!</definedName>
    <definedName name="after_tax" localSheetId="16">#REF!</definedName>
    <definedName name="after_tax" localSheetId="14">#REF!</definedName>
    <definedName name="after_tax">#REF!</definedName>
    <definedName name="AGEDDATABASE" localSheetId="11" hidden="1">{#N/A,#N/A,FALSE,"970301";#N/A,#N/A,FALSE,"970302";#N/A,#N/A,FALSE,"970303";#N/A,#N/A,FALSE,"970304";#N/A,#N/A,FALSE,"COM1";#N/A,#N/A,FALSE,"COM2"}</definedName>
    <definedName name="AGEDDATABASE" localSheetId="17" hidden="1">{#N/A,#N/A,FALSE,"970301";#N/A,#N/A,FALSE,"970302";#N/A,#N/A,FALSE,"970303";#N/A,#N/A,FALSE,"970304";#N/A,#N/A,FALSE,"COM1";#N/A,#N/A,FALSE,"COM2"}</definedName>
    <definedName name="AGEDDATABASE" localSheetId="10" hidden="1">{#N/A,#N/A,FALSE,"970301";#N/A,#N/A,FALSE,"970302";#N/A,#N/A,FALSE,"970303";#N/A,#N/A,FALSE,"970304";#N/A,#N/A,FALSE,"COM1";#N/A,#N/A,FALSE,"COM2"}</definedName>
    <definedName name="AGEDDATABASE" localSheetId="20" hidden="1">{#N/A,#N/A,FALSE,"970301";#N/A,#N/A,FALSE,"970302";#N/A,#N/A,FALSE,"970303";#N/A,#N/A,FALSE,"970304";#N/A,#N/A,FALSE,"COM1";#N/A,#N/A,FALSE,"COM2"}</definedName>
    <definedName name="AGEDDATABASE" localSheetId="18" hidden="1">{#N/A,#N/A,FALSE,"970301";#N/A,#N/A,FALSE,"970302";#N/A,#N/A,FALSE,"970303";#N/A,#N/A,FALSE,"970304";#N/A,#N/A,FALSE,"COM1";#N/A,#N/A,FALSE,"COM2"}</definedName>
    <definedName name="AGEDDATABASE" localSheetId="19" hidden="1">{#N/A,#N/A,FALSE,"970301";#N/A,#N/A,FALSE,"970302";#N/A,#N/A,FALSE,"970303";#N/A,#N/A,FALSE,"970304";#N/A,#N/A,FALSE,"COM1";#N/A,#N/A,FALSE,"COM2"}</definedName>
    <definedName name="AGEDDATABASE" localSheetId="13" hidden="1">{#N/A,#N/A,FALSE,"970301";#N/A,#N/A,FALSE,"970302";#N/A,#N/A,FALSE,"970303";#N/A,#N/A,FALSE,"970304";#N/A,#N/A,FALSE,"COM1";#N/A,#N/A,FALSE,"COM2"}</definedName>
    <definedName name="AGEDDATABASE" hidden="1">{#N/A,#N/A,FALSE,"970301";#N/A,#N/A,FALSE,"970302";#N/A,#N/A,FALSE,"970303";#N/A,#N/A,FALSE,"970304";#N/A,#N/A,FALSE,"COM1";#N/A,#N/A,FALSE,"COM2"}</definedName>
    <definedName name="ajhflkwe" localSheetId="18">#REF!</definedName>
    <definedName name="ajhflkwe" localSheetId="15">#REF!</definedName>
    <definedName name="ajhflkwe" localSheetId="16">#REF!</definedName>
    <definedName name="ajhflkwe" localSheetId="14">#REF!</definedName>
    <definedName name="ajhflkwe">#REF!</definedName>
    <definedName name="All" localSheetId="18">#REF!</definedName>
    <definedName name="All" localSheetId="15">#REF!</definedName>
    <definedName name="All" localSheetId="16">#REF!</definedName>
    <definedName name="All" localSheetId="14">#REF!</definedName>
    <definedName name="All">#REF!</definedName>
    <definedName name="All_Out" localSheetId="18">#REF!</definedName>
    <definedName name="All_Out" localSheetId="15">#REF!</definedName>
    <definedName name="All_Out" localSheetId="16">#REF!</definedName>
    <definedName name="All_Out" localSheetId="14">#REF!</definedName>
    <definedName name="All_Out">#REF!</definedName>
    <definedName name="approve" localSheetId="18">#REF!</definedName>
    <definedName name="approve" localSheetId="15">#REF!</definedName>
    <definedName name="approve" localSheetId="16">#REF!</definedName>
    <definedName name="approve" localSheetId="14">#REF!</definedName>
    <definedName name="approve">#REF!</definedName>
    <definedName name="aqw">#REF!</definedName>
    <definedName name="arpA1" localSheetId="18">#REF!</definedName>
    <definedName name="arpA1" localSheetId="15">#REF!</definedName>
    <definedName name="arpA1" localSheetId="16">#REF!</definedName>
    <definedName name="arpA1" localSheetId="14">#REF!</definedName>
    <definedName name="arpA1">#REF!</definedName>
    <definedName name="arpA2" localSheetId="18">#REF!</definedName>
    <definedName name="arpA2" localSheetId="15">#REF!</definedName>
    <definedName name="arpA2" localSheetId="16">#REF!</definedName>
    <definedName name="arpA2" localSheetId="14">#REF!</definedName>
    <definedName name="arpA2">#REF!</definedName>
    <definedName name="arpB2" localSheetId="18">#REF!</definedName>
    <definedName name="arpB2" localSheetId="15">#REF!</definedName>
    <definedName name="arpB2" localSheetId="16">#REF!</definedName>
    <definedName name="arpB2" localSheetId="14">#REF!</definedName>
    <definedName name="arpB2">#REF!</definedName>
    <definedName name="arpC2" localSheetId="18">#REF!</definedName>
    <definedName name="arpC2" localSheetId="15">#REF!</definedName>
    <definedName name="arpC2" localSheetId="16">#REF!</definedName>
    <definedName name="arpC2" localSheetId="14">#REF!</definedName>
    <definedName name="arpC2">#REF!</definedName>
    <definedName name="ARS" localSheetId="18">#REF!</definedName>
    <definedName name="ARS" localSheetId="15">#REF!</definedName>
    <definedName name="ARS" localSheetId="16">#REF!</definedName>
    <definedName name="ARS" localSheetId="14">#REF!</definedName>
    <definedName name="ARS">#REF!</definedName>
    <definedName name="as">#REF!</definedName>
    <definedName name="AS2DocOpenMode" hidden="1">"AS2DocumentEdit"</definedName>
    <definedName name="asdf" localSheetId="18">#REF!</definedName>
    <definedName name="asdf" localSheetId="15">#REF!</definedName>
    <definedName name="asdf" localSheetId="16">#REF!</definedName>
    <definedName name="asdf" localSheetId="14">#REF!</definedName>
    <definedName name="asdf">#REF!</definedName>
    <definedName name="AUD" localSheetId="18">#REF!</definedName>
    <definedName name="AUD" localSheetId="15">#REF!</definedName>
    <definedName name="AUD" localSheetId="16">#REF!</definedName>
    <definedName name="AUD" localSheetId="14">#REF!</definedName>
    <definedName name="AUD">#REF!</definedName>
    <definedName name="Aux_Mat_Out" localSheetId="18">#REF!</definedName>
    <definedName name="Aux_Mat_Out" localSheetId="15">#REF!</definedName>
    <definedName name="Aux_Mat_Out" localSheetId="16">#REF!</definedName>
    <definedName name="Aux_Mat_Out" localSheetId="14">#REF!</definedName>
    <definedName name="Aux_Mat_Out">#REF!</definedName>
    <definedName name="A级钢筋" localSheetId="18">#REF!</definedName>
    <definedName name="A级钢筋" localSheetId="15">#REF!</definedName>
    <definedName name="A级钢筋" localSheetId="16">#REF!</definedName>
    <definedName name="A级钢筋" localSheetId="14">#REF!</definedName>
    <definedName name="A级钢筋">#REF!</definedName>
    <definedName name="B" localSheetId="13">#REF!</definedName>
    <definedName name="B">#REF!</definedName>
    <definedName name="B.dbf" localSheetId="18">#REF!</definedName>
    <definedName name="B.dbf" localSheetId="15">#REF!</definedName>
    <definedName name="B.dbf" localSheetId="16">#REF!</definedName>
    <definedName name="B.dbf" localSheetId="14">#REF!</definedName>
    <definedName name="B.dbf">#REF!</definedName>
    <definedName name="balance_type">1</definedName>
    <definedName name="bbbb" localSheetId="18">#REF!</definedName>
    <definedName name="bbbb" localSheetId="15">#REF!</definedName>
    <definedName name="bbbb" localSheetId="16">#REF!</definedName>
    <definedName name="bbbb" localSheetId="14">#REF!</definedName>
    <definedName name="bbbb">#REF!</definedName>
    <definedName name="BEF" localSheetId="18">#REF!</definedName>
    <definedName name="BEF" localSheetId="15">#REF!</definedName>
    <definedName name="BEF" localSheetId="16">#REF!</definedName>
    <definedName name="BEF" localSheetId="14">#REF!</definedName>
    <definedName name="BEF">#REF!</definedName>
    <definedName name="before_tax" localSheetId="18">#REF!</definedName>
    <definedName name="before_tax" localSheetId="15">#REF!</definedName>
    <definedName name="before_tax" localSheetId="16">#REF!</definedName>
    <definedName name="before_tax" localSheetId="14">#REF!</definedName>
    <definedName name="before_tax">#REF!</definedName>
    <definedName name="Begin" localSheetId="18">#REF!</definedName>
    <definedName name="Begin" localSheetId="15">#REF!</definedName>
    <definedName name="Begin" localSheetId="16">#REF!</definedName>
    <definedName name="Begin" localSheetId="14">#REF!</definedName>
    <definedName name="Begin">#REF!</definedName>
    <definedName name="bj" localSheetId="18">#REF!</definedName>
    <definedName name="bj" localSheetId="15">#REF!</definedName>
    <definedName name="bj" localSheetId="16">#REF!</definedName>
    <definedName name="bj" localSheetId="14">#REF!</definedName>
    <definedName name="bj">#REF!</definedName>
    <definedName name="BMIII_1_1" localSheetId="18">#REF!</definedName>
    <definedName name="BMIII_1_1" localSheetId="15">#REF!</definedName>
    <definedName name="BMIII_1_1" localSheetId="16">#REF!</definedName>
    <definedName name="BMIII_1_1" localSheetId="14">#REF!</definedName>
    <definedName name="BMIII_1_1">#REF!</definedName>
    <definedName name="BMIII_1_2" localSheetId="18">#REF!</definedName>
    <definedName name="BMIII_1_2" localSheetId="15">#REF!</definedName>
    <definedName name="BMIII_1_2" localSheetId="16">#REF!</definedName>
    <definedName name="BMIII_1_2" localSheetId="14">#REF!</definedName>
    <definedName name="BMIII_1_2">#REF!</definedName>
    <definedName name="BMIII_2" localSheetId="18">#REF!</definedName>
    <definedName name="BMIII_2" localSheetId="15">#REF!</definedName>
    <definedName name="BMIII_2" localSheetId="16">#REF!</definedName>
    <definedName name="BMIII_2" localSheetId="14">#REF!</definedName>
    <definedName name="BMIII_2">#REF!</definedName>
    <definedName name="BMIII_2_1" localSheetId="18">#REF!</definedName>
    <definedName name="BMIII_2_1" localSheetId="15">#REF!</definedName>
    <definedName name="BMIII_2_1" localSheetId="16">#REF!</definedName>
    <definedName name="BMIII_2_1" localSheetId="14">#REF!</definedName>
    <definedName name="BMIII_2_1">#REF!</definedName>
    <definedName name="BMIII_2_1OUT" localSheetId="18">#REF!</definedName>
    <definedName name="BMIII_2_1OUT" localSheetId="15">#REF!</definedName>
    <definedName name="BMIII_2_1OUT" localSheetId="16">#REF!</definedName>
    <definedName name="BMIII_2_1OUT" localSheetId="14">#REF!</definedName>
    <definedName name="BMIII_2_1OUT">#REF!</definedName>
    <definedName name="BMIII_2F1" localSheetId="18">#REF!</definedName>
    <definedName name="BMIII_2F1" localSheetId="15">#REF!</definedName>
    <definedName name="BMIII_2F1" localSheetId="16">#REF!</definedName>
    <definedName name="BMIII_2F1" localSheetId="14">#REF!</definedName>
    <definedName name="BMIII_2F1">#REF!</definedName>
    <definedName name="BMIII_2F2" localSheetId="18">#REF!</definedName>
    <definedName name="BMIII_2F2" localSheetId="15">#REF!</definedName>
    <definedName name="BMIII_2F2" localSheetId="16">#REF!</definedName>
    <definedName name="BMIII_2F2" localSheetId="14">#REF!</definedName>
    <definedName name="BMIII_2F2">#REF!</definedName>
    <definedName name="BS_6" localSheetId="18">#REF!</definedName>
    <definedName name="BS_6" localSheetId="15">#REF!</definedName>
    <definedName name="BS_6" localSheetId="16">#REF!</definedName>
    <definedName name="BS_6" localSheetId="14">#REF!</definedName>
    <definedName name="BS_6">#REF!</definedName>
    <definedName name="BS_V1" localSheetId="18">#REF!</definedName>
    <definedName name="BS_V1" localSheetId="15">#REF!</definedName>
    <definedName name="BS_V1" localSheetId="16">#REF!</definedName>
    <definedName name="BS_V1" localSheetId="14">#REF!</definedName>
    <definedName name="BS_V1">#REF!</definedName>
    <definedName name="BS_V3" localSheetId="18">#REF!</definedName>
    <definedName name="BS_V3" localSheetId="15">#REF!</definedName>
    <definedName name="BS_V3" localSheetId="16">#REF!</definedName>
    <definedName name="BS_V3" localSheetId="14">#REF!</definedName>
    <definedName name="BS_V3">#REF!</definedName>
    <definedName name="BSaudited" localSheetId="18">#REF!</definedName>
    <definedName name="BSaudited" localSheetId="15">#REF!</definedName>
    <definedName name="BSaudited" localSheetId="16">#REF!</definedName>
    <definedName name="BSaudited" localSheetId="14">#REF!</definedName>
    <definedName name="BSaudited">#REF!</definedName>
    <definedName name="BSopening" localSheetId="18">#REF!</definedName>
    <definedName name="BSopening" localSheetId="15">#REF!</definedName>
    <definedName name="BSopening" localSheetId="16">#REF!</definedName>
    <definedName name="BSopening" localSheetId="14">#REF!</definedName>
    <definedName name="BSopening">#REF!</definedName>
    <definedName name="Bust" localSheetId="18">#REF!</definedName>
    <definedName name="Bust" localSheetId="15">#REF!</definedName>
    <definedName name="Bust" localSheetId="16">#REF!</definedName>
    <definedName name="Bust" localSheetId="14">#REF!</definedName>
    <definedName name="Bust">#REF!</definedName>
    <definedName name="bzw" localSheetId="18">#REF!</definedName>
    <definedName name="bzw" localSheetId="15">#REF!</definedName>
    <definedName name="bzw" localSheetId="16">#REF!</definedName>
    <definedName name="bzw" localSheetId="14">#REF!</definedName>
    <definedName name="bzw">#REF!</definedName>
    <definedName name="B级钢筋" localSheetId="18">#REF!</definedName>
    <definedName name="B级钢筋" localSheetId="15">#REF!</definedName>
    <definedName name="B级钢筋" localSheetId="16">#REF!</definedName>
    <definedName name="B级钢筋" localSheetId="14">#REF!</definedName>
    <definedName name="B级钢筋">#REF!</definedName>
    <definedName name="C_">#N/A</definedName>
    <definedName name="C1261." localSheetId="18">#REF!</definedName>
    <definedName name="C1261." localSheetId="15">#REF!</definedName>
    <definedName name="C1261." localSheetId="16">#REF!</definedName>
    <definedName name="C1261." localSheetId="14">#REF!</definedName>
    <definedName name="C1261.">#REF!</definedName>
    <definedName name="CAD" localSheetId="18">#REF!</definedName>
    <definedName name="CAD" localSheetId="15">#REF!</definedName>
    <definedName name="CAD" localSheetId="16">#REF!</definedName>
    <definedName name="CAD" localSheetId="14">#REF!</definedName>
    <definedName name="CAD">#REF!</definedName>
    <definedName name="caiwufeiyong.dbf" localSheetId="18">#REF!</definedName>
    <definedName name="caiwufeiyong.dbf" localSheetId="15">#REF!</definedName>
    <definedName name="caiwufeiyong.dbf" localSheetId="16">#REF!</definedName>
    <definedName name="caiwufeiyong.dbf" localSheetId="14">#REF!</definedName>
    <definedName name="caiwufeiyong.dbf">#REF!</definedName>
    <definedName name="calc">1</definedName>
    <definedName name="cap" localSheetId="18">#REF!</definedName>
    <definedName name="cap" localSheetId="15">#REF!</definedName>
    <definedName name="cap" localSheetId="16">#REF!</definedName>
    <definedName name="cap" localSheetId="14">#REF!</definedName>
    <definedName name="cap" localSheetId="13">#REF!</definedName>
    <definedName name="cap">#REF!</definedName>
    <definedName name="CapRate" localSheetId="18">#REF!</definedName>
    <definedName name="CapRate" localSheetId="15">#REF!</definedName>
    <definedName name="CapRate" localSheetId="16">#REF!</definedName>
    <definedName name="CapRate" localSheetId="14">#REF!</definedName>
    <definedName name="CapRate">#REF!</definedName>
    <definedName name="carol" localSheetId="18">#REF!</definedName>
    <definedName name="carol" localSheetId="15">#REF!</definedName>
    <definedName name="carol" localSheetId="16">#REF!</definedName>
    <definedName name="carol" localSheetId="14">#REF!</definedName>
    <definedName name="carol">#REF!</definedName>
    <definedName name="CBU_Out" localSheetId="18">#REF!</definedName>
    <definedName name="CBU_Out" localSheetId="15">#REF!</definedName>
    <definedName name="CBU_Out" localSheetId="16">#REF!</definedName>
    <definedName name="CBU_Out" localSheetId="14">#REF!</definedName>
    <definedName name="CBU_Out">#REF!</definedName>
    <definedName name="ccp" localSheetId="18">#REF!</definedName>
    <definedName name="ccp" localSheetId="15">#REF!</definedName>
    <definedName name="ccp" localSheetId="16">#REF!</definedName>
    <definedName name="ccp" localSheetId="14">#REF!</definedName>
    <definedName name="ccp">#REF!</definedName>
    <definedName name="CHF" localSheetId="18">#REF!</definedName>
    <definedName name="CHF" localSheetId="15">#REF!</definedName>
    <definedName name="CHF" localSheetId="16">#REF!</definedName>
    <definedName name="CHF" localSheetId="14">#REF!</definedName>
    <definedName name="CHF">#REF!</definedName>
    <definedName name="Choices_Wrapper">#N/A</definedName>
    <definedName name="CNY" localSheetId="18">#REF!</definedName>
    <definedName name="CNY" localSheetId="15">#REF!</definedName>
    <definedName name="CNY" localSheetId="16">#REF!</definedName>
    <definedName name="CNY" localSheetId="14">#REF!</definedName>
    <definedName name="CNY">#REF!</definedName>
    <definedName name="co">100</definedName>
    <definedName name="cola" localSheetId="18">#REF!</definedName>
    <definedName name="cola" localSheetId="15">#REF!</definedName>
    <definedName name="cola" localSheetId="16">#REF!</definedName>
    <definedName name="cola" localSheetId="14">#REF!</definedName>
    <definedName name="cola" localSheetId="13">#REF!</definedName>
    <definedName name="cola">#REF!</definedName>
    <definedName name="colb" localSheetId="18">#REF!</definedName>
    <definedName name="colb" localSheetId="15">#REF!</definedName>
    <definedName name="colb" localSheetId="16">#REF!</definedName>
    <definedName name="colb" localSheetId="14">#REF!</definedName>
    <definedName name="colb" localSheetId="13">#REF!</definedName>
    <definedName name="colb">#REF!</definedName>
    <definedName name="Coll" localSheetId="11" hidden="1">{#N/A,#N/A,FALSE,"970301";#N/A,#N/A,FALSE,"970302";#N/A,#N/A,FALSE,"970303";#N/A,#N/A,FALSE,"970304";#N/A,#N/A,FALSE,"COM1";#N/A,#N/A,FALSE,"COM2"}</definedName>
    <definedName name="Coll" localSheetId="17" hidden="1">{#N/A,#N/A,FALSE,"970301";#N/A,#N/A,FALSE,"970302";#N/A,#N/A,FALSE,"970303";#N/A,#N/A,FALSE,"970304";#N/A,#N/A,FALSE,"COM1";#N/A,#N/A,FALSE,"COM2"}</definedName>
    <definedName name="Coll" localSheetId="10" hidden="1">{#N/A,#N/A,FALSE,"970301";#N/A,#N/A,FALSE,"970302";#N/A,#N/A,FALSE,"970303";#N/A,#N/A,FALSE,"970304";#N/A,#N/A,FALSE,"COM1";#N/A,#N/A,FALSE,"COM2"}</definedName>
    <definedName name="Coll" localSheetId="20" hidden="1">{#N/A,#N/A,FALSE,"970301";#N/A,#N/A,FALSE,"970302";#N/A,#N/A,FALSE,"970303";#N/A,#N/A,FALSE,"970304";#N/A,#N/A,FALSE,"COM1";#N/A,#N/A,FALSE,"COM2"}</definedName>
    <definedName name="Coll" localSheetId="18" hidden="1">{#N/A,#N/A,FALSE,"970301";#N/A,#N/A,FALSE,"970302";#N/A,#N/A,FALSE,"970303";#N/A,#N/A,FALSE,"970304";#N/A,#N/A,FALSE,"COM1";#N/A,#N/A,FALSE,"COM2"}</definedName>
    <definedName name="Coll" localSheetId="19" hidden="1">{#N/A,#N/A,FALSE,"970301";#N/A,#N/A,FALSE,"970302";#N/A,#N/A,FALSE,"970303";#N/A,#N/A,FALSE,"970304";#N/A,#N/A,FALSE,"COM1";#N/A,#N/A,FALSE,"COM2"}</definedName>
    <definedName name="Coll" localSheetId="13" hidden="1">{#N/A,#N/A,FALSE,"970301";#N/A,#N/A,FALSE,"970302";#N/A,#N/A,FALSE,"970303";#N/A,#N/A,FALSE,"970304";#N/A,#N/A,FALSE,"COM1";#N/A,#N/A,FALSE,"COM2"}</definedName>
    <definedName name="Coll" hidden="1">{#N/A,#N/A,FALSE,"970301";#N/A,#N/A,FALSE,"970302";#N/A,#N/A,FALSE,"970303";#N/A,#N/A,FALSE,"970304";#N/A,#N/A,FALSE,"COM1";#N/A,#N/A,FALSE,"COM2"}</definedName>
    <definedName name="COM" localSheetId="18">#REF!</definedName>
    <definedName name="COM" localSheetId="15">#REF!</definedName>
    <definedName name="COM" localSheetId="16">#REF!</definedName>
    <definedName name="COM" localSheetId="14">#REF!</definedName>
    <definedName name="COM">#REF!</definedName>
    <definedName name="COMB" localSheetId="18">#REF!</definedName>
    <definedName name="COMB" localSheetId="15">#REF!</definedName>
    <definedName name="COMB" localSheetId="16">#REF!</definedName>
    <definedName name="COMB" localSheetId="14">#REF!</definedName>
    <definedName name="COMB">#REF!</definedName>
    <definedName name="consoltotal" localSheetId="18">#REF!</definedName>
    <definedName name="consoltotal" localSheetId="15">#REF!</definedName>
    <definedName name="consoltotal" localSheetId="16">#REF!</definedName>
    <definedName name="consoltotal" localSheetId="14">#REF!</definedName>
    <definedName name="consoltotal">#REF!</definedName>
    <definedName name="Continue" localSheetId="18">#REF!</definedName>
    <definedName name="Continue" localSheetId="15">#REF!</definedName>
    <definedName name="Continue" localSheetId="16">#REF!</definedName>
    <definedName name="Continue" localSheetId="14">#REF!</definedName>
    <definedName name="Continue">#REF!</definedName>
    <definedName name="cost" localSheetId="18">#REF!</definedName>
    <definedName name="cost" localSheetId="15">#REF!</definedName>
    <definedName name="cost" localSheetId="16">#REF!</definedName>
    <definedName name="cost" localSheetId="14">#REF!</definedName>
    <definedName name="cost">#REF!</definedName>
    <definedName name="CRA" localSheetId="18">#REF!</definedName>
    <definedName name="CRA" localSheetId="15">#REF!</definedName>
    <definedName name="CRA" localSheetId="16">#REF!</definedName>
    <definedName name="CRA" localSheetId="14">#REF!</definedName>
    <definedName name="CRA">#REF!</definedName>
    <definedName name="CREATIVE" localSheetId="18">#REF!</definedName>
    <definedName name="CREATIVE" localSheetId="15">#REF!</definedName>
    <definedName name="CREATIVE" localSheetId="16">#REF!</definedName>
    <definedName name="CREATIVE" localSheetId="14">#REF!</definedName>
    <definedName name="CREATIVE">#REF!</definedName>
    <definedName name="CRIT" localSheetId="18">#REF!</definedName>
    <definedName name="CRIT" localSheetId="15">#REF!</definedName>
    <definedName name="CRIT" localSheetId="16">#REF!</definedName>
    <definedName name="CRIT" localSheetId="14">#REF!</definedName>
    <definedName name="CRIT">#REF!</definedName>
    <definedName name="_xlnm.Criteria" localSheetId="20">#REF!</definedName>
    <definedName name="_xlnm.Criteria" localSheetId="18">#REF!</definedName>
    <definedName name="_xlnm.Criteria" localSheetId="15">#REF!</definedName>
    <definedName name="_xlnm.Criteria" localSheetId="16">#REF!</definedName>
    <definedName name="_xlnm.Criteria" localSheetId="14">#REF!</definedName>
    <definedName name="_xlnm.Criteria">#REF!</definedName>
    <definedName name="current_asset" localSheetId="18">#REF!</definedName>
    <definedName name="current_asset" localSheetId="15">#REF!</definedName>
    <definedName name="current_asset" localSheetId="16">#REF!</definedName>
    <definedName name="current_asset" localSheetId="14">#REF!</definedName>
    <definedName name="current_asset">#REF!</definedName>
    <definedName name="cus" localSheetId="18">#REF!</definedName>
    <definedName name="cus" localSheetId="15">#REF!</definedName>
    <definedName name="cus" localSheetId="16">#REF!</definedName>
    <definedName name="cus" localSheetId="14">#REF!</definedName>
    <definedName name="cus">#REF!</definedName>
    <definedName name="CUSTOMER" localSheetId="18">#REF!</definedName>
    <definedName name="CUSTOMER" localSheetId="15">#REF!</definedName>
    <definedName name="CUSTOMER" localSheetId="16">#REF!</definedName>
    <definedName name="CUSTOMER" localSheetId="14">#REF!</definedName>
    <definedName name="CUSTOMER">#REF!</definedName>
    <definedName name="cvc">#REF!</definedName>
    <definedName name="C级钢筋" localSheetId="18">#REF!</definedName>
    <definedName name="C级钢筋" localSheetId="15">#REF!</definedName>
    <definedName name="C级钢筋" localSheetId="16">#REF!</definedName>
    <definedName name="C级钢筋" localSheetId="14">#REF!</definedName>
    <definedName name="C级钢筋">#REF!</definedName>
    <definedName name="D_AC" localSheetId="18">#REF!</definedName>
    <definedName name="D_AC" localSheetId="15">#REF!</definedName>
    <definedName name="D_AC" localSheetId="16">#REF!</definedName>
    <definedName name="D_AC" localSheetId="14">#REF!</definedName>
    <definedName name="D_AC">#REF!</definedName>
    <definedName name="D_AN" localSheetId="18">#REF!</definedName>
    <definedName name="D_AN" localSheetId="15">#REF!</definedName>
    <definedName name="D_AN" localSheetId="16">#REF!</definedName>
    <definedName name="D_AN" localSheetId="14">#REF!</definedName>
    <definedName name="D_AN">#REF!</definedName>
    <definedName name="D_AU" localSheetId="18">#REF!</definedName>
    <definedName name="D_AU" localSheetId="15">#REF!</definedName>
    <definedName name="D_AU" localSheetId="16">#REF!</definedName>
    <definedName name="D_AU" localSheetId="14">#REF!</definedName>
    <definedName name="D_AU">#REF!</definedName>
    <definedName name="D_CA" localSheetId="18">#REF!</definedName>
    <definedName name="D_CA" localSheetId="15">#REF!</definedName>
    <definedName name="D_CA" localSheetId="16">#REF!</definedName>
    <definedName name="D_CA" localSheetId="14">#REF!</definedName>
    <definedName name="D_CA">#REF!</definedName>
    <definedName name="D_CU" localSheetId="18">#REF!</definedName>
    <definedName name="D_CU" localSheetId="15">#REF!</definedName>
    <definedName name="D_CU" localSheetId="16">#REF!</definedName>
    <definedName name="D_CU" localSheetId="14">#REF!</definedName>
    <definedName name="D_CU">#REF!</definedName>
    <definedName name="D_DP" localSheetId="18">#REF!</definedName>
    <definedName name="D_DP" localSheetId="15">#REF!</definedName>
    <definedName name="D_DP" localSheetId="16">#REF!</definedName>
    <definedName name="D_DP" localSheetId="14">#REF!</definedName>
    <definedName name="D_DP">#REF!</definedName>
    <definedName name="D_FL" localSheetId="18">#REF!</definedName>
    <definedName name="D_FL" localSheetId="15">#REF!</definedName>
    <definedName name="D_FL" localSheetId="16">#REF!</definedName>
    <definedName name="D_FL" localSheetId="14">#REF!</definedName>
    <definedName name="D_FL">#REF!</definedName>
    <definedName name="D_PE" localSheetId="18">#REF!</definedName>
    <definedName name="D_PE" localSheetId="15">#REF!</definedName>
    <definedName name="D_PE" localSheetId="16">#REF!</definedName>
    <definedName name="D_PE" localSheetId="14">#REF!</definedName>
    <definedName name="D_PE">#REF!</definedName>
    <definedName name="D_RU" localSheetId="18">#REF!</definedName>
    <definedName name="D_RU" localSheetId="15">#REF!</definedName>
    <definedName name="D_RU" localSheetId="16">#REF!</definedName>
    <definedName name="D_RU" localSheetId="14">#REF!</definedName>
    <definedName name="D_RU">#REF!</definedName>
    <definedName name="da" localSheetId="18">#REF!</definedName>
    <definedName name="da" localSheetId="15">#REF!</definedName>
    <definedName name="da" localSheetId="16">#REF!</definedName>
    <definedName name="da" localSheetId="14">#REF!</definedName>
    <definedName name="da">#REF!</definedName>
    <definedName name="data">OFFSET(#REF!,#REF!,0,10,1)</definedName>
    <definedName name="Data___Borrower" localSheetId="18">#REF!</definedName>
    <definedName name="Data___Borrower" localSheetId="15">#REF!</definedName>
    <definedName name="Data___Borrower" localSheetId="16">#REF!</definedName>
    <definedName name="Data___Borrower" localSheetId="14">#REF!</definedName>
    <definedName name="Data___Borrower">#REF!</definedName>
    <definedName name="Data___Coll_Info" localSheetId="18">#REF!</definedName>
    <definedName name="Data___Coll_Info" localSheetId="15">#REF!</definedName>
    <definedName name="Data___Coll_Info" localSheetId="16">#REF!</definedName>
    <definedName name="Data___Coll_Info" localSheetId="14">#REF!</definedName>
    <definedName name="Data___Coll_Info">#REF!</definedName>
    <definedName name="Data___Coll_Scenario" localSheetId="18">#REF!</definedName>
    <definedName name="Data___Coll_Scenario" localSheetId="15">#REF!</definedName>
    <definedName name="Data___Coll_Scenario" localSheetId="16">#REF!</definedName>
    <definedName name="Data___Coll_Scenario" localSheetId="14">#REF!</definedName>
    <definedName name="Data___Coll_Scenario">#REF!</definedName>
    <definedName name="Data___Loan" localSheetId="18">#REF!</definedName>
    <definedName name="Data___Loan" localSheetId="15">#REF!</definedName>
    <definedName name="Data___Loan" localSheetId="16">#REF!</definedName>
    <definedName name="Data___Loan" localSheetId="14">#REF!</definedName>
    <definedName name="Data___Loan">#REF!</definedName>
    <definedName name="_xlnm.Database" localSheetId="20">#REF!</definedName>
    <definedName name="_xlnm.Database" localSheetId="18">#REF!</definedName>
    <definedName name="_xlnm.Database" localSheetId="15">#REF!</definedName>
    <definedName name="_xlnm.Database" localSheetId="16">#REF!</definedName>
    <definedName name="_xlnm.Database" localSheetId="14">#REF!</definedName>
    <definedName name="_xlnm.Database">#REF!</definedName>
    <definedName name="DBS" localSheetId="18" hidden="1">#REF!</definedName>
    <definedName name="DBS" localSheetId="15" hidden="1">#REF!</definedName>
    <definedName name="DBS" localSheetId="16" hidden="1">#REF!</definedName>
    <definedName name="DBS" localSheetId="14" hidden="1">#REF!</definedName>
    <definedName name="DBS" hidden="1">#REF!</definedName>
    <definedName name="dddd" localSheetId="18">#REF!</definedName>
    <definedName name="dddd" localSheetId="15">#REF!</definedName>
    <definedName name="dddd" localSheetId="16">#REF!</definedName>
    <definedName name="dddd" localSheetId="14">#REF!</definedName>
    <definedName name="dddd">#REF!</definedName>
    <definedName name="DEM" localSheetId="18">#REF!</definedName>
    <definedName name="DEM" localSheetId="15">#REF!</definedName>
    <definedName name="DEM" localSheetId="16">#REF!</definedName>
    <definedName name="DEM" localSheetId="14">#REF!</definedName>
    <definedName name="DEM">#REF!</definedName>
    <definedName name="df">#REF!</definedName>
    <definedName name="dfdfdf" localSheetId="13">#REF!</definedName>
    <definedName name="dfdfdf">#REF!</definedName>
    <definedName name="dhp" localSheetId="18">#REF!</definedName>
    <definedName name="dhp" localSheetId="15">#REF!</definedName>
    <definedName name="dhp" localSheetId="16">#REF!</definedName>
    <definedName name="dhp" localSheetId="14">#REF!</definedName>
    <definedName name="dhp">#REF!</definedName>
    <definedName name="DOC" localSheetId="18">#REF!</definedName>
    <definedName name="DOC" localSheetId="15">#REF!</definedName>
    <definedName name="DOC" localSheetId="16">#REF!</definedName>
    <definedName name="DOC" localSheetId="14">#REF!</definedName>
    <definedName name="DOC">#REF!</definedName>
    <definedName name="Documents_array" localSheetId="18">#REF!</definedName>
    <definedName name="Documents_array" localSheetId="15">#REF!</definedName>
    <definedName name="Documents_array" localSheetId="16">#REF!</definedName>
    <definedName name="Documents_array" localSheetId="14">#REF!</definedName>
    <definedName name="Documents_array">#REF!</definedName>
    <definedName name="DPL" localSheetId="18" hidden="1">#REF!</definedName>
    <definedName name="DPL" localSheetId="15" hidden="1">#REF!</definedName>
    <definedName name="DPL" localSheetId="16" hidden="1">#REF!</definedName>
    <definedName name="DPL" localSheetId="14" hidden="1">#REF!</definedName>
    <definedName name="DPL" hidden="1">#REF!</definedName>
    <definedName name="drh" localSheetId="18">#REF!</definedName>
    <definedName name="drh" localSheetId="15">#REF!</definedName>
    <definedName name="drh" localSheetId="16">#REF!</definedName>
    <definedName name="drh" localSheetId="14">#REF!</definedName>
    <definedName name="drh">#REF!</definedName>
    <definedName name="drr" localSheetId="18">#REF!</definedName>
    <definedName name="drr" localSheetId="15">#REF!</definedName>
    <definedName name="drr" localSheetId="16">#REF!</definedName>
    <definedName name="drr" localSheetId="14">#REF!</definedName>
    <definedName name="drr">#REF!</definedName>
    <definedName name="dsa" localSheetId="18">#REF!</definedName>
    <definedName name="dsa" localSheetId="15">#REF!</definedName>
    <definedName name="dsa" localSheetId="16">#REF!</definedName>
    <definedName name="dsa" localSheetId="14">#REF!</definedName>
    <definedName name="dsa">#REF!</definedName>
    <definedName name="dsfieu" localSheetId="18">#REF!</definedName>
    <definedName name="dsfieu" localSheetId="15">#REF!</definedName>
    <definedName name="dsfieu" localSheetId="16">#REF!</definedName>
    <definedName name="dsfieu" localSheetId="14">#REF!</definedName>
    <definedName name="dsfieu">#REF!</definedName>
    <definedName name="dzh" localSheetId="18">#REF!</definedName>
    <definedName name="dzh" localSheetId="15">#REF!</definedName>
    <definedName name="dzh" localSheetId="16">#REF!</definedName>
    <definedName name="dzh" localSheetId="14">#REF!</definedName>
    <definedName name="dzh">#REF!</definedName>
    <definedName name="dzr" localSheetId="18">#REF!</definedName>
    <definedName name="dzr" localSheetId="15">#REF!</definedName>
    <definedName name="dzr" localSheetId="16">#REF!</definedName>
    <definedName name="dzr" localSheetId="14">#REF!</definedName>
    <definedName name="dzr">#REF!</definedName>
    <definedName name="EEE" localSheetId="18">#REF!</definedName>
    <definedName name="EEE" localSheetId="15">#REF!</definedName>
    <definedName name="EEE" localSheetId="16">#REF!</definedName>
    <definedName name="EEE" localSheetId="14">#REF!</definedName>
    <definedName name="EEE">#REF!</definedName>
    <definedName name="er" localSheetId="18">#REF!</definedName>
    <definedName name="er" localSheetId="15">#REF!</definedName>
    <definedName name="er" localSheetId="16">#REF!</definedName>
    <definedName name="er" localSheetId="14">#REF!</definedName>
    <definedName name="er">#REF!</definedName>
    <definedName name="erq" localSheetId="18">#REF!</definedName>
    <definedName name="erq" localSheetId="15">#REF!</definedName>
    <definedName name="erq" localSheetId="16">#REF!</definedName>
    <definedName name="erq" localSheetId="14">#REF!</definedName>
    <definedName name="erq">#REF!</definedName>
    <definedName name="errerere">#N/A</definedName>
    <definedName name="ertwetq" localSheetId="18" hidden="1">#REF!</definedName>
    <definedName name="ertwetq" localSheetId="15" hidden="1">#REF!</definedName>
    <definedName name="ertwetq" localSheetId="16" hidden="1">#REF!</definedName>
    <definedName name="ertwetq" localSheetId="14" hidden="1">#REF!</definedName>
    <definedName name="ertwetq" hidden="1">#REF!</definedName>
    <definedName name="EUR" localSheetId="18">#REF!</definedName>
    <definedName name="EUR" localSheetId="15">#REF!</definedName>
    <definedName name="EUR" localSheetId="16">#REF!</definedName>
    <definedName name="EUR" localSheetId="14">#REF!</definedName>
    <definedName name="EUR">#REF!</definedName>
    <definedName name="F" localSheetId="18">#REF!</definedName>
    <definedName name="F" localSheetId="15">#REF!</definedName>
    <definedName name="F" localSheetId="16">#REF!</definedName>
    <definedName name="F" localSheetId="14">#REF!</definedName>
    <definedName name="F">#REF!</definedName>
    <definedName name="F.A.breakdown" localSheetId="18">#REF!</definedName>
    <definedName name="F.A.breakdown" localSheetId="15">#REF!</definedName>
    <definedName name="F.A.breakdown" localSheetId="16">#REF!</definedName>
    <definedName name="F.A.breakdown" localSheetId="14">#REF!</definedName>
    <definedName name="F.A.breakdown">#REF!</definedName>
    <definedName name="feed1" localSheetId="18">#REF!</definedName>
    <definedName name="feed1" localSheetId="15">#REF!</definedName>
    <definedName name="feed1" localSheetId="16">#REF!</definedName>
    <definedName name="feed1" localSheetId="14">#REF!</definedName>
    <definedName name="feed1">#REF!</definedName>
    <definedName name="feed2" localSheetId="18">#REF!</definedName>
    <definedName name="feed2" localSheetId="15">#REF!</definedName>
    <definedName name="feed2" localSheetId="16">#REF!</definedName>
    <definedName name="feed2" localSheetId="14">#REF!</definedName>
    <definedName name="feed2">#REF!</definedName>
    <definedName name="feed3" localSheetId="18">#REF!</definedName>
    <definedName name="feed3" localSheetId="15">#REF!</definedName>
    <definedName name="feed3" localSheetId="16">#REF!</definedName>
    <definedName name="feed3" localSheetId="14">#REF!</definedName>
    <definedName name="feed3">#REF!</definedName>
    <definedName name="FFF" localSheetId="18">#REF!</definedName>
    <definedName name="FFF" localSheetId="15">#REF!</definedName>
    <definedName name="FFF" localSheetId="16">#REF!</definedName>
    <definedName name="FFF" localSheetId="14">#REF!</definedName>
    <definedName name="FFF">#REF!</definedName>
    <definedName name="ffffftdftedrtgdd" localSheetId="11">'PC 增量测算'!xxxChunkR16309C1+#REF!+#REF!+#REF!+#REF!+#REF!+#REF!+#REF!+#REF!+#REF!+#REF!+#REF!+#REF!+#REF!+#REF!+#REF!+#REF!+#REF!+#REF!+#REF!+#REF!+#REF!+#REF!+#REF!+#REF!</definedName>
    <definedName name="ffffftdftedrtgdd" localSheetId="17">电梯!xxxChunkR16309C1+#REF!+#REF!+#REF!+#REF!+#REF!+#REF!+#REF!+#REF!+#REF!+#REF!+#REF!+#REF!+#REF!+#REF!+#REF!+#REF!+#REF!+#REF!+#REF!+#REF!+#REF!+#REF!+#REF!+#REF!</definedName>
    <definedName name="ffffftdftedrtgdd" localSheetId="10">含量测算!xxxChunkR16309C1+#REF!+#REF!+#REF!+#REF!+#REF!+#REF!+#REF!+#REF!+#REF!+#REF!+#REF!+#REF!+#REF!+#REF!+#REF!+#REF!+#REF!+#REF!+#REF!+#REF!+#REF!+#REF!+#REF!+#REF!</definedName>
    <definedName name="ffffftdftedrtgdd" localSheetId="20">卖场策划!xxxChunkR16309C1+#REF!+#REF!+#REF!+#REF!+#REF!+#REF!+#REF!+#REF!+#REF!+#REF!+#REF!+#REF!+#REF!+#REF!+#REF!+#REF!+#REF!+#REF!+#REF!+#REF!+#REF!+#REF!+#REF!+#REF!</definedName>
    <definedName name="ffffftdftedrtgdd" localSheetId="18">门窗栏杆!xxxChunkR16309C1+#REF!+#REF!+#REF!+#REF!+#REF!+#REF!+#REF!+#REF!+#REF!+#REF!+#REF!+#REF!+#REF!+#REF!+#REF!+#REF!+#REF!+#REF!+#REF!+#REF!+#REF!+#REF!+#REF!+#REF!</definedName>
    <definedName name="ffffftdftedrtgdd" localSheetId="19">太阳能!xxxChunkR16309C1+#REF!+#REF!+#REF!+#REF!+#REF!+#REF!+#REF!+#REF!+#REF!+#REF!+#REF!+#REF!+#REF!+#REF!+#REF!+#REF!+#REF!+#REF!+#REF!+#REF!+#REF!+#REF!+#REF!+#REF!</definedName>
    <definedName name="ffffftdftedrtgdd" localSheetId="15">土方!xxxChunkR16309C1+#REF!+#REF!+#REF!+#REF!+#REF!+#REF!+#REF!+#REF!+#REF!+#REF!+#REF!+#REF!+#REF!+#REF!+#REF!+#REF!+#REF!+#REF!+#REF!+#REF!+#REF!+#REF!+#REF!+#REF!</definedName>
    <definedName name="ffffftdftedrtgdd" localSheetId="16">支护!xxxChunkR16309C1+#REF!+#REF!+#REF!+#REF!+#REF!+#REF!+#REF!+#REF!+#REF!+#REF!+#REF!+#REF!+#REF!+#REF!+#REF!+#REF!+#REF!+#REF!+#REF!+#REF!+#REF!+#REF!+#REF!+#REF!</definedName>
    <definedName name="ffffftdftedrtgdd" localSheetId="14">桩基!xxxChunkR16309C1+#REF!+#REF!+#REF!+#REF!+#REF!+#REF!+#REF!+#REF!+#REF!+#REF!+#REF!+#REF!+#REF!+#REF!+#REF!+#REF!+#REF!+#REF!+#REF!+#REF!+#REF!+#REF!+#REF!+#REF!</definedName>
    <definedName name="ffffftdftedrtgdd" localSheetId="13">桩基单价!xxxChunkR16309C1+#REF!+#REF!+#REF!+#REF!+#REF!+#REF!+#REF!+#REF!+#REF!+#REF!+#REF!+#REF!+#REF!+#REF!+#REF!+#REF!+#REF!+#REF!+#REF!+#REF!+#REF!+#REF!+#REF!+#REF!</definedName>
    <definedName name="ffffftdftedrtgdd">xxxChunkR16309C1+#REF!+#REF!+#REF!+#REF!+#REF!+#REF!+#REF!+#REF!+#REF!+#REF!+#REF!+#REF!+#REF!+#REF!+#REF!+#REF!+#REF!+#REF!+#REF!+#REF!+#REF!+#REF!+#REF!+#REF!</definedName>
    <definedName name="ffghdfdfgdfgd" localSheetId="11">xxxChunkR16302C1+#REF!+#REF!+#REF!+#REF!+#REF!+#REF!+#REF!+#REF!+#REF!+#REF!+#REF!+#REF!+#REF!+#REF!+#REF!+#REF!+#REF!+#REF!+#REF!+#REF!+#REF!+#REF!+#REF!+#REF!+#REF!</definedName>
    <definedName name="ffghdfdfgdfgd" localSheetId="17">xxxChunkR16302C1+#REF!+#REF!+#REF!+#REF!+#REF!+#REF!+#REF!+#REF!+#REF!+#REF!+#REF!+#REF!+#REF!+#REF!+#REF!+#REF!+#REF!+#REF!+#REF!+#REF!+#REF!+#REF!+#REF!+#REF!+#REF!</definedName>
    <definedName name="ffghdfdfgdfgd" localSheetId="10">xxxChunkR16302C1+#REF!+#REF!+#REF!+#REF!+#REF!+#REF!+#REF!+#REF!+#REF!+#REF!+#REF!+#REF!+#REF!+#REF!+#REF!+#REF!+#REF!+#REF!+#REF!+#REF!+#REF!+#REF!+#REF!+#REF!+#REF!</definedName>
    <definedName name="ffghdfdfgdfgd" localSheetId="20">xxxChunkR16302C1+#REF!+#REF!+#REF!+#REF!+#REF!+#REF!+#REF!+#REF!+#REF!+#REF!+#REF!+#REF!+#REF!+#REF!+#REF!+#REF!+#REF!+#REF!+#REF!+#REF!+#REF!+#REF!+#REF!+#REF!+#REF!</definedName>
    <definedName name="ffghdfdfgdfgd" localSheetId="18">[0]!xxxChunkR16302C1+#REF!+#REF!+#REF!+#REF!+#REF!+#REF!+#REF!+#REF!+#REF!+#REF!+#REF!+#REF!+#REF!+#REF!+#REF!+#REF!+#REF!+#REF!+#REF!+#REF!+#REF!+#REF!+#REF!+#REF!+#REF!</definedName>
    <definedName name="ffghdfdfgdfgd" localSheetId="19">xxxChunkR16302C1+#REF!+#REF!+#REF!+#REF!+#REF!+#REF!+#REF!+#REF!+#REF!+#REF!+#REF!+#REF!+#REF!+#REF!+#REF!+#REF!+#REF!+#REF!+#REF!+#REF!+#REF!+#REF!+#REF!+#REF!+#REF!</definedName>
    <definedName name="ffghdfdfgdfgd" localSheetId="15">xxxChunkR16302C1+#REF!+#REF!+#REF!+#REF!+#REF!+#REF!+#REF!+#REF!+#REF!+#REF!+#REF!+#REF!+#REF!+#REF!+#REF!+#REF!+#REF!+#REF!+#REF!+#REF!+#REF!+#REF!+#REF!+#REF!+#REF!</definedName>
    <definedName name="ffghdfdfgdfgd" localSheetId="16">xxxChunkR16302C1+#REF!+#REF!+#REF!+#REF!+#REF!+#REF!+#REF!+#REF!+#REF!+#REF!+#REF!+#REF!+#REF!+#REF!+#REF!+#REF!+#REF!+#REF!+#REF!+#REF!+#REF!+#REF!+#REF!+#REF!+#REF!</definedName>
    <definedName name="ffghdfdfgdfgd" localSheetId="14">xxxChunkR16302C1+#REF!+#REF!+#REF!+#REF!+#REF!+#REF!+#REF!+#REF!+#REF!+#REF!+#REF!+#REF!+#REF!+#REF!+#REF!+#REF!+#REF!+#REF!+#REF!+#REF!+#REF!+#REF!+#REF!+#REF!+#REF!</definedName>
    <definedName name="ffghdfdfgdfgd" localSheetId="13">xxxChunkR16302C1+#REF!+#REF!+#REF!+#REF!+#REF!+#REF!+#REF!+#REF!+#REF!+#REF!+#REF!+#REF!+#REF!+#REF!+#REF!+#REF!+#REF!+#REF!+#REF!+#REF!+#REF!+#REF!+#REF!+#REF!+#REF!</definedName>
    <definedName name="ffghdfdfgdfgd">xxxChunkR16302C1+#REF!+#REF!+#REF!+#REF!+#REF!+#REF!+#REF!+#REF!+#REF!+#REF!+#REF!+#REF!+#REF!+#REF!+#REF!+#REF!+#REF!+#REF!+#REF!+#REF!+#REF!+#REF!+#REF!+#REF!+#REF!</definedName>
    <definedName name="FG_In" localSheetId="18">#REF!</definedName>
    <definedName name="FG_In" localSheetId="15">#REF!</definedName>
    <definedName name="FG_In" localSheetId="16">#REF!</definedName>
    <definedName name="FG_In" localSheetId="14">#REF!</definedName>
    <definedName name="FG_In">#REF!</definedName>
    <definedName name="FG_In_1999" localSheetId="18">#REF!</definedName>
    <definedName name="FG_In_1999" localSheetId="15">#REF!</definedName>
    <definedName name="FG_In_1999" localSheetId="16">#REF!</definedName>
    <definedName name="FG_In_1999" localSheetId="14">#REF!</definedName>
    <definedName name="FG_In_1999">#REF!</definedName>
    <definedName name="fh">#REF!</definedName>
    <definedName name="FINANCE" localSheetId="18">#REF!</definedName>
    <definedName name="FINANCE" localSheetId="15">#REF!</definedName>
    <definedName name="FINANCE" localSheetId="16">#REF!</definedName>
    <definedName name="FINANCE" localSheetId="14">#REF!</definedName>
    <definedName name="FINANCE">#REF!</definedName>
    <definedName name="fix2000.dbf" localSheetId="18">#REF!</definedName>
    <definedName name="fix2000.dbf" localSheetId="15">#REF!</definedName>
    <definedName name="fix2000.dbf" localSheetId="16">#REF!</definedName>
    <definedName name="fix2000.dbf" localSheetId="14">#REF!</definedName>
    <definedName name="fix2000.dbf">#REF!</definedName>
    <definedName name="Fixed_assests" localSheetId="18">#REF!</definedName>
    <definedName name="Fixed_assests" localSheetId="15">#REF!</definedName>
    <definedName name="Fixed_assests" localSheetId="16">#REF!</definedName>
    <definedName name="Fixed_assests" localSheetId="14">#REF!</definedName>
    <definedName name="Fixed_assests">#REF!</definedName>
    <definedName name="fixlj2000.dbf" localSheetId="18">#REF!</definedName>
    <definedName name="fixlj2000.dbf" localSheetId="15">#REF!</definedName>
    <definedName name="fixlj2000.dbf" localSheetId="16">#REF!</definedName>
    <definedName name="fixlj2000.dbf" localSheetId="14">#REF!</definedName>
    <definedName name="fixlj2000.dbf">#REF!</definedName>
    <definedName name="FORMAT" localSheetId="18">#REF!</definedName>
    <definedName name="FORMAT" localSheetId="15">#REF!</definedName>
    <definedName name="FORMAT" localSheetId="16">#REF!</definedName>
    <definedName name="FORMAT" localSheetId="14">#REF!</definedName>
    <definedName name="FORMAT">#REF!</definedName>
    <definedName name="frst" localSheetId="18">#REF!,#REF!</definedName>
    <definedName name="frst" localSheetId="15">#REF!,#REF!</definedName>
    <definedName name="frst" localSheetId="16">#REF!,#REF!</definedName>
    <definedName name="frst" localSheetId="14">#REF!,#REF!</definedName>
    <definedName name="frst">#REF!,#REF!</definedName>
    <definedName name="G503." localSheetId="18">#REF!</definedName>
    <definedName name="G503." localSheetId="15">#REF!</definedName>
    <definedName name="G503." localSheetId="16">#REF!</definedName>
    <definedName name="G503." localSheetId="14">#REF!</definedName>
    <definedName name="G503.">#REF!</definedName>
    <definedName name="GBP" localSheetId="18">#REF!</definedName>
    <definedName name="GBP" localSheetId="15">#REF!</definedName>
    <definedName name="GBP" localSheetId="16">#REF!</definedName>
    <definedName name="GBP" localSheetId="14">#REF!</definedName>
    <definedName name="GBP">#REF!</definedName>
    <definedName name="general" localSheetId="18" hidden="1">#REF!</definedName>
    <definedName name="general" localSheetId="15" hidden="1">#REF!</definedName>
    <definedName name="general" localSheetId="16" hidden="1">#REF!</definedName>
    <definedName name="general" localSheetId="14" hidden="1">#REF!</definedName>
    <definedName name="general" hidden="1">#REF!</definedName>
    <definedName name="GGG" localSheetId="18">#REF!</definedName>
    <definedName name="GGG" localSheetId="15">#REF!</definedName>
    <definedName name="GGG" localSheetId="16">#REF!</definedName>
    <definedName name="GGG" localSheetId="14">#REF!</definedName>
    <definedName name="GGG">#REF!</definedName>
    <definedName name="Goldmine" localSheetId="18">#REF!</definedName>
    <definedName name="Goldmine" localSheetId="15">#REF!</definedName>
    <definedName name="Goldmine" localSheetId="16">#REF!</definedName>
    <definedName name="Goldmine" localSheetId="14">#REF!</definedName>
    <definedName name="Goldmine">#REF!</definedName>
    <definedName name="GSEstAnnlNOI" localSheetId="18">#REF!</definedName>
    <definedName name="GSEstAnnlNOI" localSheetId="15">#REF!</definedName>
    <definedName name="GSEstAnnlNOI" localSheetId="16">#REF!</definedName>
    <definedName name="GSEstAnnlNOI" localSheetId="14">#REF!</definedName>
    <definedName name="GSEstAnnlNOI">#REF!</definedName>
    <definedName name="gush" localSheetId="18">#REF!</definedName>
    <definedName name="gush" localSheetId="15">#REF!</definedName>
    <definedName name="gush" localSheetId="16">#REF!</definedName>
    <definedName name="gush" localSheetId="14">#REF!</definedName>
    <definedName name="gush">#REF!</definedName>
    <definedName name="GWG_Out" localSheetId="18">#REF!</definedName>
    <definedName name="GWG_Out" localSheetId="15">#REF!</definedName>
    <definedName name="GWG_Out" localSheetId="16">#REF!</definedName>
    <definedName name="GWG_Out" localSheetId="14">#REF!</definedName>
    <definedName name="GWG_Out">#REF!</definedName>
    <definedName name="head" localSheetId="18">#REF!</definedName>
    <definedName name="head" localSheetId="15">#REF!</definedName>
    <definedName name="head" localSheetId="16">#REF!</definedName>
    <definedName name="head" localSheetId="14">#REF!</definedName>
    <definedName name="head">#REF!</definedName>
    <definedName name="HKD" localSheetId="18">#REF!</definedName>
    <definedName name="HKD" localSheetId="15">#REF!</definedName>
    <definedName name="HKD" localSheetId="16">#REF!</definedName>
    <definedName name="HKD" localSheetId="14">#REF!</definedName>
    <definedName name="HKD">#REF!</definedName>
    <definedName name="hu" localSheetId="18">#REF!</definedName>
    <definedName name="hu" localSheetId="15">#REF!</definedName>
    <definedName name="hu" localSheetId="16">#REF!</definedName>
    <definedName name="hu" localSheetId="14">#REF!</definedName>
    <definedName name="hu">#REF!</definedName>
    <definedName name="I" localSheetId="18">#REF!</definedName>
    <definedName name="I" localSheetId="15">#REF!</definedName>
    <definedName name="I" localSheetId="16">#REF!</definedName>
    <definedName name="I" localSheetId="14">#REF!</definedName>
    <definedName name="I">#REF!</definedName>
    <definedName name="IDR" localSheetId="18">#REF!</definedName>
    <definedName name="IDR" localSheetId="15">#REF!</definedName>
    <definedName name="IDR" localSheetId="16">#REF!</definedName>
    <definedName name="IDR" localSheetId="14">#REF!</definedName>
    <definedName name="IDR">#REF!</definedName>
    <definedName name="IFRS" localSheetId="18">#REF!</definedName>
    <definedName name="IFRS" localSheetId="15">#REF!</definedName>
    <definedName name="IFRS" localSheetId="16">#REF!</definedName>
    <definedName name="IFRS" localSheetId="14">#REF!</definedName>
    <definedName name="IFRS">#REF!</definedName>
    <definedName name="iiiii" localSheetId="18">#REF!</definedName>
    <definedName name="iiiii" localSheetId="15">#REF!</definedName>
    <definedName name="iiiii" localSheetId="16">#REF!</definedName>
    <definedName name="iiiii" localSheetId="14">#REF!</definedName>
    <definedName name="iiiii">#REF!</definedName>
    <definedName name="INPUT" localSheetId="18">#REF!</definedName>
    <definedName name="INPUT" localSheetId="15">#REF!</definedName>
    <definedName name="INPUT" localSheetId="16">#REF!</definedName>
    <definedName name="INPUT" localSheetId="14">#REF!</definedName>
    <definedName name="INPUT">#REF!</definedName>
    <definedName name="INPUTGRID" localSheetId="18">#REF!</definedName>
    <definedName name="INPUTGRID" localSheetId="15">#REF!</definedName>
    <definedName name="INPUTGRID" localSheetId="16">#REF!</definedName>
    <definedName name="INPUTGRID" localSheetId="14">#REF!</definedName>
    <definedName name="INPUTGRID">#REF!</definedName>
    <definedName name="ji" localSheetId="18">#REF!</definedName>
    <definedName name="ji" localSheetId="15">#REF!</definedName>
    <definedName name="ji" localSheetId="16">#REF!</definedName>
    <definedName name="ji" localSheetId="14">#REF!</definedName>
    <definedName name="ji">#REF!</definedName>
    <definedName name="jj">#REF!</definedName>
    <definedName name="jjj">#REF!</definedName>
    <definedName name="JL" localSheetId="18">#REF!</definedName>
    <definedName name="JL" localSheetId="15">#REF!</definedName>
    <definedName name="JL" localSheetId="16">#REF!</definedName>
    <definedName name="JL" localSheetId="14">#REF!</definedName>
    <definedName name="JL">#REF!</definedName>
    <definedName name="JPY" localSheetId="18">#REF!</definedName>
    <definedName name="JPY" localSheetId="15">#REF!</definedName>
    <definedName name="JPY" localSheetId="16">#REF!</definedName>
    <definedName name="JPY" localSheetId="14">#REF!</definedName>
    <definedName name="JPY">#REF!</definedName>
    <definedName name="k" localSheetId="13">#REF!</definedName>
    <definedName name="k">#REF!</definedName>
    <definedName name="ki" localSheetId="18">#REF!</definedName>
    <definedName name="ki" localSheetId="15">#REF!</definedName>
    <definedName name="ki" localSheetId="16">#REF!</definedName>
    <definedName name="ki" localSheetId="14">#REF!</definedName>
    <definedName name="ki">#REF!</definedName>
    <definedName name="kjl" localSheetId="18">#REF!</definedName>
    <definedName name="kjl" localSheetId="15">#REF!</definedName>
    <definedName name="kjl" localSheetId="16">#REF!</definedName>
    <definedName name="kjl" localSheetId="14">#REF!</definedName>
    <definedName name="kjl">#REF!</definedName>
    <definedName name="kk">#REF!</definedName>
    <definedName name="kkk" localSheetId="18">SUM(#REF!)</definedName>
    <definedName name="kkk" localSheetId="15">SUM(#REF!)</definedName>
    <definedName name="kkk" localSheetId="16">SUM(#REF!)</definedName>
    <definedName name="kkk" localSheetId="14">SUM(#REF!)</definedName>
    <definedName name="kkk" localSheetId="13">SUM(#REF!)</definedName>
    <definedName name="kkk">SUM(#REF!)</definedName>
    <definedName name="kl" localSheetId="13">#REF!</definedName>
    <definedName name="kl">#REF!</definedName>
    <definedName name="KMDM" localSheetId="18">#REF!</definedName>
    <definedName name="KMDM" localSheetId="15">#REF!</definedName>
    <definedName name="KMDM" localSheetId="16">#REF!</definedName>
    <definedName name="KMDM" localSheetId="14">#REF!</definedName>
    <definedName name="KMDM">#REF!</definedName>
    <definedName name="ko" localSheetId="18">#REF!</definedName>
    <definedName name="ko" localSheetId="15">#REF!</definedName>
    <definedName name="ko" localSheetId="16">#REF!</definedName>
    <definedName name="ko" localSheetId="14">#REF!</definedName>
    <definedName name="ko">#REF!</definedName>
    <definedName name="KPMG_2" localSheetId="18">#REF!</definedName>
    <definedName name="KPMG_2" localSheetId="15">#REF!</definedName>
    <definedName name="KPMG_2" localSheetId="16">#REF!</definedName>
    <definedName name="KPMG_2" localSheetId="14">#REF!</definedName>
    <definedName name="KPMG_2">#REF!</definedName>
    <definedName name="KRW" localSheetId="18">#REF!</definedName>
    <definedName name="KRW" localSheetId="15">#REF!</definedName>
    <definedName name="KRW" localSheetId="16">#REF!</definedName>
    <definedName name="KRW" localSheetId="14">#REF!</definedName>
    <definedName name="KRW">#REF!</definedName>
    <definedName name="l" localSheetId="18">#REF!</definedName>
    <definedName name="l" localSheetId="15">#REF!</definedName>
    <definedName name="l" localSheetId="16">#REF!</definedName>
    <definedName name="l" localSheetId="14">#REF!</definedName>
    <definedName name="l" localSheetId="13">#REF!</definedName>
    <definedName name="l">#REF!</definedName>
    <definedName name="lap" localSheetId="13">#REF!</definedName>
    <definedName name="lap">#REF!</definedName>
    <definedName name="LASTCOLUMNCELL" localSheetId="18">#REF!</definedName>
    <definedName name="LASTCOLUMNCELL" localSheetId="15">#REF!</definedName>
    <definedName name="LASTCOLUMNCELL" localSheetId="16">#REF!</definedName>
    <definedName name="LASTCOLUMNCELL" localSheetId="14">#REF!</definedName>
    <definedName name="LASTCOLUMNCELL">#REF!</definedName>
    <definedName name="lk">#REF!</definedName>
    <definedName name="ll" localSheetId="18">#REF!</definedName>
    <definedName name="ll" localSheetId="15">#REF!</definedName>
    <definedName name="ll" localSheetId="16">#REF!</definedName>
    <definedName name="ll" localSheetId="14">#REF!</definedName>
    <definedName name="ll">#REF!</definedName>
    <definedName name="lll">#REF!</definedName>
    <definedName name="Long_term_investment" localSheetId="18">#REF!</definedName>
    <definedName name="Long_term_investment" localSheetId="15">#REF!</definedName>
    <definedName name="Long_term_investment" localSheetId="16">#REF!</definedName>
    <definedName name="Long_term_investment" localSheetId="14">#REF!</definedName>
    <definedName name="Long_term_investment">#REF!</definedName>
    <definedName name="louban">#REF!</definedName>
    <definedName name="loupan">#REF!</definedName>
    <definedName name="lp" localSheetId="18">#REF!</definedName>
    <definedName name="lp" localSheetId="15">#REF!</definedName>
    <definedName name="lp" localSheetId="16">#REF!</definedName>
    <definedName name="lp" localSheetId="14">#REF!</definedName>
    <definedName name="lp">#REF!</definedName>
    <definedName name="m" localSheetId="18">#REF!</definedName>
    <definedName name="m" localSheetId="15">#REF!</definedName>
    <definedName name="m" localSheetId="16">#REF!</definedName>
    <definedName name="m" localSheetId="14">#REF!</definedName>
    <definedName name="m">#REF!</definedName>
    <definedName name="m_cwfy" localSheetId="18">#REF!</definedName>
    <definedName name="m_cwfy" localSheetId="15">#REF!</definedName>
    <definedName name="m_cwfy" localSheetId="16">#REF!</definedName>
    <definedName name="m_cwfy" localSheetId="14">#REF!</definedName>
    <definedName name="m_cwfy">#REF!</definedName>
    <definedName name="m_df" localSheetId="18">#REF!</definedName>
    <definedName name="m_df" localSheetId="15">#REF!</definedName>
    <definedName name="m_df" localSheetId="16">#REF!</definedName>
    <definedName name="m_df" localSheetId="14">#REF!</definedName>
    <definedName name="m_df">#REF!</definedName>
    <definedName name="m_glfy" localSheetId="18">#REF!</definedName>
    <definedName name="m_glfy" localSheetId="15">#REF!</definedName>
    <definedName name="m_glfy" localSheetId="16">#REF!</definedName>
    <definedName name="m_glfy" localSheetId="14">#REF!</definedName>
    <definedName name="m_glfy">#REF!</definedName>
    <definedName name="m_jf" localSheetId="18">#REF!</definedName>
    <definedName name="m_jf" localSheetId="15">#REF!</definedName>
    <definedName name="m_jf" localSheetId="16">#REF!</definedName>
    <definedName name="m_jf" localSheetId="14">#REF!</definedName>
    <definedName name="m_jf">#REF!</definedName>
    <definedName name="m_nbys" localSheetId="18">#REF!</definedName>
    <definedName name="m_nbys" localSheetId="15">#REF!</definedName>
    <definedName name="m_nbys" localSheetId="16">#REF!</definedName>
    <definedName name="m_nbys" localSheetId="14">#REF!</definedName>
    <definedName name="m_nbys">#REF!</definedName>
    <definedName name="m_qtyf" localSheetId="18">#REF!</definedName>
    <definedName name="m_qtyf" localSheetId="15">#REF!</definedName>
    <definedName name="m_qtyf" localSheetId="16">#REF!</definedName>
    <definedName name="m_qtyf" localSheetId="14">#REF!</definedName>
    <definedName name="m_qtyf">#REF!</definedName>
    <definedName name="m_qtys" localSheetId="18">#REF!</definedName>
    <definedName name="m_qtys" localSheetId="15">#REF!</definedName>
    <definedName name="m_qtys" localSheetId="16">#REF!</definedName>
    <definedName name="m_qtys" localSheetId="14">#REF!</definedName>
    <definedName name="m_qtys">#REF!</definedName>
    <definedName name="m_xj" localSheetId="18">#REF!</definedName>
    <definedName name="m_xj" localSheetId="15">#REF!</definedName>
    <definedName name="m_xj" localSheetId="16">#REF!</definedName>
    <definedName name="m_xj" localSheetId="14">#REF!</definedName>
    <definedName name="m_xj">#REF!</definedName>
    <definedName name="m_xsfy" localSheetId="18">#REF!</definedName>
    <definedName name="m_xsfy" localSheetId="15">#REF!</definedName>
    <definedName name="m_xsfy" localSheetId="16">#REF!</definedName>
    <definedName name="m_xsfy" localSheetId="14">#REF!</definedName>
    <definedName name="m_xsfy">#REF!</definedName>
    <definedName name="m_yfzk" localSheetId="18">#REF!</definedName>
    <definedName name="m_yfzk" localSheetId="15">#REF!</definedName>
    <definedName name="m_yfzk" localSheetId="16">#REF!</definedName>
    <definedName name="m_yfzk" localSheetId="14">#REF!</definedName>
    <definedName name="m_yfzk">#REF!</definedName>
    <definedName name="m_yhck" localSheetId="18">#REF!</definedName>
    <definedName name="m_yhck" localSheetId="15">#REF!</definedName>
    <definedName name="m_yhck" localSheetId="16">#REF!</definedName>
    <definedName name="m_yhck" localSheetId="14">#REF!</definedName>
    <definedName name="m_yhck">#REF!</definedName>
    <definedName name="m_yszk" localSheetId="18">#REF!</definedName>
    <definedName name="m_yszk" localSheetId="15">#REF!</definedName>
    <definedName name="m_yszk" localSheetId="16">#REF!</definedName>
    <definedName name="m_yszk" localSheetId="14">#REF!</definedName>
    <definedName name="m_yszk">#REF!</definedName>
    <definedName name="m_ytfy" localSheetId="18">#REF!</definedName>
    <definedName name="m_ytfy" localSheetId="15">#REF!</definedName>
    <definedName name="m_ytfy" localSheetId="16">#REF!</definedName>
    <definedName name="m_ytfy" localSheetId="14">#REF!</definedName>
    <definedName name="m_ytfy">#REF!</definedName>
    <definedName name="MANAGEMENT" localSheetId="18">#REF!</definedName>
    <definedName name="MANAGEMENT" localSheetId="15">#REF!</definedName>
    <definedName name="MANAGEMENT" localSheetId="16">#REF!</definedName>
    <definedName name="MANAGEMENT" localSheetId="14">#REF!</definedName>
    <definedName name="MANAGEMENT">#REF!</definedName>
    <definedName name="Mapping" localSheetId="18">#REF!</definedName>
    <definedName name="Mapping" localSheetId="15">#REF!</definedName>
    <definedName name="Mapping" localSheetId="16">#REF!</definedName>
    <definedName name="Mapping" localSheetId="14">#REF!</definedName>
    <definedName name="Mapping">#REF!</definedName>
    <definedName name="MEDIA" localSheetId="18">#REF!</definedName>
    <definedName name="MEDIA" localSheetId="15">#REF!</definedName>
    <definedName name="MEDIA" localSheetId="16">#REF!</definedName>
    <definedName name="MEDIA" localSheetId="14">#REF!</definedName>
    <definedName name="MEDIA">#REF!</definedName>
    <definedName name="mmm" localSheetId="18">#REF!</definedName>
    <definedName name="mmm" localSheetId="15">#REF!</definedName>
    <definedName name="mmm" localSheetId="16">#REF!</definedName>
    <definedName name="mmm" localSheetId="14">#REF!</definedName>
    <definedName name="mmm">#REF!</definedName>
    <definedName name="mn" localSheetId="18">#REF!</definedName>
    <definedName name="mn" localSheetId="15">#REF!</definedName>
    <definedName name="mn" localSheetId="16">#REF!</definedName>
    <definedName name="mn" localSheetId="14">#REF!</definedName>
    <definedName name="mn">#REF!</definedName>
    <definedName name="Months" localSheetId="18">#REF!</definedName>
    <definedName name="Months" localSheetId="15">#REF!</definedName>
    <definedName name="Months" localSheetId="16">#REF!</definedName>
    <definedName name="Months" localSheetId="14">#REF!</definedName>
    <definedName name="Months">#REF!</definedName>
    <definedName name="MOP" localSheetId="18">#REF!</definedName>
    <definedName name="MOP" localSheetId="15">#REF!</definedName>
    <definedName name="MOP" localSheetId="16">#REF!</definedName>
    <definedName name="MOP" localSheetId="14">#REF!</definedName>
    <definedName name="MOP">#REF!</definedName>
    <definedName name="MYR" localSheetId="18">#REF!</definedName>
    <definedName name="MYR" localSheetId="15">#REF!</definedName>
    <definedName name="MYR" localSheetId="16">#REF!</definedName>
    <definedName name="MYR" localSheetId="14">#REF!</definedName>
    <definedName name="MYR">#REF!</definedName>
    <definedName name="MyRange2" localSheetId="13">#REF!</definedName>
    <definedName name="MyRange2">#REF!</definedName>
    <definedName name="MyRange3" localSheetId="13">#REF!</definedName>
    <definedName name="MyRange3">#REF!</definedName>
    <definedName name="n" localSheetId="18">#REF!</definedName>
    <definedName name="n" localSheetId="15">#REF!</definedName>
    <definedName name="n" localSheetId="16">#REF!</definedName>
    <definedName name="n" localSheetId="14">#REF!</definedName>
    <definedName name="n">#REF!</definedName>
    <definedName name="nm" localSheetId="18">#REF!</definedName>
    <definedName name="nm" localSheetId="15">#REF!</definedName>
    <definedName name="nm" localSheetId="16">#REF!</definedName>
    <definedName name="nm" localSheetId="14">#REF!</definedName>
    <definedName name="nm">#REF!</definedName>
    <definedName name="no">#REF!</definedName>
    <definedName name="note3" localSheetId="18">#REF!,#REF!</definedName>
    <definedName name="note3" localSheetId="15">#REF!,#REF!</definedName>
    <definedName name="note3" localSheetId="16">#REF!,#REF!</definedName>
    <definedName name="note3" localSheetId="14">#REF!,#REF!</definedName>
    <definedName name="note3">#REF!,#REF!</definedName>
    <definedName name="note4" localSheetId="18">#REF!</definedName>
    <definedName name="note4" localSheetId="15">#REF!</definedName>
    <definedName name="note4" localSheetId="16">#REF!</definedName>
    <definedName name="note4" localSheetId="14">#REF!</definedName>
    <definedName name="note4">#REF!</definedName>
    <definedName name="NUM_DOCS" localSheetId="18">#REF!</definedName>
    <definedName name="NUM_DOCS" localSheetId="15">#REF!</definedName>
    <definedName name="NUM_DOCS" localSheetId="16">#REF!</definedName>
    <definedName name="NUM_DOCS" localSheetId="14">#REF!</definedName>
    <definedName name="NUM_DOCS">#REF!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NZD" localSheetId="18">#REF!</definedName>
    <definedName name="NZD" localSheetId="15">#REF!</definedName>
    <definedName name="NZD" localSheetId="16">#REF!</definedName>
    <definedName name="NZD" localSheetId="14">#REF!</definedName>
    <definedName name="NZD">#REF!</definedName>
    <definedName name="OP" localSheetId="13">#REF!</definedName>
    <definedName name="OP">#REF!</definedName>
    <definedName name="Other_assets" localSheetId="18">#REF!</definedName>
    <definedName name="Other_assets" localSheetId="15">#REF!</definedName>
    <definedName name="Other_assets" localSheetId="16">#REF!</definedName>
    <definedName name="Other_assets" localSheetId="14">#REF!</definedName>
    <definedName name="Other_assets">#REF!</definedName>
    <definedName name="owners_equity" localSheetId="18">#REF!</definedName>
    <definedName name="owners_equity" localSheetId="15">#REF!</definedName>
    <definedName name="owners_equity" localSheetId="16">#REF!</definedName>
    <definedName name="owners_equity" localSheetId="14">#REF!</definedName>
    <definedName name="owners_equity">#REF!</definedName>
    <definedName name="P_AMOUNT" localSheetId="18">#REF!</definedName>
    <definedName name="P_AMOUNT" localSheetId="15">#REF!</definedName>
    <definedName name="P_AMOUNT" localSheetId="16">#REF!</definedName>
    <definedName name="P_AMOUNT" localSheetId="14">#REF!</definedName>
    <definedName name="P_AMOUNT">#REF!</definedName>
    <definedName name="P_COMMENT" localSheetId="18">#REF!</definedName>
    <definedName name="P_COMMENT" localSheetId="15">#REF!</definedName>
    <definedName name="P_COMMENT" localSheetId="16">#REF!</definedName>
    <definedName name="P_COMMENT" localSheetId="14">#REF!</definedName>
    <definedName name="P_COMMENT">#REF!</definedName>
    <definedName name="Package" localSheetId="18">#REF!</definedName>
    <definedName name="Package" localSheetId="15">#REF!</definedName>
    <definedName name="Package" localSheetId="16">#REF!</definedName>
    <definedName name="Package" localSheetId="14">#REF!</definedName>
    <definedName name="Package">#REF!</definedName>
    <definedName name="Part_Out" localSheetId="18">#REF!</definedName>
    <definedName name="Part_Out" localSheetId="15">#REF!</definedName>
    <definedName name="Part_Out" localSheetId="16">#REF!</definedName>
    <definedName name="Part_Out" localSheetId="14">#REF!</definedName>
    <definedName name="Part_Out">#REF!</definedName>
    <definedName name="part2" localSheetId="18">#REF!</definedName>
    <definedName name="part2" localSheetId="15">#REF!</definedName>
    <definedName name="part2" localSheetId="16">#REF!</definedName>
    <definedName name="part2" localSheetId="14">#REF!</definedName>
    <definedName name="part2">#REF!</definedName>
    <definedName name="PARTNERS_INITIALS" localSheetId="18">#REF!</definedName>
    <definedName name="PARTNERS_INITIALS" localSheetId="15">#REF!</definedName>
    <definedName name="PARTNERS_INITIALS" localSheetId="16">#REF!</definedName>
    <definedName name="PARTNERS_INITIALS" localSheetId="14">#REF!</definedName>
    <definedName name="PARTNERS_INITIALS">#REF!</definedName>
    <definedName name="parts" localSheetId="18">#REF!</definedName>
    <definedName name="parts" localSheetId="15">#REF!</definedName>
    <definedName name="parts" localSheetId="16">#REF!</definedName>
    <definedName name="parts" localSheetId="14">#REF!</definedName>
    <definedName name="parts">#REF!</definedName>
    <definedName name="payment查詢" localSheetId="18">#REF!</definedName>
    <definedName name="payment查詢" localSheetId="15">#REF!</definedName>
    <definedName name="payment查詢" localSheetId="16">#REF!</definedName>
    <definedName name="payment查詢" localSheetId="14">#REF!</definedName>
    <definedName name="payment查詢">#REF!</definedName>
    <definedName name="period">OFFSET(#REF!,#REF!,0,10,1)</definedName>
    <definedName name="PG_3" localSheetId="18">#REF!</definedName>
    <definedName name="PG_3" localSheetId="15">#REF!</definedName>
    <definedName name="PG_3" localSheetId="16">#REF!</definedName>
    <definedName name="PG_3" localSheetId="14">#REF!</definedName>
    <definedName name="PG_3">#REF!</definedName>
    <definedName name="PHP" localSheetId="18">#REF!</definedName>
    <definedName name="PHP" localSheetId="15">#REF!</definedName>
    <definedName name="PHP" localSheetId="16">#REF!</definedName>
    <definedName name="PHP" localSheetId="14">#REF!</definedName>
    <definedName name="PHP">#REF!</definedName>
    <definedName name="pi" localSheetId="18">#REF!</definedName>
    <definedName name="pi" localSheetId="15">#REF!</definedName>
    <definedName name="pi" localSheetId="16">#REF!</definedName>
    <definedName name="pi" localSheetId="14">#REF!</definedName>
    <definedName name="pi">#REF!</definedName>
    <definedName name="PL_6" localSheetId="18">#REF!</definedName>
    <definedName name="PL_6" localSheetId="15">#REF!</definedName>
    <definedName name="PL_6" localSheetId="16">#REF!</definedName>
    <definedName name="PL_6" localSheetId="14">#REF!</definedName>
    <definedName name="PL_6">#REF!</definedName>
    <definedName name="PL_V1" localSheetId="18">#REF!</definedName>
    <definedName name="PL_V1" localSheetId="15">#REF!</definedName>
    <definedName name="PL_V1" localSheetId="16">#REF!</definedName>
    <definedName name="PL_V1" localSheetId="14">#REF!</definedName>
    <definedName name="PL_V1">#REF!</definedName>
    <definedName name="PL_V3" localSheetId="18">#REF!</definedName>
    <definedName name="PL_V3" localSheetId="15">#REF!</definedName>
    <definedName name="PL_V3" localSheetId="16">#REF!</definedName>
    <definedName name="PL_V3" localSheetId="14">#REF!</definedName>
    <definedName name="PL_V3">#REF!</definedName>
    <definedName name="pppppppppppppp" localSheetId="18">#REF!</definedName>
    <definedName name="pppppppppppppp" localSheetId="15">#REF!</definedName>
    <definedName name="pppppppppppppp" localSheetId="16">#REF!</definedName>
    <definedName name="pppppppppppppp" localSheetId="14">#REF!</definedName>
    <definedName name="pppppppppppppp">#REF!</definedName>
    <definedName name="PRCGAAP" localSheetId="18">#REF!</definedName>
    <definedName name="PRCGAAP" localSheetId="15">#REF!</definedName>
    <definedName name="PRCGAAP" localSheetId="16">#REF!</definedName>
    <definedName name="PRCGAAP" localSheetId="14">#REF!</definedName>
    <definedName name="PRCGAAP">#REF!</definedName>
    <definedName name="prh" localSheetId="18">#REF!</definedName>
    <definedName name="prh" localSheetId="15">#REF!</definedName>
    <definedName name="prh" localSheetId="16">#REF!</definedName>
    <definedName name="prh" localSheetId="14">#REF!</definedName>
    <definedName name="prh">#REF!</definedName>
    <definedName name="Print_63Titles" localSheetId="18">#REF!</definedName>
    <definedName name="Print_63Titles" localSheetId="15">#REF!</definedName>
    <definedName name="Print_63Titles" localSheetId="16">#REF!</definedName>
    <definedName name="Print_63Titles" localSheetId="14">#REF!</definedName>
    <definedName name="Print_63Titles">#REF!</definedName>
    <definedName name="Print_659Titles" localSheetId="18">#REF!</definedName>
    <definedName name="Print_659Titles" localSheetId="15">#REF!</definedName>
    <definedName name="Print_659Titles" localSheetId="16">#REF!</definedName>
    <definedName name="Print_659Titles" localSheetId="14">#REF!</definedName>
    <definedName name="Print_659Titles">#REF!</definedName>
    <definedName name="_xlnm.Print_Area" localSheetId="1">'00 成本测算关注点'!$A$1:$G$101</definedName>
    <definedName name="_xlnm.Print_Area" localSheetId="17">电梯!$A$1:$T$5</definedName>
    <definedName name="_xlnm.Print_Area" localSheetId="20">#REF!</definedName>
    <definedName name="_xlnm.Print_Area" localSheetId="18">#REF!</definedName>
    <definedName name="_xlnm.Print_Area" localSheetId="15">土方!$A$1:$L$15</definedName>
    <definedName name="_xlnm.Print_Area" localSheetId="16">支护!$A$1:$P$22</definedName>
    <definedName name="_xlnm.Print_Area" localSheetId="14">桩基!$A$1:$N$27</definedName>
    <definedName name="_xlnm.Print_Area" localSheetId="13">桩基单价!$A$1:$O$40</definedName>
    <definedName name="_xlnm.Print_Area">#REF!</definedName>
    <definedName name="Print_Area_MI" localSheetId="18">#REF!</definedName>
    <definedName name="Print_Area_MI" localSheetId="15">#REF!</definedName>
    <definedName name="Print_Area_MI" localSheetId="16">#REF!</definedName>
    <definedName name="Print_Area_MI" localSheetId="14">#REF!</definedName>
    <definedName name="Print_Area_MI">#REF!</definedName>
    <definedName name="_xlnm.Print_Titles" localSheetId="1">'00 成本测算关注点'!$1:$4</definedName>
    <definedName name="_xlnm.Print_Titles" localSheetId="2">'01 商业总则'!$1:$4</definedName>
    <definedName name="_xlnm.Print_Titles" localSheetId="3">'02 项目基础信息（输入）'!$1:$4</definedName>
    <definedName name="_xlnm.Print_Titles" localSheetId="4">'03 成本测算（输入）'!$1:$4</definedName>
    <definedName name="_xlnm.Print_Titles" localSheetId="5">'04 目标成本控制表'!$1:$4</definedName>
    <definedName name="_xlnm.Print_Titles" localSheetId="6">'05 成本测算明细'!$1:$4</definedName>
    <definedName name="_xlnm.Print_Titles" localSheetId="7">'06 分析汇报表（住宅）'!$1:$4</definedName>
    <definedName name="_xlnm.Print_Titles" localSheetId="21">'07 大数据沉淀（住宅）'!$1:$4</definedName>
    <definedName name="_xlnm.Print_Titles" localSheetId="22">'08分析报表（商业）'!$1:$4</definedName>
    <definedName name="_xlnm.Print_Titles" localSheetId="23">'09大数据沉淀（商业）'!$1:$4</definedName>
    <definedName name="_xlnm.Print_Titles" localSheetId="20">#REF!,#REF!</definedName>
    <definedName name="_xlnm.Print_Titles" localSheetId="15">土方!$1:$1</definedName>
    <definedName name="_xlnm.Print_Titles" localSheetId="16">支护!$1:$1</definedName>
    <definedName name="_xlnm.Print_Titles" localSheetId="14">桩基!$1:$1</definedName>
    <definedName name="_xlnm.Print_Titles">#REF!,#REF!</definedName>
    <definedName name="Print_Titles_MI" localSheetId="18">#REF!</definedName>
    <definedName name="Print_Titles_MI" localSheetId="15">#REF!</definedName>
    <definedName name="Print_Titles_MI" localSheetId="16">#REF!</definedName>
    <definedName name="Print_Titles_MI" localSheetId="14">#REF!</definedName>
    <definedName name="Print_Titles_MI">#REF!</definedName>
    <definedName name="prior">0</definedName>
    <definedName name="Purchase_In" localSheetId="18">#REF!</definedName>
    <definedName name="Purchase_In" localSheetId="15">#REF!</definedName>
    <definedName name="Purchase_In" localSheetId="16">#REF!</definedName>
    <definedName name="Purchase_In" localSheetId="14">#REF!</definedName>
    <definedName name="Purchase_In">#REF!</definedName>
    <definedName name="Purchase_In_1999" localSheetId="18">#REF!</definedName>
    <definedName name="Purchase_In_1999" localSheetId="15">#REF!</definedName>
    <definedName name="Purchase_In_1999" localSheetId="16">#REF!</definedName>
    <definedName name="Purchase_In_1999" localSheetId="14">#REF!</definedName>
    <definedName name="Purchase_In_1999">#REF!</definedName>
    <definedName name="pzh" localSheetId="18">#REF!</definedName>
    <definedName name="pzh" localSheetId="15">#REF!</definedName>
    <definedName name="pzh" localSheetId="16">#REF!</definedName>
    <definedName name="pzh" localSheetId="14">#REF!</definedName>
    <definedName name="pzh">#REF!</definedName>
    <definedName name="pzr" localSheetId="18">#REF!</definedName>
    <definedName name="pzr" localSheetId="15">#REF!</definedName>
    <definedName name="pzr" localSheetId="16">#REF!</definedName>
    <definedName name="pzr" localSheetId="14">#REF!</definedName>
    <definedName name="pzr">#REF!</definedName>
    <definedName name="q" localSheetId="18">#REF!</definedName>
    <definedName name="q" localSheetId="15">#REF!</definedName>
    <definedName name="q" localSheetId="16">#REF!</definedName>
    <definedName name="q" localSheetId="14">#REF!</definedName>
    <definedName name="q">#REF!</definedName>
    <definedName name="qqqqq" localSheetId="18">#REF!</definedName>
    <definedName name="qqqqq" localSheetId="15">#REF!</definedName>
    <definedName name="qqqqq" localSheetId="16">#REF!</definedName>
    <definedName name="qqqqq" localSheetId="14">#REF!</definedName>
    <definedName name="qqqqq">#REF!</definedName>
    <definedName name="qw" localSheetId="18">#REF!</definedName>
    <definedName name="qw" localSheetId="15">#REF!</definedName>
    <definedName name="qw" localSheetId="16">#REF!</definedName>
    <definedName name="qw" localSheetId="14">#REF!</definedName>
    <definedName name="qw">#REF!</definedName>
    <definedName name="REM" localSheetId="18">#REF!</definedName>
    <definedName name="REM" localSheetId="15">#REF!</definedName>
    <definedName name="REM" localSheetId="16">#REF!</definedName>
    <definedName name="REM" localSheetId="14">#REF!</definedName>
    <definedName name="REM">#REF!</definedName>
    <definedName name="reur" localSheetId="18">#REF!</definedName>
    <definedName name="reur" localSheetId="15">#REF!</definedName>
    <definedName name="reur" localSheetId="16">#REF!</definedName>
    <definedName name="reur" localSheetId="14">#REF!</definedName>
    <definedName name="reur">#REF!</definedName>
    <definedName name="RMB余额" localSheetId="18">#REF!</definedName>
    <definedName name="RMB余额" localSheetId="15">#REF!</definedName>
    <definedName name="RMB余额" localSheetId="16">#REF!</definedName>
    <definedName name="RMB余额" localSheetId="14">#REF!</definedName>
    <definedName name="RMB余额">#REF!</definedName>
    <definedName name="RMCOptions">"*010000000000000"</definedName>
    <definedName name="round">1</definedName>
    <definedName name="rr" localSheetId="18">#REF!</definedName>
    <definedName name="rr" localSheetId="15">#REF!</definedName>
    <definedName name="rr" localSheetId="16">#REF!</definedName>
    <definedName name="rr" localSheetId="14">#REF!</definedName>
    <definedName name="rr">#REF!</definedName>
    <definedName name="rtrrt">#N/A</definedName>
    <definedName name="sadfd" localSheetId="18">#REF!</definedName>
    <definedName name="sadfd" localSheetId="15">#REF!</definedName>
    <definedName name="sadfd" localSheetId="16">#REF!</definedName>
    <definedName name="sadfd" localSheetId="14">#REF!</definedName>
    <definedName name="sadfd">#REF!</definedName>
    <definedName name="SAMPLE" localSheetId="18">#REF!</definedName>
    <definedName name="SAMPLE" localSheetId="15">#REF!</definedName>
    <definedName name="SAMPLE" localSheetId="16">#REF!</definedName>
    <definedName name="SAMPLE" localSheetId="14">#REF!</definedName>
    <definedName name="SAMPLE">#REF!</definedName>
    <definedName name="SAPBEXrevision" hidden="1">1</definedName>
    <definedName name="SAPBEXsysID" hidden="1">"PE4"</definedName>
    <definedName name="SAPBEXwbID" hidden="1">"3Q4R7W3VD66V3CXTGQHGIRCBE"</definedName>
    <definedName name="sd" localSheetId="18">#REF!</definedName>
    <definedName name="sd" localSheetId="15">#REF!</definedName>
    <definedName name="sd" localSheetId="16">#REF!</definedName>
    <definedName name="sd" localSheetId="14">#REF!</definedName>
    <definedName name="sd">#REF!</definedName>
    <definedName name="SGD" localSheetId="18">#REF!</definedName>
    <definedName name="SGD" localSheetId="15">#REF!</definedName>
    <definedName name="SGD" localSheetId="16">#REF!</definedName>
    <definedName name="SGD" localSheetId="14">#REF!</definedName>
    <definedName name="SGD">#REF!</definedName>
    <definedName name="sgffg" localSheetId="13">#REF!</definedName>
    <definedName name="sgffg">#REF!</definedName>
    <definedName name="sh" localSheetId="18">#REF!</definedName>
    <definedName name="sh" localSheetId="15">#REF!</definedName>
    <definedName name="sh" localSheetId="16">#REF!</definedName>
    <definedName name="sh" localSheetId="14">#REF!</definedName>
    <definedName name="sh">#REF!</definedName>
    <definedName name="Sheet1" localSheetId="18">#REF!</definedName>
    <definedName name="Sheet1" localSheetId="15">#REF!</definedName>
    <definedName name="Sheet1" localSheetId="16">#REF!</definedName>
    <definedName name="Sheet1" localSheetId="14">#REF!</definedName>
    <definedName name="Sheet1">#REF!</definedName>
    <definedName name="Sheet1___0" localSheetId="18">#REF!</definedName>
    <definedName name="Sheet1___0" localSheetId="15">#REF!</definedName>
    <definedName name="Sheet1___0" localSheetId="16">#REF!</definedName>
    <definedName name="Sheet1___0" localSheetId="14">#REF!</definedName>
    <definedName name="Sheet1___0">#REF!</definedName>
    <definedName name="sheet11" localSheetId="18">#REF!</definedName>
    <definedName name="sheet11" localSheetId="15">#REF!</definedName>
    <definedName name="sheet11" localSheetId="16">#REF!</definedName>
    <definedName name="sheet11" localSheetId="14">#REF!</definedName>
    <definedName name="sheet11">#REF!</definedName>
    <definedName name="Sheet3" localSheetId="18">#REF!</definedName>
    <definedName name="Sheet3" localSheetId="15">#REF!</definedName>
    <definedName name="Sheet3" localSheetId="16">#REF!</definedName>
    <definedName name="Sheet3" localSheetId="14">#REF!</definedName>
    <definedName name="Sheet3">#REF!</definedName>
    <definedName name="Short_term\" localSheetId="18">#REF!</definedName>
    <definedName name="Short_term\" localSheetId="15">#REF!</definedName>
    <definedName name="Short_term\" localSheetId="16">#REF!</definedName>
    <definedName name="Short_term\" localSheetId="14">#REF!</definedName>
    <definedName name="Short_term\">#REF!</definedName>
    <definedName name="Short_term_liability" localSheetId="18">#REF!</definedName>
    <definedName name="Short_term_liability" localSheetId="15">#REF!</definedName>
    <definedName name="Short_term_liability" localSheetId="16">#REF!</definedName>
    <definedName name="Short_term_liability" localSheetId="14">#REF!</definedName>
    <definedName name="Short_term_liability">#REF!</definedName>
    <definedName name="shuijingjifujia.dbf" localSheetId="18">#REF!</definedName>
    <definedName name="shuijingjifujia.dbf" localSheetId="15">#REF!</definedName>
    <definedName name="shuijingjifujia.dbf" localSheetId="16">#REF!</definedName>
    <definedName name="shuijingjifujia.dbf" localSheetId="14">#REF!</definedName>
    <definedName name="shuijingjifujia.dbf">#REF!</definedName>
    <definedName name="skfhg" localSheetId="18">#REF!</definedName>
    <definedName name="skfhg" localSheetId="15">#REF!</definedName>
    <definedName name="skfhg" localSheetId="16">#REF!</definedName>
    <definedName name="skfhg" localSheetId="14">#REF!</definedName>
    <definedName name="skfhg">#REF!</definedName>
    <definedName name="ss" localSheetId="18">#REF!</definedName>
    <definedName name="ss" localSheetId="15">#REF!</definedName>
    <definedName name="ss" localSheetId="16">#REF!</definedName>
    <definedName name="ss" localSheetId="14">#REF!</definedName>
    <definedName name="ss">#REF!</definedName>
    <definedName name="sss" localSheetId="18">#REF!</definedName>
    <definedName name="sss" localSheetId="15">#REF!</definedName>
    <definedName name="sss" localSheetId="16">#REF!</definedName>
    <definedName name="sss" localSheetId="14">#REF!</definedName>
    <definedName name="SSS" localSheetId="13">#REF!</definedName>
    <definedName name="sss">#REF!</definedName>
    <definedName name="status" localSheetId="18">#REF!</definedName>
    <definedName name="status" localSheetId="15">#REF!</definedName>
    <definedName name="status" localSheetId="16">#REF!</definedName>
    <definedName name="status" localSheetId="14">#REF!</definedName>
    <definedName name="status">#REF!</definedName>
    <definedName name="Stockpro" localSheetId="18">#REF!</definedName>
    <definedName name="Stockpro" localSheetId="15">#REF!</definedName>
    <definedName name="Stockpro" localSheetId="16">#REF!</definedName>
    <definedName name="Stockpro" localSheetId="14">#REF!</definedName>
    <definedName name="Stockpro">#REF!</definedName>
    <definedName name="STUDIO" localSheetId="18">#REF!</definedName>
    <definedName name="STUDIO" localSheetId="15">#REF!</definedName>
    <definedName name="STUDIO" localSheetId="16">#REF!</definedName>
    <definedName name="STUDIO" localSheetId="14">#REF!</definedName>
    <definedName name="STUDIO">#REF!</definedName>
    <definedName name="szh" localSheetId="18">#REF!</definedName>
    <definedName name="szh" localSheetId="15">#REF!</definedName>
    <definedName name="szh" localSheetId="16">#REF!</definedName>
    <definedName name="szh" localSheetId="14">#REF!</definedName>
    <definedName name="szh">#REF!</definedName>
    <definedName name="szr" localSheetId="18">#REF!</definedName>
    <definedName name="szr" localSheetId="15">#REF!</definedName>
    <definedName name="szr" localSheetId="16">#REF!</definedName>
    <definedName name="szr" localSheetId="14">#REF!</definedName>
    <definedName name="szr">#REF!</definedName>
    <definedName name="T_Borr" localSheetId="18">#REF!</definedName>
    <definedName name="T_Borr" localSheetId="15">#REF!</definedName>
    <definedName name="T_Borr" localSheetId="16">#REF!</definedName>
    <definedName name="T_Borr" localSheetId="14">#REF!</definedName>
    <definedName name="T_Borr">#REF!</definedName>
    <definedName name="T_Pay" localSheetId="18">#REF!</definedName>
    <definedName name="T_Pay" localSheetId="15">#REF!</definedName>
    <definedName name="T_Pay" localSheetId="16">#REF!</definedName>
    <definedName name="T_Pay" localSheetId="14">#REF!</definedName>
    <definedName name="T_Pay">#REF!</definedName>
    <definedName name="T3_10_6P" localSheetId="18">#REF!</definedName>
    <definedName name="T3_10_6P" localSheetId="15">#REF!</definedName>
    <definedName name="T3_10_6P" localSheetId="16">#REF!</definedName>
    <definedName name="T3_10_6P" localSheetId="14">#REF!</definedName>
    <definedName name="T3_10_6P">#REF!</definedName>
    <definedName name="T3_10_6T" localSheetId="18">#REF!</definedName>
    <definedName name="T3_10_6T" localSheetId="15">#REF!</definedName>
    <definedName name="T3_10_6T" localSheetId="16">#REF!</definedName>
    <definedName name="T3_10_6T" localSheetId="14">#REF!</definedName>
    <definedName name="T3_10_6T">#REF!</definedName>
    <definedName name="T3_10_6Z" localSheetId="18">#REF!</definedName>
    <definedName name="T3_10_6Z" localSheetId="15">#REF!</definedName>
    <definedName name="T3_10_6Z" localSheetId="16">#REF!</definedName>
    <definedName name="T3_10_6Z" localSheetId="14">#REF!</definedName>
    <definedName name="T3_10_6Z">#REF!</definedName>
    <definedName name="T3_9P" localSheetId="18">#REF!</definedName>
    <definedName name="T3_9P" localSheetId="15">#REF!</definedName>
    <definedName name="T3_9P" localSheetId="16">#REF!</definedName>
    <definedName name="T3_9P" localSheetId="14">#REF!</definedName>
    <definedName name="T3_9P">#REF!</definedName>
    <definedName name="T3_9T" localSheetId="18">#REF!</definedName>
    <definedName name="T3_9T" localSheetId="15">#REF!</definedName>
    <definedName name="T3_9T" localSheetId="16">#REF!</definedName>
    <definedName name="T3_9T" localSheetId="14">#REF!</definedName>
    <definedName name="T3_9T">#REF!</definedName>
    <definedName name="T3_9Z" localSheetId="18">#REF!</definedName>
    <definedName name="T3_9Z" localSheetId="15">#REF!</definedName>
    <definedName name="T3_9Z" localSheetId="16">#REF!</definedName>
    <definedName name="T3_9Z" localSheetId="14">#REF!</definedName>
    <definedName name="T3_9Z">#REF!</definedName>
    <definedName name="T5_1_1PJ" localSheetId="18">#REF!</definedName>
    <definedName name="T5_1_1PJ" localSheetId="15">#REF!</definedName>
    <definedName name="T5_1_1PJ" localSheetId="16">#REF!</definedName>
    <definedName name="T5_1_1PJ" localSheetId="14">#REF!</definedName>
    <definedName name="T5_1_1PJ">#REF!</definedName>
    <definedName name="T5_1_1PY" localSheetId="18">#REF!</definedName>
    <definedName name="T5_1_1PY" localSheetId="15">#REF!</definedName>
    <definedName name="T5_1_1PY" localSheetId="16">#REF!</definedName>
    <definedName name="T5_1_1PY" localSheetId="14">#REF!</definedName>
    <definedName name="T5_1_1PY">#REF!</definedName>
    <definedName name="T5_1_1TJ" localSheetId="18">#REF!</definedName>
    <definedName name="T5_1_1TJ" localSheetId="15">#REF!</definedName>
    <definedName name="T5_1_1TJ" localSheetId="16">#REF!</definedName>
    <definedName name="T5_1_1TJ" localSheetId="14">#REF!</definedName>
    <definedName name="T5_1_1TJ">#REF!</definedName>
    <definedName name="T5_1_1TY" localSheetId="18">#REF!</definedName>
    <definedName name="T5_1_1TY" localSheetId="15">#REF!</definedName>
    <definedName name="T5_1_1TY" localSheetId="16">#REF!</definedName>
    <definedName name="T5_1_1TY" localSheetId="14">#REF!</definedName>
    <definedName name="T5_1_1TY">#REF!</definedName>
    <definedName name="T5_1_1ZJ" localSheetId="18">#REF!</definedName>
    <definedName name="T5_1_1ZJ" localSheetId="15">#REF!</definedName>
    <definedName name="T5_1_1ZJ" localSheetId="16">#REF!</definedName>
    <definedName name="T5_1_1ZJ" localSheetId="14">#REF!</definedName>
    <definedName name="T5_1_1ZJ">#REF!</definedName>
    <definedName name="T5_1_1ZY" localSheetId="18">#REF!</definedName>
    <definedName name="T5_1_1ZY" localSheetId="15">#REF!</definedName>
    <definedName name="T5_1_1ZY" localSheetId="16">#REF!</definedName>
    <definedName name="T5_1_1ZY" localSheetId="14">#REF!</definedName>
    <definedName name="T5_1_1ZY">#REF!</definedName>
    <definedName name="T5_1_2PJ" localSheetId="18">#REF!</definedName>
    <definedName name="T5_1_2PJ" localSheetId="15">#REF!</definedName>
    <definedName name="T5_1_2PJ" localSheetId="16">#REF!</definedName>
    <definedName name="T5_1_2PJ" localSheetId="14">#REF!</definedName>
    <definedName name="T5_1_2PJ">#REF!</definedName>
    <definedName name="T5_1_2PY" localSheetId="18">#REF!</definedName>
    <definedName name="T5_1_2PY" localSheetId="15">#REF!</definedName>
    <definedName name="T5_1_2PY" localSheetId="16">#REF!</definedName>
    <definedName name="T5_1_2PY" localSheetId="14">#REF!</definedName>
    <definedName name="T5_1_2PY">#REF!</definedName>
    <definedName name="T5_1_2TJ" localSheetId="18">#REF!</definedName>
    <definedName name="T5_1_2TJ" localSheetId="15">#REF!</definedName>
    <definedName name="T5_1_2TJ" localSheetId="16">#REF!</definedName>
    <definedName name="T5_1_2TJ" localSheetId="14">#REF!</definedName>
    <definedName name="T5_1_2TJ">#REF!</definedName>
    <definedName name="T5_1_2TY" localSheetId="18">#REF!</definedName>
    <definedName name="T5_1_2TY" localSheetId="15">#REF!</definedName>
    <definedName name="T5_1_2TY" localSheetId="16">#REF!</definedName>
    <definedName name="T5_1_2TY" localSheetId="14">#REF!</definedName>
    <definedName name="T5_1_2TY">#REF!</definedName>
    <definedName name="T5_1_2ZJ" localSheetId="18">#REF!</definedName>
    <definedName name="T5_1_2ZJ" localSheetId="15">#REF!</definedName>
    <definedName name="T5_1_2ZJ" localSheetId="16">#REF!</definedName>
    <definedName name="T5_1_2ZJ" localSheetId="14">#REF!</definedName>
    <definedName name="T5_1_2ZJ">#REF!</definedName>
    <definedName name="T5_1_2ZY" localSheetId="18">#REF!</definedName>
    <definedName name="T5_1_2ZY" localSheetId="15">#REF!</definedName>
    <definedName name="T5_1_2ZY" localSheetId="16">#REF!</definedName>
    <definedName name="T5_1_2ZY" localSheetId="14">#REF!</definedName>
    <definedName name="T5_1_2ZY">#REF!</definedName>
    <definedName name="T5_2_1PJ" localSheetId="18">#REF!</definedName>
    <definedName name="T5_2_1PJ" localSheetId="15">#REF!</definedName>
    <definedName name="T5_2_1PJ" localSheetId="16">#REF!</definedName>
    <definedName name="T5_2_1PJ" localSheetId="14">#REF!</definedName>
    <definedName name="T5_2_1PJ">#REF!</definedName>
    <definedName name="T5_2_1PY" localSheetId="18">#REF!</definedName>
    <definedName name="T5_2_1PY" localSheetId="15">#REF!</definedName>
    <definedName name="T5_2_1PY" localSheetId="16">#REF!</definedName>
    <definedName name="T5_2_1PY" localSheetId="14">#REF!</definedName>
    <definedName name="T5_2_1PY">#REF!</definedName>
    <definedName name="T5_2_1TJ" localSheetId="18">#REF!</definedName>
    <definedName name="T5_2_1TJ" localSheetId="15">#REF!</definedName>
    <definedName name="T5_2_1TJ" localSheetId="16">#REF!</definedName>
    <definedName name="T5_2_1TJ" localSheetId="14">#REF!</definedName>
    <definedName name="T5_2_1TJ">#REF!</definedName>
    <definedName name="T5_2_1TY" localSheetId="18">#REF!</definedName>
    <definedName name="T5_2_1TY" localSheetId="15">#REF!</definedName>
    <definedName name="T5_2_1TY" localSheetId="16">#REF!</definedName>
    <definedName name="T5_2_1TY" localSheetId="14">#REF!</definedName>
    <definedName name="T5_2_1TY">#REF!</definedName>
    <definedName name="T5_2_1ZJ" localSheetId="18">#REF!</definedName>
    <definedName name="T5_2_1ZJ" localSheetId="15">#REF!</definedName>
    <definedName name="T5_2_1ZJ" localSheetId="16">#REF!</definedName>
    <definedName name="T5_2_1ZJ" localSheetId="14">#REF!</definedName>
    <definedName name="T5_2_1ZJ">#REF!</definedName>
    <definedName name="T5_2_1ZY" localSheetId="18">#REF!</definedName>
    <definedName name="T5_2_1ZY" localSheetId="15">#REF!</definedName>
    <definedName name="T5_2_1ZY" localSheetId="16">#REF!</definedName>
    <definedName name="T5_2_1ZY" localSheetId="14">#REF!</definedName>
    <definedName name="T5_2_1ZY">#REF!</definedName>
    <definedName name="T5_2_2PJ" localSheetId="18">#REF!</definedName>
    <definedName name="T5_2_2PJ" localSheetId="15">#REF!</definedName>
    <definedName name="T5_2_2PJ" localSheetId="16">#REF!</definedName>
    <definedName name="T5_2_2PJ" localSheetId="14">#REF!</definedName>
    <definedName name="T5_2_2PJ">#REF!</definedName>
    <definedName name="T5_2_2PY" localSheetId="18">#REF!</definedName>
    <definedName name="T5_2_2PY" localSheetId="15">#REF!</definedName>
    <definedName name="T5_2_2PY" localSheetId="16">#REF!</definedName>
    <definedName name="T5_2_2PY" localSheetId="14">#REF!</definedName>
    <definedName name="T5_2_2PY">#REF!</definedName>
    <definedName name="T5_2_2TJ" localSheetId="18">#REF!</definedName>
    <definedName name="T5_2_2TJ" localSheetId="15">#REF!</definedName>
    <definedName name="T5_2_2TJ" localSheetId="16">#REF!</definedName>
    <definedName name="T5_2_2TJ" localSheetId="14">#REF!</definedName>
    <definedName name="T5_2_2TJ">#REF!</definedName>
    <definedName name="T5_2_2TY" localSheetId="18">#REF!</definedName>
    <definedName name="T5_2_2TY" localSheetId="15">#REF!</definedName>
    <definedName name="T5_2_2TY" localSheetId="16">#REF!</definedName>
    <definedName name="T5_2_2TY" localSheetId="14">#REF!</definedName>
    <definedName name="T5_2_2TY">#REF!</definedName>
    <definedName name="T5_2_2ZJ" localSheetId="18">#REF!</definedName>
    <definedName name="T5_2_2ZJ" localSheetId="15">#REF!</definedName>
    <definedName name="T5_2_2ZJ" localSheetId="16">#REF!</definedName>
    <definedName name="T5_2_2ZJ" localSheetId="14">#REF!</definedName>
    <definedName name="T5_2_2ZJ">#REF!</definedName>
    <definedName name="T5_2_2ZY" localSheetId="18">#REF!</definedName>
    <definedName name="T5_2_2ZY" localSheetId="15">#REF!</definedName>
    <definedName name="T5_2_2ZY" localSheetId="16">#REF!</definedName>
    <definedName name="T5_2_2ZY" localSheetId="14">#REF!</definedName>
    <definedName name="T5_2_2ZY">#REF!</definedName>
    <definedName name="T5_2_3PJ" localSheetId="18">#REF!</definedName>
    <definedName name="T5_2_3PJ" localSheetId="15">#REF!</definedName>
    <definedName name="T5_2_3PJ" localSheetId="16">#REF!</definedName>
    <definedName name="T5_2_3PJ" localSheetId="14">#REF!</definedName>
    <definedName name="T5_2_3PJ">#REF!</definedName>
    <definedName name="T5_2_3PY" localSheetId="18">#REF!</definedName>
    <definedName name="T5_2_3PY" localSheetId="15">#REF!</definedName>
    <definedName name="T5_2_3PY" localSheetId="16">#REF!</definedName>
    <definedName name="T5_2_3PY" localSheetId="14">#REF!</definedName>
    <definedName name="T5_2_3PY">#REF!</definedName>
    <definedName name="T5_2_3TJ" localSheetId="18">#REF!</definedName>
    <definedName name="T5_2_3TJ" localSheetId="15">#REF!</definedName>
    <definedName name="T5_2_3TJ" localSheetId="16">#REF!</definedName>
    <definedName name="T5_2_3TJ" localSheetId="14">#REF!</definedName>
    <definedName name="T5_2_3TJ">#REF!</definedName>
    <definedName name="T5_2_3TY" localSheetId="18">#REF!</definedName>
    <definedName name="T5_2_3TY" localSheetId="15">#REF!</definedName>
    <definedName name="T5_2_3TY" localSheetId="16">#REF!</definedName>
    <definedName name="T5_2_3TY" localSheetId="14">#REF!</definedName>
    <definedName name="T5_2_3TY">#REF!</definedName>
    <definedName name="T5_2_3ZJ" localSheetId="18">#REF!</definedName>
    <definedName name="T5_2_3ZJ" localSheetId="15">#REF!</definedName>
    <definedName name="T5_2_3ZJ" localSheetId="16">#REF!</definedName>
    <definedName name="T5_2_3ZJ" localSheetId="14">#REF!</definedName>
    <definedName name="T5_2_3ZJ">#REF!</definedName>
    <definedName name="T5_2_3ZY" localSheetId="18">#REF!</definedName>
    <definedName name="T5_2_3ZY" localSheetId="15">#REF!</definedName>
    <definedName name="T5_2_3ZY" localSheetId="16">#REF!</definedName>
    <definedName name="T5_2_3ZY" localSheetId="14">#REF!</definedName>
    <definedName name="T5_2_3ZY">#REF!</definedName>
    <definedName name="T5_4_2P" localSheetId="18">#REF!</definedName>
    <definedName name="T5_4_2P" localSheetId="15">#REF!</definedName>
    <definedName name="T5_4_2P" localSheetId="16">#REF!</definedName>
    <definedName name="T5_4_2P" localSheetId="14">#REF!</definedName>
    <definedName name="T5_4_2P">#REF!</definedName>
    <definedName name="T5_4_2T" localSheetId="18">#REF!</definedName>
    <definedName name="T5_4_2T" localSheetId="15">#REF!</definedName>
    <definedName name="T5_4_2T" localSheetId="16">#REF!</definedName>
    <definedName name="T5_4_2T" localSheetId="14">#REF!</definedName>
    <definedName name="T5_4_2T">#REF!</definedName>
    <definedName name="T5_4_2Z" localSheetId="18">#REF!</definedName>
    <definedName name="T5_4_2Z" localSheetId="15">#REF!</definedName>
    <definedName name="T5_4_2Z" localSheetId="16">#REF!</definedName>
    <definedName name="T5_4_2Z" localSheetId="14">#REF!</definedName>
    <definedName name="T5_4_2Z">#REF!</definedName>
    <definedName name="TextRefCopy1" localSheetId="18">#REF!</definedName>
    <definedName name="TextRefCopy1" localSheetId="15">#REF!</definedName>
    <definedName name="TextRefCopy1" localSheetId="16">#REF!</definedName>
    <definedName name="TextRefCopy1" localSheetId="14">#REF!</definedName>
    <definedName name="TextRefCopy1">#REF!</definedName>
    <definedName name="TextRefCopy10">#REF!</definedName>
    <definedName name="TextRefCopy11" localSheetId="18">#REF!</definedName>
    <definedName name="TextRefCopy11" localSheetId="15">#REF!</definedName>
    <definedName name="TextRefCopy11" localSheetId="16">#REF!</definedName>
    <definedName name="TextRefCopy11" localSheetId="14">#REF!</definedName>
    <definedName name="TextRefCopy11">#REF!</definedName>
    <definedName name="TextRefCopy12">#REF!</definedName>
    <definedName name="TextRefCopy14" localSheetId="18">#REF!</definedName>
    <definedName name="TextRefCopy14" localSheetId="15">#REF!</definedName>
    <definedName name="TextRefCopy14" localSheetId="16">#REF!</definedName>
    <definedName name="TextRefCopy14" localSheetId="14">#REF!</definedName>
    <definedName name="TextRefCopy14">#REF!</definedName>
    <definedName name="TextRefCopy16" localSheetId="18">#REF!</definedName>
    <definedName name="TextRefCopy16" localSheetId="15">#REF!</definedName>
    <definedName name="TextRefCopy16" localSheetId="16">#REF!</definedName>
    <definedName name="TextRefCopy16" localSheetId="14">#REF!</definedName>
    <definedName name="TextRefCopy16">#REF!</definedName>
    <definedName name="TextRefCopy18" localSheetId="18">#REF!</definedName>
    <definedName name="TextRefCopy18" localSheetId="15">#REF!</definedName>
    <definedName name="TextRefCopy18" localSheetId="16">#REF!</definedName>
    <definedName name="TextRefCopy18" localSheetId="14">#REF!</definedName>
    <definedName name="TextRefCopy18">#REF!</definedName>
    <definedName name="TextRefCopy2" localSheetId="18">#REF!</definedName>
    <definedName name="TextRefCopy2" localSheetId="15">#REF!</definedName>
    <definedName name="TextRefCopy2" localSheetId="16">#REF!</definedName>
    <definedName name="TextRefCopy2" localSheetId="14">#REF!</definedName>
    <definedName name="TextRefCopy2">#REF!</definedName>
    <definedName name="TextRefCopy23">#REF!</definedName>
    <definedName name="TextRefCopy3" localSheetId="18">#REF!</definedName>
    <definedName name="TextRefCopy3" localSheetId="15">#REF!</definedName>
    <definedName name="TextRefCopy3" localSheetId="16">#REF!</definedName>
    <definedName name="TextRefCopy3" localSheetId="14">#REF!</definedName>
    <definedName name="TextRefCopy3">#REF!</definedName>
    <definedName name="TextRefCopy33">#REF!</definedName>
    <definedName name="TextRefCopy34">#REF!</definedName>
    <definedName name="TextRefCopy4" localSheetId="18">#REF!</definedName>
    <definedName name="TextRefCopy4" localSheetId="15">#REF!</definedName>
    <definedName name="TextRefCopy4" localSheetId="16">#REF!</definedName>
    <definedName name="TextRefCopy4" localSheetId="14">#REF!</definedName>
    <definedName name="TextRefCopy4">#REF!</definedName>
    <definedName name="TextRefCopy5" localSheetId="18">#REF!</definedName>
    <definedName name="TextRefCopy5" localSheetId="15">#REF!</definedName>
    <definedName name="TextRefCopy5" localSheetId="16">#REF!</definedName>
    <definedName name="TextRefCopy5" localSheetId="14">#REF!</definedName>
    <definedName name="TextRefCopy5">#REF!</definedName>
    <definedName name="TextRefCopy6">#REF!</definedName>
    <definedName name="TextRefCopy7" localSheetId="18">#REF!</definedName>
    <definedName name="TextRefCopy7" localSheetId="15">#REF!</definedName>
    <definedName name="TextRefCopy7" localSheetId="16">#REF!</definedName>
    <definedName name="TextRefCopy7" localSheetId="14">#REF!</definedName>
    <definedName name="TextRefCopy7">#REF!</definedName>
    <definedName name="TextRefCopy8">#REF!</definedName>
    <definedName name="TextRefCopy9" localSheetId="18">#REF!</definedName>
    <definedName name="TextRefCopy9" localSheetId="15">#REF!</definedName>
    <definedName name="TextRefCopy9" localSheetId="16">#REF!</definedName>
    <definedName name="TextRefCopy9" localSheetId="14">#REF!</definedName>
    <definedName name="TextRefCopy9">#REF!</definedName>
    <definedName name="TextRefCopy91">#REF!</definedName>
    <definedName name="TextRefCopy99">#REF!</definedName>
    <definedName name="TextRefCopyRangeCount" hidden="1">18</definedName>
    <definedName name="THB" localSheetId="18">#REF!</definedName>
    <definedName name="THB" localSheetId="15">#REF!</definedName>
    <definedName name="THB" localSheetId="16">#REF!</definedName>
    <definedName name="THB" localSheetId="14">#REF!</definedName>
    <definedName name="THB">#REF!</definedName>
    <definedName name="to_day" localSheetId="18">#REF!</definedName>
    <definedName name="to_day" localSheetId="15">#REF!</definedName>
    <definedName name="to_day" localSheetId="16">#REF!</definedName>
    <definedName name="to_day" localSheetId="14">#REF!</definedName>
    <definedName name="to_day">#REF!</definedName>
    <definedName name="TOM" localSheetId="18">#REF!</definedName>
    <definedName name="TOM" localSheetId="15">#REF!</definedName>
    <definedName name="TOM" localSheetId="16">#REF!</definedName>
    <definedName name="TOM" localSheetId="14">#REF!</definedName>
    <definedName name="TOM">#REF!</definedName>
    <definedName name="Total_Debt" localSheetId="18">#REF!+#REF!</definedName>
    <definedName name="Total_Debt" localSheetId="15">#REF!+#REF!</definedName>
    <definedName name="Total_Debt" localSheetId="16">#REF!+#REF!</definedName>
    <definedName name="Total_Debt" localSheetId="14">#REF!+#REF!</definedName>
    <definedName name="Total_Debt">#REF!+#REF!</definedName>
    <definedName name="TOTALS" localSheetId="18">#REF!</definedName>
    <definedName name="TOTALS" localSheetId="15">#REF!</definedName>
    <definedName name="TOTALS" localSheetId="16">#REF!</definedName>
    <definedName name="TOTALS" localSheetId="14">#REF!</definedName>
    <definedName name="TOTALS">#REF!</definedName>
    <definedName name="TRAFFIC" localSheetId="18">#REF!</definedName>
    <definedName name="TRAFFIC" localSheetId="15">#REF!</definedName>
    <definedName name="TRAFFIC" localSheetId="16">#REF!</definedName>
    <definedName name="TRAFFIC" localSheetId="14">#REF!</definedName>
    <definedName name="TRAFFIC">#REF!</definedName>
    <definedName name="tt" localSheetId="18">#REF!</definedName>
    <definedName name="tt" localSheetId="15">#REF!</definedName>
    <definedName name="tt" localSheetId="16">#REF!</definedName>
    <definedName name="tt" localSheetId="14">#REF!</definedName>
    <definedName name="tt">#REF!</definedName>
    <definedName name="ttttttt" localSheetId="18">#REF!</definedName>
    <definedName name="ttttttt" localSheetId="15">#REF!</definedName>
    <definedName name="ttttttt" localSheetId="16">#REF!</definedName>
    <definedName name="ttttttt" localSheetId="14">#REF!</definedName>
    <definedName name="ttttttt">#REF!</definedName>
    <definedName name="TWD" localSheetId="18">#REF!</definedName>
    <definedName name="TWD" localSheetId="15">#REF!</definedName>
    <definedName name="TWD" localSheetId="16">#REF!</definedName>
    <definedName name="TWD" localSheetId="14">#REF!</definedName>
    <definedName name="TWD">#REF!</definedName>
    <definedName name="ty" localSheetId="18">#REF!</definedName>
    <definedName name="ty" localSheetId="15">#REF!</definedName>
    <definedName name="ty" localSheetId="16">#REF!</definedName>
    <definedName name="ty" localSheetId="14">#REF!</definedName>
    <definedName name="ty">#REF!</definedName>
    <definedName name="UFPrn20000309112818">#N/A</definedName>
    <definedName name="UFPrn20000313111847" localSheetId="18">#REF!</definedName>
    <definedName name="UFPrn20000313111847" localSheetId="15">#REF!</definedName>
    <definedName name="UFPrn20000313111847" localSheetId="16">#REF!</definedName>
    <definedName name="UFPrn20000313111847" localSheetId="14">#REF!</definedName>
    <definedName name="UFPrn20000313111847">#REF!</definedName>
    <definedName name="UFPrn20000313111932" localSheetId="18">#REF!</definedName>
    <definedName name="UFPrn20000313111932" localSheetId="15">#REF!</definedName>
    <definedName name="UFPrn20000313111932" localSheetId="16">#REF!</definedName>
    <definedName name="UFPrn20000313111932" localSheetId="14">#REF!</definedName>
    <definedName name="UFPrn20000313111932">#REF!</definedName>
    <definedName name="UFPrn20000313111958" localSheetId="18">#REF!</definedName>
    <definedName name="UFPrn20000313111958" localSheetId="15">#REF!</definedName>
    <definedName name="UFPrn20000313111958" localSheetId="16">#REF!</definedName>
    <definedName name="UFPrn20000313111958" localSheetId="14">#REF!</definedName>
    <definedName name="UFPrn20000313111958">#REF!</definedName>
    <definedName name="UFPrn20000313112054" localSheetId="18">#REF!</definedName>
    <definedName name="UFPrn20000313112054" localSheetId="15">#REF!</definedName>
    <definedName name="UFPrn20000313112054" localSheetId="16">#REF!</definedName>
    <definedName name="UFPrn20000313112054" localSheetId="14">#REF!</definedName>
    <definedName name="UFPrn20000313112054">#REF!</definedName>
    <definedName name="UFPrn20000313112135" localSheetId="18">#REF!</definedName>
    <definedName name="UFPrn20000313112135" localSheetId="15">#REF!</definedName>
    <definedName name="UFPrn20000313112135" localSheetId="16">#REF!</definedName>
    <definedName name="UFPrn20000313112135" localSheetId="14">#REF!</definedName>
    <definedName name="UFPrn20000313112135">#REF!</definedName>
    <definedName name="UFPrn20001127150923" localSheetId="18">#REF!</definedName>
    <definedName name="UFPrn20001127150923" localSheetId="15">#REF!</definedName>
    <definedName name="UFPrn20001127150923" localSheetId="16">#REF!</definedName>
    <definedName name="UFPrn20001127150923" localSheetId="14">#REF!</definedName>
    <definedName name="UFPrn20001127150923">#REF!</definedName>
    <definedName name="UFPrn20001231102643" localSheetId="18">#REF!</definedName>
    <definedName name="UFPrn20001231102643" localSheetId="15">#REF!</definedName>
    <definedName name="UFPrn20001231102643" localSheetId="16">#REF!</definedName>
    <definedName name="UFPrn20001231102643" localSheetId="14">#REF!</definedName>
    <definedName name="UFPrn20001231102643">#REF!</definedName>
    <definedName name="UFPrn20020129135956" localSheetId="18">#REF!</definedName>
    <definedName name="UFPrn20020129135956" localSheetId="15">#REF!</definedName>
    <definedName name="UFPrn20020129135956" localSheetId="16">#REF!</definedName>
    <definedName name="UFPrn20020129135956" localSheetId="14">#REF!</definedName>
    <definedName name="UFPrn20020129135956">#REF!</definedName>
    <definedName name="UFPrn20020129140103" localSheetId="18">#REF!</definedName>
    <definedName name="UFPrn20020129140103" localSheetId="15">#REF!</definedName>
    <definedName name="UFPrn20020129140103" localSheetId="16">#REF!</definedName>
    <definedName name="UFPrn20020129140103" localSheetId="14">#REF!</definedName>
    <definedName name="UFPrn20020129140103">#REF!</definedName>
    <definedName name="UFPrn20020129140202" localSheetId="18">#REF!</definedName>
    <definedName name="UFPrn20020129140202" localSheetId="15">#REF!</definedName>
    <definedName name="UFPrn20020129140202" localSheetId="16">#REF!</definedName>
    <definedName name="UFPrn20020129140202" localSheetId="14">#REF!</definedName>
    <definedName name="UFPrn20020129140202">#REF!</definedName>
    <definedName name="UFPrn20020129140404" localSheetId="18">#REF!</definedName>
    <definedName name="UFPrn20020129140404" localSheetId="15">#REF!</definedName>
    <definedName name="UFPrn20020129140404" localSheetId="16">#REF!</definedName>
    <definedName name="UFPrn20020129140404" localSheetId="14">#REF!</definedName>
    <definedName name="UFPrn20020129140404">#REF!</definedName>
    <definedName name="UFPrn20020129140614" localSheetId="18">#REF!</definedName>
    <definedName name="UFPrn20020129140614" localSheetId="15">#REF!</definedName>
    <definedName name="UFPrn20020129140614" localSheetId="16">#REF!</definedName>
    <definedName name="UFPrn20020129140614" localSheetId="14">#REF!</definedName>
    <definedName name="UFPrn20020129140614">#REF!</definedName>
    <definedName name="UFPrn20020129140653" localSheetId="18">#REF!</definedName>
    <definedName name="UFPrn20020129140653" localSheetId="15">#REF!</definedName>
    <definedName name="UFPrn20020129140653" localSheetId="16">#REF!</definedName>
    <definedName name="UFPrn20020129140653" localSheetId="14">#REF!</definedName>
    <definedName name="UFPrn20020129140653">#REF!</definedName>
    <definedName name="UFPrn20020129140730" localSheetId="18">#REF!</definedName>
    <definedName name="UFPrn20020129140730" localSheetId="15">#REF!</definedName>
    <definedName name="UFPrn20020129140730" localSheetId="16">#REF!</definedName>
    <definedName name="UFPrn20020129140730" localSheetId="14">#REF!</definedName>
    <definedName name="UFPrn20020129140730">#REF!</definedName>
    <definedName name="UFPrn20020301093514" localSheetId="18">#REF!</definedName>
    <definedName name="UFPrn20020301093514" localSheetId="15">#REF!</definedName>
    <definedName name="UFPrn20020301093514" localSheetId="16">#REF!</definedName>
    <definedName name="UFPrn20020301093514" localSheetId="14">#REF!</definedName>
    <definedName name="UFPrn20020301093514">#REF!</definedName>
    <definedName name="UFPrn20020301105444" localSheetId="18">#REF!</definedName>
    <definedName name="UFPrn20020301105444" localSheetId="15">#REF!</definedName>
    <definedName name="UFPrn20020301105444" localSheetId="16">#REF!</definedName>
    <definedName name="UFPrn20020301105444" localSheetId="14">#REF!</definedName>
    <definedName name="UFPrn20020301105444">#REF!</definedName>
    <definedName name="UFPrn20020302105521" localSheetId="18">#REF!</definedName>
    <definedName name="UFPrn20020302105521" localSheetId="15">#REF!</definedName>
    <definedName name="UFPrn20020302105521" localSheetId="16">#REF!</definedName>
    <definedName name="UFPrn20020302105521" localSheetId="14">#REF!</definedName>
    <definedName name="UFPrn20020302105521">#REF!</definedName>
    <definedName name="UFPrn20020302105727" localSheetId="18">#REF!</definedName>
    <definedName name="UFPrn20020302105727" localSheetId="15">#REF!</definedName>
    <definedName name="UFPrn20020302105727" localSheetId="16">#REF!</definedName>
    <definedName name="UFPrn20020302105727" localSheetId="14">#REF!</definedName>
    <definedName name="UFPrn20020302105727">#REF!</definedName>
    <definedName name="UFPrn20020302141827" localSheetId="18">#REF!</definedName>
    <definedName name="UFPrn20020302141827" localSheetId="15">#REF!</definedName>
    <definedName name="UFPrn20020302141827" localSheetId="16">#REF!</definedName>
    <definedName name="UFPrn20020302141827" localSheetId="14">#REF!</definedName>
    <definedName name="UFPrn20020302141827">#REF!</definedName>
    <definedName name="UFPrn20020302141857" localSheetId="18">#REF!</definedName>
    <definedName name="UFPrn20020302141857" localSheetId="15">#REF!</definedName>
    <definedName name="UFPrn20020302141857" localSheetId="16">#REF!</definedName>
    <definedName name="UFPrn20020302141857" localSheetId="14">#REF!</definedName>
    <definedName name="UFPrn20020302141857">#REF!</definedName>
    <definedName name="UFPrn20020302141928" localSheetId="18">#REF!</definedName>
    <definedName name="UFPrn20020302141928" localSheetId="15">#REF!</definedName>
    <definedName name="UFPrn20020302141928" localSheetId="16">#REF!</definedName>
    <definedName name="UFPrn20020302141928" localSheetId="14">#REF!</definedName>
    <definedName name="UFPrn20020302141928">#REF!</definedName>
    <definedName name="UFPrn20020302142027" localSheetId="18">#REF!</definedName>
    <definedName name="UFPrn20020302142027" localSheetId="15">#REF!</definedName>
    <definedName name="UFPrn20020302142027" localSheetId="16">#REF!</definedName>
    <definedName name="UFPrn20020302142027" localSheetId="14">#REF!</definedName>
    <definedName name="UFPrn20020302142027">#REF!</definedName>
    <definedName name="UFPrn20020302142059" localSheetId="18">#REF!</definedName>
    <definedName name="UFPrn20020302142059" localSheetId="15">#REF!</definedName>
    <definedName name="UFPrn20020302142059" localSheetId="16">#REF!</definedName>
    <definedName name="UFPrn20020302142059" localSheetId="14">#REF!</definedName>
    <definedName name="UFPrn20020302142059">#REF!</definedName>
    <definedName name="UFPrn20020302142134" localSheetId="18">#REF!</definedName>
    <definedName name="UFPrn20020302142134" localSheetId="15">#REF!</definedName>
    <definedName name="UFPrn20020302142134" localSheetId="16">#REF!</definedName>
    <definedName name="UFPrn20020302142134" localSheetId="14">#REF!</definedName>
    <definedName name="UFPrn20020302142134">#REF!</definedName>
    <definedName name="UFPrn20020302142201" localSheetId="18">#REF!</definedName>
    <definedName name="UFPrn20020302142201" localSheetId="15">#REF!</definedName>
    <definedName name="UFPrn20020302142201" localSheetId="16">#REF!</definedName>
    <definedName name="UFPrn20020302142201" localSheetId="14">#REF!</definedName>
    <definedName name="UFPrn20020302142201">#REF!</definedName>
    <definedName name="UFPrn20020302142228" localSheetId="18">#REF!</definedName>
    <definedName name="UFPrn20020302142228" localSheetId="15">#REF!</definedName>
    <definedName name="UFPrn20020302142228" localSheetId="16">#REF!</definedName>
    <definedName name="UFPrn20020302142228" localSheetId="14">#REF!</definedName>
    <definedName name="UFPrn20020302142228">#REF!</definedName>
    <definedName name="UFPrn20020303093924" localSheetId="18">#REF!</definedName>
    <definedName name="UFPrn20020303093924" localSheetId="15">#REF!</definedName>
    <definedName name="UFPrn20020303093924" localSheetId="16">#REF!</definedName>
    <definedName name="UFPrn20020303093924" localSheetId="14">#REF!</definedName>
    <definedName name="UFPrn20020303093924">#REF!</definedName>
    <definedName name="UFPrn20020303094009" localSheetId="18">#REF!</definedName>
    <definedName name="UFPrn20020303094009" localSheetId="15">#REF!</definedName>
    <definedName name="UFPrn20020303094009" localSheetId="16">#REF!</definedName>
    <definedName name="UFPrn20020303094009" localSheetId="14">#REF!</definedName>
    <definedName name="UFPrn20020303094009">#REF!</definedName>
    <definedName name="UFPrn20020303094056" localSheetId="18">#REF!</definedName>
    <definedName name="UFPrn20020303094056" localSheetId="15">#REF!</definedName>
    <definedName name="UFPrn20020303094056" localSheetId="16">#REF!</definedName>
    <definedName name="UFPrn20020303094056" localSheetId="14">#REF!</definedName>
    <definedName name="UFPrn20020303094056">#REF!</definedName>
    <definedName name="UFPrn20020303094209" localSheetId="18">#REF!</definedName>
    <definedName name="UFPrn20020303094209" localSheetId="15">#REF!</definedName>
    <definedName name="UFPrn20020303094209" localSheetId="16">#REF!</definedName>
    <definedName name="UFPrn20020303094209" localSheetId="14">#REF!</definedName>
    <definedName name="UFPrn20020303094209">#REF!</definedName>
    <definedName name="UFPrn20020303094311" localSheetId="18">#REF!</definedName>
    <definedName name="UFPrn20020303094311" localSheetId="15">#REF!</definedName>
    <definedName name="UFPrn20020303094311" localSheetId="16">#REF!</definedName>
    <definedName name="UFPrn20020303094311" localSheetId="14">#REF!</definedName>
    <definedName name="UFPrn20020303094311">#REF!</definedName>
    <definedName name="UFPrn20020303094400" localSheetId="18">#REF!</definedName>
    <definedName name="UFPrn20020303094400" localSheetId="15">#REF!</definedName>
    <definedName name="UFPrn20020303094400" localSheetId="16">#REF!</definedName>
    <definedName name="UFPrn20020303094400" localSheetId="14">#REF!</definedName>
    <definedName name="UFPrn20020303094400">#REF!</definedName>
    <definedName name="UFPrn20020309161349" localSheetId="18">#REF!</definedName>
    <definedName name="UFPrn20020309161349" localSheetId="15">#REF!</definedName>
    <definedName name="UFPrn20020309161349" localSheetId="16">#REF!</definedName>
    <definedName name="UFPrn20020309161349" localSheetId="14">#REF!</definedName>
    <definedName name="UFPrn20020309161349">#REF!</definedName>
    <definedName name="UFPrn20020310141243" localSheetId="18">#REF!</definedName>
    <definedName name="UFPrn20020310141243" localSheetId="15">#REF!</definedName>
    <definedName name="UFPrn20020310141243" localSheetId="16">#REF!</definedName>
    <definedName name="UFPrn20020310141243" localSheetId="14">#REF!</definedName>
    <definedName name="UFPrn20020310141243">#REF!</definedName>
    <definedName name="UFPrn20020310141327" localSheetId="18">#REF!</definedName>
    <definedName name="UFPrn20020310141327" localSheetId="15">#REF!</definedName>
    <definedName name="UFPrn20020310141327" localSheetId="16">#REF!</definedName>
    <definedName name="UFPrn20020310141327" localSheetId="14">#REF!</definedName>
    <definedName name="UFPrn20020310141327">#REF!</definedName>
    <definedName name="UFPrn20020310141355" localSheetId="18">#REF!</definedName>
    <definedName name="UFPrn20020310141355" localSheetId="15">#REF!</definedName>
    <definedName name="UFPrn20020310141355" localSheetId="16">#REF!</definedName>
    <definedName name="UFPrn20020310141355" localSheetId="14">#REF!</definedName>
    <definedName name="UFPrn20020310141355">#REF!</definedName>
    <definedName name="UFPrn20020310141456" localSheetId="18">#REF!</definedName>
    <definedName name="UFPrn20020310141456" localSheetId="15">#REF!</definedName>
    <definedName name="UFPrn20020310141456" localSheetId="16">#REF!</definedName>
    <definedName name="UFPrn20020310141456" localSheetId="14">#REF!</definedName>
    <definedName name="UFPrn20020310141456">#REF!</definedName>
    <definedName name="UFPrn20020310141539" localSheetId="18">#REF!</definedName>
    <definedName name="UFPrn20020310141539" localSheetId="15">#REF!</definedName>
    <definedName name="UFPrn20020310141539" localSheetId="16">#REF!</definedName>
    <definedName name="UFPrn20020310141539" localSheetId="14">#REF!</definedName>
    <definedName name="UFPrn20020310141539">#REF!</definedName>
    <definedName name="UFPrn20020310141619" localSheetId="18">#REF!</definedName>
    <definedName name="UFPrn20020310141619" localSheetId="15">#REF!</definedName>
    <definedName name="UFPrn20020310141619" localSheetId="16">#REF!</definedName>
    <definedName name="UFPrn20020310141619" localSheetId="14">#REF!</definedName>
    <definedName name="UFPrn20020310141619">#REF!</definedName>
    <definedName name="UFPrn20020310141651" localSheetId="18">#REF!</definedName>
    <definedName name="UFPrn20020310141651" localSheetId="15">#REF!</definedName>
    <definedName name="UFPrn20020310141651" localSheetId="16">#REF!</definedName>
    <definedName name="UFPrn20020310141651" localSheetId="14">#REF!</definedName>
    <definedName name="UFPrn20020310141651">#REF!</definedName>
    <definedName name="UFPrn20020310142531" localSheetId="18">#REF!</definedName>
    <definedName name="UFPrn20020310142531" localSheetId="15">#REF!</definedName>
    <definedName name="UFPrn20020310142531" localSheetId="16">#REF!</definedName>
    <definedName name="UFPrn20020310142531" localSheetId="14">#REF!</definedName>
    <definedName name="UFPrn20020310142531">#REF!</definedName>
    <definedName name="UFPrn20020310142744" localSheetId="18">#REF!</definedName>
    <definedName name="UFPrn20020310142744" localSheetId="15">#REF!</definedName>
    <definedName name="UFPrn20020310142744" localSheetId="16">#REF!</definedName>
    <definedName name="UFPrn20020310142744" localSheetId="14">#REF!</definedName>
    <definedName name="UFPrn20020310142744">#REF!</definedName>
    <definedName name="UFPrn20020310142844" localSheetId="18">#REF!</definedName>
    <definedName name="UFPrn20020310142844" localSheetId="15">#REF!</definedName>
    <definedName name="UFPrn20020310142844" localSheetId="16">#REF!</definedName>
    <definedName name="UFPrn20020310142844" localSheetId="14">#REF!</definedName>
    <definedName name="UFPrn20020310142844">#REF!</definedName>
    <definedName name="UFPrn20020310143105" localSheetId="18">#REF!</definedName>
    <definedName name="UFPrn20020310143105" localSheetId="15">#REF!</definedName>
    <definedName name="UFPrn20020310143105" localSheetId="16">#REF!</definedName>
    <definedName name="UFPrn20020310143105" localSheetId="14">#REF!</definedName>
    <definedName name="UFPrn20020310143105">#REF!</definedName>
    <definedName name="UFPrn20020310143151" localSheetId="18">#REF!</definedName>
    <definedName name="UFPrn20020310143151" localSheetId="15">#REF!</definedName>
    <definedName name="UFPrn20020310143151" localSheetId="16">#REF!</definedName>
    <definedName name="UFPrn20020310143151" localSheetId="14">#REF!</definedName>
    <definedName name="UFPrn20020310143151">#REF!</definedName>
    <definedName name="UFPrn20020317170200" localSheetId="18">#REF!</definedName>
    <definedName name="UFPrn20020317170200" localSheetId="15">#REF!</definedName>
    <definedName name="UFPrn20020317170200" localSheetId="16">#REF!</definedName>
    <definedName name="UFPrn20020317170200" localSheetId="14">#REF!</definedName>
    <definedName name="UFPrn20020317170200">#REF!</definedName>
    <definedName name="UFPrn20020512132904" localSheetId="18">#REF!</definedName>
    <definedName name="UFPrn20020512132904" localSheetId="15">#REF!</definedName>
    <definedName name="UFPrn20020512132904" localSheetId="16">#REF!</definedName>
    <definedName name="UFPrn20020512132904" localSheetId="14">#REF!</definedName>
    <definedName name="UFPrn20020512132904">#REF!</definedName>
    <definedName name="UFPrn20020512133216" localSheetId="18">#REF!</definedName>
    <definedName name="UFPrn20020512133216" localSheetId="15">#REF!</definedName>
    <definedName name="UFPrn20020512133216" localSheetId="16">#REF!</definedName>
    <definedName name="UFPrn20020512133216" localSheetId="14">#REF!</definedName>
    <definedName name="UFPrn20020512133216">#REF!</definedName>
    <definedName name="UFPrn20020512133446" localSheetId="18">#REF!</definedName>
    <definedName name="UFPrn20020512133446" localSheetId="15">#REF!</definedName>
    <definedName name="UFPrn20020512133446" localSheetId="16">#REF!</definedName>
    <definedName name="UFPrn20020512133446" localSheetId="14">#REF!</definedName>
    <definedName name="UFPrn20020512133446">#REF!</definedName>
    <definedName name="UFPrn20020512133446___0" localSheetId="18">#REF!</definedName>
    <definedName name="UFPrn20020512133446___0" localSheetId="15">#REF!</definedName>
    <definedName name="UFPrn20020512133446___0" localSheetId="16">#REF!</definedName>
    <definedName name="UFPrn20020512133446___0" localSheetId="14">#REF!</definedName>
    <definedName name="UFPrn20020512133446___0">#REF!</definedName>
    <definedName name="UFPrn20020514162052" localSheetId="18">#REF!</definedName>
    <definedName name="UFPrn20020514162052" localSheetId="15">#REF!</definedName>
    <definedName name="UFPrn20020514162052" localSheetId="16">#REF!</definedName>
    <definedName name="UFPrn20020514162052" localSheetId="14">#REF!</definedName>
    <definedName name="UFPrn20020514162052">#REF!</definedName>
    <definedName name="UFPrn20020521171203" localSheetId="18">#REF!</definedName>
    <definedName name="UFPrn20020521171203" localSheetId="15">#REF!</definedName>
    <definedName name="UFPrn20020521171203" localSheetId="16">#REF!</definedName>
    <definedName name="UFPrn20020521171203" localSheetId="14">#REF!</definedName>
    <definedName name="UFPrn20020521171203">#REF!</definedName>
    <definedName name="UFPrn20020720121232" localSheetId="18">#REF!</definedName>
    <definedName name="UFPrn20020720121232" localSheetId="15">#REF!</definedName>
    <definedName name="UFPrn20020720121232" localSheetId="16">#REF!</definedName>
    <definedName name="UFPrn20020720121232" localSheetId="14">#REF!</definedName>
    <definedName name="UFPrn20020720121232">#REF!</definedName>
    <definedName name="UFPrn20020727154336" localSheetId="18">#REF!</definedName>
    <definedName name="UFPrn20020727154336" localSheetId="15">#REF!</definedName>
    <definedName name="UFPrn20020727154336" localSheetId="16">#REF!</definedName>
    <definedName name="UFPrn20020727154336" localSheetId="14">#REF!</definedName>
    <definedName name="UFPrn20020727154336">#REF!</definedName>
    <definedName name="UFPrn20020727172020" localSheetId="18">#REF!</definedName>
    <definedName name="UFPrn20020727172020" localSheetId="15">#REF!</definedName>
    <definedName name="UFPrn20020727172020" localSheetId="16">#REF!</definedName>
    <definedName name="UFPrn20020727172020" localSheetId="14">#REF!</definedName>
    <definedName name="UFPrn20020727172020">#REF!</definedName>
    <definedName name="UFPrn20030107130737" localSheetId="18">#REF!</definedName>
    <definedName name="UFPrn20030107130737" localSheetId="15">#REF!</definedName>
    <definedName name="UFPrn20030107130737" localSheetId="16">#REF!</definedName>
    <definedName name="UFPrn20030107130737" localSheetId="14">#REF!</definedName>
    <definedName name="UFPrn20030107130737">#REF!</definedName>
    <definedName name="UFPrn20030108134622" localSheetId="18">#REF!</definedName>
    <definedName name="UFPrn20030108134622" localSheetId="15">#REF!</definedName>
    <definedName name="UFPrn20030108134622" localSheetId="16">#REF!</definedName>
    <definedName name="UFPrn20030108134622" localSheetId="14">#REF!</definedName>
    <definedName name="UFPrn20030108134622">#REF!</definedName>
    <definedName name="UFPrn20030110164906" localSheetId="18">#REF!</definedName>
    <definedName name="UFPrn20030110164906" localSheetId="15">#REF!</definedName>
    <definedName name="UFPrn20030110164906" localSheetId="16">#REF!</definedName>
    <definedName name="UFPrn20030110164906" localSheetId="14">#REF!</definedName>
    <definedName name="UFPrn20030110164906">#REF!</definedName>
    <definedName name="UFPrn20030114121335" localSheetId="18">#REF!</definedName>
    <definedName name="UFPrn20030114121335" localSheetId="15">#REF!</definedName>
    <definedName name="UFPrn20030114121335" localSheetId="16">#REF!</definedName>
    <definedName name="UFPrn20030114121335" localSheetId="14">#REF!</definedName>
    <definedName name="UFPrn20030114121335">#REF!</definedName>
    <definedName name="UFPrn20030210171426" localSheetId="18">#REF!</definedName>
    <definedName name="UFPrn20030210171426" localSheetId="15">#REF!</definedName>
    <definedName name="UFPrn20030210171426" localSheetId="16">#REF!</definedName>
    <definedName name="UFPrn20030210171426" localSheetId="14">#REF!</definedName>
    <definedName name="UFPrn20030210171426">#REF!</definedName>
    <definedName name="UFPrn20030407163656" localSheetId="18">#REF!</definedName>
    <definedName name="UFPrn20030407163656" localSheetId="15">#REF!</definedName>
    <definedName name="UFPrn20030407163656" localSheetId="16">#REF!</definedName>
    <definedName name="UFPrn20030407163656" localSheetId="14">#REF!</definedName>
    <definedName name="UFPrn20030407163656">#REF!</definedName>
    <definedName name="UFPrn20030714112923" localSheetId="18">#REF!</definedName>
    <definedName name="UFPrn20030714112923" localSheetId="15">#REF!</definedName>
    <definedName name="UFPrn20030714112923" localSheetId="16">#REF!</definedName>
    <definedName name="UFPrn20030714112923" localSheetId="14">#REF!</definedName>
    <definedName name="UFPrn20030714112923">#REF!</definedName>
    <definedName name="UFPrn20030714200201" localSheetId="18">#REF!</definedName>
    <definedName name="UFPrn20030714200201" localSheetId="15">#REF!</definedName>
    <definedName name="UFPrn20030714200201" localSheetId="16">#REF!</definedName>
    <definedName name="UFPrn20030714200201" localSheetId="14">#REF!</definedName>
    <definedName name="UFPrn20030714200201">#REF!</definedName>
    <definedName name="UFPrn20030715185444" localSheetId="18">#REF!</definedName>
    <definedName name="UFPrn20030715185444" localSheetId="15">#REF!</definedName>
    <definedName name="UFPrn20030715185444" localSheetId="16">#REF!</definedName>
    <definedName name="UFPrn20030715185444" localSheetId="14">#REF!</definedName>
    <definedName name="UFPrn20030715185444">#REF!</definedName>
    <definedName name="UFPrn20030716142225" localSheetId="18">#REF!</definedName>
    <definedName name="UFPrn20030716142225" localSheetId="15">#REF!</definedName>
    <definedName name="UFPrn20030716142225" localSheetId="16">#REF!</definedName>
    <definedName name="UFPrn20030716142225" localSheetId="14">#REF!</definedName>
    <definedName name="UFPrn20030716142225">#REF!</definedName>
    <definedName name="UFPrn20030717165028" localSheetId="18">#REF!</definedName>
    <definedName name="UFPrn20030717165028" localSheetId="15">#REF!</definedName>
    <definedName name="UFPrn20030717165028" localSheetId="16">#REF!</definedName>
    <definedName name="UFPrn20030717165028" localSheetId="14">#REF!</definedName>
    <definedName name="UFPrn20030717165028">#REF!</definedName>
    <definedName name="UFPrn20030719161333" localSheetId="18">#REF!</definedName>
    <definedName name="UFPrn20030719161333" localSheetId="15">#REF!</definedName>
    <definedName name="UFPrn20030719161333" localSheetId="16">#REF!</definedName>
    <definedName name="UFPrn20030719161333" localSheetId="14">#REF!</definedName>
    <definedName name="UFPrn20030719161333">#REF!</definedName>
    <definedName name="UFPrn20030719162907" localSheetId="18">#REF!</definedName>
    <definedName name="UFPrn20030719162907" localSheetId="15">#REF!</definedName>
    <definedName name="UFPrn20030719162907" localSheetId="16">#REF!</definedName>
    <definedName name="UFPrn20030719162907" localSheetId="14">#REF!</definedName>
    <definedName name="UFPrn20030719162907">#REF!</definedName>
    <definedName name="UFPrn20030719162957" localSheetId="18">#REF!</definedName>
    <definedName name="UFPrn20030719162957" localSheetId="15">#REF!</definedName>
    <definedName name="UFPrn20030719162957" localSheetId="16">#REF!</definedName>
    <definedName name="UFPrn20030719162957" localSheetId="14">#REF!</definedName>
    <definedName name="UFPrn20030719162957">#REF!</definedName>
    <definedName name="UFPrn20031208154045" localSheetId="18">#REF!</definedName>
    <definedName name="UFPrn20031208154045" localSheetId="15">#REF!</definedName>
    <definedName name="UFPrn20031208154045" localSheetId="16">#REF!</definedName>
    <definedName name="UFPrn20031208154045" localSheetId="14">#REF!</definedName>
    <definedName name="UFPrn20031208154045">#REF!</definedName>
    <definedName name="UFPrn20031208154120" localSheetId="18">#REF!</definedName>
    <definedName name="UFPrn20031208154120" localSheetId="15">#REF!</definedName>
    <definedName name="UFPrn20031208154120" localSheetId="16">#REF!</definedName>
    <definedName name="UFPrn20031208154120" localSheetId="14">#REF!</definedName>
    <definedName name="UFPrn20031208154120">#REF!</definedName>
    <definedName name="UFPrn20031208154218" localSheetId="18">#REF!</definedName>
    <definedName name="UFPrn20031208154218" localSheetId="15">#REF!</definedName>
    <definedName name="UFPrn20031208154218" localSheetId="16">#REF!</definedName>
    <definedName name="UFPrn20031208154218" localSheetId="14">#REF!</definedName>
    <definedName name="UFPrn20031208154218">#REF!</definedName>
    <definedName name="UFPrn20031208154406" localSheetId="18">#REF!</definedName>
    <definedName name="UFPrn20031208154406" localSheetId="15">#REF!</definedName>
    <definedName name="UFPrn20031208154406" localSheetId="16">#REF!</definedName>
    <definedName name="UFPrn20031208154406" localSheetId="14">#REF!</definedName>
    <definedName name="UFPrn20031208154406">#REF!</definedName>
    <definedName name="UFPrn20031208163149" localSheetId="18">#REF!</definedName>
    <definedName name="UFPrn20031208163149" localSheetId="15">#REF!</definedName>
    <definedName name="UFPrn20031208163149" localSheetId="16">#REF!</definedName>
    <definedName name="UFPrn20031208163149" localSheetId="14">#REF!</definedName>
    <definedName name="UFPrn20031208163149">#REF!</definedName>
    <definedName name="UFPrn20040107143952" localSheetId="18">#REF!</definedName>
    <definedName name="UFPrn20040107143952" localSheetId="15">#REF!</definedName>
    <definedName name="UFPrn20040107143952" localSheetId="16">#REF!</definedName>
    <definedName name="UFPrn20040107143952" localSheetId="14">#REF!</definedName>
    <definedName name="UFPrn20040107143952">#REF!</definedName>
    <definedName name="UFPrn20040112175425" localSheetId="18">#REF!</definedName>
    <definedName name="UFPrn20040112175425" localSheetId="15">#REF!</definedName>
    <definedName name="UFPrn20040112175425" localSheetId="16">#REF!</definedName>
    <definedName name="UFPrn20040112175425" localSheetId="14">#REF!</definedName>
    <definedName name="UFPrn20040112175425">#REF!</definedName>
    <definedName name="UFPrn20040112204621" localSheetId="18">#REF!</definedName>
    <definedName name="UFPrn20040112204621" localSheetId="15">#REF!</definedName>
    <definedName name="UFPrn20040112204621" localSheetId="16">#REF!</definedName>
    <definedName name="UFPrn20040112204621" localSheetId="14">#REF!</definedName>
    <definedName name="UFPrn20040112204621">#REF!</definedName>
    <definedName name="UFPrn20040112204659" localSheetId="18">#REF!</definedName>
    <definedName name="UFPrn20040112204659" localSheetId="15">#REF!</definedName>
    <definedName name="UFPrn20040112204659" localSheetId="16">#REF!</definedName>
    <definedName name="UFPrn20040112204659" localSheetId="14">#REF!</definedName>
    <definedName name="UFPrn20040112204659">#REF!</definedName>
    <definedName name="UFPrn20040112204721" localSheetId="18">#REF!</definedName>
    <definedName name="UFPrn20040112204721" localSheetId="15">#REF!</definedName>
    <definedName name="UFPrn20040112204721" localSheetId="16">#REF!</definedName>
    <definedName name="UFPrn20040112204721" localSheetId="14">#REF!</definedName>
    <definedName name="UFPrn20040112204721">#REF!</definedName>
    <definedName name="UFPrn20040112204802" localSheetId="18">#REF!</definedName>
    <definedName name="UFPrn20040112204802" localSheetId="15">#REF!</definedName>
    <definedName name="UFPrn20040112204802" localSheetId="16">#REF!</definedName>
    <definedName name="UFPrn20040112204802" localSheetId="14">#REF!</definedName>
    <definedName name="UFPrn20040112204802">#REF!</definedName>
    <definedName name="UFPrn20040112204848" localSheetId="18">#REF!</definedName>
    <definedName name="UFPrn20040112204848" localSheetId="15">#REF!</definedName>
    <definedName name="UFPrn20040112204848" localSheetId="16">#REF!</definedName>
    <definedName name="UFPrn20040112204848" localSheetId="14">#REF!</definedName>
    <definedName name="UFPrn20040112204848">#REF!</definedName>
    <definedName name="UFPrn20040112204938" localSheetId="18">#REF!</definedName>
    <definedName name="UFPrn20040112204938" localSheetId="15">#REF!</definedName>
    <definedName name="UFPrn20040112204938" localSheetId="16">#REF!</definedName>
    <definedName name="UFPrn20040112204938" localSheetId="14">#REF!</definedName>
    <definedName name="UFPrn20040112204938">#REF!</definedName>
    <definedName name="UFPrn20040112205009" localSheetId="18">#REF!</definedName>
    <definedName name="UFPrn20040112205009" localSheetId="15">#REF!</definedName>
    <definedName name="UFPrn20040112205009" localSheetId="16">#REF!</definedName>
    <definedName name="UFPrn20040112205009" localSheetId="14">#REF!</definedName>
    <definedName name="UFPrn20040112205009">#REF!</definedName>
    <definedName name="UFPrn20040112205036" localSheetId="18">#REF!</definedName>
    <definedName name="UFPrn20040112205036" localSheetId="15">#REF!</definedName>
    <definedName name="UFPrn20040112205036" localSheetId="16">#REF!</definedName>
    <definedName name="UFPrn20040112205036" localSheetId="14">#REF!</definedName>
    <definedName name="UFPrn20040112205036">#REF!</definedName>
    <definedName name="UFPrn20040112205154" localSheetId="18">#REF!</definedName>
    <definedName name="UFPrn20040112205154" localSheetId="15">#REF!</definedName>
    <definedName name="UFPrn20040112205154" localSheetId="16">#REF!</definedName>
    <definedName name="UFPrn20040112205154" localSheetId="14">#REF!</definedName>
    <definedName name="UFPrn20040112205154">#REF!</definedName>
    <definedName name="UFPrn20040112205239" localSheetId="18">#REF!</definedName>
    <definedName name="UFPrn20040112205239" localSheetId="15">#REF!</definedName>
    <definedName name="UFPrn20040112205239" localSheetId="16">#REF!</definedName>
    <definedName name="UFPrn20040112205239" localSheetId="14">#REF!</definedName>
    <definedName name="UFPrn20040112205239">#REF!</definedName>
    <definedName name="UFPrn20040112214910" localSheetId="18">#REF!</definedName>
    <definedName name="UFPrn20040112214910" localSheetId="15">#REF!</definedName>
    <definedName name="UFPrn20040112214910" localSheetId="16">#REF!</definedName>
    <definedName name="UFPrn20040112214910" localSheetId="14">#REF!</definedName>
    <definedName name="UFPrn20040112214910">#REF!</definedName>
    <definedName name="UFPrn20040131134258" localSheetId="18">#REF!</definedName>
    <definedName name="UFPrn20040131134258" localSheetId="15">#REF!</definedName>
    <definedName name="UFPrn20040131134258" localSheetId="16">#REF!</definedName>
    <definedName name="UFPrn20040131134258" localSheetId="14">#REF!</definedName>
    <definedName name="UFPrn20040131134258">#REF!</definedName>
    <definedName name="UFPrn20040203083911" localSheetId="18">#REF!</definedName>
    <definedName name="UFPrn20040203083911" localSheetId="15">#REF!</definedName>
    <definedName name="UFPrn20040203083911" localSheetId="16">#REF!</definedName>
    <definedName name="UFPrn20040203083911" localSheetId="14">#REF!</definedName>
    <definedName name="UFPrn20040203083911">#REF!</definedName>
    <definedName name="UFPrn20040203084057" localSheetId="18">#REF!</definedName>
    <definedName name="UFPrn20040203084057" localSheetId="15">#REF!</definedName>
    <definedName name="UFPrn20040203084057" localSheetId="16">#REF!</definedName>
    <definedName name="UFPrn20040203084057" localSheetId="14">#REF!</definedName>
    <definedName name="UFPrn20040203084057">#REF!</definedName>
    <definedName name="UFPrn20040203084218" localSheetId="18">#REF!</definedName>
    <definedName name="UFPrn20040203084218" localSheetId="15">#REF!</definedName>
    <definedName name="UFPrn20040203084218" localSheetId="16">#REF!</definedName>
    <definedName name="UFPrn20040203084218" localSheetId="14">#REF!</definedName>
    <definedName name="UFPrn20040203084218">#REF!</definedName>
    <definedName name="UFPrn20040203085144" localSheetId="18">#REF!</definedName>
    <definedName name="UFPrn20040203085144" localSheetId="15">#REF!</definedName>
    <definedName name="UFPrn20040203085144" localSheetId="16">#REF!</definedName>
    <definedName name="UFPrn20040203085144" localSheetId="14">#REF!</definedName>
    <definedName name="UFPrn20040203085144">#REF!</definedName>
    <definedName name="UFPrn20040203085827" localSheetId="18">#REF!</definedName>
    <definedName name="UFPrn20040203085827" localSheetId="15">#REF!</definedName>
    <definedName name="UFPrn20040203085827" localSheetId="16">#REF!</definedName>
    <definedName name="UFPrn20040203085827" localSheetId="14">#REF!</definedName>
    <definedName name="UFPrn20040203085827">#REF!</definedName>
    <definedName name="UFPrn20040203092053" localSheetId="18">#REF!</definedName>
    <definedName name="UFPrn20040203092053" localSheetId="15">#REF!</definedName>
    <definedName name="UFPrn20040203092053" localSheetId="16">#REF!</definedName>
    <definedName name="UFPrn20040203092053" localSheetId="14">#REF!</definedName>
    <definedName name="UFPrn20040203092053">#REF!</definedName>
    <definedName name="UFPrn20040203092106" localSheetId="18">#REF!</definedName>
    <definedName name="UFPrn20040203092106" localSheetId="15">#REF!</definedName>
    <definedName name="UFPrn20040203092106" localSheetId="16">#REF!</definedName>
    <definedName name="UFPrn20040203092106" localSheetId="14">#REF!</definedName>
    <definedName name="UFPrn20040203092106">#REF!</definedName>
    <definedName name="UFPrn20040203092115" localSheetId="18">#REF!</definedName>
    <definedName name="UFPrn20040203092115" localSheetId="15">#REF!</definedName>
    <definedName name="UFPrn20040203092115" localSheetId="16">#REF!</definedName>
    <definedName name="UFPrn20040203092115" localSheetId="14">#REF!</definedName>
    <definedName name="UFPrn20040203092115">#REF!</definedName>
    <definedName name="UFPrn20040203111721" localSheetId="18">#REF!</definedName>
    <definedName name="UFPrn20040203111721" localSheetId="15">#REF!</definedName>
    <definedName name="UFPrn20040203111721" localSheetId="16">#REF!</definedName>
    <definedName name="UFPrn20040203111721" localSheetId="14">#REF!</definedName>
    <definedName name="UFPrn20040203111721">#REF!</definedName>
    <definedName name="UFPrn20040203114510" localSheetId="18">#REF!</definedName>
    <definedName name="UFPrn20040203114510" localSheetId="15">#REF!</definedName>
    <definedName name="UFPrn20040203114510" localSheetId="16">#REF!</definedName>
    <definedName name="UFPrn20040203114510" localSheetId="14">#REF!</definedName>
    <definedName name="UFPrn20040203114510">#REF!</definedName>
    <definedName name="UFPrn20040203114521" localSheetId="18">#REF!</definedName>
    <definedName name="UFPrn20040203114521" localSheetId="15">#REF!</definedName>
    <definedName name="UFPrn20040203114521" localSheetId="16">#REF!</definedName>
    <definedName name="UFPrn20040203114521" localSheetId="14">#REF!</definedName>
    <definedName name="UFPrn20040203114521">#REF!</definedName>
    <definedName name="UFPrn20040203114531" localSheetId="18">#REF!</definedName>
    <definedName name="UFPrn20040203114531" localSheetId="15">#REF!</definedName>
    <definedName name="UFPrn20040203114531" localSheetId="16">#REF!</definedName>
    <definedName name="UFPrn20040203114531" localSheetId="14">#REF!</definedName>
    <definedName name="UFPrn20040203114531">#REF!</definedName>
    <definedName name="UFPrn20040203114539" localSheetId="18">#REF!</definedName>
    <definedName name="UFPrn20040203114539" localSheetId="15">#REF!</definedName>
    <definedName name="UFPrn20040203114539" localSheetId="16">#REF!</definedName>
    <definedName name="UFPrn20040203114539" localSheetId="14">#REF!</definedName>
    <definedName name="UFPrn20040203114539">#REF!</definedName>
    <definedName name="UFPrn20040203114547" localSheetId="18">#REF!</definedName>
    <definedName name="UFPrn20040203114547" localSheetId="15">#REF!</definedName>
    <definedName name="UFPrn20040203114547" localSheetId="16">#REF!</definedName>
    <definedName name="UFPrn20040203114547" localSheetId="14">#REF!</definedName>
    <definedName name="UFPrn20040203114547">#REF!</definedName>
    <definedName name="UFPrn20040203115008" localSheetId="18">#REF!</definedName>
    <definedName name="UFPrn20040203115008" localSheetId="15">#REF!</definedName>
    <definedName name="UFPrn20040203115008" localSheetId="16">#REF!</definedName>
    <definedName name="UFPrn20040203115008" localSheetId="14">#REF!</definedName>
    <definedName name="UFPrn20040203115008">#REF!</definedName>
    <definedName name="UFPrn20040203115017" localSheetId="18">#REF!</definedName>
    <definedName name="UFPrn20040203115017" localSheetId="15">#REF!</definedName>
    <definedName name="UFPrn20040203115017" localSheetId="16">#REF!</definedName>
    <definedName name="UFPrn20040203115017" localSheetId="14">#REF!</definedName>
    <definedName name="UFPrn20040203115017">#REF!</definedName>
    <definedName name="UFPrn20040203115024" localSheetId="18">#REF!</definedName>
    <definedName name="UFPrn20040203115024" localSheetId="15">#REF!</definedName>
    <definedName name="UFPrn20040203115024" localSheetId="16">#REF!</definedName>
    <definedName name="UFPrn20040203115024" localSheetId="14">#REF!</definedName>
    <definedName name="UFPrn20040203115024">#REF!</definedName>
    <definedName name="UFPrn20040203171923" localSheetId="18">#REF!</definedName>
    <definedName name="UFPrn20040203171923" localSheetId="15">#REF!</definedName>
    <definedName name="UFPrn20040203171923" localSheetId="16">#REF!</definedName>
    <definedName name="UFPrn20040203171923" localSheetId="14">#REF!</definedName>
    <definedName name="UFPrn20040203171923">#REF!</definedName>
    <definedName name="UFPrn20040204090230" localSheetId="18">#REF!</definedName>
    <definedName name="UFPrn20040204090230" localSheetId="15">#REF!</definedName>
    <definedName name="UFPrn20040204090230" localSheetId="16">#REF!</definedName>
    <definedName name="UFPrn20040204090230" localSheetId="14">#REF!</definedName>
    <definedName name="UFPrn20040204090230">#REF!</definedName>
    <definedName name="UFPrn20040204091000" localSheetId="18">#REF!</definedName>
    <definedName name="UFPrn20040204091000" localSheetId="15">#REF!</definedName>
    <definedName name="UFPrn20040204091000" localSheetId="16">#REF!</definedName>
    <definedName name="UFPrn20040204091000" localSheetId="14">#REF!</definedName>
    <definedName name="UFPrn20040204091000">#REF!</definedName>
    <definedName name="UFPrn20040204091359" localSheetId="18">#REF!</definedName>
    <definedName name="UFPrn20040204091359" localSheetId="15">#REF!</definedName>
    <definedName name="UFPrn20040204091359" localSheetId="16">#REF!</definedName>
    <definedName name="UFPrn20040204091359" localSheetId="14">#REF!</definedName>
    <definedName name="UFPrn20040204091359">#REF!</definedName>
    <definedName name="UFPrn20040204091448" localSheetId="18">#REF!</definedName>
    <definedName name="UFPrn20040204091448" localSheetId="15">#REF!</definedName>
    <definedName name="UFPrn20040204091448" localSheetId="16">#REF!</definedName>
    <definedName name="UFPrn20040204091448" localSheetId="14">#REF!</definedName>
    <definedName name="UFPrn20040204091448">#REF!</definedName>
    <definedName name="UFPrn20040204100807" localSheetId="18">#REF!</definedName>
    <definedName name="UFPrn20040204100807" localSheetId="15">#REF!</definedName>
    <definedName name="UFPrn20040204100807" localSheetId="16">#REF!</definedName>
    <definedName name="UFPrn20040204100807" localSheetId="14">#REF!</definedName>
    <definedName name="UFPrn20040204100807">#REF!</definedName>
    <definedName name="UFPrn20040204101833" localSheetId="18">#REF!</definedName>
    <definedName name="UFPrn20040204101833" localSheetId="15">#REF!</definedName>
    <definedName name="UFPrn20040204101833" localSheetId="16">#REF!</definedName>
    <definedName name="UFPrn20040204101833" localSheetId="14">#REF!</definedName>
    <definedName name="UFPrn20040204101833">#REF!</definedName>
    <definedName name="UFPrn20040309115536" localSheetId="18">#REF!</definedName>
    <definedName name="UFPrn20040309115536" localSheetId="15">#REF!</definedName>
    <definedName name="UFPrn20040309115536" localSheetId="16">#REF!</definedName>
    <definedName name="UFPrn20040309115536" localSheetId="14">#REF!</definedName>
    <definedName name="UFPrn20040309115536">#REF!</definedName>
    <definedName name="UFPrn20040309120430" localSheetId="18">#REF!</definedName>
    <definedName name="UFPrn20040309120430" localSheetId="15">#REF!</definedName>
    <definedName name="UFPrn20040309120430" localSheetId="16">#REF!</definedName>
    <definedName name="UFPrn20040309120430" localSheetId="14">#REF!</definedName>
    <definedName name="UFPrn20040309120430">#REF!</definedName>
    <definedName name="UFPrn20040422164214" localSheetId="18">#REF!</definedName>
    <definedName name="UFPrn20040422164214" localSheetId="15">#REF!</definedName>
    <definedName name="UFPrn20040422164214" localSheetId="16">#REF!</definedName>
    <definedName name="UFPrn20040422164214" localSheetId="14">#REF!</definedName>
    <definedName name="UFPrn20040422164214">#REF!</definedName>
    <definedName name="UFPrn20041204132351" localSheetId="18">#REF!</definedName>
    <definedName name="UFPrn20041204132351" localSheetId="15">#REF!</definedName>
    <definedName name="UFPrn20041204132351" localSheetId="16">#REF!</definedName>
    <definedName name="UFPrn20041204132351" localSheetId="14">#REF!</definedName>
    <definedName name="UFPrn20041204132351">#REF!</definedName>
    <definedName name="UFPrn20070117080842" localSheetId="18">#REF!</definedName>
    <definedName name="UFPrn20070117080842" localSheetId="15">#REF!</definedName>
    <definedName name="UFPrn20070117080842" localSheetId="16">#REF!</definedName>
    <definedName name="UFPrn20070117080842" localSheetId="14">#REF!</definedName>
    <definedName name="UFPrn20070117080842">#REF!</definedName>
    <definedName name="UFPrn20071130091947" localSheetId="18">#REF!</definedName>
    <definedName name="UFPrn20071130091947" localSheetId="15">#REF!</definedName>
    <definedName name="UFPrn20071130091947" localSheetId="16">#REF!</definedName>
    <definedName name="UFPrn20071130091947" localSheetId="14">#REF!</definedName>
    <definedName name="UFPrn20071130091947">#REF!</definedName>
    <definedName name="UFPrn20071206092517" localSheetId="18">#REF!</definedName>
    <definedName name="UFPrn20071206092517" localSheetId="15">#REF!</definedName>
    <definedName name="UFPrn20071206092517" localSheetId="16">#REF!</definedName>
    <definedName name="UFPrn20071206092517" localSheetId="14">#REF!</definedName>
    <definedName name="UFPrn20071206092517">#REF!</definedName>
    <definedName name="UFPrn20071206093919" localSheetId="18">#REF!</definedName>
    <definedName name="UFPrn20071206093919" localSheetId="15">#REF!</definedName>
    <definedName name="UFPrn20071206093919" localSheetId="16">#REF!</definedName>
    <definedName name="UFPrn20071206093919" localSheetId="14">#REF!</definedName>
    <definedName name="UFPrn20071206093919">#REF!</definedName>
    <definedName name="UFPrn20071206102243" localSheetId="18">#REF!</definedName>
    <definedName name="UFPrn20071206102243" localSheetId="15">#REF!</definedName>
    <definedName name="UFPrn20071206102243" localSheetId="16">#REF!</definedName>
    <definedName name="UFPrn20071206102243" localSheetId="14">#REF!</definedName>
    <definedName name="UFPrn20071206102243">#REF!</definedName>
    <definedName name="UFPrn20071207163914" localSheetId="18">#REF!</definedName>
    <definedName name="UFPrn20071207163914" localSheetId="15">#REF!</definedName>
    <definedName name="UFPrn20071207163914" localSheetId="16">#REF!</definedName>
    <definedName name="UFPrn20071207163914" localSheetId="14">#REF!</definedName>
    <definedName name="UFPrn20071207163914">#REF!</definedName>
    <definedName name="UFPrn20071207172623" localSheetId="18">#REF!</definedName>
    <definedName name="UFPrn20071207172623" localSheetId="15">#REF!</definedName>
    <definedName name="UFPrn20071207172623" localSheetId="16">#REF!</definedName>
    <definedName name="UFPrn20071207172623" localSheetId="14">#REF!</definedName>
    <definedName name="UFPrn20071207172623">#REF!</definedName>
    <definedName name="UFPrn20071207172819" localSheetId="18">#REF!</definedName>
    <definedName name="UFPrn20071207172819" localSheetId="15">#REF!</definedName>
    <definedName name="UFPrn20071207172819" localSheetId="16">#REF!</definedName>
    <definedName name="UFPrn20071207172819" localSheetId="14">#REF!</definedName>
    <definedName name="UFPrn20071207172819">#REF!</definedName>
    <definedName name="UFPrn20071207172912" localSheetId="18">#REF!</definedName>
    <definedName name="UFPrn20071207172912" localSheetId="15">#REF!</definedName>
    <definedName name="UFPrn20071207172912" localSheetId="16">#REF!</definedName>
    <definedName name="UFPrn20071207172912" localSheetId="14">#REF!</definedName>
    <definedName name="UFPrn20071207172912">#REF!</definedName>
    <definedName name="UFPrn20071207172949" localSheetId="18">#REF!</definedName>
    <definedName name="UFPrn20071207172949" localSheetId="15">#REF!</definedName>
    <definedName name="UFPrn20071207172949" localSheetId="16">#REF!</definedName>
    <definedName name="UFPrn20071207172949" localSheetId="14">#REF!</definedName>
    <definedName name="UFPrn20071207172949">#REF!</definedName>
    <definedName name="UFPrn20071207173046" localSheetId="18">#REF!</definedName>
    <definedName name="UFPrn20071207173046" localSheetId="15">#REF!</definedName>
    <definedName name="UFPrn20071207173046" localSheetId="16">#REF!</definedName>
    <definedName name="UFPrn20071207173046" localSheetId="14">#REF!</definedName>
    <definedName name="UFPrn20071207173046">#REF!</definedName>
    <definedName name="UFPrn20071207173115" localSheetId="18">#REF!</definedName>
    <definedName name="UFPrn20071207173115" localSheetId="15">#REF!</definedName>
    <definedName name="UFPrn20071207173115" localSheetId="16">#REF!</definedName>
    <definedName name="UFPrn20071207173115" localSheetId="14">#REF!</definedName>
    <definedName name="UFPrn20071207173115">#REF!</definedName>
    <definedName name="UFPrn20071207173157" localSheetId="18">#REF!</definedName>
    <definedName name="UFPrn20071207173157" localSheetId="15">#REF!</definedName>
    <definedName name="UFPrn20071207173157" localSheetId="16">#REF!</definedName>
    <definedName name="UFPrn20071207173157" localSheetId="14">#REF!</definedName>
    <definedName name="UFPrn20071207173157">#REF!</definedName>
    <definedName name="UFPrn20071207173239" localSheetId="18">#REF!</definedName>
    <definedName name="UFPrn20071207173239" localSheetId="15">#REF!</definedName>
    <definedName name="UFPrn20071207173239" localSheetId="16">#REF!</definedName>
    <definedName name="UFPrn20071207173239" localSheetId="14">#REF!</definedName>
    <definedName name="UFPrn20071207173239">#REF!</definedName>
    <definedName name="UFPrn20071207173354" localSheetId="18">#REF!</definedName>
    <definedName name="UFPrn20071207173354" localSheetId="15">#REF!</definedName>
    <definedName name="UFPrn20071207173354" localSheetId="16">#REF!</definedName>
    <definedName name="UFPrn20071207173354" localSheetId="14">#REF!</definedName>
    <definedName name="UFPrn20071207173354">#REF!</definedName>
    <definedName name="UFPrn20071207173500" localSheetId="18">#REF!</definedName>
    <definedName name="UFPrn20071207173500" localSheetId="15">#REF!</definedName>
    <definedName name="UFPrn20071207173500" localSheetId="16">#REF!</definedName>
    <definedName name="UFPrn20071207173500" localSheetId="14">#REF!</definedName>
    <definedName name="UFPrn20071207173500">#REF!</definedName>
    <definedName name="UFPrn20071207173620" localSheetId="18">#REF!</definedName>
    <definedName name="UFPrn20071207173620" localSheetId="15">#REF!</definedName>
    <definedName name="UFPrn20071207173620" localSheetId="16">#REF!</definedName>
    <definedName name="UFPrn20071207173620" localSheetId="14">#REF!</definedName>
    <definedName name="UFPrn20071207173620">#REF!</definedName>
    <definedName name="UFPrn20071207173717" localSheetId="18">#REF!</definedName>
    <definedName name="UFPrn20071207173717" localSheetId="15">#REF!</definedName>
    <definedName name="UFPrn20071207173717" localSheetId="16">#REF!</definedName>
    <definedName name="UFPrn20071207173717" localSheetId="14">#REF!</definedName>
    <definedName name="UFPrn20071207173717">#REF!</definedName>
    <definedName name="UFPrn20071207173809" localSheetId="18">#REF!</definedName>
    <definedName name="UFPrn20071207173809" localSheetId="15">#REF!</definedName>
    <definedName name="UFPrn20071207173809" localSheetId="16">#REF!</definedName>
    <definedName name="UFPrn20071207173809" localSheetId="14">#REF!</definedName>
    <definedName name="UFPrn20071207173809">#REF!</definedName>
    <definedName name="UFPrn20071221094313" localSheetId="18">#REF!</definedName>
    <definedName name="UFPrn20071221094313" localSheetId="15">#REF!</definedName>
    <definedName name="UFPrn20071221094313" localSheetId="16">#REF!</definedName>
    <definedName name="UFPrn20071221094313" localSheetId="14">#REF!</definedName>
    <definedName name="UFPrn20071221094313">#REF!</definedName>
    <definedName name="UFPrn20071221095329" localSheetId="18">#REF!</definedName>
    <definedName name="UFPrn20071221095329" localSheetId="15">#REF!</definedName>
    <definedName name="UFPrn20071221095329" localSheetId="16">#REF!</definedName>
    <definedName name="UFPrn20071221095329" localSheetId="14">#REF!</definedName>
    <definedName name="UFPrn20071221095329">#REF!</definedName>
    <definedName name="UFPrn20071222094835" localSheetId="18">#REF!</definedName>
    <definedName name="UFPrn20071222094835" localSheetId="15">#REF!</definedName>
    <definedName name="UFPrn20071222094835" localSheetId="16">#REF!</definedName>
    <definedName name="UFPrn20071222094835" localSheetId="14">#REF!</definedName>
    <definedName name="UFPrn20071222094835">#REF!</definedName>
    <definedName name="UFPrn20071224161522" localSheetId="18">#REF!</definedName>
    <definedName name="UFPrn20071224161522" localSheetId="15">#REF!</definedName>
    <definedName name="UFPrn20071224161522" localSheetId="16">#REF!</definedName>
    <definedName name="UFPrn20071224161522" localSheetId="14">#REF!</definedName>
    <definedName name="UFPrn20071224161522">#REF!</definedName>
    <definedName name="UFPrn20071224161757" localSheetId="18">#REF!</definedName>
    <definedName name="UFPrn20071224161757" localSheetId="15">#REF!</definedName>
    <definedName name="UFPrn20071224161757" localSheetId="16">#REF!</definedName>
    <definedName name="UFPrn20071224161757" localSheetId="14">#REF!</definedName>
    <definedName name="UFPrn20071224161757">#REF!</definedName>
    <definedName name="UFPrn20080104081834" localSheetId="18">#REF!</definedName>
    <definedName name="UFPrn20080104081834" localSheetId="15">#REF!</definedName>
    <definedName name="UFPrn20080104081834" localSheetId="16">#REF!</definedName>
    <definedName name="UFPrn20080104081834" localSheetId="14">#REF!</definedName>
    <definedName name="UFPrn20080104081834">#REF!</definedName>
    <definedName name="UFPrn20080104081933" localSheetId="18">#REF!</definedName>
    <definedName name="UFPrn20080104081933" localSheetId="15">#REF!</definedName>
    <definedName name="UFPrn20080104081933" localSheetId="16">#REF!</definedName>
    <definedName name="UFPrn20080104081933" localSheetId="14">#REF!</definedName>
    <definedName name="UFPrn20080104081933">#REF!</definedName>
    <definedName name="UFPrn20080104082156" localSheetId="18">#REF!</definedName>
    <definedName name="UFPrn20080104082156" localSheetId="15">#REF!</definedName>
    <definedName name="UFPrn20080104082156" localSheetId="16">#REF!</definedName>
    <definedName name="UFPrn20080104082156" localSheetId="14">#REF!</definedName>
    <definedName name="UFPrn20080104082156">#REF!</definedName>
    <definedName name="UFPrn20080104082558" localSheetId="18">#REF!</definedName>
    <definedName name="UFPrn20080104082558" localSheetId="15">#REF!</definedName>
    <definedName name="UFPrn20080104082558" localSheetId="16">#REF!</definedName>
    <definedName name="UFPrn20080104082558" localSheetId="14">#REF!</definedName>
    <definedName name="UFPrn20080104082558">#REF!</definedName>
    <definedName name="UFPrn20080104084124" localSheetId="18">#REF!</definedName>
    <definedName name="UFPrn20080104084124" localSheetId="15">#REF!</definedName>
    <definedName name="UFPrn20080104084124" localSheetId="16">#REF!</definedName>
    <definedName name="UFPrn20080104084124" localSheetId="14">#REF!</definedName>
    <definedName name="UFPrn20080104084124">#REF!</definedName>
    <definedName name="UFPrn20080104084219" localSheetId="18">#REF!</definedName>
    <definedName name="UFPrn20080104084219" localSheetId="15">#REF!</definedName>
    <definedName name="UFPrn20080104084219" localSheetId="16">#REF!</definedName>
    <definedName name="UFPrn20080104084219" localSheetId="14">#REF!</definedName>
    <definedName name="UFPrn20080104084219">#REF!</definedName>
    <definedName name="UFPrn20080107095055" localSheetId="18">#REF!</definedName>
    <definedName name="UFPrn20080107095055" localSheetId="15">#REF!</definedName>
    <definedName name="UFPrn20080107095055" localSheetId="16">#REF!</definedName>
    <definedName name="UFPrn20080107095055" localSheetId="14">#REF!</definedName>
    <definedName name="UFPrn20080107095055">#REF!</definedName>
    <definedName name="UFPrn20080113103652" localSheetId="18">#REF!</definedName>
    <definedName name="UFPrn20080113103652" localSheetId="15">#REF!</definedName>
    <definedName name="UFPrn20080113103652" localSheetId="16">#REF!</definedName>
    <definedName name="UFPrn20080113103652" localSheetId="14">#REF!</definedName>
    <definedName name="UFPrn20080113103652">#REF!</definedName>
    <definedName name="UFPrn20080113104523" localSheetId="18">#REF!</definedName>
    <definedName name="UFPrn20080113104523" localSheetId="15">#REF!</definedName>
    <definedName name="UFPrn20080113104523" localSheetId="16">#REF!</definedName>
    <definedName name="UFPrn20080113104523" localSheetId="14">#REF!</definedName>
    <definedName name="UFPrn20080113104523">#REF!</definedName>
    <definedName name="UFPrn20080113105912" localSheetId="18">#REF!</definedName>
    <definedName name="UFPrn20080113105912" localSheetId="15">#REF!</definedName>
    <definedName name="UFPrn20080113105912" localSheetId="16">#REF!</definedName>
    <definedName name="UFPrn20080113105912" localSheetId="14">#REF!</definedName>
    <definedName name="UFPrn20080113105912">#REF!</definedName>
    <definedName name="UFPrn20080113110016" localSheetId="18">#REF!</definedName>
    <definedName name="UFPrn20080113110016" localSheetId="15">#REF!</definedName>
    <definedName name="UFPrn20080113110016" localSheetId="16">#REF!</definedName>
    <definedName name="UFPrn20080113110016" localSheetId="14">#REF!</definedName>
    <definedName name="UFPrn20080113110016">#REF!</definedName>
    <definedName name="UFPrn20080113110104" localSheetId="18">#REF!</definedName>
    <definedName name="UFPrn20080113110104" localSheetId="15">#REF!</definedName>
    <definedName name="UFPrn20080113110104" localSheetId="16">#REF!</definedName>
    <definedName name="UFPrn20080113110104" localSheetId="14">#REF!</definedName>
    <definedName name="UFPrn20080113110104">#REF!</definedName>
    <definedName name="UFPrn20080113110200" localSheetId="18">#REF!</definedName>
    <definedName name="UFPrn20080113110200" localSheetId="15">#REF!</definedName>
    <definedName name="UFPrn20080113110200" localSheetId="16">#REF!</definedName>
    <definedName name="UFPrn20080113110200" localSheetId="14">#REF!</definedName>
    <definedName name="UFPrn20080113110200">#REF!</definedName>
    <definedName name="UFPrn20080118100732" localSheetId="18">#REF!</definedName>
    <definedName name="UFPrn20080118100732" localSheetId="15">#REF!</definedName>
    <definedName name="UFPrn20080118100732" localSheetId="16">#REF!</definedName>
    <definedName name="UFPrn20080118100732" localSheetId="14">#REF!</definedName>
    <definedName name="UFPrn20080118100732">#REF!</definedName>
    <definedName name="UFPrn20080119103223" localSheetId="18">#REF!</definedName>
    <definedName name="UFPrn20080119103223" localSheetId="15">#REF!</definedName>
    <definedName name="UFPrn20080119103223" localSheetId="16">#REF!</definedName>
    <definedName name="UFPrn20080119103223" localSheetId="14">#REF!</definedName>
    <definedName name="UFPrn20080119103223">#REF!</definedName>
    <definedName name="UFPrn20080119103541" localSheetId="18">#REF!</definedName>
    <definedName name="UFPrn20080119103541" localSheetId="15">#REF!</definedName>
    <definedName name="UFPrn20080119103541" localSheetId="16">#REF!</definedName>
    <definedName name="UFPrn20080119103541" localSheetId="14">#REF!</definedName>
    <definedName name="UFPrn20080119103541">#REF!</definedName>
    <definedName name="uihelfiuhas" localSheetId="18">#REF!</definedName>
    <definedName name="uihelfiuhas" localSheetId="15">#REF!</definedName>
    <definedName name="uihelfiuhas" localSheetId="16">#REF!</definedName>
    <definedName name="uihelfiuhas" localSheetId="14">#REF!</definedName>
    <definedName name="uihelfiuhas">#REF!</definedName>
    <definedName name="uko" localSheetId="18">#REF!,#REF!</definedName>
    <definedName name="uko" localSheetId="15">#REF!,#REF!</definedName>
    <definedName name="uko" localSheetId="16">#REF!,#REF!</definedName>
    <definedName name="uko" localSheetId="14">#REF!,#REF!</definedName>
    <definedName name="uko">#REF!,#REF!</definedName>
    <definedName name="USD" localSheetId="18">#REF!</definedName>
    <definedName name="USD" localSheetId="15">#REF!</definedName>
    <definedName name="USD" localSheetId="16">#REF!</definedName>
    <definedName name="USD" localSheetId="14">#REF!</definedName>
    <definedName name="USD">#REF!</definedName>
    <definedName name="uuu" localSheetId="18">#REF!</definedName>
    <definedName name="uuu" localSheetId="15">#REF!</definedName>
    <definedName name="uuu" localSheetId="16">#REF!</definedName>
    <definedName name="uuu" localSheetId="14">#REF!</definedName>
    <definedName name="uuu">#REF!</definedName>
    <definedName name="VALID01234" localSheetId="18">#REF!,#REF!</definedName>
    <definedName name="VALID01234" localSheetId="15">#REF!,#REF!</definedName>
    <definedName name="VALID01234" localSheetId="16">#REF!,#REF!</definedName>
    <definedName name="VALID01234" localSheetId="14">#REF!,#REF!</definedName>
    <definedName name="VALID01234">#REF!,#REF!</definedName>
    <definedName name="value">3</definedName>
    <definedName name="versionno">1</definedName>
    <definedName name="vvvvvvvvvv" localSheetId="18">#REF!</definedName>
    <definedName name="vvvvvvvvvv" localSheetId="15">#REF!</definedName>
    <definedName name="vvvvvvvvvv" localSheetId="16">#REF!</definedName>
    <definedName name="vvvvvvvvvv" localSheetId="14">#REF!</definedName>
    <definedName name="vvvvvvvvvv">#REF!</definedName>
    <definedName name="w" localSheetId="11" hidden="1">{#N/A,#N/A,FALSE,"OffAdvance";#N/A,#N/A,FALSE,"OffExpRprt";#N/A,#N/A,FALSE,"Entertmnt";#N/A,#N/A,FALSE,"Promotion";#N/A,#N/A,FALSE,"Travelling"}</definedName>
    <definedName name="w" localSheetId="17" hidden="1">{#N/A,#N/A,FALSE,"OffAdvance";#N/A,#N/A,FALSE,"OffExpRprt";#N/A,#N/A,FALSE,"Entertmnt";#N/A,#N/A,FALSE,"Promotion";#N/A,#N/A,FALSE,"Travelling"}</definedName>
    <definedName name="w" localSheetId="10" hidden="1">{#N/A,#N/A,FALSE,"OffAdvance";#N/A,#N/A,FALSE,"OffExpRprt";#N/A,#N/A,FALSE,"Entertmnt";#N/A,#N/A,FALSE,"Promotion";#N/A,#N/A,FALSE,"Travelling"}</definedName>
    <definedName name="w" localSheetId="20" hidden="1">{#N/A,#N/A,FALSE,"OffAdvance";#N/A,#N/A,FALSE,"OffExpRprt";#N/A,#N/A,FALSE,"Entertmnt";#N/A,#N/A,FALSE,"Promotion";#N/A,#N/A,FALSE,"Travelling"}</definedName>
    <definedName name="w" localSheetId="18" hidden="1">{#N/A,#N/A,FALSE,"OffAdvance";#N/A,#N/A,FALSE,"OffExpRprt";#N/A,#N/A,FALSE,"Entertmnt";#N/A,#N/A,FALSE,"Promotion";#N/A,#N/A,FALSE,"Travelling"}</definedName>
    <definedName name="w" localSheetId="19" hidden="1">{#N/A,#N/A,FALSE,"OffAdvance";#N/A,#N/A,FALSE,"OffExpRprt";#N/A,#N/A,FALSE,"Entertmnt";#N/A,#N/A,FALSE,"Promotion";#N/A,#N/A,FALSE,"Travelling"}</definedName>
    <definedName name="w" localSheetId="13" hidden="1">{#N/A,#N/A,FALSE,"OffAdvance";#N/A,#N/A,FALSE,"OffExpRprt";#N/A,#N/A,FALSE,"Entertmnt";#N/A,#N/A,FALSE,"Promotion";#N/A,#N/A,FALSE,"Travelling"}</definedName>
    <definedName name="w" hidden="1">{#N/A,#N/A,FALSE,"OffAdvance";#N/A,#N/A,FALSE,"OffExpRprt";#N/A,#N/A,FALSE,"Entertmnt";#N/A,#N/A,FALSE,"Promotion";#N/A,#N/A,FALSE,"Travelling"}</definedName>
    <definedName name="we" localSheetId="18">#REF!</definedName>
    <definedName name="we" localSheetId="15">#REF!</definedName>
    <definedName name="we" localSheetId="16">#REF!</definedName>
    <definedName name="we" localSheetId="14">#REF!</definedName>
    <definedName name="we">#REF!</definedName>
    <definedName name="weer" localSheetId="18">#REF!</definedName>
    <definedName name="weer" localSheetId="15">#REF!</definedName>
    <definedName name="weer" localSheetId="16">#REF!</definedName>
    <definedName name="weer" localSheetId="14">#REF!</definedName>
    <definedName name="weer">#REF!</definedName>
    <definedName name="werwefasd" localSheetId="18" hidden="1">#REF!</definedName>
    <definedName name="werwefasd" localSheetId="15" hidden="1">#REF!</definedName>
    <definedName name="werwefasd" localSheetId="16" hidden="1">#REF!</definedName>
    <definedName name="werwefasd" localSheetId="14" hidden="1">#REF!</definedName>
    <definedName name="werwefasd" hidden="1">#REF!</definedName>
    <definedName name="WON" localSheetId="18">#REF!</definedName>
    <definedName name="WON" localSheetId="15">#REF!</definedName>
    <definedName name="WON" localSheetId="16">#REF!</definedName>
    <definedName name="WON" localSheetId="14">#REF!</definedName>
    <definedName name="WON">#REF!</definedName>
    <definedName name="Work_Program_By_Area_List" localSheetId="18">#REF!</definedName>
    <definedName name="Work_Program_By_Area_List" localSheetId="15">#REF!</definedName>
    <definedName name="Work_Program_By_Area_List" localSheetId="16">#REF!</definedName>
    <definedName name="Work_Program_By_Area_List" localSheetId="14">#REF!</definedName>
    <definedName name="Work_Program_By_Area_List">#REF!</definedName>
    <definedName name="wrn.form." localSheetId="11" hidden="1">{#N/A,#N/A,FALSE,"OffAdvance";#N/A,#N/A,FALSE,"OffExpRprt";#N/A,#N/A,FALSE,"Entertmnt";#N/A,#N/A,FALSE,"Promotion";#N/A,#N/A,FALSE,"Travelling"}</definedName>
    <definedName name="wrn.form." localSheetId="17" hidden="1">{#N/A,#N/A,FALSE,"OffAdvance";#N/A,#N/A,FALSE,"OffExpRprt";#N/A,#N/A,FALSE,"Entertmnt";#N/A,#N/A,FALSE,"Promotion";#N/A,#N/A,FALSE,"Travelling"}</definedName>
    <definedName name="wrn.form." localSheetId="10" hidden="1">{#N/A,#N/A,FALSE,"OffAdvance";#N/A,#N/A,FALSE,"OffExpRprt";#N/A,#N/A,FALSE,"Entertmnt";#N/A,#N/A,FALSE,"Promotion";#N/A,#N/A,FALSE,"Travelling"}</definedName>
    <definedName name="wrn.form." localSheetId="20" hidden="1">{#N/A,#N/A,FALSE,"OffAdvance";#N/A,#N/A,FALSE,"OffExpRprt";#N/A,#N/A,FALSE,"Entertmnt";#N/A,#N/A,FALSE,"Promotion";#N/A,#N/A,FALSE,"Travelling"}</definedName>
    <definedName name="wrn.form." localSheetId="18" hidden="1">{#N/A,#N/A,FALSE,"OffAdvance";#N/A,#N/A,FALSE,"OffExpRprt";#N/A,#N/A,FALSE,"Entertmnt";#N/A,#N/A,FALSE,"Promotion";#N/A,#N/A,FALSE,"Travelling"}</definedName>
    <definedName name="wrn.form." localSheetId="19" hidden="1">{#N/A,#N/A,FALSE,"OffAdvance";#N/A,#N/A,FALSE,"OffExpRprt";#N/A,#N/A,FALSE,"Entertmnt";#N/A,#N/A,FALSE,"Promotion";#N/A,#N/A,FALSE,"Travelling"}</definedName>
    <definedName name="wrn.form." localSheetId="13"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11" hidden="1">{#N/A,#N/A,FALSE,"资产负债表";#N/A,#N/A,FALSE,"资产负债表"}</definedName>
    <definedName name="wrn.gb." localSheetId="17" hidden="1">{#N/A,#N/A,FALSE,"资产负债表";#N/A,#N/A,FALSE,"资产负债表"}</definedName>
    <definedName name="wrn.gb." localSheetId="10" hidden="1">{#N/A,#N/A,FALSE,"资产负债表";#N/A,#N/A,FALSE,"资产负债表"}</definedName>
    <definedName name="wrn.gb." localSheetId="20" hidden="1">{#N/A,#N/A,FALSE,"资产负债表";#N/A,#N/A,FALSE,"资产负债表"}</definedName>
    <definedName name="wrn.gb." localSheetId="18" hidden="1">{#N/A,#N/A,FALSE,"资产负债表";#N/A,#N/A,FALSE,"资产负债表"}</definedName>
    <definedName name="wrn.gb." localSheetId="19" hidden="1">{#N/A,#N/A,FALSE,"资产负债表";#N/A,#N/A,FALSE,"资产负债表"}</definedName>
    <definedName name="wrn.gb." localSheetId="13" hidden="1">{#N/A,#N/A,FALSE,"资产负债表";#N/A,#N/A,FALSE,"资产负债表"}</definedName>
    <definedName name="wrn.gb." hidden="1">{#N/A,#N/A,FALSE,"资产负债表";#N/A,#N/A,FALSE,"资产负债表"}</definedName>
    <definedName name="wrn.GM." localSheetId="11" hidden="1">{"capacity",#N/A,FALSE,"Guangzhou";"Volume",#N/A,FALSE,"Guangmei"}</definedName>
    <definedName name="wrn.GM." localSheetId="17" hidden="1">{"capacity",#N/A,FALSE,"Guangzhou";"Volume",#N/A,FALSE,"Guangmei"}</definedName>
    <definedName name="wrn.GM." localSheetId="10" hidden="1">{"capacity",#N/A,FALSE,"Guangzhou";"Volume",#N/A,FALSE,"Guangmei"}</definedName>
    <definedName name="wrn.GM." localSheetId="20" hidden="1">{"capacity",#N/A,FALSE,"Guangzhou";"Volume",#N/A,FALSE,"Guangmei"}</definedName>
    <definedName name="wrn.GM." localSheetId="18" hidden="1">{"capacity",#N/A,FALSE,"Guangzhou";"Volume",#N/A,FALSE,"Guangmei"}</definedName>
    <definedName name="wrn.GM." localSheetId="19" hidden="1">{"capacity",#N/A,FALSE,"Guangzhou";"Volume",#N/A,FALSE,"Guangmei"}</definedName>
    <definedName name="wrn.GM." localSheetId="13" hidden="1">{"capacity",#N/A,FALSE,"Guangzhou";"Volume",#N/A,FALSE,"Guangmei"}</definedName>
    <definedName name="wrn.GM." hidden="1">{"capacity",#N/A,FALSE,"Guangzhou";"Volume",#N/A,FALSE,"Guangmei"}</definedName>
    <definedName name="wrn.GZ." localSheetId="11" hidden="1">{"Volume",#N/A,FALSE,"Guangzhou";"capacity",#N/A,FALSE,"Guangzhou"}</definedName>
    <definedName name="wrn.GZ." localSheetId="17" hidden="1">{"Volume",#N/A,FALSE,"Guangzhou";"capacity",#N/A,FALSE,"Guangzhou"}</definedName>
    <definedName name="wrn.GZ." localSheetId="10" hidden="1">{"Volume",#N/A,FALSE,"Guangzhou";"capacity",#N/A,FALSE,"Guangzhou"}</definedName>
    <definedName name="wrn.GZ." localSheetId="20" hidden="1">{"Volume",#N/A,FALSE,"Guangzhou";"capacity",#N/A,FALSE,"Guangzhou"}</definedName>
    <definedName name="wrn.GZ." localSheetId="18" hidden="1">{"Volume",#N/A,FALSE,"Guangzhou";"capacity",#N/A,FALSE,"Guangzhou"}</definedName>
    <definedName name="wrn.GZ." localSheetId="19" hidden="1">{"Volume",#N/A,FALSE,"Guangzhou";"capacity",#N/A,FALSE,"Guangzhou"}</definedName>
    <definedName name="wrn.GZ." localSheetId="13" hidden="1">{"Volume",#N/A,FALSE,"Guangzhou";"capacity",#N/A,FALSE,"Guangzhou"}</definedName>
    <definedName name="wrn.GZ." hidden="1">{"Volume",#N/A,FALSE,"Guangzhou";"capacity",#N/A,FALSE,"Guangzhou"}</definedName>
    <definedName name="wrn.HF." localSheetId="11" hidden="1">{"capacity",#N/A,FALSE,"Hefei";"Volume",#N/A,FALSE,"Hefei"}</definedName>
    <definedName name="wrn.HF." localSheetId="17" hidden="1">{"capacity",#N/A,FALSE,"Hefei";"Volume",#N/A,FALSE,"Hefei"}</definedName>
    <definedName name="wrn.HF." localSheetId="10" hidden="1">{"capacity",#N/A,FALSE,"Hefei";"Volume",#N/A,FALSE,"Hefei"}</definedName>
    <definedName name="wrn.HF." localSheetId="20" hidden="1">{"capacity",#N/A,FALSE,"Hefei";"Volume",#N/A,FALSE,"Hefei"}</definedName>
    <definedName name="wrn.HF." localSheetId="18" hidden="1">{"capacity",#N/A,FALSE,"Hefei";"Volume",#N/A,FALSE,"Hefei"}</definedName>
    <definedName name="wrn.HF." localSheetId="19" hidden="1">{"capacity",#N/A,FALSE,"Hefei";"Volume",#N/A,FALSE,"Hefei"}</definedName>
    <definedName name="wrn.HF." localSheetId="13" hidden="1">{"capacity",#N/A,FALSE,"Hefei";"Volume",#N/A,FALSE,"Hefei"}</definedName>
    <definedName name="wrn.HF." hidden="1">{"capacity",#N/A,FALSE,"Hefei";"Volume",#N/A,FALSE,"Hefei"}</definedName>
    <definedName name="wrn.HZ." localSheetId="11" hidden="1">{"capacity",#N/A,FALSE,"Hangzhou";"volume",#N/A,FALSE,"Hangzhou"}</definedName>
    <definedName name="wrn.HZ." localSheetId="17" hidden="1">{"capacity",#N/A,FALSE,"Hangzhou";"volume",#N/A,FALSE,"Hangzhou"}</definedName>
    <definedName name="wrn.HZ." localSheetId="10" hidden="1">{"capacity",#N/A,FALSE,"Hangzhou";"volume",#N/A,FALSE,"Hangzhou"}</definedName>
    <definedName name="wrn.HZ." localSheetId="20" hidden="1">{"capacity",#N/A,FALSE,"Hangzhou";"volume",#N/A,FALSE,"Hangzhou"}</definedName>
    <definedName name="wrn.HZ." localSheetId="18" hidden="1">{"capacity",#N/A,FALSE,"Hangzhou";"volume",#N/A,FALSE,"Hangzhou"}</definedName>
    <definedName name="wrn.HZ." localSheetId="19" hidden="1">{"capacity",#N/A,FALSE,"Hangzhou";"volume",#N/A,FALSE,"Hangzhou"}</definedName>
    <definedName name="wrn.HZ." localSheetId="13" hidden="1">{"capacity",#N/A,FALSE,"Hangzhou";"volume",#N/A,FALSE,"Hangzhou"}</definedName>
    <definedName name="wrn.HZ." hidden="1">{"capacity",#N/A,FALSE,"Hangzhou";"volume",#N/A,FALSE,"Hangzhou"}</definedName>
    <definedName name="wrn.NJ." localSheetId="11" hidden="1">{"Volume",#N/A,FALSE,"Nanjing";"capacity",#N/A,FALSE,"Nanjing"}</definedName>
    <definedName name="wrn.NJ." localSheetId="17" hidden="1">{"Volume",#N/A,FALSE,"Nanjing";"capacity",#N/A,FALSE,"Nanjing"}</definedName>
    <definedName name="wrn.NJ." localSheetId="10" hidden="1">{"Volume",#N/A,FALSE,"Nanjing";"capacity",#N/A,FALSE,"Nanjing"}</definedName>
    <definedName name="wrn.NJ." localSheetId="20" hidden="1">{"Volume",#N/A,FALSE,"Nanjing";"capacity",#N/A,FALSE,"Nanjing"}</definedName>
    <definedName name="wrn.NJ." localSheetId="18" hidden="1">{"Volume",#N/A,FALSE,"Nanjing";"capacity",#N/A,FALSE,"Nanjing"}</definedName>
    <definedName name="wrn.NJ." localSheetId="19" hidden="1">{"Volume",#N/A,FALSE,"Nanjing";"capacity",#N/A,FALSE,"Nanjing"}</definedName>
    <definedName name="wrn.NJ." localSheetId="13" hidden="1">{"Volume",#N/A,FALSE,"Nanjing";"capacity",#N/A,FALSE,"Nanjing"}</definedName>
    <definedName name="wrn.NJ." hidden="1">{"Volume",#N/A,FALSE,"Nanjing";"capacity",#N/A,FALSE,"Nanjing"}</definedName>
    <definedName name="wrn.Office." localSheetId="11" hidden="1">{#N/A,#N/A,FALSE,"OffAdvance";#N/A,#N/A,FALSE,"OffExpRprt";#N/A,#N/A,FALSE,"Travelling";#N/A,#N/A,FALSE,"Entertmnt";#N/A,#N/A,FALSE,"Promotion"}</definedName>
    <definedName name="wrn.Office." localSheetId="17" hidden="1">{#N/A,#N/A,FALSE,"OffAdvance";#N/A,#N/A,FALSE,"OffExpRprt";#N/A,#N/A,FALSE,"Travelling";#N/A,#N/A,FALSE,"Entertmnt";#N/A,#N/A,FALSE,"Promotion"}</definedName>
    <definedName name="wrn.Office." localSheetId="10" hidden="1">{#N/A,#N/A,FALSE,"OffAdvance";#N/A,#N/A,FALSE,"OffExpRprt";#N/A,#N/A,FALSE,"Travelling";#N/A,#N/A,FALSE,"Entertmnt";#N/A,#N/A,FALSE,"Promotion"}</definedName>
    <definedName name="wrn.Office." localSheetId="20" hidden="1">{#N/A,#N/A,FALSE,"OffAdvance";#N/A,#N/A,FALSE,"OffExpRprt";#N/A,#N/A,FALSE,"Travelling";#N/A,#N/A,FALSE,"Entertmnt";#N/A,#N/A,FALSE,"Promotion"}</definedName>
    <definedName name="wrn.Office." localSheetId="18" hidden="1">{#N/A,#N/A,FALSE,"OffAdvance";#N/A,#N/A,FALSE,"OffExpRprt";#N/A,#N/A,FALSE,"Travelling";#N/A,#N/A,FALSE,"Entertmnt";#N/A,#N/A,FALSE,"Promotion"}</definedName>
    <definedName name="wrn.Office." localSheetId="19" hidden="1">{#N/A,#N/A,FALSE,"OffAdvance";#N/A,#N/A,FALSE,"OffExpRprt";#N/A,#N/A,FALSE,"Travelling";#N/A,#N/A,FALSE,"Entertmnt";#N/A,#N/A,FALSE,"Promotion"}</definedName>
    <definedName name="wrn.Office." localSheetId="13" hidden="1">{#N/A,#N/A,FALSE,"OffAdvance";#N/A,#N/A,FALSE,"OffExpRprt";#N/A,#N/A,FALSE,"Travelling";#N/A,#N/A,FALSE,"Entertmnt";#N/A,#N/A,FALSE,"Promotion"}</definedName>
    <definedName name="wrn.Office." hidden="1">{#N/A,#N/A,FALSE,"OffAdvance";#N/A,#N/A,FALSE,"OffExpRprt";#N/A,#N/A,FALSE,"Travelling";#N/A,#N/A,FALSE,"Entertmnt";#N/A,#N/A,FALSE,"Promotion"}</definedName>
    <definedName name="wrn.Sales." localSheetId="11" hidden="1">{#N/A,#N/A,FALSE,"Marketing";#N/A,#N/A,FALSE,"Selling";#N/A,#N/A,FALSE,"Promotional";#N/A,#N/A,FALSE,"Advertising"}</definedName>
    <definedName name="wrn.Sales." localSheetId="17" hidden="1">{#N/A,#N/A,FALSE,"Marketing";#N/A,#N/A,FALSE,"Selling";#N/A,#N/A,FALSE,"Promotional";#N/A,#N/A,FALSE,"Advertising"}</definedName>
    <definedName name="wrn.Sales." localSheetId="10" hidden="1">{#N/A,#N/A,FALSE,"Marketing";#N/A,#N/A,FALSE,"Selling";#N/A,#N/A,FALSE,"Promotional";#N/A,#N/A,FALSE,"Advertising"}</definedName>
    <definedName name="wrn.Sales." localSheetId="20" hidden="1">{#N/A,#N/A,FALSE,"Marketing";#N/A,#N/A,FALSE,"Selling";#N/A,#N/A,FALSE,"Promotional";#N/A,#N/A,FALSE,"Advertising"}</definedName>
    <definedName name="wrn.Sales." localSheetId="18" hidden="1">{#N/A,#N/A,FALSE,"Marketing";#N/A,#N/A,FALSE,"Selling";#N/A,#N/A,FALSE,"Promotional";#N/A,#N/A,FALSE,"Advertising"}</definedName>
    <definedName name="wrn.Sales." localSheetId="19" hidden="1">{#N/A,#N/A,FALSE,"Marketing";#N/A,#N/A,FALSE,"Selling";#N/A,#N/A,FALSE,"Promotional";#N/A,#N/A,FALSE,"Advertising"}</definedName>
    <definedName name="wrn.Sales." localSheetId="13" hidden="1">{#N/A,#N/A,FALSE,"Marketing";#N/A,#N/A,FALSE,"Selling";#N/A,#N/A,FALSE,"Promotional";#N/A,#N/A,FALSE,"Advertising"}</definedName>
    <definedName name="wrn.Sales." hidden="1">{#N/A,#N/A,FALSE,"Marketing";#N/A,#N/A,FALSE,"Selling";#N/A,#N/A,FALSE,"Promotional";#N/A,#N/A,FALSE,"Advertising"}</definedName>
    <definedName name="wrn.SFS." localSheetId="11"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7"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0"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20"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8"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9"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localSheetId="13"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SFS." hidden="1">{"index",#N/A,FALSE,"DRS";"a_1",#N/A,FALSE,"DRS";"a_2",#N/A,FALSE,"DRS";"b_1",#N/A,FALSE,"DRS";"b_2.b_3",#N/A,FALSE,"DRS";"b_4.b_5.b_6",#N/A,FALSE,"DRS";"b_7.b_8",#N/A,FALSE,"DRS";"b_9",#N/A,FALSE,"DRS";"b_10.b_11",#N/A,FALSE,"DRS";"b_12.b_13",#N/A,FALSE,"DRS";"b_14",#N/A,FALSE,"DRS";"b_15.b_16",#N/A,FALSE,"DRS";"b_17",#N/A,FALSE,"DRS";"b_18",#N/A,FALSE,"DRS";"c_1.c_2",#N/A,FALSE,"DRS";"d_1",#N/A,FALSE,"DRS";"e_1",#N/A,FALSE,"DRS"}</definedName>
    <definedName name="wrn.voucher9703." localSheetId="11" hidden="1">{#N/A,#N/A,FALSE,"970301";#N/A,#N/A,FALSE,"970302";#N/A,#N/A,FALSE,"970303";#N/A,#N/A,FALSE,"970304";#N/A,#N/A,FALSE,"COM1";#N/A,#N/A,FALSE,"COM2"}</definedName>
    <definedName name="wrn.voucher9703." localSheetId="17" hidden="1">{#N/A,#N/A,FALSE,"970301";#N/A,#N/A,FALSE,"970302";#N/A,#N/A,FALSE,"970303";#N/A,#N/A,FALSE,"970304";#N/A,#N/A,FALSE,"COM1";#N/A,#N/A,FALSE,"COM2"}</definedName>
    <definedName name="wrn.voucher9703." localSheetId="10" hidden="1">{#N/A,#N/A,FALSE,"970301";#N/A,#N/A,FALSE,"970302";#N/A,#N/A,FALSE,"970303";#N/A,#N/A,FALSE,"970304";#N/A,#N/A,FALSE,"COM1";#N/A,#N/A,FALSE,"COM2"}</definedName>
    <definedName name="wrn.voucher9703." localSheetId="20" hidden="1">{#N/A,#N/A,FALSE,"970301";#N/A,#N/A,FALSE,"970302";#N/A,#N/A,FALSE,"970303";#N/A,#N/A,FALSE,"970304";#N/A,#N/A,FALSE,"COM1";#N/A,#N/A,FALSE,"COM2"}</definedName>
    <definedName name="wrn.voucher9703." localSheetId="18" hidden="1">{#N/A,#N/A,FALSE,"970301";#N/A,#N/A,FALSE,"970302";#N/A,#N/A,FALSE,"970303";#N/A,#N/A,FALSE,"970304";#N/A,#N/A,FALSE,"COM1";#N/A,#N/A,FALSE,"COM2"}</definedName>
    <definedName name="wrn.voucher9703." localSheetId="19" hidden="1">{#N/A,#N/A,FALSE,"970301";#N/A,#N/A,FALSE,"970302";#N/A,#N/A,FALSE,"970303";#N/A,#N/A,FALSE,"970304";#N/A,#N/A,FALSE,"COM1";#N/A,#N/A,FALSE,"COM2"}</definedName>
    <definedName name="wrn.voucher9703." localSheetId="13" hidden="1">{#N/A,#N/A,FALSE,"970301";#N/A,#N/A,FALSE,"970302";#N/A,#N/A,FALSE,"970303";#N/A,#N/A,FALSE,"970304";#N/A,#N/A,FALSE,"COM1";#N/A,#N/A,FALSE,"COM2"}</definedName>
    <definedName name="wrn.voucher9703." hidden="1">{#N/A,#N/A,FALSE,"970301";#N/A,#N/A,FALSE,"970302";#N/A,#N/A,FALSE,"970303";#N/A,#N/A,FALSE,"970304";#N/A,#N/A,FALSE,"COM1";#N/A,#N/A,FALSE,"COM2"}</definedName>
    <definedName name="wrn.Xa." localSheetId="11" hidden="1">{"capcity",#N/A,FALSE,"Xiamen (chn)";"volume",#N/A,FALSE,"Xiamen (chn)"}</definedName>
    <definedName name="wrn.Xa." localSheetId="17" hidden="1">{"capcity",#N/A,FALSE,"Xiamen (chn)";"volume",#N/A,FALSE,"Xiamen (chn)"}</definedName>
    <definedName name="wrn.Xa." localSheetId="10" hidden="1">{"capcity",#N/A,FALSE,"Xiamen (chn)";"volume",#N/A,FALSE,"Xiamen (chn)"}</definedName>
    <definedName name="wrn.Xa." localSheetId="20" hidden="1">{"capcity",#N/A,FALSE,"Xiamen (chn)";"volume",#N/A,FALSE,"Xiamen (chn)"}</definedName>
    <definedName name="wrn.Xa." localSheetId="18" hidden="1">{"capcity",#N/A,FALSE,"Xiamen (chn)";"volume",#N/A,FALSE,"Xiamen (chn)"}</definedName>
    <definedName name="wrn.Xa." localSheetId="19" hidden="1">{"capcity",#N/A,FALSE,"Xiamen (chn)";"volume",#N/A,FALSE,"Xiamen (chn)"}</definedName>
    <definedName name="wrn.Xa." localSheetId="13" hidden="1">{"capcity",#N/A,FALSE,"Xiamen (chn)";"volume",#N/A,FALSE,"Xiamen (chn)"}</definedName>
    <definedName name="wrn.Xa." hidden="1">{"capcity",#N/A,FALSE,"Xiamen (chn)";"volume",#N/A,FALSE,"Xiamen (chn)"}</definedName>
    <definedName name="wrn.XN." localSheetId="11" hidden="1">{"capacity",#N/A,FALSE,"Xian";"Volume",#N/A,FALSE,"Xian"}</definedName>
    <definedName name="wrn.XN." localSheetId="17" hidden="1">{"capacity",#N/A,FALSE,"Xian";"Volume",#N/A,FALSE,"Xian"}</definedName>
    <definedName name="wrn.XN." localSheetId="10" hidden="1">{"capacity",#N/A,FALSE,"Xian";"Volume",#N/A,FALSE,"Xian"}</definedName>
    <definedName name="wrn.XN." localSheetId="20" hidden="1">{"capacity",#N/A,FALSE,"Xian";"Volume",#N/A,FALSE,"Xian"}</definedName>
    <definedName name="wrn.XN." localSheetId="18" hidden="1">{"capacity",#N/A,FALSE,"Xian";"Volume",#N/A,FALSE,"Xian"}</definedName>
    <definedName name="wrn.XN." localSheetId="19" hidden="1">{"capacity",#N/A,FALSE,"Xian";"Volume",#N/A,FALSE,"Xian"}</definedName>
    <definedName name="wrn.XN." localSheetId="13" hidden="1">{"capacity",#N/A,FALSE,"Xian";"Volume",#N/A,FALSE,"Xian"}</definedName>
    <definedName name="wrn.XN." hidden="1">{"capacity",#N/A,FALSE,"Xian";"Volume",#N/A,FALSE,"Xian"}</definedName>
    <definedName name="wrn.ZZ." localSheetId="11" hidden="1">{"Volume",#N/A,FALSE,"Zhengzhou";"capacity",#N/A,FALSE,"Zhengzhou"}</definedName>
    <definedName name="wrn.ZZ." localSheetId="17" hidden="1">{"Volume",#N/A,FALSE,"Zhengzhou";"capacity",#N/A,FALSE,"Zhengzhou"}</definedName>
    <definedName name="wrn.ZZ." localSheetId="10" hidden="1">{"Volume",#N/A,FALSE,"Zhengzhou";"capacity",#N/A,FALSE,"Zhengzhou"}</definedName>
    <definedName name="wrn.ZZ." localSheetId="20" hidden="1">{"Volume",#N/A,FALSE,"Zhengzhou";"capacity",#N/A,FALSE,"Zhengzhou"}</definedName>
    <definedName name="wrn.ZZ." localSheetId="18" hidden="1">{"Volume",#N/A,FALSE,"Zhengzhou";"capacity",#N/A,FALSE,"Zhengzhou"}</definedName>
    <definedName name="wrn.ZZ." localSheetId="19" hidden="1">{"Volume",#N/A,FALSE,"Zhengzhou";"capacity",#N/A,FALSE,"Zhengzhou"}</definedName>
    <definedName name="wrn.ZZ." localSheetId="13" hidden="1">{"Volume",#N/A,FALSE,"Zhengzhou";"capacity",#N/A,FALSE,"Zhengzhou"}</definedName>
    <definedName name="wrn.ZZ." hidden="1">{"Volume",#N/A,FALSE,"Zhengzhou";"capacity",#N/A,FALSE,"Zhengzhou"}</definedName>
    <definedName name="X" localSheetId="18">#REF!</definedName>
    <definedName name="X" localSheetId="15">#REF!</definedName>
    <definedName name="X" localSheetId="16">#REF!</definedName>
    <definedName name="X" localSheetId="14">#REF!</definedName>
    <definedName name="X">#REF!</definedName>
    <definedName name="x_df" localSheetId="18">#REF!</definedName>
    <definedName name="x_df" localSheetId="15">#REF!</definedName>
    <definedName name="x_df" localSheetId="16">#REF!</definedName>
    <definedName name="x_df" localSheetId="14">#REF!</definedName>
    <definedName name="x_df">#REF!</definedName>
    <definedName name="x_glfy" localSheetId="18">#REF!</definedName>
    <definedName name="x_glfy" localSheetId="15">#REF!</definedName>
    <definedName name="x_glfy" localSheetId="16">#REF!</definedName>
    <definedName name="x_glfy" localSheetId="14">#REF!</definedName>
    <definedName name="x_glfy">#REF!</definedName>
    <definedName name="x_jf" localSheetId="18">#REF!</definedName>
    <definedName name="x_jf" localSheetId="15">#REF!</definedName>
    <definedName name="x_jf" localSheetId="16">#REF!</definedName>
    <definedName name="x_jf" localSheetId="14">#REF!</definedName>
    <definedName name="x_jf">#REF!</definedName>
    <definedName name="x_kcsp" localSheetId="18">#REF!</definedName>
    <definedName name="x_kcsp" localSheetId="15">#REF!</definedName>
    <definedName name="x_kcsp" localSheetId="16">#REF!</definedName>
    <definedName name="x_kcsp" localSheetId="14">#REF!</definedName>
    <definedName name="x_kcsp">#REF!</definedName>
    <definedName name="x_km" localSheetId="18">#REF!</definedName>
    <definedName name="x_km" localSheetId="15">#REF!</definedName>
    <definedName name="x_km" localSheetId="16">#REF!</definedName>
    <definedName name="x_km" localSheetId="14">#REF!</definedName>
    <definedName name="x_km">#REF!</definedName>
    <definedName name="x_qt" localSheetId="18">#REF!</definedName>
    <definedName name="x_qt" localSheetId="15">#REF!</definedName>
    <definedName name="x_qt" localSheetId="16">#REF!</definedName>
    <definedName name="x_qt" localSheetId="14">#REF!</definedName>
    <definedName name="x_qt">#REF!</definedName>
    <definedName name="x_qtyf" localSheetId="18">#REF!</definedName>
    <definedName name="x_qtyf" localSheetId="15">#REF!</definedName>
    <definedName name="x_qtyf" localSheetId="16">#REF!</definedName>
    <definedName name="x_qtyf" localSheetId="14">#REF!</definedName>
    <definedName name="x_qtyf">#REF!</definedName>
    <definedName name="x_qtys" localSheetId="18">#REF!</definedName>
    <definedName name="x_qtys" localSheetId="15">#REF!</definedName>
    <definedName name="x_qtys" localSheetId="16">#REF!</definedName>
    <definedName name="x_qtys" localSheetId="14">#REF!</definedName>
    <definedName name="x_qtys">#REF!</definedName>
    <definedName name="x_sccb" localSheetId="18">#REF!</definedName>
    <definedName name="x_sccb" localSheetId="15">#REF!</definedName>
    <definedName name="x_sccb" localSheetId="16">#REF!</definedName>
    <definedName name="x_sccb" localSheetId="14">#REF!</definedName>
    <definedName name="x_sccb">#REF!</definedName>
    <definedName name="x_xj" localSheetId="18">#REF!</definedName>
    <definedName name="x_xj" localSheetId="15">#REF!</definedName>
    <definedName name="x_xj" localSheetId="16">#REF!</definedName>
    <definedName name="x_xj" localSheetId="14">#REF!</definedName>
    <definedName name="x_xj">#REF!</definedName>
    <definedName name="x_xsfy" localSheetId="18">#REF!</definedName>
    <definedName name="x_xsfy" localSheetId="15">#REF!</definedName>
    <definedName name="x_xsfy" localSheetId="16">#REF!</definedName>
    <definedName name="x_xsfy" localSheetId="14">#REF!</definedName>
    <definedName name="x_xsfy">#REF!</definedName>
    <definedName name="x_ycl" localSheetId="18">#REF!</definedName>
    <definedName name="x_ycl" localSheetId="15">#REF!</definedName>
    <definedName name="x_ycl" localSheetId="16">#REF!</definedName>
    <definedName name="x_ycl" localSheetId="14">#REF!</definedName>
    <definedName name="x_ycl">#REF!</definedName>
    <definedName name="x_yfzk" localSheetId="18">#REF!</definedName>
    <definedName name="x_yfzk" localSheetId="15">#REF!</definedName>
    <definedName name="x_yfzk" localSheetId="16">#REF!</definedName>
    <definedName name="x_yfzk" localSheetId="14">#REF!</definedName>
    <definedName name="x_yfzk">#REF!</definedName>
    <definedName name="x_yszk" localSheetId="18">#REF!</definedName>
    <definedName name="x_yszk" localSheetId="15">#REF!</definedName>
    <definedName name="x_yszk" localSheetId="16">#REF!</definedName>
    <definedName name="x_yszk" localSheetId="14">#REF!</definedName>
    <definedName name="x_yszk">#REF!</definedName>
    <definedName name="xdsdgfdh" localSheetId="18" hidden="1">#REF!</definedName>
    <definedName name="xdsdgfdh" localSheetId="15" hidden="1">#REF!</definedName>
    <definedName name="xdsdgfdh" localSheetId="16" hidden="1">#REF!</definedName>
    <definedName name="xdsdgfdh" localSheetId="14" hidden="1">#REF!</definedName>
    <definedName name="xdsdgfdh" hidden="1">#REF!</definedName>
    <definedName name="xjl1" localSheetId="18">#REF!</definedName>
    <definedName name="xjl1" localSheetId="15">#REF!</definedName>
    <definedName name="xjl1" localSheetId="16">#REF!</definedName>
    <definedName name="xjl1" localSheetId="14">#REF!</definedName>
    <definedName name="xjl1">#REF!</definedName>
    <definedName name="xsd" localSheetId="18" hidden="1">#REF!</definedName>
    <definedName name="xsd" localSheetId="15" hidden="1">#REF!</definedName>
    <definedName name="xsd" localSheetId="16" hidden="1">#REF!</definedName>
    <definedName name="xsd" localSheetId="14" hidden="1">#REF!</definedName>
    <definedName name="xsd" hidden="1">#REF!</definedName>
    <definedName name="xvx">#REF!</definedName>
    <definedName name="xxxChunkR16294C1">#N/A</definedName>
    <definedName name="xxxChunkR16295C1" localSheetId="18">+#REF!+#REF!+#REF!+#REF!+#REF!+#REF!+#REF!+#REF!+#REF!+#REF!+#REF!+#REF!+#REF!+#REF!+#REF!+#REF!+#REF!+#REF!+#REF!+#REF!+#REF!+#REF!+#REF!+#REF!+#REF!+#REF!+#REF!+#REF!</definedName>
    <definedName name="xxxChunkR16295C1" localSheetId="15">+#REF!+#REF!+#REF!+#REF!+#REF!+#REF!+#REF!+#REF!+#REF!+#REF!+#REF!+#REF!+#REF!+#REF!+#REF!+#REF!+#REF!+#REF!+#REF!+#REF!+#REF!+#REF!+#REF!+#REF!+#REF!+#REF!+#REF!+#REF!</definedName>
    <definedName name="xxxChunkR16295C1" localSheetId="16">+#REF!+#REF!+#REF!+#REF!+#REF!+#REF!+#REF!+#REF!+#REF!+#REF!+#REF!+#REF!+#REF!+#REF!+#REF!+#REF!+#REF!+#REF!+#REF!+#REF!+#REF!+#REF!+#REF!+#REF!+#REF!+#REF!+#REF!+#REF!</definedName>
    <definedName name="xxxChunkR16295C1" localSheetId="14">+#REF!+#REF!+#REF!+#REF!+#REF!+#REF!+#REF!+#REF!+#REF!+#REF!+#REF!+#REF!+#REF!+#REF!+#REF!+#REF!+#REF!+#REF!+#REF!+#REF!+#REF!+#REF!+#REF!+#REF!+#REF!+#REF!+#REF!+#REF!</definedName>
    <definedName name="xxxChunkR16295C1">+#REF!+#REF!+#REF!+#REF!+#REF!+#REF!+#REF!+#REF!+#REF!+#REF!+#REF!+#REF!+#REF!+#REF!+#REF!+#REF!+#REF!+#REF!+#REF!+#REF!+#REF!+#REF!+#REF!+#REF!+#REF!+#REF!+#REF!+#REF!</definedName>
    <definedName name="xxxChunkR16296C1" localSheetId="11">'PC 增量测算'!xxxChunkR16297C1+#REF!+#REF!+#REF!+#REF!+#REF!+#REF!+#REF!+#REF!+#REF!+#REF!+#REF!+#REF!+#REF!+#REF!+#REF!+#REF!+#REF!+#REF!+#REF!+#REF!+#REF!+#REF!+#REF!+#REF!</definedName>
    <definedName name="xxxChunkR16296C1" localSheetId="17">电梯!xxxChunkR16297C1+#REF!+#REF!+#REF!+#REF!+#REF!+#REF!+#REF!+#REF!+#REF!+#REF!+#REF!+#REF!+#REF!+#REF!+#REF!+#REF!+#REF!+#REF!+#REF!+#REF!+#REF!+#REF!+#REF!+#REF!</definedName>
    <definedName name="xxxChunkR16296C1" localSheetId="10">含量测算!xxxChunkR16297C1+#REF!+#REF!+#REF!+#REF!+#REF!+#REF!+#REF!+#REF!+#REF!+#REF!+#REF!+#REF!+#REF!+#REF!+#REF!+#REF!+#REF!+#REF!+#REF!+#REF!+#REF!+#REF!+#REF!+#REF!</definedName>
    <definedName name="xxxChunkR16296C1" localSheetId="20">卖场策划!xxxChunkR16297C1+#REF!+#REF!+#REF!+#REF!+#REF!+#REF!+#REF!+#REF!+#REF!+#REF!+#REF!+#REF!+#REF!+#REF!+#REF!+#REF!+#REF!+#REF!+#REF!+#REF!+#REF!+#REF!+#REF!+#REF!</definedName>
    <definedName name="xxxChunkR16296C1" localSheetId="18">门窗栏杆!xxxChunkR16297C1+#REF!+#REF!+#REF!+#REF!+#REF!+#REF!+#REF!+#REF!+#REF!+#REF!+#REF!+#REF!+#REF!+#REF!+#REF!+#REF!+#REF!+#REF!+#REF!+#REF!+#REF!+#REF!+#REF!+#REF!</definedName>
    <definedName name="xxxChunkR16296C1" localSheetId="19">太阳能!xxxChunkR16297C1+#REF!+#REF!+#REF!+#REF!+#REF!+#REF!+#REF!+#REF!+#REF!+#REF!+#REF!+#REF!+#REF!+#REF!+#REF!+#REF!+#REF!+#REF!+#REF!+#REF!+#REF!+#REF!+#REF!+#REF!</definedName>
    <definedName name="xxxChunkR16296C1" localSheetId="15">土方!xxxChunkR16297C1+#REF!+#REF!+#REF!+#REF!+#REF!+#REF!+#REF!+#REF!+#REF!+#REF!+#REF!+#REF!+#REF!+#REF!+#REF!+#REF!+#REF!+#REF!+#REF!+#REF!+#REF!+#REF!+#REF!+#REF!</definedName>
    <definedName name="xxxChunkR16296C1" localSheetId="16">支护!xxxChunkR16297C1+#REF!+#REF!+#REF!+#REF!+#REF!+#REF!+#REF!+#REF!+#REF!+#REF!+#REF!+#REF!+#REF!+#REF!+#REF!+#REF!+#REF!+#REF!+#REF!+#REF!+#REF!+#REF!+#REF!+#REF!</definedName>
    <definedName name="xxxChunkR16296C1" localSheetId="14">桩基!xxxChunkR16297C1+#REF!+#REF!+#REF!+#REF!+#REF!+#REF!+#REF!+#REF!+#REF!+#REF!+#REF!+#REF!+#REF!+#REF!+#REF!+#REF!+#REF!+#REF!+#REF!+#REF!+#REF!+#REF!+#REF!+#REF!</definedName>
    <definedName name="xxxChunkR16296C1" localSheetId="13">桩基单价!xxxChunkR16297C1+#REF!+#REF!+#REF!+#REF!+#REF!+#REF!+#REF!+#REF!+#REF!+#REF!+#REF!+#REF!+#REF!+#REF!+#REF!+#REF!+#REF!+#REF!+#REF!+#REF!+#REF!+#REF!+#REF!+#REF!</definedName>
    <definedName name="xxxChunkR16296C1">xxxChunkR16297C1+#REF!+#REF!+#REF!+#REF!+#REF!+#REF!+#REF!+#REF!+#REF!+#REF!+#REF!+#REF!+#REF!+#REF!+#REF!+#REF!+#REF!+#REF!+#REF!+#REF!+#REF!+#REF!+#REF!+#REF!</definedName>
    <definedName name="xxxChunkR16297C1" localSheetId="11">xxxChunkR16298C1+#REF!+#REF!+#REF!+#REF!+#REF!+#REF!+#REF!+#REF!+#REF!+#REF!+#REF!+#REF!+#REF!+#REF!+#REF!+#REF!+#REF!+#REF!+#REF!+#REF!+#REF!+#REF!+#REF!+#REF!+#REF!</definedName>
    <definedName name="xxxChunkR16297C1" localSheetId="17">xxxChunkR16298C1+#REF!+#REF!+#REF!+#REF!+#REF!+#REF!+#REF!+#REF!+#REF!+#REF!+#REF!+#REF!+#REF!+#REF!+#REF!+#REF!+#REF!+#REF!+#REF!+#REF!+#REF!+#REF!+#REF!+#REF!+#REF!</definedName>
    <definedName name="xxxChunkR16297C1" localSheetId="10">xxxChunkR16298C1+#REF!+#REF!+#REF!+#REF!+#REF!+#REF!+#REF!+#REF!+#REF!+#REF!+#REF!+#REF!+#REF!+#REF!+#REF!+#REF!+#REF!+#REF!+#REF!+#REF!+#REF!+#REF!+#REF!+#REF!+#REF!</definedName>
    <definedName name="xxxChunkR16297C1" localSheetId="20">xxxChunkR16298C1+#REF!+#REF!+#REF!+#REF!+#REF!+#REF!+#REF!+#REF!+#REF!+#REF!+#REF!+#REF!+#REF!+#REF!+#REF!+#REF!+#REF!+#REF!+#REF!+#REF!+#REF!+#REF!+#REF!+#REF!+#REF!</definedName>
    <definedName name="xxxChunkR16297C1" localSheetId="18">[0]!xxxChunkR16298C1+#REF!+#REF!+#REF!+#REF!+#REF!+#REF!+#REF!+#REF!+#REF!+#REF!+#REF!+#REF!+#REF!+#REF!+#REF!+#REF!+#REF!+#REF!+#REF!+#REF!+#REF!+#REF!+#REF!+#REF!+#REF!</definedName>
    <definedName name="xxxChunkR16297C1" localSheetId="19">xxxChunkR16298C1+#REF!+#REF!+#REF!+#REF!+#REF!+#REF!+#REF!+#REF!+#REF!+#REF!+#REF!+#REF!+#REF!+#REF!+#REF!+#REF!+#REF!+#REF!+#REF!+#REF!+#REF!+#REF!+#REF!+#REF!+#REF!</definedName>
    <definedName name="xxxChunkR16297C1" localSheetId="15">xxxChunkR16298C1+#REF!+#REF!+#REF!+#REF!+#REF!+#REF!+#REF!+#REF!+#REF!+#REF!+#REF!+#REF!+#REF!+#REF!+#REF!+#REF!+#REF!+#REF!+#REF!+#REF!+#REF!+#REF!+#REF!+#REF!+#REF!</definedName>
    <definedName name="xxxChunkR16297C1" localSheetId="16">xxxChunkR16298C1+#REF!+#REF!+#REF!+#REF!+#REF!+#REF!+#REF!+#REF!+#REF!+#REF!+#REF!+#REF!+#REF!+#REF!+#REF!+#REF!+#REF!+#REF!+#REF!+#REF!+#REF!+#REF!+#REF!+#REF!+#REF!</definedName>
    <definedName name="xxxChunkR16297C1" localSheetId="14">xxxChunkR16298C1+#REF!+#REF!+#REF!+#REF!+#REF!+#REF!+#REF!+#REF!+#REF!+#REF!+#REF!+#REF!+#REF!+#REF!+#REF!+#REF!+#REF!+#REF!+#REF!+#REF!+#REF!+#REF!+#REF!+#REF!+#REF!</definedName>
    <definedName name="xxxChunkR16297C1" localSheetId="13">xxxChunkR16298C1+#REF!+#REF!+#REF!+#REF!+#REF!+#REF!+#REF!+#REF!+#REF!+#REF!+#REF!+#REF!+#REF!+#REF!+#REF!+#REF!+#REF!+#REF!+#REF!+#REF!+#REF!+#REF!+#REF!+#REF!+#REF!</definedName>
    <definedName name="xxxChunkR16297C1">xxxChunkR16298C1+#REF!+#REF!+#REF!+#REF!+#REF!+#REF!+#REF!+#REF!+#REF!+#REF!+#REF!+#REF!+#REF!+#REF!+#REF!+#REF!+#REF!+#REF!+#REF!+#REF!+#REF!+#REF!+#REF!+#REF!+#REF!</definedName>
    <definedName name="xxxChunkR16298C1">#N/A</definedName>
    <definedName name="xxxChunkR16299C1" localSheetId="18">+#REF!+#REF!+#REF!+#REF!+#REF!+#REF!+#REF!+#REF!+#REF!+#REF!+#REF!+#REF!+#REF!+#REF!+#REF!+#REF!+#REF!+#REF!+#REF!+#REF!+#REF!+#REF!+#REF!+#REF!+#REF!+#REF!+#REF!+#REF!</definedName>
    <definedName name="xxxChunkR16299C1" localSheetId="15">+#REF!+#REF!+#REF!+#REF!+#REF!+#REF!+#REF!+#REF!+#REF!+#REF!+#REF!+#REF!+#REF!+#REF!+#REF!+#REF!+#REF!+#REF!+#REF!+#REF!+#REF!+#REF!+#REF!+#REF!+#REF!+#REF!+#REF!+#REF!</definedName>
    <definedName name="xxxChunkR16299C1" localSheetId="16">+#REF!+#REF!+#REF!+#REF!+#REF!+#REF!+#REF!+#REF!+#REF!+#REF!+#REF!+#REF!+#REF!+#REF!+#REF!+#REF!+#REF!+#REF!+#REF!+#REF!+#REF!+#REF!+#REF!+#REF!+#REF!+#REF!+#REF!+#REF!</definedName>
    <definedName name="xxxChunkR16299C1" localSheetId="14">+#REF!+#REF!+#REF!+#REF!+#REF!+#REF!+#REF!+#REF!+#REF!+#REF!+#REF!+#REF!+#REF!+#REF!+#REF!+#REF!+#REF!+#REF!+#REF!+#REF!+#REF!+#REF!+#REF!+#REF!+#REF!+#REF!+#REF!+#REF!</definedName>
    <definedName name="xxxChunkR16299C1">+#REF!+#REF!+#REF!+#REF!+#REF!+#REF!+#REF!+#REF!+#REF!+#REF!+#REF!+#REF!+#REF!+#REF!+#REF!+#REF!+#REF!+#REF!+#REF!+#REF!+#REF!+#REF!+#REF!+#REF!+#REF!+#REF!+#REF!+#REF!</definedName>
    <definedName name="xxxChunkR16300C1" localSheetId="11">'PC 增量测算'!xxxChunkR16301C1+#REF!+#REF!+#REF!+#REF!+#REF!+#REF!+#REF!+#REF!+#REF!+#REF!+#REF!+#REF!+#REF!+#REF!+#REF!+#REF!+#REF!+#REF!+#REF!+#REF!+#REF!+#REF!+#REF!+#REF!</definedName>
    <definedName name="xxxChunkR16300C1" localSheetId="17">电梯!xxxChunkR16301C1+#REF!+#REF!+#REF!+#REF!+#REF!+#REF!+#REF!+#REF!+#REF!+#REF!+#REF!+#REF!+#REF!+#REF!+#REF!+#REF!+#REF!+#REF!+#REF!+#REF!+#REF!+#REF!+#REF!+#REF!</definedName>
    <definedName name="xxxChunkR16300C1" localSheetId="10">含量测算!xxxChunkR16301C1+#REF!+#REF!+#REF!+#REF!+#REF!+#REF!+#REF!+#REF!+#REF!+#REF!+#REF!+#REF!+#REF!+#REF!+#REF!+#REF!+#REF!+#REF!+#REF!+#REF!+#REF!+#REF!+#REF!+#REF!</definedName>
    <definedName name="xxxChunkR16300C1" localSheetId="20">卖场策划!xxxChunkR16301C1+#REF!+#REF!+#REF!+#REF!+#REF!+#REF!+#REF!+#REF!+#REF!+#REF!+#REF!+#REF!+#REF!+#REF!+#REF!+#REF!+#REF!+#REF!+#REF!+#REF!+#REF!+#REF!+#REF!+#REF!</definedName>
    <definedName name="xxxChunkR16300C1" localSheetId="18">门窗栏杆!xxxChunkR16301C1+#REF!+#REF!+#REF!+#REF!+#REF!+#REF!+#REF!+#REF!+#REF!+#REF!+#REF!+#REF!+#REF!+#REF!+#REF!+#REF!+#REF!+#REF!+#REF!+#REF!+#REF!+#REF!+#REF!+#REF!</definedName>
    <definedName name="xxxChunkR16300C1" localSheetId="19">太阳能!xxxChunkR16301C1+#REF!+#REF!+#REF!+#REF!+#REF!+#REF!+#REF!+#REF!+#REF!+#REF!+#REF!+#REF!+#REF!+#REF!+#REF!+#REF!+#REF!+#REF!+#REF!+#REF!+#REF!+#REF!+#REF!+#REF!</definedName>
    <definedName name="xxxChunkR16300C1" localSheetId="15">土方!xxxChunkR16301C1+#REF!+#REF!+#REF!+#REF!+#REF!+#REF!+#REF!+#REF!+#REF!+#REF!+#REF!+#REF!+#REF!+#REF!+#REF!+#REF!+#REF!+#REF!+#REF!+#REF!+#REF!+#REF!+#REF!+#REF!</definedName>
    <definedName name="xxxChunkR16300C1" localSheetId="16">支护!xxxChunkR16301C1+#REF!+#REF!+#REF!+#REF!+#REF!+#REF!+#REF!+#REF!+#REF!+#REF!+#REF!+#REF!+#REF!+#REF!+#REF!+#REF!+#REF!+#REF!+#REF!+#REF!+#REF!+#REF!+#REF!+#REF!</definedName>
    <definedName name="xxxChunkR16300C1" localSheetId="14">桩基!xxxChunkR16301C1+#REF!+#REF!+#REF!+#REF!+#REF!+#REF!+#REF!+#REF!+#REF!+#REF!+#REF!+#REF!+#REF!+#REF!+#REF!+#REF!+#REF!+#REF!+#REF!+#REF!+#REF!+#REF!+#REF!+#REF!</definedName>
    <definedName name="xxxChunkR16300C1" localSheetId="13">桩基单价!xxxChunkR16301C1+#REF!+#REF!+#REF!+#REF!+#REF!+#REF!+#REF!+#REF!+#REF!+#REF!+#REF!+#REF!+#REF!+#REF!+#REF!+#REF!+#REF!+#REF!+#REF!+#REF!+#REF!+#REF!+#REF!+#REF!</definedName>
    <definedName name="xxxChunkR16300C1">xxxChunkR16301C1+#REF!+#REF!+#REF!+#REF!+#REF!+#REF!+#REF!+#REF!+#REF!+#REF!+#REF!+#REF!+#REF!+#REF!+#REF!+#REF!+#REF!+#REF!+#REF!+#REF!+#REF!+#REF!+#REF!+#REF!</definedName>
    <definedName name="xxxChunkR16301C1" localSheetId="11">xxxChunkR16302C1+#REF!+#REF!+#REF!+#REF!+#REF!+#REF!+#REF!+#REF!+#REF!+#REF!+#REF!+#REF!+#REF!+#REF!+#REF!+#REF!+#REF!+#REF!+#REF!+#REF!+#REF!+#REF!+#REF!+#REF!+#REF!</definedName>
    <definedName name="xxxChunkR16301C1" localSheetId="17">xxxChunkR16302C1+#REF!+#REF!+#REF!+#REF!+#REF!+#REF!+#REF!+#REF!+#REF!+#REF!+#REF!+#REF!+#REF!+#REF!+#REF!+#REF!+#REF!+#REF!+#REF!+#REF!+#REF!+#REF!+#REF!+#REF!+#REF!</definedName>
    <definedName name="xxxChunkR16301C1" localSheetId="10">xxxChunkR16302C1+#REF!+#REF!+#REF!+#REF!+#REF!+#REF!+#REF!+#REF!+#REF!+#REF!+#REF!+#REF!+#REF!+#REF!+#REF!+#REF!+#REF!+#REF!+#REF!+#REF!+#REF!+#REF!+#REF!+#REF!+#REF!</definedName>
    <definedName name="xxxChunkR16301C1" localSheetId="20">xxxChunkR16302C1+#REF!+#REF!+#REF!+#REF!+#REF!+#REF!+#REF!+#REF!+#REF!+#REF!+#REF!+#REF!+#REF!+#REF!+#REF!+#REF!+#REF!+#REF!+#REF!+#REF!+#REF!+#REF!+#REF!+#REF!+#REF!</definedName>
    <definedName name="xxxChunkR16301C1" localSheetId="18">[0]!xxxChunkR16302C1+#REF!+#REF!+#REF!+#REF!+#REF!+#REF!+#REF!+#REF!+#REF!+#REF!+#REF!+#REF!+#REF!+#REF!+#REF!+#REF!+#REF!+#REF!+#REF!+#REF!+#REF!+#REF!+#REF!+#REF!+#REF!</definedName>
    <definedName name="xxxChunkR16301C1" localSheetId="19">xxxChunkR16302C1+#REF!+#REF!+#REF!+#REF!+#REF!+#REF!+#REF!+#REF!+#REF!+#REF!+#REF!+#REF!+#REF!+#REF!+#REF!+#REF!+#REF!+#REF!+#REF!+#REF!+#REF!+#REF!+#REF!+#REF!+#REF!</definedName>
    <definedName name="xxxChunkR16301C1" localSheetId="15">xxxChunkR16302C1+#REF!+#REF!+#REF!+#REF!+#REF!+#REF!+#REF!+#REF!+#REF!+#REF!+#REF!+#REF!+#REF!+#REF!+#REF!+#REF!+#REF!+#REF!+#REF!+#REF!+#REF!+#REF!+#REF!+#REF!+#REF!</definedName>
    <definedName name="xxxChunkR16301C1" localSheetId="16">xxxChunkR16302C1+#REF!+#REF!+#REF!+#REF!+#REF!+#REF!+#REF!+#REF!+#REF!+#REF!+#REF!+#REF!+#REF!+#REF!+#REF!+#REF!+#REF!+#REF!+#REF!+#REF!+#REF!+#REF!+#REF!+#REF!+#REF!</definedName>
    <definedName name="xxxChunkR16301C1" localSheetId="14">xxxChunkR16302C1+#REF!+#REF!+#REF!+#REF!+#REF!+#REF!+#REF!+#REF!+#REF!+#REF!+#REF!+#REF!+#REF!+#REF!+#REF!+#REF!+#REF!+#REF!+#REF!+#REF!+#REF!+#REF!+#REF!+#REF!+#REF!</definedName>
    <definedName name="xxxChunkR16301C1" localSheetId="13">xxxChunkR16302C1+#REF!+#REF!+#REF!+#REF!+#REF!+#REF!+#REF!+#REF!+#REF!+#REF!+#REF!+#REF!+#REF!+#REF!+#REF!+#REF!+#REF!+#REF!+#REF!+#REF!+#REF!+#REF!+#REF!+#REF!+#REF!</definedName>
    <definedName name="xxxChunkR16301C1">xxxChunkR16302C1+#REF!+#REF!+#REF!+#REF!+#REF!+#REF!+#REF!+#REF!+#REF!+#REF!+#REF!+#REF!+#REF!+#REF!+#REF!+#REF!+#REF!+#REF!+#REF!+#REF!+#REF!+#REF!+#REF!+#REF!+#REF!</definedName>
    <definedName name="xxxChunkR16302C1">#N/A</definedName>
    <definedName name="xxxChunkR16303C1" localSheetId="18">+#REF!+#REF!+#REF!+#REF!+#REF!+#REF!+#REF!+#REF!+#REF!+#REF!+#REF!+#REF!+#REF!+#REF!+#REF!+#REF!+#REF!+#REF!+#REF!+#REF!+#REF!+#REF!+#REF!+#REF!+#REF!+#REF!+#REF!+#REF!</definedName>
    <definedName name="xxxChunkR16303C1" localSheetId="15">+#REF!+#REF!+#REF!+#REF!+#REF!+#REF!+#REF!+#REF!+#REF!+#REF!+#REF!+#REF!+#REF!+#REF!+#REF!+#REF!+#REF!+#REF!+#REF!+#REF!+#REF!+#REF!+#REF!+#REF!+#REF!+#REF!+#REF!+#REF!</definedName>
    <definedName name="xxxChunkR16303C1" localSheetId="16">+#REF!+#REF!+#REF!+#REF!+#REF!+#REF!+#REF!+#REF!+#REF!+#REF!+#REF!+#REF!+#REF!+#REF!+#REF!+#REF!+#REF!+#REF!+#REF!+#REF!+#REF!+#REF!+#REF!+#REF!+#REF!+#REF!+#REF!+#REF!</definedName>
    <definedName name="xxxChunkR16303C1" localSheetId="14">+#REF!+#REF!+#REF!+#REF!+#REF!+#REF!+#REF!+#REF!+#REF!+#REF!+#REF!+#REF!+#REF!+#REF!+#REF!+#REF!+#REF!+#REF!+#REF!+#REF!+#REF!+#REF!+#REF!+#REF!+#REF!+#REF!+#REF!+#REF!</definedName>
    <definedName name="xxxChunkR16303C1">+#REF!+#REF!+#REF!+#REF!+#REF!+#REF!+#REF!+#REF!+#REF!+#REF!+#REF!+#REF!+#REF!+#REF!+#REF!+#REF!+#REF!+#REF!+#REF!+#REF!+#REF!+#REF!+#REF!+#REF!+#REF!+#REF!+#REF!+#REF!</definedName>
    <definedName name="xxxChunkR16304C1" localSheetId="11">'PC 增量测算'!xxxChunkR16305C1+#REF!+#REF!+#REF!+#REF!+#REF!+#REF!+#REF!+#REF!+#REF!+#REF!+#REF!+#REF!+#REF!+#REF!+#REF!+#REF!+#REF!+#REF!+#REF!+#REF!+#REF!+#REF!+#REF!+#REF!</definedName>
    <definedName name="xxxChunkR16304C1" localSheetId="17">电梯!xxxChunkR16305C1+#REF!+#REF!+#REF!+#REF!+#REF!+#REF!+#REF!+#REF!+#REF!+#REF!+#REF!+#REF!+#REF!+#REF!+#REF!+#REF!+#REF!+#REF!+#REF!+#REF!+#REF!+#REF!+#REF!+#REF!</definedName>
    <definedName name="xxxChunkR16304C1" localSheetId="10">含量测算!xxxChunkR16305C1+#REF!+#REF!+#REF!+#REF!+#REF!+#REF!+#REF!+#REF!+#REF!+#REF!+#REF!+#REF!+#REF!+#REF!+#REF!+#REF!+#REF!+#REF!+#REF!+#REF!+#REF!+#REF!+#REF!+#REF!</definedName>
    <definedName name="xxxChunkR16304C1" localSheetId="20">卖场策划!xxxChunkR16305C1+#REF!+#REF!+#REF!+#REF!+#REF!+#REF!+#REF!+#REF!+#REF!+#REF!+#REF!+#REF!+#REF!+#REF!+#REF!+#REF!+#REF!+#REF!+#REF!+#REF!+#REF!+#REF!+#REF!+#REF!</definedName>
    <definedName name="xxxChunkR16304C1" localSheetId="18">门窗栏杆!xxxChunkR16305C1+#REF!+#REF!+#REF!+#REF!+#REF!+#REF!+#REF!+#REF!+#REF!+#REF!+#REF!+#REF!+#REF!+#REF!+#REF!+#REF!+#REF!+#REF!+#REF!+#REF!+#REF!+#REF!+#REF!+#REF!</definedName>
    <definedName name="xxxChunkR16304C1" localSheetId="19">太阳能!xxxChunkR16305C1+#REF!+#REF!+#REF!+#REF!+#REF!+#REF!+#REF!+#REF!+#REF!+#REF!+#REF!+#REF!+#REF!+#REF!+#REF!+#REF!+#REF!+#REF!+#REF!+#REF!+#REF!+#REF!+#REF!+#REF!</definedName>
    <definedName name="xxxChunkR16304C1" localSheetId="15">土方!xxxChunkR16305C1+#REF!+#REF!+#REF!+#REF!+#REF!+#REF!+#REF!+#REF!+#REF!+#REF!+#REF!+#REF!+#REF!+#REF!+#REF!+#REF!+#REF!+#REF!+#REF!+#REF!+#REF!+#REF!+#REF!+#REF!</definedName>
    <definedName name="xxxChunkR16304C1" localSheetId="16">支护!xxxChunkR16305C1+#REF!+#REF!+#REF!+#REF!+#REF!+#REF!+#REF!+#REF!+#REF!+#REF!+#REF!+#REF!+#REF!+#REF!+#REF!+#REF!+#REF!+#REF!+#REF!+#REF!+#REF!+#REF!+#REF!+#REF!</definedName>
    <definedName name="xxxChunkR16304C1" localSheetId="14">桩基!xxxChunkR16305C1+#REF!+#REF!+#REF!+#REF!+#REF!+#REF!+#REF!+#REF!+#REF!+#REF!+#REF!+#REF!+#REF!+#REF!+#REF!+#REF!+#REF!+#REF!+#REF!+#REF!+#REF!+#REF!+#REF!+#REF!</definedName>
    <definedName name="xxxChunkR16304C1" localSheetId="13">桩基单价!xxxChunkR16305C1+#REF!+#REF!+#REF!+#REF!+#REF!+#REF!+#REF!+#REF!+#REF!+#REF!+#REF!+#REF!+#REF!+#REF!+#REF!+#REF!+#REF!+#REF!+#REF!+#REF!+#REF!+#REF!+#REF!+#REF!</definedName>
    <definedName name="xxxChunkR16304C1">xxxChunkR16305C1+#REF!+#REF!+#REF!+#REF!+#REF!+#REF!+#REF!+#REF!+#REF!+#REF!+#REF!+#REF!+#REF!+#REF!+#REF!+#REF!+#REF!+#REF!+#REF!+#REF!+#REF!+#REF!+#REF!+#REF!</definedName>
    <definedName name="xxxChunkR16305C1" localSheetId="11">xxxChunkR16306C1+#REF!+#REF!+#REF!+#REF!+#REF!+#REF!+#REF!+#REF!+#REF!+#REF!+#REF!+#REF!+#REF!+#REF!+#REF!+#REF!+#REF!+#REF!+#REF!+#REF!+#REF!+#REF!+#REF!+#REF!+#REF!</definedName>
    <definedName name="xxxChunkR16305C1" localSheetId="17">xxxChunkR16306C1+#REF!+#REF!+#REF!+#REF!+#REF!+#REF!+#REF!+#REF!+#REF!+#REF!+#REF!+#REF!+#REF!+#REF!+#REF!+#REF!+#REF!+#REF!+#REF!+#REF!+#REF!+#REF!+#REF!+#REF!+#REF!</definedName>
    <definedName name="xxxChunkR16305C1" localSheetId="10">xxxChunkR16306C1+#REF!+#REF!+#REF!+#REF!+#REF!+#REF!+#REF!+#REF!+#REF!+#REF!+#REF!+#REF!+#REF!+#REF!+#REF!+#REF!+#REF!+#REF!+#REF!+#REF!+#REF!+#REF!+#REF!+#REF!+#REF!</definedName>
    <definedName name="xxxChunkR16305C1" localSheetId="20">xxxChunkR16306C1+#REF!+#REF!+#REF!+#REF!+#REF!+#REF!+#REF!+#REF!+#REF!+#REF!+#REF!+#REF!+#REF!+#REF!+#REF!+#REF!+#REF!+#REF!+#REF!+#REF!+#REF!+#REF!+#REF!+#REF!+#REF!</definedName>
    <definedName name="xxxChunkR16305C1" localSheetId="18">[0]!xxxChunkR16306C1+#REF!+#REF!+#REF!+#REF!+#REF!+#REF!+#REF!+#REF!+#REF!+#REF!+#REF!+#REF!+#REF!+#REF!+#REF!+#REF!+#REF!+#REF!+#REF!+#REF!+#REF!+#REF!+#REF!+#REF!+#REF!</definedName>
    <definedName name="xxxChunkR16305C1" localSheetId="19">xxxChunkR16306C1+#REF!+#REF!+#REF!+#REF!+#REF!+#REF!+#REF!+#REF!+#REF!+#REF!+#REF!+#REF!+#REF!+#REF!+#REF!+#REF!+#REF!+#REF!+#REF!+#REF!+#REF!+#REF!+#REF!+#REF!+#REF!</definedName>
    <definedName name="xxxChunkR16305C1" localSheetId="15">xxxChunkR16306C1+#REF!+#REF!+#REF!+#REF!+#REF!+#REF!+#REF!+#REF!+#REF!+#REF!+#REF!+#REF!+#REF!+#REF!+#REF!+#REF!+#REF!+#REF!+#REF!+#REF!+#REF!+#REF!+#REF!+#REF!+#REF!</definedName>
    <definedName name="xxxChunkR16305C1" localSheetId="16">xxxChunkR16306C1+#REF!+#REF!+#REF!+#REF!+#REF!+#REF!+#REF!+#REF!+#REF!+#REF!+#REF!+#REF!+#REF!+#REF!+#REF!+#REF!+#REF!+#REF!+#REF!+#REF!+#REF!+#REF!+#REF!+#REF!+#REF!</definedName>
    <definedName name="xxxChunkR16305C1" localSheetId="14">xxxChunkR16306C1+#REF!+#REF!+#REF!+#REF!+#REF!+#REF!+#REF!+#REF!+#REF!+#REF!+#REF!+#REF!+#REF!+#REF!+#REF!+#REF!+#REF!+#REF!+#REF!+#REF!+#REF!+#REF!+#REF!+#REF!+#REF!</definedName>
    <definedName name="xxxChunkR16305C1" localSheetId="13">xxxChunkR16306C1+#REF!+#REF!+#REF!+#REF!+#REF!+#REF!+#REF!+#REF!+#REF!+#REF!+#REF!+#REF!+#REF!+#REF!+#REF!+#REF!+#REF!+#REF!+#REF!+#REF!+#REF!+#REF!+#REF!+#REF!+#REF!</definedName>
    <definedName name="xxxChunkR16305C1">xxxChunkR16306C1+#REF!+#REF!+#REF!+#REF!+#REF!+#REF!+#REF!+#REF!+#REF!+#REF!+#REF!+#REF!+#REF!+#REF!+#REF!+#REF!+#REF!+#REF!+#REF!+#REF!+#REF!+#REF!+#REF!+#REF!+#REF!</definedName>
    <definedName name="xxxChunkR16306C1">#N/A</definedName>
    <definedName name="xxxChunkR16307C1" localSheetId="18">+#REF!+#REF!+#REF!+#REF!+#REF!+#REF!+#REF!+#REF!+#REF!+#REF!+#REF!+#REF!+#REF!+#REF!+#REF!+#REF!+#REF!+#REF!+#REF!+#REF!+#REF!+#REF!+#REF!+#REF!+#REF!+#REF!+#REF!+#REF!</definedName>
    <definedName name="xxxChunkR16307C1" localSheetId="15">+#REF!+#REF!+#REF!+#REF!+#REF!+#REF!+#REF!+#REF!+#REF!+#REF!+#REF!+#REF!+#REF!+#REF!+#REF!+#REF!+#REF!+#REF!+#REF!+#REF!+#REF!+#REF!+#REF!+#REF!+#REF!+#REF!+#REF!+#REF!</definedName>
    <definedName name="xxxChunkR16307C1" localSheetId="16">+#REF!+#REF!+#REF!+#REF!+#REF!+#REF!+#REF!+#REF!+#REF!+#REF!+#REF!+#REF!+#REF!+#REF!+#REF!+#REF!+#REF!+#REF!+#REF!+#REF!+#REF!+#REF!+#REF!+#REF!+#REF!+#REF!+#REF!+#REF!</definedName>
    <definedName name="xxxChunkR16307C1" localSheetId="14">+#REF!+#REF!+#REF!+#REF!+#REF!+#REF!+#REF!+#REF!+#REF!+#REF!+#REF!+#REF!+#REF!+#REF!+#REF!+#REF!+#REF!+#REF!+#REF!+#REF!+#REF!+#REF!+#REF!+#REF!+#REF!+#REF!+#REF!+#REF!</definedName>
    <definedName name="xxxChunkR16307C1">+#REF!+#REF!+#REF!+#REF!+#REF!+#REF!+#REF!+#REF!+#REF!+#REF!+#REF!+#REF!+#REF!+#REF!+#REF!+#REF!+#REF!+#REF!+#REF!+#REF!+#REF!+#REF!+#REF!+#REF!+#REF!+#REF!+#REF!+#REF!</definedName>
    <definedName name="xxxChunkR16308C1" localSheetId="11">'PC 增量测算'!xxxChunkR16309C1+#REF!+#REF!+#REF!+#REF!+#REF!+#REF!+#REF!+#REF!+#REF!+#REF!+#REF!+#REF!+#REF!+#REF!+#REF!+#REF!+#REF!+#REF!+#REF!+#REF!+#REF!+#REF!+#REF!+#REF!</definedName>
    <definedName name="xxxChunkR16308C1" localSheetId="17">电梯!xxxChunkR16309C1+#REF!+#REF!+#REF!+#REF!+#REF!+#REF!+#REF!+#REF!+#REF!+#REF!+#REF!+#REF!+#REF!+#REF!+#REF!+#REF!+#REF!+#REF!+#REF!+#REF!+#REF!+#REF!+#REF!+#REF!</definedName>
    <definedName name="xxxChunkR16308C1" localSheetId="10">含量测算!xxxChunkR16309C1+#REF!+#REF!+#REF!+#REF!+#REF!+#REF!+#REF!+#REF!+#REF!+#REF!+#REF!+#REF!+#REF!+#REF!+#REF!+#REF!+#REF!+#REF!+#REF!+#REF!+#REF!+#REF!+#REF!+#REF!</definedName>
    <definedName name="xxxChunkR16308C1" localSheetId="20">卖场策划!xxxChunkR16309C1+#REF!+#REF!+#REF!+#REF!+#REF!+#REF!+#REF!+#REF!+#REF!+#REF!+#REF!+#REF!+#REF!+#REF!+#REF!+#REF!+#REF!+#REF!+#REF!+#REF!+#REF!+#REF!+#REF!+#REF!</definedName>
    <definedName name="xxxChunkR16308C1" localSheetId="18">门窗栏杆!xxxChunkR16309C1+#REF!+#REF!+#REF!+#REF!+#REF!+#REF!+#REF!+#REF!+#REF!+#REF!+#REF!+#REF!+#REF!+#REF!+#REF!+#REF!+#REF!+#REF!+#REF!+#REF!+#REF!+#REF!+#REF!+#REF!</definedName>
    <definedName name="xxxChunkR16308C1" localSheetId="19">太阳能!xxxChunkR16309C1+#REF!+#REF!+#REF!+#REF!+#REF!+#REF!+#REF!+#REF!+#REF!+#REF!+#REF!+#REF!+#REF!+#REF!+#REF!+#REF!+#REF!+#REF!+#REF!+#REF!+#REF!+#REF!+#REF!+#REF!</definedName>
    <definedName name="xxxChunkR16308C1" localSheetId="15">土方!xxxChunkR16309C1+#REF!+#REF!+#REF!+#REF!+#REF!+#REF!+#REF!+#REF!+#REF!+#REF!+#REF!+#REF!+#REF!+#REF!+#REF!+#REF!+#REF!+#REF!+#REF!+#REF!+#REF!+#REF!+#REF!+#REF!</definedName>
    <definedName name="xxxChunkR16308C1" localSheetId="16">支护!xxxChunkR16309C1+#REF!+#REF!+#REF!+#REF!+#REF!+#REF!+#REF!+#REF!+#REF!+#REF!+#REF!+#REF!+#REF!+#REF!+#REF!+#REF!+#REF!+#REF!+#REF!+#REF!+#REF!+#REF!+#REF!+#REF!</definedName>
    <definedName name="xxxChunkR16308C1" localSheetId="14">桩基!xxxChunkR16309C1+#REF!+#REF!+#REF!+#REF!+#REF!+#REF!+#REF!+#REF!+#REF!+#REF!+#REF!+#REF!+#REF!+#REF!+#REF!+#REF!+#REF!+#REF!+#REF!+#REF!+#REF!+#REF!+#REF!+#REF!</definedName>
    <definedName name="xxxChunkR16308C1" localSheetId="13">桩基单价!xxxChunkR16309C1+#REF!+#REF!+#REF!+#REF!+#REF!+#REF!+#REF!+#REF!+#REF!+#REF!+#REF!+#REF!+#REF!+#REF!+#REF!+#REF!+#REF!+#REF!+#REF!+#REF!+#REF!+#REF!+#REF!+#REF!</definedName>
    <definedName name="xxxChunkR16308C1">xxxChunkR16309C1+#REF!+#REF!+#REF!+#REF!+#REF!+#REF!+#REF!+#REF!+#REF!+#REF!+#REF!+#REF!+#REF!+#REF!+#REF!+#REF!+#REF!+#REF!+#REF!+#REF!+#REF!+#REF!+#REF!+#REF!</definedName>
    <definedName name="xxxChunkR16309C1" localSheetId="11">xxxChunkR16310C1+#REF!+#REF!+#REF!+#REF!+#REF!+#REF!+#REF!+#REF!+#REF!+#REF!+#REF!+#REF!+#REF!+#REF!+#REF!+#REF!+#REF!+#REF!+#REF!+#REF!+#REF!+#REF!+#REF!+#REF!+#REF!</definedName>
    <definedName name="xxxChunkR16309C1" localSheetId="17">xxxChunkR16310C1+#REF!+#REF!+#REF!+#REF!+#REF!+#REF!+#REF!+#REF!+#REF!+#REF!+#REF!+#REF!+#REF!+#REF!+#REF!+#REF!+#REF!+#REF!+#REF!+#REF!+#REF!+#REF!+#REF!+#REF!+#REF!</definedName>
    <definedName name="xxxChunkR16309C1" localSheetId="10">xxxChunkR16310C1+#REF!+#REF!+#REF!+#REF!+#REF!+#REF!+#REF!+#REF!+#REF!+#REF!+#REF!+#REF!+#REF!+#REF!+#REF!+#REF!+#REF!+#REF!+#REF!+#REF!+#REF!+#REF!+#REF!+#REF!+#REF!</definedName>
    <definedName name="xxxChunkR16309C1" localSheetId="20">xxxChunkR16310C1+#REF!+#REF!+#REF!+#REF!+#REF!+#REF!+#REF!+#REF!+#REF!+#REF!+#REF!+#REF!+#REF!+#REF!+#REF!+#REF!+#REF!+#REF!+#REF!+#REF!+#REF!+#REF!+#REF!+#REF!+#REF!</definedName>
    <definedName name="xxxChunkR16309C1" localSheetId="18">[0]!xxxChunkR16310C1+#REF!+#REF!+#REF!+#REF!+#REF!+#REF!+#REF!+#REF!+#REF!+#REF!+#REF!+#REF!+#REF!+#REF!+#REF!+#REF!+#REF!+#REF!+#REF!+#REF!+#REF!+#REF!+#REF!+#REF!+#REF!</definedName>
    <definedName name="xxxChunkR16309C1" localSheetId="19">xxxChunkR16310C1+#REF!+#REF!+#REF!+#REF!+#REF!+#REF!+#REF!+#REF!+#REF!+#REF!+#REF!+#REF!+#REF!+#REF!+#REF!+#REF!+#REF!+#REF!+#REF!+#REF!+#REF!+#REF!+#REF!+#REF!+#REF!</definedName>
    <definedName name="xxxChunkR16309C1" localSheetId="15">xxxChunkR16310C1+#REF!+#REF!+#REF!+#REF!+#REF!+#REF!+#REF!+#REF!+#REF!+#REF!+#REF!+#REF!+#REF!+#REF!+#REF!+#REF!+#REF!+#REF!+#REF!+#REF!+#REF!+#REF!+#REF!+#REF!+#REF!</definedName>
    <definedName name="xxxChunkR16309C1" localSheetId="16">xxxChunkR16310C1+#REF!+#REF!+#REF!+#REF!+#REF!+#REF!+#REF!+#REF!+#REF!+#REF!+#REF!+#REF!+#REF!+#REF!+#REF!+#REF!+#REF!+#REF!+#REF!+#REF!+#REF!+#REF!+#REF!+#REF!+#REF!</definedName>
    <definedName name="xxxChunkR16309C1" localSheetId="14">xxxChunkR16310C1+#REF!+#REF!+#REF!+#REF!+#REF!+#REF!+#REF!+#REF!+#REF!+#REF!+#REF!+#REF!+#REF!+#REF!+#REF!+#REF!+#REF!+#REF!+#REF!+#REF!+#REF!+#REF!+#REF!+#REF!+#REF!</definedName>
    <definedName name="xxxChunkR16309C1" localSheetId="13">xxxChunkR16310C1+#REF!+#REF!+#REF!+#REF!+#REF!+#REF!+#REF!+#REF!+#REF!+#REF!+#REF!+#REF!+#REF!+#REF!+#REF!+#REF!+#REF!+#REF!+#REF!+#REF!+#REF!+#REF!+#REF!+#REF!+#REF!</definedName>
    <definedName name="xxxChunkR16309C1">xxxChunkR16310C1+#REF!+#REF!+#REF!+#REF!+#REF!+#REF!+#REF!+#REF!+#REF!+#REF!+#REF!+#REF!+#REF!+#REF!+#REF!+#REF!+#REF!+#REF!+#REF!+#REF!+#REF!+#REF!+#REF!+#REF!+#REF!</definedName>
    <definedName name="xxxChunkR16310C1">#N/A</definedName>
    <definedName name="xxxChunkR16311C1" localSheetId="18">+#REF!+#REF!+#REF!+#REF!+#REF!+#REF!+#REF!+#REF!+#REF!+#REF!+#REF!+#REF!+#REF!+#REF!+#REF!+#REF!+#REF!+#REF!+#REF!+#REF!+#REF!+#REF!+#REF!+#REF!+#REF!+#REF!+#REF!+#REF!</definedName>
    <definedName name="xxxChunkR16311C1" localSheetId="15">+#REF!+#REF!+#REF!+#REF!+#REF!+#REF!+#REF!+#REF!+#REF!+#REF!+#REF!+#REF!+#REF!+#REF!+#REF!+#REF!+#REF!+#REF!+#REF!+#REF!+#REF!+#REF!+#REF!+#REF!+#REF!+#REF!+#REF!+#REF!</definedName>
    <definedName name="xxxChunkR16311C1" localSheetId="16">+#REF!+#REF!+#REF!+#REF!+#REF!+#REF!+#REF!+#REF!+#REF!+#REF!+#REF!+#REF!+#REF!+#REF!+#REF!+#REF!+#REF!+#REF!+#REF!+#REF!+#REF!+#REF!+#REF!+#REF!+#REF!+#REF!+#REF!+#REF!</definedName>
    <definedName name="xxxChunkR16311C1" localSheetId="14">+#REF!+#REF!+#REF!+#REF!+#REF!+#REF!+#REF!+#REF!+#REF!+#REF!+#REF!+#REF!+#REF!+#REF!+#REF!+#REF!+#REF!+#REF!+#REF!+#REF!+#REF!+#REF!+#REF!+#REF!+#REF!+#REF!+#REF!+#REF!</definedName>
    <definedName name="xxxChunkR16311C1">+#REF!+#REF!+#REF!+#REF!+#REF!+#REF!+#REF!+#REF!+#REF!+#REF!+#REF!+#REF!+#REF!+#REF!+#REF!+#REF!+#REF!+#REF!+#REF!+#REF!+#REF!+#REF!+#REF!+#REF!+#REF!+#REF!+#REF!+#REF!</definedName>
    <definedName name="xxxChunkR16312C1" localSheetId="11">'PC 增量测算'!xxxChunkR16313C1+#REF!+#REF!+#REF!+#REF!+#REF!+#REF!+#REF!+#REF!+#REF!+#REF!+#REF!+#REF!+#REF!+#REF!+#REF!+#REF!+#REF!+#REF!+#REF!+#REF!+#REF!+#REF!+#REF!+#REF!+#REF!+#REF!+#REF!+#REF!</definedName>
    <definedName name="xxxChunkR16312C1" localSheetId="17">电梯!xxxChunkR16313C1+#REF!+#REF!+#REF!+#REF!+#REF!+#REF!+#REF!+#REF!+#REF!+#REF!+#REF!+#REF!+#REF!+#REF!+#REF!+#REF!+#REF!+#REF!+#REF!+#REF!+#REF!+#REF!+#REF!+#REF!+#REF!+#REF!+#REF!+#REF!</definedName>
    <definedName name="xxxChunkR16312C1" localSheetId="10">含量测算!xxxChunkR16313C1+#REF!+#REF!+#REF!+#REF!+#REF!+#REF!+#REF!+#REF!+#REF!+#REF!+#REF!+#REF!+#REF!+#REF!+#REF!+#REF!+#REF!+#REF!+#REF!+#REF!+#REF!+#REF!+#REF!+#REF!+#REF!+#REF!+#REF!+#REF!</definedName>
    <definedName name="xxxChunkR16312C1" localSheetId="20">卖场策划!xxxChunkR16313C1+#REF!+#REF!+#REF!+#REF!+#REF!+#REF!+#REF!+#REF!+#REF!+#REF!+#REF!+#REF!+#REF!+#REF!+#REF!+#REF!+#REF!+#REF!+#REF!+#REF!+#REF!+#REF!+#REF!+#REF!+#REF!+#REF!+#REF!+#REF!</definedName>
    <definedName name="xxxChunkR16312C1" localSheetId="18">门窗栏杆!xxxChunkR16313C1+#REF!+#REF!+#REF!+#REF!+#REF!+#REF!+#REF!+#REF!+#REF!+#REF!+#REF!+#REF!+#REF!+#REF!+#REF!+#REF!+#REF!+#REF!+#REF!+#REF!+#REF!+#REF!+#REF!+#REF!+#REF!+#REF!+#REF!+#REF!</definedName>
    <definedName name="xxxChunkR16312C1" localSheetId="19">太阳能!xxxChunkR16313C1+#REF!+#REF!+#REF!+#REF!+#REF!+#REF!+#REF!+#REF!+#REF!+#REF!+#REF!+#REF!+#REF!+#REF!+#REF!+#REF!+#REF!+#REF!+#REF!+#REF!+#REF!+#REF!+#REF!+#REF!+#REF!+#REF!+#REF!+#REF!</definedName>
    <definedName name="xxxChunkR16312C1" localSheetId="15">土方!xxxChunkR16313C1+#REF!+#REF!+#REF!+#REF!+#REF!+#REF!+#REF!+#REF!+#REF!+#REF!+#REF!+#REF!+#REF!+#REF!+#REF!+#REF!+#REF!+#REF!+#REF!+#REF!+#REF!+#REF!+#REF!+#REF!+#REF!+#REF!+#REF!+#REF!</definedName>
    <definedName name="xxxChunkR16312C1" localSheetId="16">支护!xxxChunkR16313C1+#REF!+#REF!+#REF!+#REF!+#REF!+#REF!+#REF!+#REF!+#REF!+#REF!+#REF!+#REF!+#REF!+#REF!+#REF!+#REF!+#REF!+#REF!+#REF!+#REF!+#REF!+#REF!+#REF!+#REF!+#REF!+#REF!+#REF!+#REF!</definedName>
    <definedName name="xxxChunkR16312C1" localSheetId="14">桩基!xxxChunkR16313C1+#REF!+#REF!+#REF!+#REF!+#REF!+#REF!+#REF!+#REF!+#REF!+#REF!+#REF!+#REF!+#REF!+#REF!+#REF!+#REF!+#REF!+#REF!+#REF!+#REF!+#REF!+#REF!+#REF!+#REF!+#REF!+#REF!+#REF!+#REF!</definedName>
    <definedName name="xxxChunkR16312C1" localSheetId="13">桩基单价!xxxChunkR16313C1+#REF!+#REF!+#REF!+#REF!+#REF!+#REF!+#REF!+#REF!+#REF!+#REF!+#REF!+#REF!+#REF!+#REF!+#REF!+#REF!+#REF!+#REF!+#REF!+#REF!+#REF!+#REF!+#REF!+#REF!+#REF!+#REF!+#REF!+#REF!</definedName>
    <definedName name="xxxChunkR16312C1">xxxChunkR16313C1+#REF!+#REF!+#REF!+#REF!+#REF!+#REF!+#REF!+#REF!+#REF!+#REF!+#REF!+#REF!+#REF!+#REF!+#REF!+#REF!+#REF!+#REF!+#REF!+#REF!+#REF!+#REF!+#REF!+#REF!+#REF!+#REF!+#REF!+#REF!</definedName>
    <definedName name="xxxChunkR16313C1" localSheetId="11">[0]!xxxChunkR16314C1+#REF!+#REF!+#REF!+#REF!+#REF!+#REF!+#REF!+#REF!+#REF!+#REF!+#REF!+#REF!+#REF!+#REF!+#REF!+#REF!+#REF!+#REF!+#REF!+#REF!+#REF!+#REF!+#REF!+#REF!+#REF!+#REF!+#REF!+#REF!+#REF!+#REF!+#REF!</definedName>
    <definedName name="xxxChunkR16313C1" localSheetId="17">[0]!xxxChunkR16314C1+#REF!+#REF!+#REF!+#REF!+#REF!+#REF!+#REF!+#REF!+#REF!+#REF!+#REF!+#REF!+#REF!+#REF!+#REF!+#REF!+#REF!+#REF!+#REF!+#REF!+#REF!+#REF!+#REF!+#REF!+#REF!+#REF!+#REF!+#REF!+#REF!+#REF!+#REF!</definedName>
    <definedName name="xxxChunkR16313C1" localSheetId="10">[0]!xxxChunkR16314C1+#REF!+#REF!+#REF!+#REF!+#REF!+#REF!+#REF!+#REF!+#REF!+#REF!+#REF!+#REF!+#REF!+#REF!+#REF!+#REF!+#REF!+#REF!+#REF!+#REF!+#REF!+#REF!+#REF!+#REF!+#REF!+#REF!+#REF!+#REF!+#REF!+#REF!+#REF!</definedName>
    <definedName name="xxxChunkR16313C1" localSheetId="20">xxxChunkR16314C1+#REF!+#REF!+#REF!+#REF!+#REF!+#REF!+#REF!+#REF!+#REF!+#REF!+#REF!+#REF!+#REF!+#REF!+#REF!+#REF!+#REF!+#REF!+#REF!+#REF!+#REF!+#REF!+#REF!+#REF!+#REF!+#REF!+#REF!+#REF!+#REF!+#REF!+#REF!</definedName>
    <definedName name="xxxChunkR16313C1" localSheetId="18">门窗栏杆!xxxChunkR16314C1+#REF!+#REF!+#REF!+#REF!+#REF!+#REF!+#REF!+#REF!+#REF!+#REF!+#REF!+#REF!+#REF!+#REF!+#REF!+#REF!+#REF!+#REF!+#REF!+#REF!+#REF!+#REF!+#REF!+#REF!+#REF!+#REF!+#REF!+#REF!+#REF!+#REF!+#REF!</definedName>
    <definedName name="xxxChunkR16313C1" localSheetId="19">xxxChunkR16314C1+#REF!+#REF!+#REF!+#REF!+#REF!+#REF!+#REF!+#REF!+#REF!+#REF!+#REF!+#REF!+#REF!+#REF!+#REF!+#REF!+#REF!+#REF!+#REF!+#REF!+#REF!+#REF!+#REF!+#REF!+#REF!+#REF!+#REF!+#REF!+#REF!+#REF!+#REF!</definedName>
    <definedName name="xxxChunkR16313C1" localSheetId="15">土方!xxxChunkR16314C1+#REF!+#REF!+#REF!+#REF!+#REF!+#REF!+#REF!+#REF!+#REF!+#REF!+#REF!+#REF!+#REF!+#REF!+#REF!+#REF!+#REF!+#REF!+#REF!+#REF!+#REF!+#REF!+#REF!+#REF!+#REF!+#REF!+#REF!+#REF!+#REF!+#REF!+#REF!</definedName>
    <definedName name="xxxChunkR16313C1" localSheetId="16">支护!xxxChunkR16314C1+#REF!+#REF!+#REF!+#REF!+#REF!+#REF!+#REF!+#REF!+#REF!+#REF!+#REF!+#REF!+#REF!+#REF!+#REF!+#REF!+#REF!+#REF!+#REF!+#REF!+#REF!+#REF!+#REF!+#REF!+#REF!+#REF!+#REF!+#REF!+#REF!+#REF!+#REF!</definedName>
    <definedName name="xxxChunkR16313C1" localSheetId="14">桩基!xxxChunkR16314C1+#REF!+#REF!+#REF!+#REF!+#REF!+#REF!+#REF!+#REF!+#REF!+#REF!+#REF!+#REF!+#REF!+#REF!+#REF!+#REF!+#REF!+#REF!+#REF!+#REF!+#REF!+#REF!+#REF!+#REF!+#REF!+#REF!+#REF!+#REF!+#REF!+#REF!+#REF!</definedName>
    <definedName name="xxxChunkR16313C1" localSheetId="13">xxxChunkR16314C1+#REF!+#REF!+#REF!+#REF!+#REF!+#REF!+#REF!+#REF!+#REF!+#REF!+#REF!+#REF!+#REF!+#REF!+#REF!+#REF!+#REF!+#REF!+#REF!+#REF!+#REF!+#REF!+#REF!+#REF!+#REF!+#REF!+#REF!+#REF!+#REF!+#REF!+#REF!</definedName>
    <definedName name="xxxChunkR16313C1">xxxChunkR16314C1+#REF!+#REF!+#REF!+#REF!+#REF!+#REF!+#REF!+#REF!+#REF!+#REF!+#REF!+#REF!+#REF!+#REF!+#REF!+#REF!+#REF!+#REF!+#REF!+#REF!+#REF!+#REF!+#REF!+#REF!+#REF!+#REF!+#REF!+#REF!+#REF!+#REF!+#REF!</definedName>
    <definedName name="xxxChunkR16314C1" localSheetId="18">+#REF!+#REF!+#REF!+#REF!+#REF!+#REF!+#REF!+#REF!+#REF!+#REF!+#REF!+#REF!+#REF!+#REF!+#REF!+#REF!+#REF!+#REF!+#REF!+#REF!+#REF!+#REF!+#REF!+#REF!+#REF!+#REF!+#REF!+#REF!+#REF!+#REF!+#REF!+#REF!+#REF!</definedName>
    <definedName name="xxxChunkR16314C1" localSheetId="15">+#REF!+#REF!+#REF!+#REF!+#REF!+#REF!+#REF!+#REF!+#REF!+#REF!+#REF!+#REF!+#REF!+#REF!+#REF!+#REF!+#REF!+#REF!+#REF!+#REF!+#REF!+#REF!+#REF!+#REF!+#REF!+#REF!+#REF!+#REF!+#REF!+#REF!+#REF!+#REF!+#REF!</definedName>
    <definedName name="xxxChunkR16314C1" localSheetId="16">+#REF!+#REF!+#REF!+#REF!+#REF!+#REF!+#REF!+#REF!+#REF!+#REF!+#REF!+#REF!+#REF!+#REF!+#REF!+#REF!+#REF!+#REF!+#REF!+#REF!+#REF!+#REF!+#REF!+#REF!+#REF!+#REF!+#REF!+#REF!+#REF!+#REF!+#REF!+#REF!+#REF!</definedName>
    <definedName name="xxxChunkR16314C1" localSheetId="14">+#REF!+#REF!+#REF!+#REF!+#REF!+#REF!+#REF!+#REF!+#REF!+#REF!+#REF!+#REF!+#REF!+#REF!+#REF!+#REF!+#REF!+#REF!+#REF!+#REF!+#REF!+#REF!+#REF!+#REF!+#REF!+#REF!+#REF!+#REF!+#REF!+#REF!+#REF!+#REF!+#REF!</definedName>
    <definedName name="xxxChunkR16314C1">+#REF!+#REF!+#REF!+#REF!+#REF!+#REF!+#REF!+#REF!+#REF!+#REF!+#REF!+#REF!+#REF!+#REF!+#REF!+#REF!+#REF!+#REF!+#REF!+#REF!+#REF!+#REF!+#REF!+#REF!+#REF!+#REF!+#REF!+#REF!+#REF!+#REF!+#REF!+#REF!+#REF!</definedName>
    <definedName name="xxxChunkR16315C1" localSheetId="11">xxxChunkR16316C1+#REF!+#REF!+#REF!+#REF!+#REF!+#REF!+#REF!+#REF!+#REF!+#REF!+#REF!+#REF!+#REF!+#REF!+#REF!+#REF!+#REF!+#REF!+#REF!+#REF!+#REF!+#REF!+#REF!+#REF!+#REF!+#REF!+#REF!+#REF!</definedName>
    <definedName name="xxxChunkR16315C1" localSheetId="17">xxxChunkR16316C1+#REF!+#REF!+#REF!+#REF!+#REF!+#REF!+#REF!+#REF!+#REF!+#REF!+#REF!+#REF!+#REF!+#REF!+#REF!+#REF!+#REF!+#REF!+#REF!+#REF!+#REF!+#REF!+#REF!+#REF!+#REF!+#REF!+#REF!+#REF!</definedName>
    <definedName name="xxxChunkR16315C1" localSheetId="10">xxxChunkR16316C1+#REF!+#REF!+#REF!+#REF!+#REF!+#REF!+#REF!+#REF!+#REF!+#REF!+#REF!+#REF!+#REF!+#REF!+#REF!+#REF!+#REF!+#REF!+#REF!+#REF!+#REF!+#REF!+#REF!+#REF!+#REF!+#REF!+#REF!+#REF!</definedName>
    <definedName name="xxxChunkR16315C1" localSheetId="20">xxxChunkR16316C1+#REF!+#REF!+#REF!+#REF!+#REF!+#REF!+#REF!+#REF!+#REF!+#REF!+#REF!+#REF!+#REF!+#REF!+#REF!+#REF!+#REF!+#REF!+#REF!+#REF!+#REF!+#REF!+#REF!+#REF!+#REF!+#REF!+#REF!+#REF!</definedName>
    <definedName name="xxxChunkR16315C1" localSheetId="18">[0]!xxxChunkR16316C1+#REF!+#REF!+#REF!+#REF!+#REF!+#REF!+#REF!+#REF!+#REF!+#REF!+#REF!+#REF!+#REF!+#REF!+#REF!+#REF!+#REF!+#REF!+#REF!+#REF!+#REF!+#REF!+#REF!+#REF!+#REF!+#REF!+#REF!+#REF!</definedName>
    <definedName name="xxxChunkR16315C1" localSheetId="19">xxxChunkR16316C1+#REF!+#REF!+#REF!+#REF!+#REF!+#REF!+#REF!+#REF!+#REF!+#REF!+#REF!+#REF!+#REF!+#REF!+#REF!+#REF!+#REF!+#REF!+#REF!+#REF!+#REF!+#REF!+#REF!+#REF!+#REF!+#REF!+#REF!+#REF!</definedName>
    <definedName name="xxxChunkR16315C1" localSheetId="15">xxxChunkR16316C1+#REF!+#REF!+#REF!+#REF!+#REF!+#REF!+#REF!+#REF!+#REF!+#REF!+#REF!+#REF!+#REF!+#REF!+#REF!+#REF!+#REF!+#REF!+#REF!+#REF!+#REF!+#REF!+#REF!+#REF!+#REF!+#REF!+#REF!+#REF!</definedName>
    <definedName name="xxxChunkR16315C1" localSheetId="16">xxxChunkR16316C1+#REF!+#REF!+#REF!+#REF!+#REF!+#REF!+#REF!+#REF!+#REF!+#REF!+#REF!+#REF!+#REF!+#REF!+#REF!+#REF!+#REF!+#REF!+#REF!+#REF!+#REF!+#REF!+#REF!+#REF!+#REF!+#REF!+#REF!+#REF!</definedName>
    <definedName name="xxxChunkR16315C1" localSheetId="14">xxxChunkR16316C1+#REF!+#REF!+#REF!+#REF!+#REF!+#REF!+#REF!+#REF!+#REF!+#REF!+#REF!+#REF!+#REF!+#REF!+#REF!+#REF!+#REF!+#REF!+#REF!+#REF!+#REF!+#REF!+#REF!+#REF!+#REF!+#REF!+#REF!+#REF!</definedName>
    <definedName name="xxxChunkR16315C1" localSheetId="13">xxxChunkR16316C1+#REF!+#REF!+#REF!+#REF!+#REF!+#REF!+#REF!+#REF!+#REF!+#REF!+#REF!+#REF!+#REF!+#REF!+#REF!+#REF!+#REF!+#REF!+#REF!+#REF!+#REF!+#REF!+#REF!+#REF!+#REF!+#REF!+#REF!+#REF!</definedName>
    <definedName name="xxxChunkR16315C1">xxxChunkR16316C1+#REF!+#REF!+#REF!+#REF!+#REF!+#REF!+#REF!+#REF!+#REF!+#REF!+#REF!+#REF!+#REF!+#REF!+#REF!+#REF!+#REF!+#REF!+#REF!+#REF!+#REF!+#REF!+#REF!+#REF!+#REF!+#REF!+#REF!+#REF!</definedName>
    <definedName name="xxxChunkr16315c2" localSheetId="11">xxxChunkR16316C1+#REF!+#REF!+#REF!+#REF!+#REF!+#REF!+#REF!+#REF!+#REF!+#REF!+#REF!+#REF!+#REF!+#REF!+#REF!+#REF!+#REF!+#REF!+#REF!+#REF!+#REF!+#REF!+#REF!+#REF!+#REF!+#REF!+#REF!+#REF!</definedName>
    <definedName name="xxxChunkr16315c2" localSheetId="17">xxxChunkR16316C1+#REF!+#REF!+#REF!+#REF!+#REF!+#REF!+#REF!+#REF!+#REF!+#REF!+#REF!+#REF!+#REF!+#REF!+#REF!+#REF!+#REF!+#REF!+#REF!+#REF!+#REF!+#REF!+#REF!+#REF!+#REF!+#REF!+#REF!+#REF!</definedName>
    <definedName name="xxxChunkr16315c2" localSheetId="10">xxxChunkR16316C1+#REF!+#REF!+#REF!+#REF!+#REF!+#REF!+#REF!+#REF!+#REF!+#REF!+#REF!+#REF!+#REF!+#REF!+#REF!+#REF!+#REF!+#REF!+#REF!+#REF!+#REF!+#REF!+#REF!+#REF!+#REF!+#REF!+#REF!+#REF!</definedName>
    <definedName name="xxxChunkr16315c2" localSheetId="20">xxxChunkR16316C1+#REF!+#REF!+#REF!+#REF!+#REF!+#REF!+#REF!+#REF!+#REF!+#REF!+#REF!+#REF!+#REF!+#REF!+#REF!+#REF!+#REF!+#REF!+#REF!+#REF!+#REF!+#REF!+#REF!+#REF!+#REF!+#REF!+#REF!+#REF!</definedName>
    <definedName name="xxxChunkr16315c2" localSheetId="18">[0]!xxxChunkR16316C1+#REF!+#REF!+#REF!+#REF!+#REF!+#REF!+#REF!+#REF!+#REF!+#REF!+#REF!+#REF!+#REF!+#REF!+#REF!+#REF!+#REF!+#REF!+#REF!+#REF!+#REF!+#REF!+#REF!+#REF!+#REF!+#REF!+#REF!+#REF!</definedName>
    <definedName name="xxxChunkr16315c2" localSheetId="19">xxxChunkR16316C1+#REF!+#REF!+#REF!+#REF!+#REF!+#REF!+#REF!+#REF!+#REF!+#REF!+#REF!+#REF!+#REF!+#REF!+#REF!+#REF!+#REF!+#REF!+#REF!+#REF!+#REF!+#REF!+#REF!+#REF!+#REF!+#REF!+#REF!+#REF!</definedName>
    <definedName name="xxxChunkr16315c2" localSheetId="15">xxxChunkR16316C1+#REF!+#REF!+#REF!+#REF!+#REF!+#REF!+#REF!+#REF!+#REF!+#REF!+#REF!+#REF!+#REF!+#REF!+#REF!+#REF!+#REF!+#REF!+#REF!+#REF!+#REF!+#REF!+#REF!+#REF!+#REF!+#REF!+#REF!+#REF!</definedName>
    <definedName name="xxxChunkr16315c2" localSheetId="16">xxxChunkR16316C1+#REF!+#REF!+#REF!+#REF!+#REF!+#REF!+#REF!+#REF!+#REF!+#REF!+#REF!+#REF!+#REF!+#REF!+#REF!+#REF!+#REF!+#REF!+#REF!+#REF!+#REF!+#REF!+#REF!+#REF!+#REF!+#REF!+#REF!+#REF!</definedName>
    <definedName name="xxxChunkr16315c2" localSheetId="14">xxxChunkR16316C1+#REF!+#REF!+#REF!+#REF!+#REF!+#REF!+#REF!+#REF!+#REF!+#REF!+#REF!+#REF!+#REF!+#REF!+#REF!+#REF!+#REF!+#REF!+#REF!+#REF!+#REF!+#REF!+#REF!+#REF!+#REF!+#REF!+#REF!+#REF!</definedName>
    <definedName name="xxxChunkr16315c2" localSheetId="13">xxxChunkR16316C1+#REF!+#REF!+#REF!+#REF!+#REF!+#REF!+#REF!+#REF!+#REF!+#REF!+#REF!+#REF!+#REF!+#REF!+#REF!+#REF!+#REF!+#REF!+#REF!+#REF!+#REF!+#REF!+#REF!+#REF!+#REF!+#REF!+#REF!+#REF!</definedName>
    <definedName name="xxxChunkr16315c2">xxxChunkR16316C1+#REF!+#REF!+#REF!+#REF!+#REF!+#REF!+#REF!+#REF!+#REF!+#REF!+#REF!+#REF!+#REF!+#REF!+#REF!+#REF!+#REF!+#REF!+#REF!+#REF!+#REF!+#REF!+#REF!+#REF!+#REF!+#REF!+#REF!+#REF!</definedName>
    <definedName name="xxxChunkR16316C1">#N/A</definedName>
    <definedName name="xxxChunkR16317C1" localSheetId="18">+#REF!+#REF!+#REF!+#REF!+#REF!+#REF!+#REF!+#REF!+#REF!+#REF!+#REF!+#REF!+#REF!+#REF!+#REF!+#REF!+#REF!+#REF!+#REF!+#REF!+#REF!+#REF!+#REF!+#REF!+#REF!+#REF!+#REF!+#REF!+#REF!+#REF!+#REF!+#REF!+#REF!</definedName>
    <definedName name="xxxChunkR16317C1" localSheetId="15">+#REF!+#REF!+#REF!+#REF!+#REF!+#REF!+#REF!+#REF!+#REF!+#REF!+#REF!+#REF!+#REF!+#REF!+#REF!+#REF!+#REF!+#REF!+#REF!+#REF!+#REF!+#REF!+#REF!+#REF!+#REF!+#REF!+#REF!+#REF!+#REF!+#REF!+#REF!+#REF!+#REF!</definedName>
    <definedName name="xxxChunkR16317C1" localSheetId="16">+#REF!+#REF!+#REF!+#REF!+#REF!+#REF!+#REF!+#REF!+#REF!+#REF!+#REF!+#REF!+#REF!+#REF!+#REF!+#REF!+#REF!+#REF!+#REF!+#REF!+#REF!+#REF!+#REF!+#REF!+#REF!+#REF!+#REF!+#REF!+#REF!+#REF!+#REF!+#REF!+#REF!</definedName>
    <definedName name="xxxChunkR16317C1" localSheetId="14">+#REF!+#REF!+#REF!+#REF!+#REF!+#REF!+#REF!+#REF!+#REF!+#REF!+#REF!+#REF!+#REF!+#REF!+#REF!+#REF!+#REF!+#REF!+#REF!+#REF!+#REF!+#REF!+#REF!+#REF!+#REF!+#REF!+#REF!+#REF!+#REF!+#REF!+#REF!+#REF!+#REF!</definedName>
    <definedName name="xxxChunkR16317C1">+#REF!+#REF!+#REF!+#REF!+#REF!+#REF!+#REF!+#REF!+#REF!+#REF!+#REF!+#REF!+#REF!+#REF!+#REF!+#REF!+#REF!+#REF!+#REF!+#REF!+#REF!+#REF!+#REF!+#REF!+#REF!+#REF!+#REF!+#REF!+#REF!+#REF!+#REF!+#REF!+#REF!</definedName>
    <definedName name="xxxChunkR16318C1" localSheetId="11">xxxChunkR16319C1+#REF!+#REF!+#REF!+#REF!+#REF!+#REF!+#REF!+#REF!+#REF!+#REF!+#REF!+#REF!+#REF!+#REF!+#REF!+#REF!+#REF!+#REF!+#REF!+#REF!+#REF!+#REF!+#REF!+#REF!+#REF!+#REF!+#REF!+#REF!</definedName>
    <definedName name="xxxChunkR16318C1" localSheetId="17">xxxChunkR16319C1+#REF!+#REF!+#REF!+#REF!+#REF!+#REF!+#REF!+#REF!+#REF!+#REF!+#REF!+#REF!+#REF!+#REF!+#REF!+#REF!+#REF!+#REF!+#REF!+#REF!+#REF!+#REF!+#REF!+#REF!+#REF!+#REF!+#REF!+#REF!</definedName>
    <definedName name="xxxChunkR16318C1" localSheetId="10">xxxChunkR16319C1+#REF!+#REF!+#REF!+#REF!+#REF!+#REF!+#REF!+#REF!+#REF!+#REF!+#REF!+#REF!+#REF!+#REF!+#REF!+#REF!+#REF!+#REF!+#REF!+#REF!+#REF!+#REF!+#REF!+#REF!+#REF!+#REF!+#REF!+#REF!</definedName>
    <definedName name="xxxChunkR16318C1" localSheetId="20">xxxChunkR16319C1+#REF!+#REF!+#REF!+#REF!+#REF!+#REF!+#REF!+#REF!+#REF!+#REF!+#REF!+#REF!+#REF!+#REF!+#REF!+#REF!+#REF!+#REF!+#REF!+#REF!+#REF!+#REF!+#REF!+#REF!+#REF!+#REF!+#REF!+#REF!</definedName>
    <definedName name="xxxChunkR16318C1" localSheetId="18">[0]!xxxChunkR16319C1+#REF!+#REF!+#REF!+#REF!+#REF!+#REF!+#REF!+#REF!+#REF!+#REF!+#REF!+#REF!+#REF!+#REF!+#REF!+#REF!+#REF!+#REF!+#REF!+#REF!+#REF!+#REF!+#REF!+#REF!+#REF!+#REF!+#REF!+#REF!</definedName>
    <definedName name="xxxChunkR16318C1" localSheetId="19">xxxChunkR16319C1+#REF!+#REF!+#REF!+#REF!+#REF!+#REF!+#REF!+#REF!+#REF!+#REF!+#REF!+#REF!+#REF!+#REF!+#REF!+#REF!+#REF!+#REF!+#REF!+#REF!+#REF!+#REF!+#REF!+#REF!+#REF!+#REF!+#REF!+#REF!</definedName>
    <definedName name="xxxChunkR16318C1" localSheetId="15">xxxChunkR16319C1+#REF!+#REF!+#REF!+#REF!+#REF!+#REF!+#REF!+#REF!+#REF!+#REF!+#REF!+#REF!+#REF!+#REF!+#REF!+#REF!+#REF!+#REF!+#REF!+#REF!+#REF!+#REF!+#REF!+#REF!+#REF!+#REF!+#REF!+#REF!</definedName>
    <definedName name="xxxChunkR16318C1" localSheetId="16">xxxChunkR16319C1+#REF!+#REF!+#REF!+#REF!+#REF!+#REF!+#REF!+#REF!+#REF!+#REF!+#REF!+#REF!+#REF!+#REF!+#REF!+#REF!+#REF!+#REF!+#REF!+#REF!+#REF!+#REF!+#REF!+#REF!+#REF!+#REF!+#REF!+#REF!</definedName>
    <definedName name="xxxChunkR16318C1" localSheetId="14">xxxChunkR16319C1+#REF!+#REF!+#REF!+#REF!+#REF!+#REF!+#REF!+#REF!+#REF!+#REF!+#REF!+#REF!+#REF!+#REF!+#REF!+#REF!+#REF!+#REF!+#REF!+#REF!+#REF!+#REF!+#REF!+#REF!+#REF!+#REF!+#REF!+#REF!</definedName>
    <definedName name="xxxChunkR16318C1" localSheetId="13">xxxChunkR16319C1+#REF!+#REF!+#REF!+#REF!+#REF!+#REF!+#REF!+#REF!+#REF!+#REF!+#REF!+#REF!+#REF!+#REF!+#REF!+#REF!+#REF!+#REF!+#REF!+#REF!+#REF!+#REF!+#REF!+#REF!+#REF!+#REF!+#REF!+#REF!</definedName>
    <definedName name="xxxChunkR16318C1">xxxChunkR16319C1+#REF!+#REF!+#REF!+#REF!+#REF!+#REF!+#REF!+#REF!+#REF!+#REF!+#REF!+#REF!+#REF!+#REF!+#REF!+#REF!+#REF!+#REF!+#REF!+#REF!+#REF!+#REF!+#REF!+#REF!+#REF!+#REF!+#REF!+#REF!</definedName>
    <definedName name="xxxChunkR16319C1">#N/A</definedName>
    <definedName name="xxxChunkR16320C1" localSheetId="18">+#REF!+#REF!+#REF!+#REF!+#REF!+#REF!+#REF!+#REF!+#REF!+#REF!+#REF!+#REF!+#REF!+#REF!+#REF!+#REF!+#REF!+#REF!+#REF!+#REF!+#REF!+#REF!+#REF!+#REF!+#REF!+#REF!+#REF!+#REF!+#REF!+#REF!+#REF!+#REF!+#REF!</definedName>
    <definedName name="xxxChunkR16320C1" localSheetId="15">+#REF!+#REF!+#REF!+#REF!+#REF!+#REF!+#REF!+#REF!+#REF!+#REF!+#REF!+#REF!+#REF!+#REF!+#REF!+#REF!+#REF!+#REF!+#REF!+#REF!+#REF!+#REF!+#REF!+#REF!+#REF!+#REF!+#REF!+#REF!+#REF!+#REF!+#REF!+#REF!+#REF!</definedName>
    <definedName name="xxxChunkR16320C1" localSheetId="16">+#REF!+#REF!+#REF!+#REF!+#REF!+#REF!+#REF!+#REF!+#REF!+#REF!+#REF!+#REF!+#REF!+#REF!+#REF!+#REF!+#REF!+#REF!+#REF!+#REF!+#REF!+#REF!+#REF!+#REF!+#REF!+#REF!+#REF!+#REF!+#REF!+#REF!+#REF!+#REF!+#REF!</definedName>
    <definedName name="xxxChunkR16320C1" localSheetId="14">+#REF!+#REF!+#REF!+#REF!+#REF!+#REF!+#REF!+#REF!+#REF!+#REF!+#REF!+#REF!+#REF!+#REF!+#REF!+#REF!+#REF!+#REF!+#REF!+#REF!+#REF!+#REF!+#REF!+#REF!+#REF!+#REF!+#REF!+#REF!+#REF!+#REF!+#REF!+#REF!+#REF!</definedName>
    <definedName name="xxxChunkR16320C1">+#REF!+#REF!+#REF!+#REF!+#REF!+#REF!+#REF!+#REF!+#REF!+#REF!+#REF!+#REF!+#REF!+#REF!+#REF!+#REF!+#REF!+#REF!+#REF!+#REF!+#REF!+#REF!+#REF!+#REF!+#REF!+#REF!+#REF!+#REF!+#REF!+#REF!+#REF!+#REF!+#REF!</definedName>
    <definedName name="xxxChunkR16321C1" localSheetId="11">xxxChunkR16322C1+#REF!+#REF!+#REF!+#REF!+#REF!+#REF!+#REF!+#REF!+#REF!+#REF!+#REF!+#REF!+#REF!+#REF!+#REF!+#REF!+#REF!+#REF!+#REF!+#REF!+#REF!+#REF!+#REF!+#REF!+#REF!+#REF!+#REF!+#REF!</definedName>
    <definedName name="xxxChunkR16321C1" localSheetId="17">xxxChunkR16322C1+#REF!+#REF!+#REF!+#REF!+#REF!+#REF!+#REF!+#REF!+#REF!+#REF!+#REF!+#REF!+#REF!+#REF!+#REF!+#REF!+#REF!+#REF!+#REF!+#REF!+#REF!+#REF!+#REF!+#REF!+#REF!+#REF!+#REF!+#REF!</definedName>
    <definedName name="xxxChunkR16321C1" localSheetId="10">xxxChunkR16322C1+#REF!+#REF!+#REF!+#REF!+#REF!+#REF!+#REF!+#REF!+#REF!+#REF!+#REF!+#REF!+#REF!+#REF!+#REF!+#REF!+#REF!+#REF!+#REF!+#REF!+#REF!+#REF!+#REF!+#REF!+#REF!+#REF!+#REF!+#REF!</definedName>
    <definedName name="xxxChunkR16321C1" localSheetId="20">xxxChunkR16322C1+#REF!+#REF!+#REF!+#REF!+#REF!+#REF!+#REF!+#REF!+#REF!+#REF!+#REF!+#REF!+#REF!+#REF!+#REF!+#REF!+#REF!+#REF!+#REF!+#REF!+#REF!+#REF!+#REF!+#REF!+#REF!+#REF!+#REF!+#REF!</definedName>
    <definedName name="xxxChunkR16321C1" localSheetId="18">[0]!xxxChunkR16322C1+#REF!+#REF!+#REF!+#REF!+#REF!+#REF!+#REF!+#REF!+#REF!+#REF!+#REF!+#REF!+#REF!+#REF!+#REF!+#REF!+#REF!+#REF!+#REF!+#REF!+#REF!+#REF!+#REF!+#REF!+#REF!+#REF!+#REF!+#REF!</definedName>
    <definedName name="xxxChunkR16321C1" localSheetId="19">xxxChunkR16322C1+#REF!+#REF!+#REF!+#REF!+#REF!+#REF!+#REF!+#REF!+#REF!+#REF!+#REF!+#REF!+#REF!+#REF!+#REF!+#REF!+#REF!+#REF!+#REF!+#REF!+#REF!+#REF!+#REF!+#REF!+#REF!+#REF!+#REF!+#REF!</definedName>
    <definedName name="xxxChunkR16321C1" localSheetId="15">xxxChunkR16322C1+#REF!+#REF!+#REF!+#REF!+#REF!+#REF!+#REF!+#REF!+#REF!+#REF!+#REF!+#REF!+#REF!+#REF!+#REF!+#REF!+#REF!+#REF!+#REF!+#REF!+#REF!+#REF!+#REF!+#REF!+#REF!+#REF!+#REF!+#REF!</definedName>
    <definedName name="xxxChunkR16321C1" localSheetId="16">xxxChunkR16322C1+#REF!+#REF!+#REF!+#REF!+#REF!+#REF!+#REF!+#REF!+#REF!+#REF!+#REF!+#REF!+#REF!+#REF!+#REF!+#REF!+#REF!+#REF!+#REF!+#REF!+#REF!+#REF!+#REF!+#REF!+#REF!+#REF!+#REF!+#REF!</definedName>
    <definedName name="xxxChunkR16321C1" localSheetId="14">xxxChunkR16322C1+#REF!+#REF!+#REF!+#REF!+#REF!+#REF!+#REF!+#REF!+#REF!+#REF!+#REF!+#REF!+#REF!+#REF!+#REF!+#REF!+#REF!+#REF!+#REF!+#REF!+#REF!+#REF!+#REF!+#REF!+#REF!+#REF!+#REF!+#REF!</definedName>
    <definedName name="xxxChunkR16321C1" localSheetId="13">xxxChunkR16322C1+#REF!+#REF!+#REF!+#REF!+#REF!+#REF!+#REF!+#REF!+#REF!+#REF!+#REF!+#REF!+#REF!+#REF!+#REF!+#REF!+#REF!+#REF!+#REF!+#REF!+#REF!+#REF!+#REF!+#REF!+#REF!+#REF!+#REF!+#REF!</definedName>
    <definedName name="xxxChunkR16321C1">xxxChunkR16322C1+#REF!+#REF!+#REF!+#REF!+#REF!+#REF!+#REF!+#REF!+#REF!+#REF!+#REF!+#REF!+#REF!+#REF!+#REF!+#REF!+#REF!+#REF!+#REF!+#REF!+#REF!+#REF!+#REF!+#REF!+#REF!+#REF!+#REF!+#REF!</definedName>
    <definedName name="xxxChunkR16322C1">#N/A</definedName>
    <definedName name="xxxChunkR16323C1" localSheetId="18">+#REF!+#REF!+#REF!+#REF!+#REF!+#REF!+#REF!+#REF!+#REF!+#REF!+#REF!+#REF!+#REF!+#REF!+#REF!+#REF!+#REF!+#REF!+#REF!+#REF!+#REF!+#REF!+#REF!+#REF!+#REF!+#REF!+#REF!+#REF!+#REF!+#REF!+#REF!+#REF!+#REF!</definedName>
    <definedName name="xxxChunkR16323C1" localSheetId="15">+#REF!+#REF!+#REF!+#REF!+#REF!+#REF!+#REF!+#REF!+#REF!+#REF!+#REF!+#REF!+#REF!+#REF!+#REF!+#REF!+#REF!+#REF!+#REF!+#REF!+#REF!+#REF!+#REF!+#REF!+#REF!+#REF!+#REF!+#REF!+#REF!+#REF!+#REF!+#REF!+#REF!</definedName>
    <definedName name="xxxChunkR16323C1" localSheetId="16">+#REF!+#REF!+#REF!+#REF!+#REF!+#REF!+#REF!+#REF!+#REF!+#REF!+#REF!+#REF!+#REF!+#REF!+#REF!+#REF!+#REF!+#REF!+#REF!+#REF!+#REF!+#REF!+#REF!+#REF!+#REF!+#REF!+#REF!+#REF!+#REF!+#REF!+#REF!+#REF!+#REF!</definedName>
    <definedName name="xxxChunkR16323C1" localSheetId="14">+#REF!+#REF!+#REF!+#REF!+#REF!+#REF!+#REF!+#REF!+#REF!+#REF!+#REF!+#REF!+#REF!+#REF!+#REF!+#REF!+#REF!+#REF!+#REF!+#REF!+#REF!+#REF!+#REF!+#REF!+#REF!+#REF!+#REF!+#REF!+#REF!+#REF!+#REF!+#REF!+#REF!</definedName>
    <definedName name="xxxChunkR16323C1">+#REF!+#REF!+#REF!+#REF!+#REF!+#REF!+#REF!+#REF!+#REF!+#REF!+#REF!+#REF!+#REF!+#REF!+#REF!+#REF!+#REF!+#REF!+#REF!+#REF!+#REF!+#REF!+#REF!+#REF!+#REF!+#REF!+#REF!+#REF!+#REF!+#REF!+#REF!+#REF!+#REF!</definedName>
    <definedName name="xxxChunkR16324C1" localSheetId="11">xxxChunkR16325C1+#REF!+#REF!+#REF!+#REF!+#REF!+#REF!+#REF!+#REF!+#REF!+#REF!+#REF!+#REF!+#REF!+#REF!+#REF!+#REF!+#REF!+#REF!+#REF!+#REF!+#REF!+#REF!+#REF!+#REF!+#REF!+#REF!+#REF!+#REF!</definedName>
    <definedName name="xxxChunkR16324C1" localSheetId="17">xxxChunkR16325C1+#REF!+#REF!+#REF!+#REF!+#REF!+#REF!+#REF!+#REF!+#REF!+#REF!+#REF!+#REF!+#REF!+#REF!+#REF!+#REF!+#REF!+#REF!+#REF!+#REF!+#REF!+#REF!+#REF!+#REF!+#REF!+#REF!+#REF!+#REF!</definedName>
    <definedName name="xxxChunkR16324C1" localSheetId="10">xxxChunkR16325C1+#REF!+#REF!+#REF!+#REF!+#REF!+#REF!+#REF!+#REF!+#REF!+#REF!+#REF!+#REF!+#REF!+#REF!+#REF!+#REF!+#REF!+#REF!+#REF!+#REF!+#REF!+#REF!+#REF!+#REF!+#REF!+#REF!+#REF!+#REF!</definedName>
    <definedName name="xxxChunkR16324C1" localSheetId="20">xxxChunkR16325C1+#REF!+#REF!+#REF!+#REF!+#REF!+#REF!+#REF!+#REF!+#REF!+#REF!+#REF!+#REF!+#REF!+#REF!+#REF!+#REF!+#REF!+#REF!+#REF!+#REF!+#REF!+#REF!+#REF!+#REF!+#REF!+#REF!+#REF!+#REF!</definedName>
    <definedName name="xxxChunkR16324C1" localSheetId="18">[0]!xxxChunkR16325C1+#REF!+#REF!+#REF!+#REF!+#REF!+#REF!+#REF!+#REF!+#REF!+#REF!+#REF!+#REF!+#REF!+#REF!+#REF!+#REF!+#REF!+#REF!+#REF!+#REF!+#REF!+#REF!+#REF!+#REF!+#REF!+#REF!+#REF!+#REF!</definedName>
    <definedName name="xxxChunkR16324C1" localSheetId="19">xxxChunkR16325C1+#REF!+#REF!+#REF!+#REF!+#REF!+#REF!+#REF!+#REF!+#REF!+#REF!+#REF!+#REF!+#REF!+#REF!+#REF!+#REF!+#REF!+#REF!+#REF!+#REF!+#REF!+#REF!+#REF!+#REF!+#REF!+#REF!+#REF!+#REF!</definedName>
    <definedName name="xxxChunkR16324C1" localSheetId="15">xxxChunkR16325C1+#REF!+#REF!+#REF!+#REF!+#REF!+#REF!+#REF!+#REF!+#REF!+#REF!+#REF!+#REF!+#REF!+#REF!+#REF!+#REF!+#REF!+#REF!+#REF!+#REF!+#REF!+#REF!+#REF!+#REF!+#REF!+#REF!+#REF!+#REF!</definedName>
    <definedName name="xxxChunkR16324C1" localSheetId="16">xxxChunkR16325C1+#REF!+#REF!+#REF!+#REF!+#REF!+#REF!+#REF!+#REF!+#REF!+#REF!+#REF!+#REF!+#REF!+#REF!+#REF!+#REF!+#REF!+#REF!+#REF!+#REF!+#REF!+#REF!+#REF!+#REF!+#REF!+#REF!+#REF!+#REF!</definedName>
    <definedName name="xxxChunkR16324C1" localSheetId="14">xxxChunkR16325C1+#REF!+#REF!+#REF!+#REF!+#REF!+#REF!+#REF!+#REF!+#REF!+#REF!+#REF!+#REF!+#REF!+#REF!+#REF!+#REF!+#REF!+#REF!+#REF!+#REF!+#REF!+#REF!+#REF!+#REF!+#REF!+#REF!+#REF!+#REF!</definedName>
    <definedName name="xxxChunkR16324C1" localSheetId="13">xxxChunkR16325C1+#REF!+#REF!+#REF!+#REF!+#REF!+#REF!+#REF!+#REF!+#REF!+#REF!+#REF!+#REF!+#REF!+#REF!+#REF!+#REF!+#REF!+#REF!+#REF!+#REF!+#REF!+#REF!+#REF!+#REF!+#REF!+#REF!+#REF!+#REF!</definedName>
    <definedName name="xxxChunkR16324C1">xxxChunkR16325C1+#REF!+#REF!+#REF!+#REF!+#REF!+#REF!+#REF!+#REF!+#REF!+#REF!+#REF!+#REF!+#REF!+#REF!+#REF!+#REF!+#REF!+#REF!+#REF!+#REF!+#REF!+#REF!+#REF!+#REF!+#REF!+#REF!+#REF!+#REF!</definedName>
    <definedName name="xxxChunkR16325C1">#N/A</definedName>
    <definedName name="xxxChunkR16326C1" localSheetId="18">+#REF!+#REF!+#REF!+#REF!+#REF!+#REF!+#REF!+#REF!+#REF!+#REF!+#REF!+#REF!+#REF!+#REF!+#REF!+#REF!+#REF!+#REF!+#REF!+#REF!+#REF!+#REF!+#REF!+#REF!+#REF!+#REF!+#REF!+#REF!+#REF!+#REF!+#REF!+#REF!+#REF!</definedName>
    <definedName name="xxxChunkR16326C1" localSheetId="15">+#REF!+#REF!+#REF!+#REF!+#REF!+#REF!+#REF!+#REF!+#REF!+#REF!+#REF!+#REF!+#REF!+#REF!+#REF!+#REF!+#REF!+#REF!+#REF!+#REF!+#REF!+#REF!+#REF!+#REF!+#REF!+#REF!+#REF!+#REF!+#REF!+#REF!+#REF!+#REF!+#REF!</definedName>
    <definedName name="xxxChunkR16326C1" localSheetId="16">+#REF!+#REF!+#REF!+#REF!+#REF!+#REF!+#REF!+#REF!+#REF!+#REF!+#REF!+#REF!+#REF!+#REF!+#REF!+#REF!+#REF!+#REF!+#REF!+#REF!+#REF!+#REF!+#REF!+#REF!+#REF!+#REF!+#REF!+#REF!+#REF!+#REF!+#REF!+#REF!+#REF!</definedName>
    <definedName name="xxxChunkR16326C1" localSheetId="14">+#REF!+#REF!+#REF!+#REF!+#REF!+#REF!+#REF!+#REF!+#REF!+#REF!+#REF!+#REF!+#REF!+#REF!+#REF!+#REF!+#REF!+#REF!+#REF!+#REF!+#REF!+#REF!+#REF!+#REF!+#REF!+#REF!+#REF!+#REF!+#REF!+#REF!+#REF!+#REF!+#REF!</definedName>
    <definedName name="xxxChunkR16326C1">+#REF!+#REF!+#REF!+#REF!+#REF!+#REF!+#REF!+#REF!+#REF!+#REF!+#REF!+#REF!+#REF!+#REF!+#REF!+#REF!+#REF!+#REF!+#REF!+#REF!+#REF!+#REF!+#REF!+#REF!+#REF!+#REF!+#REF!+#REF!+#REF!+#REF!+#REF!+#REF!+#REF!</definedName>
    <definedName name="xxxChunkR16327C1" localSheetId="11">xxxChunkR16328C1+#REF!+#REF!+#REF!+#REF!+#REF!+#REF!+#REF!+#REF!+#REF!+#REF!+#REF!+#REF!+#REF!+#REF!+#REF!+#REF!+#REF!+#REF!+#REF!+#REF!+#REF!+#REF!+#REF!+#REF!+#REF!+#REF!+#REF!+#REF!</definedName>
    <definedName name="xxxChunkR16327C1" localSheetId="17">xxxChunkR16328C1+#REF!+#REF!+#REF!+#REF!+#REF!+#REF!+#REF!+#REF!+#REF!+#REF!+#REF!+#REF!+#REF!+#REF!+#REF!+#REF!+#REF!+#REF!+#REF!+#REF!+#REF!+#REF!+#REF!+#REF!+#REF!+#REF!+#REF!+#REF!</definedName>
    <definedName name="xxxChunkR16327C1" localSheetId="10">xxxChunkR16328C1+#REF!+#REF!+#REF!+#REF!+#REF!+#REF!+#REF!+#REF!+#REF!+#REF!+#REF!+#REF!+#REF!+#REF!+#REF!+#REF!+#REF!+#REF!+#REF!+#REF!+#REF!+#REF!+#REF!+#REF!+#REF!+#REF!+#REF!+#REF!</definedName>
    <definedName name="xxxChunkR16327C1" localSheetId="20">xxxChunkR16328C1+#REF!+#REF!+#REF!+#REF!+#REF!+#REF!+#REF!+#REF!+#REF!+#REF!+#REF!+#REF!+#REF!+#REF!+#REF!+#REF!+#REF!+#REF!+#REF!+#REF!+#REF!+#REF!+#REF!+#REF!+#REF!+#REF!+#REF!+#REF!</definedName>
    <definedName name="xxxChunkR16327C1" localSheetId="18">[0]!xxxChunkR16328C1+#REF!+#REF!+#REF!+#REF!+#REF!+#REF!+#REF!+#REF!+#REF!+#REF!+#REF!+#REF!+#REF!+#REF!+#REF!+#REF!+#REF!+#REF!+#REF!+#REF!+#REF!+#REF!+#REF!+#REF!+#REF!+#REF!+#REF!+#REF!</definedName>
    <definedName name="xxxChunkR16327C1" localSheetId="19">xxxChunkR16328C1+#REF!+#REF!+#REF!+#REF!+#REF!+#REF!+#REF!+#REF!+#REF!+#REF!+#REF!+#REF!+#REF!+#REF!+#REF!+#REF!+#REF!+#REF!+#REF!+#REF!+#REF!+#REF!+#REF!+#REF!+#REF!+#REF!+#REF!+#REF!</definedName>
    <definedName name="xxxChunkR16327C1" localSheetId="15">xxxChunkR16328C1+#REF!+#REF!+#REF!+#REF!+#REF!+#REF!+#REF!+#REF!+#REF!+#REF!+#REF!+#REF!+#REF!+#REF!+#REF!+#REF!+#REF!+#REF!+#REF!+#REF!+#REF!+#REF!+#REF!+#REF!+#REF!+#REF!+#REF!+#REF!</definedName>
    <definedName name="xxxChunkR16327C1" localSheetId="16">xxxChunkR16328C1+#REF!+#REF!+#REF!+#REF!+#REF!+#REF!+#REF!+#REF!+#REF!+#REF!+#REF!+#REF!+#REF!+#REF!+#REF!+#REF!+#REF!+#REF!+#REF!+#REF!+#REF!+#REF!+#REF!+#REF!+#REF!+#REF!+#REF!+#REF!</definedName>
    <definedName name="xxxChunkR16327C1" localSheetId="14">xxxChunkR16328C1+#REF!+#REF!+#REF!+#REF!+#REF!+#REF!+#REF!+#REF!+#REF!+#REF!+#REF!+#REF!+#REF!+#REF!+#REF!+#REF!+#REF!+#REF!+#REF!+#REF!+#REF!+#REF!+#REF!+#REF!+#REF!+#REF!+#REF!+#REF!</definedName>
    <definedName name="xxxChunkR16327C1" localSheetId="13">xxxChunkR16328C1+#REF!+#REF!+#REF!+#REF!+#REF!+#REF!+#REF!+#REF!+#REF!+#REF!+#REF!+#REF!+#REF!+#REF!+#REF!+#REF!+#REF!+#REF!+#REF!+#REF!+#REF!+#REF!+#REF!+#REF!+#REF!+#REF!+#REF!+#REF!</definedName>
    <definedName name="xxxChunkR16327C1">xxxChunkR16328C1+#REF!+#REF!+#REF!+#REF!+#REF!+#REF!+#REF!+#REF!+#REF!+#REF!+#REF!+#REF!+#REF!+#REF!+#REF!+#REF!+#REF!+#REF!+#REF!+#REF!+#REF!+#REF!+#REF!+#REF!+#REF!+#REF!+#REF!+#REF!</definedName>
    <definedName name="xxxChunkR16328C1">#N/A</definedName>
    <definedName name="xxxChunkR16329C1" localSheetId="18">+#REF!+#REF!+#REF!+#REF!+#REF!+#REF!+#REF!+#REF!+#REF!+#REF!+#REF!+#REF!+#REF!+#REF!+#REF!+#REF!+#REF!+#REF!+#REF!+#REF!+#REF!+#REF!+#REF!+#REF!+#REF!+#REF!+#REF!+#REF!+#REF!+#REF!+#REF!+#REF!+#REF!</definedName>
    <definedName name="xxxChunkR16329C1" localSheetId="15">+#REF!+#REF!+#REF!+#REF!+#REF!+#REF!+#REF!+#REF!+#REF!+#REF!+#REF!+#REF!+#REF!+#REF!+#REF!+#REF!+#REF!+#REF!+#REF!+#REF!+#REF!+#REF!+#REF!+#REF!+#REF!+#REF!+#REF!+#REF!+#REF!+#REF!+#REF!+#REF!+#REF!</definedName>
    <definedName name="xxxChunkR16329C1" localSheetId="16">+#REF!+#REF!+#REF!+#REF!+#REF!+#REF!+#REF!+#REF!+#REF!+#REF!+#REF!+#REF!+#REF!+#REF!+#REF!+#REF!+#REF!+#REF!+#REF!+#REF!+#REF!+#REF!+#REF!+#REF!+#REF!+#REF!+#REF!+#REF!+#REF!+#REF!+#REF!+#REF!+#REF!</definedName>
    <definedName name="xxxChunkR16329C1" localSheetId="14">+#REF!+#REF!+#REF!+#REF!+#REF!+#REF!+#REF!+#REF!+#REF!+#REF!+#REF!+#REF!+#REF!+#REF!+#REF!+#REF!+#REF!+#REF!+#REF!+#REF!+#REF!+#REF!+#REF!+#REF!+#REF!+#REF!+#REF!+#REF!+#REF!+#REF!+#REF!+#REF!+#REF!</definedName>
    <definedName name="xxxChunkR16329C1">+#REF!+#REF!+#REF!+#REF!+#REF!+#REF!+#REF!+#REF!+#REF!+#REF!+#REF!+#REF!+#REF!+#REF!+#REF!+#REF!+#REF!+#REF!+#REF!+#REF!+#REF!+#REF!+#REF!+#REF!+#REF!+#REF!+#REF!+#REF!+#REF!+#REF!+#REF!+#REF!+#REF!</definedName>
    <definedName name="xxxChunkR16330C1">#N/A</definedName>
    <definedName name="xxxChunkR16331C1" localSheetId="18">+#REF!+#REF!+#REF!+#REF!+#REF!+#REF!+#REF!+#REF!+#REF!+#REF!+#REF!+#REF!+#REF!+#REF!+#REF!+#REF!+#REF!+#REF!+#REF!+#REF!+#REF!+#REF!+#REF!+#REF!</definedName>
    <definedName name="xxxChunkR16331C1" localSheetId="15">+#REF!+#REF!+#REF!+#REF!+#REF!+#REF!+#REF!+#REF!+#REF!+#REF!+#REF!+#REF!+#REF!+#REF!+#REF!+#REF!+#REF!+#REF!+#REF!+#REF!+#REF!+#REF!+#REF!+#REF!</definedName>
    <definedName name="xxxChunkR16331C1" localSheetId="16">+#REF!+#REF!+#REF!+#REF!+#REF!+#REF!+#REF!+#REF!+#REF!+#REF!+#REF!+#REF!+#REF!+#REF!+#REF!+#REF!+#REF!+#REF!+#REF!+#REF!+#REF!+#REF!+#REF!+#REF!</definedName>
    <definedName name="xxxChunkR16331C1" localSheetId="14">+#REF!+#REF!+#REF!+#REF!+#REF!+#REF!+#REF!+#REF!+#REF!+#REF!+#REF!+#REF!+#REF!+#REF!+#REF!+#REF!+#REF!+#REF!+#REF!+#REF!+#REF!+#REF!+#REF!+#REF!</definedName>
    <definedName name="xxxChunkR16331C1">+#REF!+#REF!+#REF!+#REF!+#REF!+#REF!+#REF!+#REF!+#REF!+#REF!+#REF!+#REF!+#REF!+#REF!+#REF!+#REF!+#REF!+#REF!+#REF!+#REF!+#REF!+#REF!+#REF!+#REF!</definedName>
    <definedName name="xxxChunkR16332C1" localSheetId="18">+#REF!+#REF!+#REF!+#REF!+#REF!+#REF!+#REF!+#REF!+#REF!+#REF!+#REF!+#REF!+#REF!+#REF!+#REF!+#REF!+#REF!+#REF!+#REF!+#REF!+#REF!+#REF!+#REF!+#REF!</definedName>
    <definedName name="xxxChunkR16332C1" localSheetId="15">+#REF!+#REF!+#REF!+#REF!+#REF!+#REF!+#REF!+#REF!+#REF!+#REF!+#REF!+#REF!+#REF!+#REF!+#REF!+#REF!+#REF!+#REF!+#REF!+#REF!+#REF!+#REF!+#REF!+#REF!</definedName>
    <definedName name="xxxChunkR16332C1" localSheetId="16">+#REF!+#REF!+#REF!+#REF!+#REF!+#REF!+#REF!+#REF!+#REF!+#REF!+#REF!+#REF!+#REF!+#REF!+#REF!+#REF!+#REF!+#REF!+#REF!+#REF!+#REF!+#REF!+#REF!+#REF!</definedName>
    <definedName name="xxxChunkR16332C1" localSheetId="14">+#REF!+#REF!+#REF!+#REF!+#REF!+#REF!+#REF!+#REF!+#REF!+#REF!+#REF!+#REF!+#REF!+#REF!+#REF!+#REF!+#REF!+#REF!+#REF!+#REF!+#REF!+#REF!+#REF!+#REF!</definedName>
    <definedName name="xxxChunkR16332C1">+#REF!+#REF!+#REF!+#REF!+#REF!+#REF!+#REF!+#REF!+#REF!+#REF!+#REF!+#REF!+#REF!+#REF!+#REF!+#REF!+#REF!+#REF!+#REF!+#REF!+#REF!+#REF!+#REF!+#REF!</definedName>
    <definedName name="xxxChunkR16333C1" localSheetId="18">+#REF!+#REF!+#REF!+#REF!+#REF!+#REF!+#REF!+#REF!+#REF!+#REF!+#REF!+#REF!+#REF!+#REF!+#REF!+#REF!+#REF!+#REF!+#REF!+#REF!+#REF!+#REF!+#REF!+#REF!</definedName>
    <definedName name="xxxChunkR16333C1" localSheetId="15">+#REF!+#REF!+#REF!+#REF!+#REF!+#REF!+#REF!+#REF!+#REF!+#REF!+#REF!+#REF!+#REF!+#REF!+#REF!+#REF!+#REF!+#REF!+#REF!+#REF!+#REF!+#REF!+#REF!+#REF!</definedName>
    <definedName name="xxxChunkR16333C1" localSheetId="16">+#REF!+#REF!+#REF!+#REF!+#REF!+#REF!+#REF!+#REF!+#REF!+#REF!+#REF!+#REF!+#REF!+#REF!+#REF!+#REF!+#REF!+#REF!+#REF!+#REF!+#REF!+#REF!+#REF!+#REF!</definedName>
    <definedName name="xxxChunkR16333C1" localSheetId="14">+#REF!+#REF!+#REF!+#REF!+#REF!+#REF!+#REF!+#REF!+#REF!+#REF!+#REF!+#REF!+#REF!+#REF!+#REF!+#REF!+#REF!+#REF!+#REF!+#REF!+#REF!+#REF!+#REF!+#REF!</definedName>
    <definedName name="xxxChunkR16333C1">+#REF!+#REF!+#REF!+#REF!+#REF!+#REF!+#REF!+#REF!+#REF!+#REF!+#REF!+#REF!+#REF!+#REF!+#REF!+#REF!+#REF!+#REF!+#REF!+#REF!+#REF!+#REF!+#REF!+#REF!</definedName>
    <definedName name="xxxChunkR16334C1" localSheetId="18">+#REF!+#REF!+#REF!+#REF!+#REF!+#REF!+#REF!+#REF!+#REF!+#REF!+#REF!+#REF!+#REF!+#REF!+#REF!+#REF!+#REF!+#REF!+#REF!+#REF!+#REF!+#REF!+#REF!+#REF!</definedName>
    <definedName name="xxxChunkR16334C1" localSheetId="15">+#REF!+#REF!+#REF!+#REF!+#REF!+#REF!+#REF!+#REF!+#REF!+#REF!+#REF!+#REF!+#REF!+#REF!+#REF!+#REF!+#REF!+#REF!+#REF!+#REF!+#REF!+#REF!+#REF!+#REF!</definedName>
    <definedName name="xxxChunkR16334C1" localSheetId="16">+#REF!+#REF!+#REF!+#REF!+#REF!+#REF!+#REF!+#REF!+#REF!+#REF!+#REF!+#REF!+#REF!+#REF!+#REF!+#REF!+#REF!+#REF!+#REF!+#REF!+#REF!+#REF!+#REF!+#REF!</definedName>
    <definedName name="xxxChunkR16334C1" localSheetId="14">+#REF!+#REF!+#REF!+#REF!+#REF!+#REF!+#REF!+#REF!+#REF!+#REF!+#REF!+#REF!+#REF!+#REF!+#REF!+#REF!+#REF!+#REF!+#REF!+#REF!+#REF!+#REF!+#REF!+#REF!</definedName>
    <definedName name="xxxChunkR16334C1">+#REF!+#REF!+#REF!+#REF!+#REF!+#REF!+#REF!+#REF!+#REF!+#REF!+#REF!+#REF!+#REF!+#REF!+#REF!+#REF!+#REF!+#REF!+#REF!+#REF!+#REF!+#REF!+#REF!+#REF!</definedName>
    <definedName name="xxxChunkR16335C1" localSheetId="18">+#REF!+#REF!+#REF!+#REF!+#REF!+#REF!+#REF!+#REF!+#REF!+#REF!+#REF!+#REF!+#REF!+#REF!+#REF!+#REF!+#REF!+#REF!+#REF!+#REF!+#REF!+#REF!+#REF!+#REF!</definedName>
    <definedName name="xxxChunkR16335C1" localSheetId="15">+#REF!+#REF!+#REF!+#REF!+#REF!+#REF!+#REF!+#REF!+#REF!+#REF!+#REF!+#REF!+#REF!+#REF!+#REF!+#REF!+#REF!+#REF!+#REF!+#REF!+#REF!+#REF!+#REF!+#REF!</definedName>
    <definedName name="xxxChunkR16335C1" localSheetId="16">+#REF!+#REF!+#REF!+#REF!+#REF!+#REF!+#REF!+#REF!+#REF!+#REF!+#REF!+#REF!+#REF!+#REF!+#REF!+#REF!+#REF!+#REF!+#REF!+#REF!+#REF!+#REF!+#REF!+#REF!</definedName>
    <definedName name="xxxChunkR16335C1" localSheetId="14">+#REF!+#REF!+#REF!+#REF!+#REF!+#REF!+#REF!+#REF!+#REF!+#REF!+#REF!+#REF!+#REF!+#REF!+#REF!+#REF!+#REF!+#REF!+#REF!+#REF!+#REF!+#REF!+#REF!+#REF!</definedName>
    <definedName name="xxxChunkR16335C1">+#REF!+#REF!+#REF!+#REF!+#REF!+#REF!+#REF!+#REF!+#REF!+#REF!+#REF!+#REF!+#REF!+#REF!+#REF!+#REF!+#REF!+#REF!+#REF!+#REF!+#REF!+#REF!+#REF!+#REF!</definedName>
    <definedName name="xxxChunkR16336C1" localSheetId="18">+#REF!+#REF!+#REF!+#REF!+#REF!+#REF!+#REF!+#REF!+#REF!+#REF!+#REF!+#REF!+#REF!+#REF!+#REF!+#REF!+#REF!+#REF!+#REF!+#REF!+#REF!+#REF!+#REF!+#REF!</definedName>
    <definedName name="xxxChunkR16336C1" localSheetId="15">+#REF!+#REF!+#REF!+#REF!+#REF!+#REF!+#REF!+#REF!+#REF!+#REF!+#REF!+#REF!+#REF!+#REF!+#REF!+#REF!+#REF!+#REF!+#REF!+#REF!+#REF!+#REF!+#REF!+#REF!</definedName>
    <definedName name="xxxChunkR16336C1" localSheetId="16">+#REF!+#REF!+#REF!+#REF!+#REF!+#REF!+#REF!+#REF!+#REF!+#REF!+#REF!+#REF!+#REF!+#REF!+#REF!+#REF!+#REF!+#REF!+#REF!+#REF!+#REF!+#REF!+#REF!+#REF!</definedName>
    <definedName name="xxxChunkR16336C1" localSheetId="14">+#REF!+#REF!+#REF!+#REF!+#REF!+#REF!+#REF!+#REF!+#REF!+#REF!+#REF!+#REF!+#REF!+#REF!+#REF!+#REF!+#REF!+#REF!+#REF!+#REF!+#REF!+#REF!+#REF!+#REF!</definedName>
    <definedName name="xxxChunkR16336C1">+#REF!+#REF!+#REF!+#REF!+#REF!+#REF!+#REF!+#REF!+#REF!+#REF!+#REF!+#REF!+#REF!+#REF!+#REF!+#REF!+#REF!+#REF!+#REF!+#REF!+#REF!+#REF!+#REF!+#REF!</definedName>
    <definedName name="xxxChunkR16337C1" localSheetId="18">+#REF!+#REF!+#REF!+#REF!+#REF!+#REF!+#REF!+#REF!+#REF!+#REF!+#REF!+#REF!+#REF!+#REF!+#REF!+#REF!+#REF!+#REF!+#REF!+#REF!+#REF!+#REF!+#REF!+#REF!</definedName>
    <definedName name="xxxChunkR16337C1" localSheetId="15">+#REF!+#REF!+#REF!+#REF!+#REF!+#REF!+#REF!+#REF!+#REF!+#REF!+#REF!+#REF!+#REF!+#REF!+#REF!+#REF!+#REF!+#REF!+#REF!+#REF!+#REF!+#REF!+#REF!+#REF!</definedName>
    <definedName name="xxxChunkR16337C1" localSheetId="16">+#REF!+#REF!+#REF!+#REF!+#REF!+#REF!+#REF!+#REF!+#REF!+#REF!+#REF!+#REF!+#REF!+#REF!+#REF!+#REF!+#REF!+#REF!+#REF!+#REF!+#REF!+#REF!+#REF!+#REF!</definedName>
    <definedName name="xxxChunkR16337C1" localSheetId="14">+#REF!+#REF!+#REF!+#REF!+#REF!+#REF!+#REF!+#REF!+#REF!+#REF!+#REF!+#REF!+#REF!+#REF!+#REF!+#REF!+#REF!+#REF!+#REF!+#REF!+#REF!+#REF!+#REF!+#REF!</definedName>
    <definedName name="xxxChunkR16337C1">+#REF!+#REF!+#REF!+#REF!+#REF!+#REF!+#REF!+#REF!+#REF!+#REF!+#REF!+#REF!+#REF!+#REF!+#REF!+#REF!+#REF!+#REF!+#REF!+#REF!+#REF!+#REF!+#REF!+#REF!</definedName>
    <definedName name="xxxChunkR16338C1" localSheetId="18">+#REF!+#REF!+#REF!+#REF!+#REF!+#REF!+#REF!+#REF!+#REF!+#REF!+#REF!+#REF!+#REF!+#REF!+#REF!+#REF!+#REF!+#REF!+#REF!+#REF!+#REF!+#REF!+#REF!+#REF!</definedName>
    <definedName name="xxxChunkR16338C1" localSheetId="15">+#REF!+#REF!+#REF!+#REF!+#REF!+#REF!+#REF!+#REF!+#REF!+#REF!+#REF!+#REF!+#REF!+#REF!+#REF!+#REF!+#REF!+#REF!+#REF!+#REF!+#REF!+#REF!+#REF!+#REF!</definedName>
    <definedName name="xxxChunkR16338C1" localSheetId="16">+#REF!+#REF!+#REF!+#REF!+#REF!+#REF!+#REF!+#REF!+#REF!+#REF!+#REF!+#REF!+#REF!+#REF!+#REF!+#REF!+#REF!+#REF!+#REF!+#REF!+#REF!+#REF!+#REF!+#REF!</definedName>
    <definedName name="xxxChunkR16338C1" localSheetId="14">+#REF!+#REF!+#REF!+#REF!+#REF!+#REF!+#REF!+#REF!+#REF!+#REF!+#REF!+#REF!+#REF!+#REF!+#REF!+#REF!+#REF!+#REF!+#REF!+#REF!+#REF!+#REF!+#REF!+#REF!</definedName>
    <definedName name="xxxChunkR16338C1">+#REF!+#REF!+#REF!+#REF!+#REF!+#REF!+#REF!+#REF!+#REF!+#REF!+#REF!+#REF!+#REF!+#REF!+#REF!+#REF!+#REF!+#REF!+#REF!+#REF!+#REF!+#REF!+#REF!+#REF!</definedName>
    <definedName name="xxxChunkR16339C1" localSheetId="18">+#REF!+#REF!+#REF!+#REF!+#REF!+#REF!+#REF!+#REF!+#REF!+#REF!+#REF!+#REF!+#REF!+#REF!+#REF!+#REF!+#REF!+#REF!+#REF!+#REF!+#REF!+#REF!+#REF!+#REF!</definedName>
    <definedName name="xxxChunkR16339C1" localSheetId="15">+#REF!+#REF!+#REF!+#REF!+#REF!+#REF!+#REF!+#REF!+#REF!+#REF!+#REF!+#REF!+#REF!+#REF!+#REF!+#REF!+#REF!+#REF!+#REF!+#REF!+#REF!+#REF!+#REF!+#REF!</definedName>
    <definedName name="xxxChunkR16339C1" localSheetId="16">+#REF!+#REF!+#REF!+#REF!+#REF!+#REF!+#REF!+#REF!+#REF!+#REF!+#REF!+#REF!+#REF!+#REF!+#REF!+#REF!+#REF!+#REF!+#REF!+#REF!+#REF!+#REF!+#REF!+#REF!</definedName>
    <definedName name="xxxChunkR16339C1" localSheetId="14">+#REF!+#REF!+#REF!+#REF!+#REF!+#REF!+#REF!+#REF!+#REF!+#REF!+#REF!+#REF!+#REF!+#REF!+#REF!+#REF!+#REF!+#REF!+#REF!+#REF!+#REF!+#REF!+#REF!+#REF!</definedName>
    <definedName name="xxxChunkR16339C1">+#REF!+#REF!+#REF!+#REF!+#REF!+#REF!+#REF!+#REF!+#REF!+#REF!+#REF!+#REF!+#REF!+#REF!+#REF!+#REF!+#REF!+#REF!+#REF!+#REF!+#REF!+#REF!+#REF!+#REF!</definedName>
    <definedName name="xxxChunkR16340C1" localSheetId="18">+#REF!+#REF!+#REF!+#REF!+#REF!+#REF!+#REF!+#REF!+#REF!+#REF!+#REF!+#REF!+#REF!+#REF!+#REF!+#REF!+#REF!+#REF!+#REF!+#REF!+#REF!+#REF!+#REF!+#REF!</definedName>
    <definedName name="xxxChunkR16340C1" localSheetId="15">+#REF!+#REF!+#REF!+#REF!+#REF!+#REF!+#REF!+#REF!+#REF!+#REF!+#REF!+#REF!+#REF!+#REF!+#REF!+#REF!+#REF!+#REF!+#REF!+#REF!+#REF!+#REF!+#REF!+#REF!</definedName>
    <definedName name="xxxChunkR16340C1" localSheetId="16">+#REF!+#REF!+#REF!+#REF!+#REF!+#REF!+#REF!+#REF!+#REF!+#REF!+#REF!+#REF!+#REF!+#REF!+#REF!+#REF!+#REF!+#REF!+#REF!+#REF!+#REF!+#REF!+#REF!+#REF!</definedName>
    <definedName name="xxxChunkR16340C1" localSheetId="14">+#REF!+#REF!+#REF!+#REF!+#REF!+#REF!+#REF!+#REF!+#REF!+#REF!+#REF!+#REF!+#REF!+#REF!+#REF!+#REF!+#REF!+#REF!+#REF!+#REF!+#REF!+#REF!+#REF!+#REF!</definedName>
    <definedName name="xxxChunkR16340C1">+#REF!+#REF!+#REF!+#REF!+#REF!+#REF!+#REF!+#REF!+#REF!+#REF!+#REF!+#REF!+#REF!+#REF!+#REF!+#REF!+#REF!+#REF!+#REF!+#REF!+#REF!+#REF!+#REF!+#REF!</definedName>
    <definedName name="xxxChunkR16341C1" localSheetId="18">+#REF!+#REF!+#REF!+#REF!+#REF!+#REF!+#REF!+#REF!+#REF!+#REF!+#REF!+#REF!+#REF!+#REF!+#REF!+#REF!+#REF!+#REF!+#REF!+#REF!+#REF!+#REF!+#REF!+#REF!</definedName>
    <definedName name="xxxChunkR16341C1" localSheetId="15">+#REF!+#REF!+#REF!+#REF!+#REF!+#REF!+#REF!+#REF!+#REF!+#REF!+#REF!+#REF!+#REF!+#REF!+#REF!+#REF!+#REF!+#REF!+#REF!+#REF!+#REF!+#REF!+#REF!+#REF!</definedName>
    <definedName name="xxxChunkR16341C1" localSheetId="16">+#REF!+#REF!+#REF!+#REF!+#REF!+#REF!+#REF!+#REF!+#REF!+#REF!+#REF!+#REF!+#REF!+#REF!+#REF!+#REF!+#REF!+#REF!+#REF!+#REF!+#REF!+#REF!+#REF!+#REF!</definedName>
    <definedName name="xxxChunkR16341C1" localSheetId="14">+#REF!+#REF!+#REF!+#REF!+#REF!+#REF!+#REF!+#REF!+#REF!+#REF!+#REF!+#REF!+#REF!+#REF!+#REF!+#REF!+#REF!+#REF!+#REF!+#REF!+#REF!+#REF!+#REF!+#REF!</definedName>
    <definedName name="xxxChunkR16341C1">+#REF!+#REF!+#REF!+#REF!+#REF!+#REF!+#REF!+#REF!+#REF!+#REF!+#REF!+#REF!+#REF!+#REF!+#REF!+#REF!+#REF!+#REF!+#REF!+#REF!+#REF!+#REF!+#REF!+#REF!</definedName>
    <definedName name="xxxChunkR16342C1" localSheetId="18">+#REF!+#REF!+#REF!+#REF!+#REF!+#REF!+#REF!+#REF!+#REF!+#REF!+#REF!+#REF!+#REF!+#REF!+#REF!+#REF!+#REF!+#REF!+#REF!+#REF!+#REF!+#REF!+#REF!+#REF!</definedName>
    <definedName name="xxxChunkR16342C1" localSheetId="15">+#REF!+#REF!+#REF!+#REF!+#REF!+#REF!+#REF!+#REF!+#REF!+#REF!+#REF!+#REF!+#REF!+#REF!+#REF!+#REF!+#REF!+#REF!+#REF!+#REF!+#REF!+#REF!+#REF!+#REF!</definedName>
    <definedName name="xxxChunkR16342C1" localSheetId="16">+#REF!+#REF!+#REF!+#REF!+#REF!+#REF!+#REF!+#REF!+#REF!+#REF!+#REF!+#REF!+#REF!+#REF!+#REF!+#REF!+#REF!+#REF!+#REF!+#REF!+#REF!+#REF!+#REF!+#REF!</definedName>
    <definedName name="xxxChunkR16342C1" localSheetId="14">+#REF!+#REF!+#REF!+#REF!+#REF!+#REF!+#REF!+#REF!+#REF!+#REF!+#REF!+#REF!+#REF!+#REF!+#REF!+#REF!+#REF!+#REF!+#REF!+#REF!+#REF!+#REF!+#REF!+#REF!</definedName>
    <definedName name="xxxChunkR16342C1">+#REF!+#REF!+#REF!+#REF!+#REF!+#REF!+#REF!+#REF!+#REF!+#REF!+#REF!+#REF!+#REF!+#REF!+#REF!+#REF!+#REF!+#REF!+#REF!+#REF!+#REF!+#REF!+#REF!+#REF!</definedName>
    <definedName name="xxxChunkR16343C1" localSheetId="18">+#REF!+#REF!+#REF!+#REF!+#REF!+#REF!+#REF!+#REF!+#REF!+#REF!+#REF!+#REF!+#REF!+#REF!+#REF!+#REF!+#REF!+#REF!+#REF!+#REF!+#REF!+#REF!+#REF!+#REF!</definedName>
    <definedName name="xxxChunkR16343C1" localSheetId="15">+#REF!+#REF!+#REF!+#REF!+#REF!+#REF!+#REF!+#REF!+#REF!+#REF!+#REF!+#REF!+#REF!+#REF!+#REF!+#REF!+#REF!+#REF!+#REF!+#REF!+#REF!+#REF!+#REF!+#REF!</definedName>
    <definedName name="xxxChunkR16343C1" localSheetId="16">+#REF!+#REF!+#REF!+#REF!+#REF!+#REF!+#REF!+#REF!+#REF!+#REF!+#REF!+#REF!+#REF!+#REF!+#REF!+#REF!+#REF!+#REF!+#REF!+#REF!+#REF!+#REF!+#REF!+#REF!</definedName>
    <definedName name="xxxChunkR16343C1" localSheetId="14">+#REF!+#REF!+#REF!+#REF!+#REF!+#REF!+#REF!+#REF!+#REF!+#REF!+#REF!+#REF!+#REF!+#REF!+#REF!+#REF!+#REF!+#REF!+#REF!+#REF!+#REF!+#REF!+#REF!+#REF!</definedName>
    <definedName name="xxxChunkR16343C1">+#REF!+#REF!+#REF!+#REF!+#REF!+#REF!+#REF!+#REF!+#REF!+#REF!+#REF!+#REF!+#REF!+#REF!+#REF!+#REF!+#REF!+#REF!+#REF!+#REF!+#REF!+#REF!+#REF!+#REF!</definedName>
    <definedName name="xxxChunkR16344C1" localSheetId="18">+#REF!+#REF!+#REF!+#REF!+#REF!+#REF!+#REF!+#REF!+#REF!+#REF!+#REF!+#REF!+#REF!+#REF!+#REF!+#REF!+#REF!+#REF!+#REF!+#REF!+#REF!+#REF!+#REF!+#REF!</definedName>
    <definedName name="xxxChunkR16344C1" localSheetId="15">+#REF!+#REF!+#REF!+#REF!+#REF!+#REF!+#REF!+#REF!+#REF!+#REF!+#REF!+#REF!+#REF!+#REF!+#REF!+#REF!+#REF!+#REF!+#REF!+#REF!+#REF!+#REF!+#REF!+#REF!</definedName>
    <definedName name="xxxChunkR16344C1" localSheetId="16">+#REF!+#REF!+#REF!+#REF!+#REF!+#REF!+#REF!+#REF!+#REF!+#REF!+#REF!+#REF!+#REF!+#REF!+#REF!+#REF!+#REF!+#REF!+#REF!+#REF!+#REF!+#REF!+#REF!+#REF!</definedName>
    <definedName name="xxxChunkR16344C1" localSheetId="14">+#REF!+#REF!+#REF!+#REF!+#REF!+#REF!+#REF!+#REF!+#REF!+#REF!+#REF!+#REF!+#REF!+#REF!+#REF!+#REF!+#REF!+#REF!+#REF!+#REF!+#REF!+#REF!+#REF!+#REF!</definedName>
    <definedName name="xxxChunkR16344C1">+#REF!+#REF!+#REF!+#REF!+#REF!+#REF!+#REF!+#REF!+#REF!+#REF!+#REF!+#REF!+#REF!+#REF!+#REF!+#REF!+#REF!+#REF!+#REF!+#REF!+#REF!+#REF!+#REF!+#REF!</definedName>
    <definedName name="xxxChunkR16345C1" localSheetId="18">+#REF!+#REF!+#REF!+#REF!+#REF!+#REF!+#REF!+#REF!+#REF!+#REF!+#REF!+#REF!+#REF!+#REF!+#REF!+#REF!+#REF!+#REF!+#REF!+#REF!+#REF!+#REF!+#REF!+#REF!</definedName>
    <definedName name="xxxChunkR16345C1" localSheetId="15">+#REF!+#REF!+#REF!+#REF!+#REF!+#REF!+#REF!+#REF!+#REF!+#REF!+#REF!+#REF!+#REF!+#REF!+#REF!+#REF!+#REF!+#REF!+#REF!+#REF!+#REF!+#REF!+#REF!+#REF!</definedName>
    <definedName name="xxxChunkR16345C1" localSheetId="16">+#REF!+#REF!+#REF!+#REF!+#REF!+#REF!+#REF!+#REF!+#REF!+#REF!+#REF!+#REF!+#REF!+#REF!+#REF!+#REF!+#REF!+#REF!+#REF!+#REF!+#REF!+#REF!+#REF!+#REF!</definedName>
    <definedName name="xxxChunkR16345C1" localSheetId="14">+#REF!+#REF!+#REF!+#REF!+#REF!+#REF!+#REF!+#REF!+#REF!+#REF!+#REF!+#REF!+#REF!+#REF!+#REF!+#REF!+#REF!+#REF!+#REF!+#REF!+#REF!+#REF!+#REF!+#REF!</definedName>
    <definedName name="xxxChunkR16345C1">+#REF!+#REF!+#REF!+#REF!+#REF!+#REF!+#REF!+#REF!+#REF!+#REF!+#REF!+#REF!+#REF!+#REF!+#REF!+#REF!+#REF!+#REF!+#REF!+#REF!+#REF!+#REF!+#REF!+#REF!</definedName>
    <definedName name="xxxChunkR16346C1">#N/A</definedName>
    <definedName name="xxxChunkR16347C1" localSheetId="18">+#REF!+#REF!+#REF!+#REF!+#REF!+#REF!+#REF!+#REF!+#REF!+#REF!+#REF!+#REF!+#REF!+#REF!+#REF!+#REF!+#REF!+#REF!+#REF!+#REF!+#REF!+#REF!+#REF!+#REF!+#REF!+#REF!+#REF!+#REF!</definedName>
    <definedName name="xxxChunkR16347C1" localSheetId="15">+#REF!+#REF!+#REF!+#REF!+#REF!+#REF!+#REF!+#REF!+#REF!+#REF!+#REF!+#REF!+#REF!+#REF!+#REF!+#REF!+#REF!+#REF!+#REF!+#REF!+#REF!+#REF!+#REF!+#REF!+#REF!+#REF!+#REF!+#REF!</definedName>
    <definedName name="xxxChunkR16347C1" localSheetId="16">+#REF!+#REF!+#REF!+#REF!+#REF!+#REF!+#REF!+#REF!+#REF!+#REF!+#REF!+#REF!+#REF!+#REF!+#REF!+#REF!+#REF!+#REF!+#REF!+#REF!+#REF!+#REF!+#REF!+#REF!+#REF!+#REF!+#REF!+#REF!</definedName>
    <definedName name="xxxChunkR16347C1" localSheetId="14">+#REF!+#REF!+#REF!+#REF!+#REF!+#REF!+#REF!+#REF!+#REF!+#REF!+#REF!+#REF!+#REF!+#REF!+#REF!+#REF!+#REF!+#REF!+#REF!+#REF!+#REF!+#REF!+#REF!+#REF!+#REF!+#REF!+#REF!+#REF!</definedName>
    <definedName name="xxxChunkR16347C1">+#REF!+#REF!+#REF!+#REF!+#REF!+#REF!+#REF!+#REF!+#REF!+#REF!+#REF!+#REF!+#REF!+#REF!+#REF!+#REF!+#REF!+#REF!+#REF!+#REF!+#REF!+#REF!+#REF!+#REF!+#REF!+#REF!+#REF!+#REF!</definedName>
    <definedName name="xxxChunkR16348C1">#N/A</definedName>
    <definedName name="xxxChunkR16349C1" localSheetId="18">+#REF!+#REF!+#REF!+#REF!+#REF!+#REF!+#REF!+#REF!+#REF!+#REF!+#REF!+#REF!+#REF!+#REF!+#REF!+#REF!+#REF!+#REF!+#REF!+#REF!+#REF!+#REF!+#REF!+#REF!+#REF!+#REF!+#REF!+#REF!</definedName>
    <definedName name="xxxChunkR16349C1" localSheetId="15">+#REF!+#REF!+#REF!+#REF!+#REF!+#REF!+#REF!+#REF!+#REF!+#REF!+#REF!+#REF!+#REF!+#REF!+#REF!+#REF!+#REF!+#REF!+#REF!+#REF!+#REF!+#REF!+#REF!+#REF!+#REF!+#REF!+#REF!+#REF!</definedName>
    <definedName name="xxxChunkR16349C1" localSheetId="16">+#REF!+#REF!+#REF!+#REF!+#REF!+#REF!+#REF!+#REF!+#REF!+#REF!+#REF!+#REF!+#REF!+#REF!+#REF!+#REF!+#REF!+#REF!+#REF!+#REF!+#REF!+#REF!+#REF!+#REF!+#REF!+#REF!+#REF!+#REF!</definedName>
    <definedName name="xxxChunkR16349C1" localSheetId="14">+#REF!+#REF!+#REF!+#REF!+#REF!+#REF!+#REF!+#REF!+#REF!+#REF!+#REF!+#REF!+#REF!+#REF!+#REF!+#REF!+#REF!+#REF!+#REF!+#REF!+#REF!+#REF!+#REF!+#REF!+#REF!+#REF!+#REF!+#REF!</definedName>
    <definedName name="xxxChunkR16349C1">+#REF!+#REF!+#REF!+#REF!+#REF!+#REF!+#REF!+#REF!+#REF!+#REF!+#REF!+#REF!+#REF!+#REF!+#REF!+#REF!+#REF!+#REF!+#REF!+#REF!+#REF!+#REF!+#REF!+#REF!+#REF!+#REF!+#REF!+#REF!</definedName>
    <definedName name="xxxChunkR16350C1">#N/A</definedName>
    <definedName name="xxxChunkR16351C1" localSheetId="18">+#REF!+#REF!+#REF!+#REF!+#REF!+#REF!+#REF!+#REF!+#REF!+#REF!+#REF!+#REF!+#REF!+#REF!+#REF!+#REF!+#REF!+#REF!+#REF!+#REF!+#REF!+#REF!+#REF!+#REF!+#REF!+#REF!+#REF!+#REF!</definedName>
    <definedName name="xxxChunkR16351C1" localSheetId="15">+#REF!+#REF!+#REF!+#REF!+#REF!+#REF!+#REF!+#REF!+#REF!+#REF!+#REF!+#REF!+#REF!+#REF!+#REF!+#REF!+#REF!+#REF!+#REF!+#REF!+#REF!+#REF!+#REF!+#REF!+#REF!+#REF!+#REF!+#REF!</definedName>
    <definedName name="xxxChunkR16351C1" localSheetId="16">+#REF!+#REF!+#REF!+#REF!+#REF!+#REF!+#REF!+#REF!+#REF!+#REF!+#REF!+#REF!+#REF!+#REF!+#REF!+#REF!+#REF!+#REF!+#REF!+#REF!+#REF!+#REF!+#REF!+#REF!+#REF!+#REF!+#REF!+#REF!</definedName>
    <definedName name="xxxChunkR16351C1" localSheetId="14">+#REF!+#REF!+#REF!+#REF!+#REF!+#REF!+#REF!+#REF!+#REF!+#REF!+#REF!+#REF!+#REF!+#REF!+#REF!+#REF!+#REF!+#REF!+#REF!+#REF!+#REF!+#REF!+#REF!+#REF!+#REF!+#REF!+#REF!+#REF!</definedName>
    <definedName name="xxxChunkR16351C1">+#REF!+#REF!+#REF!+#REF!+#REF!+#REF!+#REF!+#REF!+#REF!+#REF!+#REF!+#REF!+#REF!+#REF!+#REF!+#REF!+#REF!+#REF!+#REF!+#REF!+#REF!+#REF!+#REF!+#REF!+#REF!+#REF!+#REF!+#REF!</definedName>
    <definedName name="xxxChunkR16352C1">#N/A</definedName>
    <definedName name="xxxChunkR16353C1" localSheetId="18">+#REF!+#REF!+#REF!+#REF!+#REF!+#REF!+#REF!+#REF!+#REF!+#REF!+#REF!+#REF!+#REF!+#REF!+#REF!+#REF!+#REF!+#REF!+#REF!+#REF!+#REF!+#REF!+#REF!+#REF!+#REF!+#REF!+#REF!+#REF!</definedName>
    <definedName name="xxxChunkR16353C1" localSheetId="15">+#REF!+#REF!+#REF!+#REF!+#REF!+#REF!+#REF!+#REF!+#REF!+#REF!+#REF!+#REF!+#REF!+#REF!+#REF!+#REF!+#REF!+#REF!+#REF!+#REF!+#REF!+#REF!+#REF!+#REF!+#REF!+#REF!+#REF!+#REF!</definedName>
    <definedName name="xxxChunkR16353C1" localSheetId="16">+#REF!+#REF!+#REF!+#REF!+#REF!+#REF!+#REF!+#REF!+#REF!+#REF!+#REF!+#REF!+#REF!+#REF!+#REF!+#REF!+#REF!+#REF!+#REF!+#REF!+#REF!+#REF!+#REF!+#REF!+#REF!+#REF!+#REF!+#REF!</definedName>
    <definedName name="xxxChunkR16353C1" localSheetId="14">+#REF!+#REF!+#REF!+#REF!+#REF!+#REF!+#REF!+#REF!+#REF!+#REF!+#REF!+#REF!+#REF!+#REF!+#REF!+#REF!+#REF!+#REF!+#REF!+#REF!+#REF!+#REF!+#REF!+#REF!+#REF!+#REF!+#REF!+#REF!</definedName>
    <definedName name="xxxChunkR16353C1">+#REF!+#REF!+#REF!+#REF!+#REF!+#REF!+#REF!+#REF!+#REF!+#REF!+#REF!+#REF!+#REF!+#REF!+#REF!+#REF!+#REF!+#REF!+#REF!+#REF!+#REF!+#REF!+#REF!+#REF!+#REF!+#REF!+#REF!+#REF!</definedName>
    <definedName name="xxxChunkR16354C1">#N/A</definedName>
    <definedName name="xxxChunkR16355C1" localSheetId="18">+#REF!+#REF!+#REF!+#REF!+#REF!+#REF!+#REF!+#REF!+#REF!+#REF!+#REF!+#REF!+#REF!+#REF!+#REF!+#REF!+#REF!+#REF!+#REF!+#REF!+#REF!+#REF!+#REF!+#REF!+#REF!+#REF!+#REF!+#REF!</definedName>
    <definedName name="xxxChunkR16355C1" localSheetId="15">+#REF!+#REF!+#REF!+#REF!+#REF!+#REF!+#REF!+#REF!+#REF!+#REF!+#REF!+#REF!+#REF!+#REF!+#REF!+#REF!+#REF!+#REF!+#REF!+#REF!+#REF!+#REF!+#REF!+#REF!+#REF!+#REF!+#REF!+#REF!</definedName>
    <definedName name="xxxChunkR16355C1" localSheetId="16">+#REF!+#REF!+#REF!+#REF!+#REF!+#REF!+#REF!+#REF!+#REF!+#REF!+#REF!+#REF!+#REF!+#REF!+#REF!+#REF!+#REF!+#REF!+#REF!+#REF!+#REF!+#REF!+#REF!+#REF!+#REF!+#REF!+#REF!+#REF!</definedName>
    <definedName name="xxxChunkR16355C1" localSheetId="14">+#REF!+#REF!+#REF!+#REF!+#REF!+#REF!+#REF!+#REF!+#REF!+#REF!+#REF!+#REF!+#REF!+#REF!+#REF!+#REF!+#REF!+#REF!+#REF!+#REF!+#REF!+#REF!+#REF!+#REF!+#REF!+#REF!+#REF!+#REF!</definedName>
    <definedName name="xxxChunkR16355C1">+#REF!+#REF!+#REF!+#REF!+#REF!+#REF!+#REF!+#REF!+#REF!+#REF!+#REF!+#REF!+#REF!+#REF!+#REF!+#REF!+#REF!+#REF!+#REF!+#REF!+#REF!+#REF!+#REF!+#REF!+#REF!+#REF!+#REF!+#REF!</definedName>
    <definedName name="xxxChunkR16356C1">#N/A</definedName>
    <definedName name="xxxChunkR16357C1" localSheetId="18">+#REF!+#REF!+#REF!+#REF!+#REF!+#REF!+#REF!+#REF!+#REF!+#REF!+#REF!+#REF!+#REF!+#REF!+#REF!+#REF!+#REF!+#REF!+#REF!+#REF!+#REF!+#REF!+#REF!+#REF!+#REF!+#REF!+#REF!+#REF!</definedName>
    <definedName name="xxxChunkR16357C1" localSheetId="15">+#REF!+#REF!+#REF!+#REF!+#REF!+#REF!+#REF!+#REF!+#REF!+#REF!+#REF!+#REF!+#REF!+#REF!+#REF!+#REF!+#REF!+#REF!+#REF!+#REF!+#REF!+#REF!+#REF!+#REF!+#REF!+#REF!+#REF!+#REF!</definedName>
    <definedName name="xxxChunkR16357C1" localSheetId="16">+#REF!+#REF!+#REF!+#REF!+#REF!+#REF!+#REF!+#REF!+#REF!+#REF!+#REF!+#REF!+#REF!+#REF!+#REF!+#REF!+#REF!+#REF!+#REF!+#REF!+#REF!+#REF!+#REF!+#REF!+#REF!+#REF!+#REF!+#REF!</definedName>
    <definedName name="xxxChunkR16357C1" localSheetId="14">+#REF!+#REF!+#REF!+#REF!+#REF!+#REF!+#REF!+#REF!+#REF!+#REF!+#REF!+#REF!+#REF!+#REF!+#REF!+#REF!+#REF!+#REF!+#REF!+#REF!+#REF!+#REF!+#REF!+#REF!+#REF!+#REF!+#REF!+#REF!</definedName>
    <definedName name="xxxChunkR16357C1">+#REF!+#REF!+#REF!+#REF!+#REF!+#REF!+#REF!+#REF!+#REF!+#REF!+#REF!+#REF!+#REF!+#REF!+#REF!+#REF!+#REF!+#REF!+#REF!+#REF!+#REF!+#REF!+#REF!+#REF!+#REF!+#REF!+#REF!+#REF!</definedName>
    <definedName name="xxxChunkR16358C1">#N/A</definedName>
    <definedName name="xxxChunkR16359C1" localSheetId="18">+#REF!+#REF!+#REF!+#REF!+#REF!+#REF!+#REF!+#REF!+#REF!+#REF!+#REF!+#REF!+#REF!+#REF!+#REF!+#REF!+#REF!+#REF!+#REF!+#REF!+#REF!+#REF!+#REF!+#REF!+#REF!+#REF!+#REF!+#REF!</definedName>
    <definedName name="xxxChunkR16359C1" localSheetId="15">+#REF!+#REF!+#REF!+#REF!+#REF!+#REF!+#REF!+#REF!+#REF!+#REF!+#REF!+#REF!+#REF!+#REF!+#REF!+#REF!+#REF!+#REF!+#REF!+#REF!+#REF!+#REF!+#REF!+#REF!+#REF!+#REF!+#REF!+#REF!</definedName>
    <definedName name="xxxChunkR16359C1" localSheetId="16">+#REF!+#REF!+#REF!+#REF!+#REF!+#REF!+#REF!+#REF!+#REF!+#REF!+#REF!+#REF!+#REF!+#REF!+#REF!+#REF!+#REF!+#REF!+#REF!+#REF!+#REF!+#REF!+#REF!+#REF!+#REF!+#REF!+#REF!+#REF!</definedName>
    <definedName name="xxxChunkR16359C1" localSheetId="14">+#REF!+#REF!+#REF!+#REF!+#REF!+#REF!+#REF!+#REF!+#REF!+#REF!+#REF!+#REF!+#REF!+#REF!+#REF!+#REF!+#REF!+#REF!+#REF!+#REF!+#REF!+#REF!+#REF!+#REF!+#REF!+#REF!+#REF!+#REF!</definedName>
    <definedName name="xxxChunkR16359C1">+#REF!+#REF!+#REF!+#REF!+#REF!+#REF!+#REF!+#REF!+#REF!+#REF!+#REF!+#REF!+#REF!+#REF!+#REF!+#REF!+#REF!+#REF!+#REF!+#REF!+#REF!+#REF!+#REF!+#REF!+#REF!+#REF!+#REF!+#REF!</definedName>
    <definedName name="xxxChunkR16360C1">#N/A</definedName>
    <definedName name="xxxChunkR16361C1" localSheetId="18">+#REF!+#REF!+#REF!+#REF!+#REF!+#REF!+#REF!+#REF!+#REF!+#REF!+#REF!+#REF!+#REF!+#REF!+#REF!+#REF!+#REF!+#REF!+#REF!+#REF!+#REF!+#REF!+#REF!+#REF!+#REF!+#REF!+#REF!+#REF!</definedName>
    <definedName name="xxxChunkR16361C1" localSheetId="15">+#REF!+#REF!+#REF!+#REF!+#REF!+#REF!+#REF!+#REF!+#REF!+#REF!+#REF!+#REF!+#REF!+#REF!+#REF!+#REF!+#REF!+#REF!+#REF!+#REF!+#REF!+#REF!+#REF!+#REF!+#REF!+#REF!+#REF!+#REF!</definedName>
    <definedName name="xxxChunkR16361C1" localSheetId="16">+#REF!+#REF!+#REF!+#REF!+#REF!+#REF!+#REF!+#REF!+#REF!+#REF!+#REF!+#REF!+#REF!+#REF!+#REF!+#REF!+#REF!+#REF!+#REF!+#REF!+#REF!+#REF!+#REF!+#REF!+#REF!+#REF!+#REF!+#REF!</definedName>
    <definedName name="xxxChunkR16361C1" localSheetId="14">+#REF!+#REF!+#REF!+#REF!+#REF!+#REF!+#REF!+#REF!+#REF!+#REF!+#REF!+#REF!+#REF!+#REF!+#REF!+#REF!+#REF!+#REF!+#REF!+#REF!+#REF!+#REF!+#REF!+#REF!+#REF!+#REF!+#REF!+#REF!</definedName>
    <definedName name="xxxChunkR16361C1">+#REF!+#REF!+#REF!+#REF!+#REF!+#REF!+#REF!+#REF!+#REF!+#REF!+#REF!+#REF!+#REF!+#REF!+#REF!+#REF!+#REF!+#REF!+#REF!+#REF!+#REF!+#REF!+#REF!+#REF!+#REF!+#REF!+#REF!+#REF!</definedName>
    <definedName name="xxxChunkR16362C1">#N/A</definedName>
    <definedName name="xxxChunkR16363C1" localSheetId="18">+#REF!+#REF!+#REF!+#REF!+#REF!+#REF!+#REF!+#REF!+#REF!+#REF!+#REF!+#REF!+#REF!+#REF!+#REF!+#REF!+#REF!+#REF!+#REF!+#REF!+#REF!+#REF!+#REF!+#REF!+#REF!+#REF!+#REF!+#REF!</definedName>
    <definedName name="xxxChunkR16363C1" localSheetId="15">+#REF!+#REF!+#REF!+#REF!+#REF!+#REF!+#REF!+#REF!+#REF!+#REF!+#REF!+#REF!+#REF!+#REF!+#REF!+#REF!+#REF!+#REF!+#REF!+#REF!+#REF!+#REF!+#REF!+#REF!+#REF!+#REF!+#REF!+#REF!</definedName>
    <definedName name="xxxChunkR16363C1" localSheetId="16">+#REF!+#REF!+#REF!+#REF!+#REF!+#REF!+#REF!+#REF!+#REF!+#REF!+#REF!+#REF!+#REF!+#REF!+#REF!+#REF!+#REF!+#REF!+#REF!+#REF!+#REF!+#REF!+#REF!+#REF!+#REF!+#REF!+#REF!+#REF!</definedName>
    <definedName name="xxxChunkR16363C1" localSheetId="14">+#REF!+#REF!+#REF!+#REF!+#REF!+#REF!+#REF!+#REF!+#REF!+#REF!+#REF!+#REF!+#REF!+#REF!+#REF!+#REF!+#REF!+#REF!+#REF!+#REF!+#REF!+#REF!+#REF!+#REF!+#REF!+#REF!+#REF!+#REF!</definedName>
    <definedName name="xxxChunkR16363C1">+#REF!+#REF!+#REF!+#REF!+#REF!+#REF!+#REF!+#REF!+#REF!+#REF!+#REF!+#REF!+#REF!+#REF!+#REF!+#REF!+#REF!+#REF!+#REF!+#REF!+#REF!+#REF!+#REF!+#REF!+#REF!+#REF!+#REF!+#REF!</definedName>
    <definedName name="xxxChunkR16364C1">#N/A</definedName>
    <definedName name="xxxChunkR16365C1" localSheetId="18">+#REF!+#REF!+#REF!+#REF!+#REF!+#REF!+#REF!+#REF!+#REF!+#REF!+#REF!+#REF!+#REF!+#REF!+#REF!+#REF!+#REF!+#REF!+#REF!+#REF!+#REF!+#REF!+#REF!+#REF!+#REF!+#REF!+#REF!+#REF!</definedName>
    <definedName name="xxxChunkR16365C1" localSheetId="15">+#REF!+#REF!+#REF!+#REF!+#REF!+#REF!+#REF!+#REF!+#REF!+#REF!+#REF!+#REF!+#REF!+#REF!+#REF!+#REF!+#REF!+#REF!+#REF!+#REF!+#REF!+#REF!+#REF!+#REF!+#REF!+#REF!+#REF!+#REF!</definedName>
    <definedName name="xxxChunkR16365C1" localSheetId="16">+#REF!+#REF!+#REF!+#REF!+#REF!+#REF!+#REF!+#REF!+#REF!+#REF!+#REF!+#REF!+#REF!+#REF!+#REF!+#REF!+#REF!+#REF!+#REF!+#REF!+#REF!+#REF!+#REF!+#REF!+#REF!+#REF!+#REF!+#REF!</definedName>
    <definedName name="xxxChunkR16365C1" localSheetId="14">+#REF!+#REF!+#REF!+#REF!+#REF!+#REF!+#REF!+#REF!+#REF!+#REF!+#REF!+#REF!+#REF!+#REF!+#REF!+#REF!+#REF!+#REF!+#REF!+#REF!+#REF!+#REF!+#REF!+#REF!+#REF!+#REF!+#REF!+#REF!</definedName>
    <definedName name="xxxChunkR16365C1">+#REF!+#REF!+#REF!+#REF!+#REF!+#REF!+#REF!+#REF!+#REF!+#REF!+#REF!+#REF!+#REF!+#REF!+#REF!+#REF!+#REF!+#REF!+#REF!+#REF!+#REF!+#REF!+#REF!+#REF!+#REF!+#REF!+#REF!+#REF!</definedName>
    <definedName name="xxxChunkR16366C1">#N/A</definedName>
    <definedName name="xxxChunkR16367C1" localSheetId="18">+#REF!+#REF!+#REF!+#REF!+#REF!+#REF!+#REF!+#REF!+#REF!+#REF!+#REF!+#REF!+#REF!+#REF!+#REF!+#REF!+#REF!+#REF!+#REF!+#REF!+#REF!+#REF!+#REF!+#REF!+#REF!+#REF!+#REF!+#REF!</definedName>
    <definedName name="xxxChunkR16367C1" localSheetId="15">+#REF!+#REF!+#REF!+#REF!+#REF!+#REF!+#REF!+#REF!+#REF!+#REF!+#REF!+#REF!+#REF!+#REF!+#REF!+#REF!+#REF!+#REF!+#REF!+#REF!+#REF!+#REF!+#REF!+#REF!+#REF!+#REF!+#REF!+#REF!</definedName>
    <definedName name="xxxChunkR16367C1" localSheetId="16">+#REF!+#REF!+#REF!+#REF!+#REF!+#REF!+#REF!+#REF!+#REF!+#REF!+#REF!+#REF!+#REF!+#REF!+#REF!+#REF!+#REF!+#REF!+#REF!+#REF!+#REF!+#REF!+#REF!+#REF!+#REF!+#REF!+#REF!+#REF!</definedName>
    <definedName name="xxxChunkR16367C1" localSheetId="14">+#REF!+#REF!+#REF!+#REF!+#REF!+#REF!+#REF!+#REF!+#REF!+#REF!+#REF!+#REF!+#REF!+#REF!+#REF!+#REF!+#REF!+#REF!+#REF!+#REF!+#REF!+#REF!+#REF!+#REF!+#REF!+#REF!+#REF!+#REF!</definedName>
    <definedName name="xxxChunkR16367C1">+#REF!+#REF!+#REF!+#REF!+#REF!+#REF!+#REF!+#REF!+#REF!+#REF!+#REF!+#REF!+#REF!+#REF!+#REF!+#REF!+#REF!+#REF!+#REF!+#REF!+#REF!+#REF!+#REF!+#REF!+#REF!+#REF!+#REF!+#REF!</definedName>
    <definedName name="xxxChunkR16368C1">#N/A</definedName>
    <definedName name="xxxChunkR16369C1" localSheetId="18">+#REF!+#REF!+#REF!+#REF!+#REF!+#REF!+#REF!+#REF!+#REF!+#REF!+#REF!+#REF!+#REF!+#REF!+#REF!+#REF!+#REF!+#REF!+#REF!+#REF!+#REF!+#REF!+#REF!+#REF!+#REF!+#REF!+#REF!+#REF!</definedName>
    <definedName name="xxxChunkR16369C1" localSheetId="15">+#REF!+#REF!+#REF!+#REF!+#REF!+#REF!+#REF!+#REF!+#REF!+#REF!+#REF!+#REF!+#REF!+#REF!+#REF!+#REF!+#REF!+#REF!+#REF!+#REF!+#REF!+#REF!+#REF!+#REF!+#REF!+#REF!+#REF!+#REF!</definedName>
    <definedName name="xxxChunkR16369C1" localSheetId="16">+#REF!+#REF!+#REF!+#REF!+#REF!+#REF!+#REF!+#REF!+#REF!+#REF!+#REF!+#REF!+#REF!+#REF!+#REF!+#REF!+#REF!+#REF!+#REF!+#REF!+#REF!+#REF!+#REF!+#REF!+#REF!+#REF!+#REF!+#REF!</definedName>
    <definedName name="xxxChunkR16369C1" localSheetId="14">+#REF!+#REF!+#REF!+#REF!+#REF!+#REF!+#REF!+#REF!+#REF!+#REF!+#REF!+#REF!+#REF!+#REF!+#REF!+#REF!+#REF!+#REF!+#REF!+#REF!+#REF!+#REF!+#REF!+#REF!+#REF!+#REF!+#REF!+#REF!</definedName>
    <definedName name="xxxChunkR16369C1">+#REF!+#REF!+#REF!+#REF!+#REF!+#REF!+#REF!+#REF!+#REF!+#REF!+#REF!+#REF!+#REF!+#REF!+#REF!+#REF!+#REF!+#REF!+#REF!+#REF!+#REF!+#REF!+#REF!+#REF!+#REF!+#REF!+#REF!+#REF!</definedName>
    <definedName name="xxxChunkR16370C1">#N/A</definedName>
    <definedName name="xxxChunkR16371C1" localSheetId="18">+#REF!+#REF!+#REF!+#REF!+#REF!+#REF!+#REF!+#REF!+#REF!+#REF!+#REF!+#REF!+#REF!+#REF!+#REF!+#REF!+#REF!+#REF!+#REF!+#REF!+#REF!+#REF!+#REF!+#REF!+#REF!+#REF!+#REF!+#REF!</definedName>
    <definedName name="xxxChunkR16371C1" localSheetId="15">+#REF!+#REF!+#REF!+#REF!+#REF!+#REF!+#REF!+#REF!+#REF!+#REF!+#REF!+#REF!+#REF!+#REF!+#REF!+#REF!+#REF!+#REF!+#REF!+#REF!+#REF!+#REF!+#REF!+#REF!+#REF!+#REF!+#REF!+#REF!</definedName>
    <definedName name="xxxChunkR16371C1" localSheetId="16">+#REF!+#REF!+#REF!+#REF!+#REF!+#REF!+#REF!+#REF!+#REF!+#REF!+#REF!+#REF!+#REF!+#REF!+#REF!+#REF!+#REF!+#REF!+#REF!+#REF!+#REF!+#REF!+#REF!+#REF!+#REF!+#REF!+#REF!+#REF!</definedName>
    <definedName name="xxxChunkR16371C1" localSheetId="14">+#REF!+#REF!+#REF!+#REF!+#REF!+#REF!+#REF!+#REF!+#REF!+#REF!+#REF!+#REF!+#REF!+#REF!+#REF!+#REF!+#REF!+#REF!+#REF!+#REF!+#REF!+#REF!+#REF!+#REF!+#REF!+#REF!+#REF!+#REF!</definedName>
    <definedName name="xxxChunkR16371C1">+#REF!+#REF!+#REF!+#REF!+#REF!+#REF!+#REF!+#REF!+#REF!+#REF!+#REF!+#REF!+#REF!+#REF!+#REF!+#REF!+#REF!+#REF!+#REF!+#REF!+#REF!+#REF!+#REF!+#REF!+#REF!+#REF!+#REF!+#REF!</definedName>
    <definedName name="xxxChunkR16372C1">#N/A</definedName>
    <definedName name="xxxChunkR16373C1" localSheetId="18">+#REF!+#REF!+#REF!+#REF!+#REF!+#REF!+#REF!+#REF!+#REF!+#REF!+#REF!+#REF!+#REF!+#REF!+#REF!+#REF!+#REF!+#REF!+#REF!+#REF!+#REF!+#REF!+#REF!+#REF!+#REF!+#REF!+#REF!+#REF!</definedName>
    <definedName name="xxxChunkR16373C1" localSheetId="15">+#REF!+#REF!+#REF!+#REF!+#REF!+#REF!+#REF!+#REF!+#REF!+#REF!+#REF!+#REF!+#REF!+#REF!+#REF!+#REF!+#REF!+#REF!+#REF!+#REF!+#REF!+#REF!+#REF!+#REF!+#REF!+#REF!+#REF!+#REF!</definedName>
    <definedName name="xxxChunkR16373C1" localSheetId="16">+#REF!+#REF!+#REF!+#REF!+#REF!+#REF!+#REF!+#REF!+#REF!+#REF!+#REF!+#REF!+#REF!+#REF!+#REF!+#REF!+#REF!+#REF!+#REF!+#REF!+#REF!+#REF!+#REF!+#REF!+#REF!+#REF!+#REF!+#REF!</definedName>
    <definedName name="xxxChunkR16373C1" localSheetId="14">+#REF!+#REF!+#REF!+#REF!+#REF!+#REF!+#REF!+#REF!+#REF!+#REF!+#REF!+#REF!+#REF!+#REF!+#REF!+#REF!+#REF!+#REF!+#REF!+#REF!+#REF!+#REF!+#REF!+#REF!+#REF!+#REF!+#REF!+#REF!</definedName>
    <definedName name="xxxChunkR16373C1">+#REF!+#REF!+#REF!+#REF!+#REF!+#REF!+#REF!+#REF!+#REF!+#REF!+#REF!+#REF!+#REF!+#REF!+#REF!+#REF!+#REF!+#REF!+#REF!+#REF!+#REF!+#REF!+#REF!+#REF!+#REF!+#REF!+#REF!+#REF!</definedName>
    <definedName name="xxxChunkR16374C1">#N/A</definedName>
    <definedName name="xxxChunkR16375C1" localSheetId="18">+#REF!+#REF!+#REF!+#REF!+#REF!+#REF!+#REF!+#REF!+#REF!+#REF!+#REF!+#REF!+#REF!+#REF!+#REF!+#REF!+#REF!+#REF!+#REF!+#REF!+#REF!+#REF!+#REF!+#REF!+#REF!+#REF!+#REF!+#REF!</definedName>
    <definedName name="xxxChunkR16375C1" localSheetId="15">+#REF!+#REF!+#REF!+#REF!+#REF!+#REF!+#REF!+#REF!+#REF!+#REF!+#REF!+#REF!+#REF!+#REF!+#REF!+#REF!+#REF!+#REF!+#REF!+#REF!+#REF!+#REF!+#REF!+#REF!+#REF!+#REF!+#REF!+#REF!</definedName>
    <definedName name="xxxChunkR16375C1" localSheetId="16">+#REF!+#REF!+#REF!+#REF!+#REF!+#REF!+#REF!+#REF!+#REF!+#REF!+#REF!+#REF!+#REF!+#REF!+#REF!+#REF!+#REF!+#REF!+#REF!+#REF!+#REF!+#REF!+#REF!+#REF!+#REF!+#REF!+#REF!+#REF!</definedName>
    <definedName name="xxxChunkR16375C1" localSheetId="14">+#REF!+#REF!+#REF!+#REF!+#REF!+#REF!+#REF!+#REF!+#REF!+#REF!+#REF!+#REF!+#REF!+#REF!+#REF!+#REF!+#REF!+#REF!+#REF!+#REF!+#REF!+#REF!+#REF!+#REF!+#REF!+#REF!+#REF!+#REF!</definedName>
    <definedName name="xxxChunkR16375C1">+#REF!+#REF!+#REF!+#REF!+#REF!+#REF!+#REF!+#REF!+#REF!+#REF!+#REF!+#REF!+#REF!+#REF!+#REF!+#REF!+#REF!+#REF!+#REF!+#REF!+#REF!+#REF!+#REF!+#REF!+#REF!+#REF!+#REF!+#REF!</definedName>
    <definedName name="xxxChunkR16376C1" localSheetId="18">+#REF!+#REF!+#REF!+#REF!+#REF!+#REF!+#REF!+#REF!+#REF!+#REF!+#REF!+#REF!+#REF!+#REF!+#REF!+#REF!+#REF!+#REF!+#REF!+#REF!+#REF!+#REF!+#REF!+#REF!+#REF!+#REF!+#REF!+#REF!+#REF!+#REF!+#REF!+#REF!+#REF!</definedName>
    <definedName name="xxxChunkR16376C1" localSheetId="15">+#REF!+#REF!+#REF!+#REF!+#REF!+#REF!+#REF!+#REF!+#REF!+#REF!+#REF!+#REF!+#REF!+#REF!+#REF!+#REF!+#REF!+#REF!+#REF!+#REF!+#REF!+#REF!+#REF!+#REF!+#REF!+#REF!+#REF!+#REF!+#REF!+#REF!+#REF!+#REF!+#REF!</definedName>
    <definedName name="xxxChunkR16376C1" localSheetId="16">+#REF!+#REF!+#REF!+#REF!+#REF!+#REF!+#REF!+#REF!+#REF!+#REF!+#REF!+#REF!+#REF!+#REF!+#REF!+#REF!+#REF!+#REF!+#REF!+#REF!+#REF!+#REF!+#REF!+#REF!+#REF!+#REF!+#REF!+#REF!+#REF!+#REF!+#REF!+#REF!+#REF!</definedName>
    <definedName name="xxxChunkR16376C1" localSheetId="14">+#REF!+#REF!+#REF!+#REF!+#REF!+#REF!+#REF!+#REF!+#REF!+#REF!+#REF!+#REF!+#REF!+#REF!+#REF!+#REF!+#REF!+#REF!+#REF!+#REF!+#REF!+#REF!+#REF!+#REF!+#REF!+#REF!+#REF!+#REF!+#REF!+#REF!+#REF!+#REF!+#REF!</definedName>
    <definedName name="xxxChunkR16376C1">+#REF!+#REF!+#REF!+#REF!+#REF!+#REF!+#REF!+#REF!+#REF!+#REF!+#REF!+#REF!+#REF!+#REF!+#REF!+#REF!+#REF!+#REF!+#REF!+#REF!+#REF!+#REF!+#REF!+#REF!+#REF!+#REF!+#REF!+#REF!+#REF!+#REF!+#REF!+#REF!+#REF!</definedName>
    <definedName name="xxxChunkR16377C1" localSheetId="18">+#REF!+#REF!+#REF!+#REF!+#REF!+#REF!+#REF!+#REF!+#REF!+#REF!+#REF!+#REF!+#REF!+#REF!+#REF!+#REF!+#REF!+#REF!+#REF!+#REF!+#REF!+#REF!+#REF!+#REF!+#REF!+#REF!+#REF!+#REF!+#REF!+#REF!+#REF!+#REF!+#REF!</definedName>
    <definedName name="xxxChunkR16377C1" localSheetId="15">+#REF!+#REF!+#REF!+#REF!+#REF!+#REF!+#REF!+#REF!+#REF!+#REF!+#REF!+#REF!+#REF!+#REF!+#REF!+#REF!+#REF!+#REF!+#REF!+#REF!+#REF!+#REF!+#REF!+#REF!+#REF!+#REF!+#REF!+#REF!+#REF!+#REF!+#REF!+#REF!+#REF!</definedName>
    <definedName name="xxxChunkR16377C1" localSheetId="16">+#REF!+#REF!+#REF!+#REF!+#REF!+#REF!+#REF!+#REF!+#REF!+#REF!+#REF!+#REF!+#REF!+#REF!+#REF!+#REF!+#REF!+#REF!+#REF!+#REF!+#REF!+#REF!+#REF!+#REF!+#REF!+#REF!+#REF!+#REF!+#REF!+#REF!+#REF!+#REF!+#REF!</definedName>
    <definedName name="xxxChunkR16377C1" localSheetId="14">+#REF!+#REF!+#REF!+#REF!+#REF!+#REF!+#REF!+#REF!+#REF!+#REF!+#REF!+#REF!+#REF!+#REF!+#REF!+#REF!+#REF!+#REF!+#REF!+#REF!+#REF!+#REF!+#REF!+#REF!+#REF!+#REF!+#REF!+#REF!+#REF!+#REF!+#REF!+#REF!+#REF!</definedName>
    <definedName name="xxxChunkR16377C1">+#REF!+#REF!+#REF!+#REF!+#REF!+#REF!+#REF!+#REF!+#REF!+#REF!+#REF!+#REF!+#REF!+#REF!+#REF!+#REF!+#REF!+#REF!+#REF!+#REF!+#REF!+#REF!+#REF!+#REF!+#REF!+#REF!+#REF!+#REF!+#REF!+#REF!+#REF!+#REF!+#REF!</definedName>
    <definedName name="xxxChunkR16378C1" localSheetId="18">+#REF!+#REF!+#REF!+#REF!+#REF!+#REF!+#REF!+#REF!+#REF!+#REF!+#REF!+#REF!+#REF!+#REF!+#REF!+#REF!+#REF!+#REF!+#REF!+#REF!+#REF!+#REF!+#REF!+#REF!+#REF!+#REF!+#REF!+#REF!+#REF!+#REF!+#REF!+#REF!+#REF!</definedName>
    <definedName name="xxxChunkR16378C1" localSheetId="15">+#REF!+#REF!+#REF!+#REF!+#REF!+#REF!+#REF!+#REF!+#REF!+#REF!+#REF!+#REF!+#REF!+#REF!+#REF!+#REF!+#REF!+#REF!+#REF!+#REF!+#REF!+#REF!+#REF!+#REF!+#REF!+#REF!+#REF!+#REF!+#REF!+#REF!+#REF!+#REF!+#REF!</definedName>
    <definedName name="xxxChunkR16378C1" localSheetId="16">+#REF!+#REF!+#REF!+#REF!+#REF!+#REF!+#REF!+#REF!+#REF!+#REF!+#REF!+#REF!+#REF!+#REF!+#REF!+#REF!+#REF!+#REF!+#REF!+#REF!+#REF!+#REF!+#REF!+#REF!+#REF!+#REF!+#REF!+#REF!+#REF!+#REF!+#REF!+#REF!+#REF!</definedName>
    <definedName name="xxxChunkR16378C1" localSheetId="14">+#REF!+#REF!+#REF!+#REF!+#REF!+#REF!+#REF!+#REF!+#REF!+#REF!+#REF!+#REF!+#REF!+#REF!+#REF!+#REF!+#REF!+#REF!+#REF!+#REF!+#REF!+#REF!+#REF!+#REF!+#REF!+#REF!+#REF!+#REF!+#REF!+#REF!+#REF!+#REF!+#REF!</definedName>
    <definedName name="xxxChunkR16378C1">+#REF!+#REF!+#REF!+#REF!+#REF!+#REF!+#REF!+#REF!+#REF!+#REF!+#REF!+#REF!+#REF!+#REF!+#REF!+#REF!+#REF!+#REF!+#REF!+#REF!+#REF!+#REF!+#REF!+#REF!+#REF!+#REF!+#REF!+#REF!+#REF!+#REF!+#REF!+#REF!+#REF!</definedName>
    <definedName name="xxxChunkR16379C1" localSheetId="18">+#REF!+#REF!+#REF!+#REF!+#REF!+#REF!+#REF!+#REF!+#REF!+#REF!+#REF!+#REF!+#REF!+#REF!+#REF!+#REF!+#REF!+#REF!+#REF!+#REF!+#REF!+#REF!+#REF!+#REF!+#REF!+#REF!+#REF!+#REF!+#REF!+#REF!+#REF!+#REF!+#REF!</definedName>
    <definedName name="xxxChunkR16379C1" localSheetId="15">+#REF!+#REF!+#REF!+#REF!+#REF!+#REF!+#REF!+#REF!+#REF!+#REF!+#REF!+#REF!+#REF!+#REF!+#REF!+#REF!+#REF!+#REF!+#REF!+#REF!+#REF!+#REF!+#REF!+#REF!+#REF!+#REF!+#REF!+#REF!+#REF!+#REF!+#REF!+#REF!+#REF!</definedName>
    <definedName name="xxxChunkR16379C1" localSheetId="16">+#REF!+#REF!+#REF!+#REF!+#REF!+#REF!+#REF!+#REF!+#REF!+#REF!+#REF!+#REF!+#REF!+#REF!+#REF!+#REF!+#REF!+#REF!+#REF!+#REF!+#REF!+#REF!+#REF!+#REF!+#REF!+#REF!+#REF!+#REF!+#REF!+#REF!+#REF!+#REF!+#REF!</definedName>
    <definedName name="xxxChunkR16379C1" localSheetId="14">+#REF!+#REF!+#REF!+#REF!+#REF!+#REF!+#REF!+#REF!+#REF!+#REF!+#REF!+#REF!+#REF!+#REF!+#REF!+#REF!+#REF!+#REF!+#REF!+#REF!+#REF!+#REF!+#REF!+#REF!+#REF!+#REF!+#REF!+#REF!+#REF!+#REF!+#REF!+#REF!+#REF!</definedName>
    <definedName name="xxxChunkR16379C1">+#REF!+#REF!+#REF!+#REF!+#REF!+#REF!+#REF!+#REF!+#REF!+#REF!+#REF!+#REF!+#REF!+#REF!+#REF!+#REF!+#REF!+#REF!+#REF!+#REF!+#REF!+#REF!+#REF!+#REF!+#REF!+#REF!+#REF!+#REF!+#REF!+#REF!+#REF!+#REF!+#REF!</definedName>
    <definedName name="xxxChunkR16380C1" localSheetId="18">+#REF!+#REF!+#REF!+#REF!+#REF!+#REF!+#REF!+#REF!+#REF!+#REF!+#REF!+#REF!+#REF!+#REF!+#REF!+#REF!+#REF!+#REF!+#REF!+#REF!+#REF!+#REF!+#REF!+#REF!+#REF!+#REF!+#REF!+#REF!+#REF!+#REF!+#REF!+#REF!+#REF!</definedName>
    <definedName name="xxxChunkR16380C1" localSheetId="15">+#REF!+#REF!+#REF!+#REF!+#REF!+#REF!+#REF!+#REF!+#REF!+#REF!+#REF!+#REF!+#REF!+#REF!+#REF!+#REF!+#REF!+#REF!+#REF!+#REF!+#REF!+#REF!+#REF!+#REF!+#REF!+#REF!+#REF!+#REF!+#REF!+#REF!+#REF!+#REF!+#REF!</definedName>
    <definedName name="xxxChunkR16380C1" localSheetId="16">+#REF!+#REF!+#REF!+#REF!+#REF!+#REF!+#REF!+#REF!+#REF!+#REF!+#REF!+#REF!+#REF!+#REF!+#REF!+#REF!+#REF!+#REF!+#REF!+#REF!+#REF!+#REF!+#REF!+#REF!+#REF!+#REF!+#REF!+#REF!+#REF!+#REF!+#REF!+#REF!+#REF!</definedName>
    <definedName name="xxxChunkR16380C1" localSheetId="14">+#REF!+#REF!+#REF!+#REF!+#REF!+#REF!+#REF!+#REF!+#REF!+#REF!+#REF!+#REF!+#REF!+#REF!+#REF!+#REF!+#REF!+#REF!+#REF!+#REF!+#REF!+#REF!+#REF!+#REF!+#REF!+#REF!+#REF!+#REF!+#REF!+#REF!+#REF!+#REF!+#REF!</definedName>
    <definedName name="xxxChunkR16380C1">+#REF!+#REF!+#REF!+#REF!+#REF!+#REF!+#REF!+#REF!+#REF!+#REF!+#REF!+#REF!+#REF!+#REF!+#REF!+#REF!+#REF!+#REF!+#REF!+#REF!+#REF!+#REF!+#REF!+#REF!+#REF!+#REF!+#REF!+#REF!+#REF!+#REF!+#REF!+#REF!+#REF!</definedName>
    <definedName name="xxxChunkR16381C1" localSheetId="18">+#REF!+#REF!+#REF!+#REF!+#REF!+#REF!+#REF!+#REF!+#REF!+#REF!+#REF!+#REF!+#REF!+#REF!+#REF!+#REF!+#REF!+#REF!+#REF!+#REF!+#REF!+#REF!+#REF!+#REF!+#REF!+#REF!+#REF!+#REF!+#REF!+#REF!+#REF!+#REF!+#REF!</definedName>
    <definedName name="xxxChunkR16381C1" localSheetId="15">+#REF!+#REF!+#REF!+#REF!+#REF!+#REF!+#REF!+#REF!+#REF!+#REF!+#REF!+#REF!+#REF!+#REF!+#REF!+#REF!+#REF!+#REF!+#REF!+#REF!+#REF!+#REF!+#REF!+#REF!+#REF!+#REF!+#REF!+#REF!+#REF!+#REF!+#REF!+#REF!+#REF!</definedName>
    <definedName name="xxxChunkR16381C1" localSheetId="16">+#REF!+#REF!+#REF!+#REF!+#REF!+#REF!+#REF!+#REF!+#REF!+#REF!+#REF!+#REF!+#REF!+#REF!+#REF!+#REF!+#REF!+#REF!+#REF!+#REF!+#REF!+#REF!+#REF!+#REF!+#REF!+#REF!+#REF!+#REF!+#REF!+#REF!+#REF!+#REF!+#REF!</definedName>
    <definedName name="xxxChunkR16381C1" localSheetId="14">+#REF!+#REF!+#REF!+#REF!+#REF!+#REF!+#REF!+#REF!+#REF!+#REF!+#REF!+#REF!+#REF!+#REF!+#REF!+#REF!+#REF!+#REF!+#REF!+#REF!+#REF!+#REF!+#REF!+#REF!+#REF!+#REF!+#REF!+#REF!+#REF!+#REF!+#REF!+#REF!+#REF!</definedName>
    <definedName name="xxxChunkR16381C1">+#REF!+#REF!+#REF!+#REF!+#REF!+#REF!+#REF!+#REF!+#REF!+#REF!+#REF!+#REF!+#REF!+#REF!+#REF!+#REF!+#REF!+#REF!+#REF!+#REF!+#REF!+#REF!+#REF!+#REF!+#REF!+#REF!+#REF!+#REF!+#REF!+#REF!+#REF!+#REF!+#REF!</definedName>
    <definedName name="xxxChunkR16382C1" localSheetId="18">+#REF!+#REF!+#REF!+#REF!+#REF!+#REF!+#REF!+#REF!+#REF!+#REF!+#REF!+#REF!+#REF!+#REF!+#REF!+#REF!+#REF!+#REF!+#REF!+#REF!+#REF!+#REF!+#REF!+#REF!+#REF!+#REF!+#REF!+#REF!+#REF!+#REF!+#REF!+#REF!+#REF!</definedName>
    <definedName name="xxxChunkR16382C1" localSheetId="15">+#REF!+#REF!+#REF!+#REF!+#REF!+#REF!+#REF!+#REF!+#REF!+#REF!+#REF!+#REF!+#REF!+#REF!+#REF!+#REF!+#REF!+#REF!+#REF!+#REF!+#REF!+#REF!+#REF!+#REF!+#REF!+#REF!+#REF!+#REF!+#REF!+#REF!+#REF!+#REF!+#REF!</definedName>
    <definedName name="xxxChunkR16382C1" localSheetId="16">+#REF!+#REF!+#REF!+#REF!+#REF!+#REF!+#REF!+#REF!+#REF!+#REF!+#REF!+#REF!+#REF!+#REF!+#REF!+#REF!+#REF!+#REF!+#REF!+#REF!+#REF!+#REF!+#REF!+#REF!+#REF!+#REF!+#REF!+#REF!+#REF!+#REF!+#REF!+#REF!+#REF!</definedName>
    <definedName name="xxxChunkR16382C1" localSheetId="14">+#REF!+#REF!+#REF!+#REF!+#REF!+#REF!+#REF!+#REF!+#REF!+#REF!+#REF!+#REF!+#REF!+#REF!+#REF!+#REF!+#REF!+#REF!+#REF!+#REF!+#REF!+#REF!+#REF!+#REF!+#REF!+#REF!+#REF!+#REF!+#REF!+#REF!+#REF!+#REF!+#REF!</definedName>
    <definedName name="xxxChunkR16382C1">+#REF!+#REF!+#REF!+#REF!+#REF!+#REF!+#REF!+#REF!+#REF!+#REF!+#REF!+#REF!+#REF!+#REF!+#REF!+#REF!+#REF!+#REF!+#REF!+#REF!+#REF!+#REF!+#REF!+#REF!+#REF!+#REF!+#REF!+#REF!+#REF!+#REF!+#REF!+#REF!+#REF!</definedName>
    <definedName name="xxxChunkR16383C1" localSheetId="18">+#REF!+#REF!+#REF!+#REF!+#REF!+#REF!+#REF!+#REF!+#REF!+#REF!+#REF!+#REF!+#REF!+#REF!+#REF!+#REF!+#REF!+#REF!+#REF!+#REF!+#REF!+#REF!+#REF!+#REF!+#REF!+#REF!+#REF!+#REF!+#REF!+#REF!+#REF!+#REF!+#REF!</definedName>
    <definedName name="xxxChunkR16383C1" localSheetId="15">+#REF!+#REF!+#REF!+#REF!+#REF!+#REF!+#REF!+#REF!+#REF!+#REF!+#REF!+#REF!+#REF!+#REF!+#REF!+#REF!+#REF!+#REF!+#REF!+#REF!+#REF!+#REF!+#REF!+#REF!+#REF!+#REF!+#REF!+#REF!+#REF!+#REF!+#REF!+#REF!+#REF!</definedName>
    <definedName name="xxxChunkR16383C1" localSheetId="16">+#REF!+#REF!+#REF!+#REF!+#REF!+#REF!+#REF!+#REF!+#REF!+#REF!+#REF!+#REF!+#REF!+#REF!+#REF!+#REF!+#REF!+#REF!+#REF!+#REF!+#REF!+#REF!+#REF!+#REF!+#REF!+#REF!+#REF!+#REF!+#REF!+#REF!+#REF!+#REF!+#REF!</definedName>
    <definedName name="xxxChunkR16383C1" localSheetId="14">+#REF!+#REF!+#REF!+#REF!+#REF!+#REF!+#REF!+#REF!+#REF!+#REF!+#REF!+#REF!+#REF!+#REF!+#REF!+#REF!+#REF!+#REF!+#REF!+#REF!+#REF!+#REF!+#REF!+#REF!+#REF!+#REF!+#REF!+#REF!+#REF!+#REF!+#REF!+#REF!+#REF!</definedName>
    <definedName name="xxxChunkR16383C1">+#REF!+#REF!+#REF!+#REF!+#REF!+#REF!+#REF!+#REF!+#REF!+#REF!+#REF!+#REF!+#REF!+#REF!+#REF!+#REF!+#REF!+#REF!+#REF!+#REF!+#REF!+#REF!+#REF!+#REF!+#REF!+#REF!+#REF!+#REF!+#REF!+#REF!+#REF!+#REF!+#REF!</definedName>
    <definedName name="xxxcji">#N/A</definedName>
    <definedName name="xxxCLabel1.1.Prompt">0</definedName>
    <definedName name="xxxCLabel1.10.Prompt">0</definedName>
    <definedName name="xxxCLabel1.11.Prompt">0</definedName>
    <definedName name="xxxCLabel1.12.Prompt">0</definedName>
    <definedName name="xxxCLabel1.13.Prompt">0</definedName>
    <definedName name="xxxCLabel1.14.Prompt">0</definedName>
    <definedName name="xxxCLabel1.15.Prompt">0</definedName>
    <definedName name="xxxCLabel1.16.Prompt">0</definedName>
    <definedName name="xxxCLabel1.17.Prompt">0</definedName>
    <definedName name="xxxCLabel1.18.Prompt">0</definedName>
    <definedName name="xxxCLabel1.19.Prompt">0</definedName>
    <definedName name="xxxCLabel1.2.Prompt">0</definedName>
    <definedName name="xxxCLabel1.20.Prompt">0</definedName>
    <definedName name="xxxCLabel1.21.Prompt">0</definedName>
    <definedName name="xxxCLabel1.22.Prompt">0</definedName>
    <definedName name="xxxCLabel1.23.Prompt">0</definedName>
    <definedName name="xxxCLabel1.24.Prompt">0</definedName>
    <definedName name="xxxCLabel1.25.Prompt">0</definedName>
    <definedName name="xxxCLabel1.3.Prompt">0</definedName>
    <definedName name="xxxCLabel1.4.Prompt">0</definedName>
    <definedName name="xxxCLabel1.5.Prompt">0</definedName>
    <definedName name="xxxCLabel1.6.Prompt">0</definedName>
    <definedName name="xxxCLabel1.7.Prompt">0</definedName>
    <definedName name="xxxCLabel1.8.Prompt">0</definedName>
    <definedName name="xxxCLabel1.9.Prompt">0</definedName>
    <definedName name="xxxColHeader1bx">0</definedName>
    <definedName name="xxxColHeader1by">11</definedName>
    <definedName name="xxxColHeader1ex">0</definedName>
    <definedName name="xxxColHeader1ey">11</definedName>
    <definedName name="xxxColLabels1bx">1</definedName>
    <definedName name="xxxColLabels1by">11</definedName>
    <definedName name="xxxColLabels1ex">25</definedName>
    <definedName name="xxxColLabels1ey">11</definedName>
    <definedName name="xxxCommon1DimValue1.1">"'5503"</definedName>
    <definedName name="xxxCommon1DimValue1.2">"PROFIT &amp; LOSS ACCOUNT CHEMICAL"</definedName>
    <definedName name="xxxCommon1DimValue2.1">"A"</definedName>
    <definedName name="xxxCommon1DimValue2.2">"Actual"</definedName>
    <definedName name="xxxCommon1DimValue3.1">"'2360"</definedName>
    <definedName name="xxxCommon1DimValue3.2">"SHANGAI SPECIALTY COR"</definedName>
    <definedName name="xxxCommon1DimValue4.1">"'05"</definedName>
    <definedName name="xxxCommon1DimValue4.2">"May"</definedName>
    <definedName name="xxxCommon1DimValue5.1">"Year-to-Date"</definedName>
    <definedName name="xxxCommon1DimValue5.2">"Year to date P&amp;L Accumulation"</definedName>
    <definedName name="xxxCommon1DimValue6.1">"'2003"</definedName>
    <definedName name="xxxCommon1DimValue6.2">2003</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Area1bx">0</definedName>
    <definedName name="xxxCommonArea1by">2</definedName>
    <definedName name="xxxCommonArea1ex">2</definedName>
    <definedName name="xxxCommonArea1ey">9</definedName>
    <definedName name="xxxDataBlock1bx">1</definedName>
    <definedName name="xxxDataBlock1by">15</definedName>
    <definedName name="xxxDataBlock1ex">25</definedName>
    <definedName name="xxxDataBlock1ey">93</definedName>
    <definedName name="xxxDownfootCols1Count">0</definedName>
    <definedName name="xxxDownfootRows1Count">13</definedName>
    <definedName name="xxxDownfootRows1Number0">18</definedName>
    <definedName name="xxxDownfootRows1Number1">26</definedName>
    <definedName name="xxxDownfootRows1Number10">83</definedName>
    <definedName name="xxxDownfootRows1Number11">85</definedName>
    <definedName name="xxxDownfootRows1Number12">88</definedName>
    <definedName name="xxxDownfootRows1Number13">132</definedName>
    <definedName name="xxxDownfootRows1Number14">136</definedName>
    <definedName name="xxxDownfootRows1Number15">139</definedName>
    <definedName name="xxxDownfootRows1Number16">151</definedName>
    <definedName name="xxxDownfootRows1Number17">152</definedName>
    <definedName name="xxxDownfootRows1Number18">153</definedName>
    <definedName name="xxxDownfootRows1Number19">156</definedName>
    <definedName name="xxxDownfootRows1Number2">33</definedName>
    <definedName name="xxxDownfootRows1Number20">190</definedName>
    <definedName name="xxxDownfootRows1Number21">191</definedName>
    <definedName name="xxxDownfootRows1Number22">194</definedName>
    <definedName name="xxxDownfootRows1Number23">200</definedName>
    <definedName name="xxxDownfootRows1Number24">222</definedName>
    <definedName name="xxxDownfootRows1Number25">224</definedName>
    <definedName name="xxxDownfootRows1Number26">227</definedName>
    <definedName name="xxxDownfootRows1Number27">228</definedName>
    <definedName name="xxxDownfootRows1Number28">230</definedName>
    <definedName name="xxxDownfootRows1Number3">38</definedName>
    <definedName name="xxxDownfootRows1Number4">43</definedName>
    <definedName name="xxxDownfootRows1Number5">54</definedName>
    <definedName name="xxxDownfootRows1Number6">58</definedName>
    <definedName name="xxxDownfootRows1Number7">64</definedName>
    <definedName name="xxxDownfootRows1Number8">75</definedName>
    <definedName name="xxxDownfootRows1Number9">76</definedName>
    <definedName name="xxxEntireArea1bx">0</definedName>
    <definedName name="xxxEntireArea1by">2</definedName>
    <definedName name="xxxEntireArea1ex">25</definedName>
    <definedName name="xxxEntireArea1ey">93</definedName>
    <definedName name="xxxGNVFileName">"P&amp;L.GNV"</definedName>
    <definedName name="xxxGNVStamp">1046183883</definedName>
    <definedName name="xxxHeaderCols1Count">0</definedName>
    <definedName name="xxxHeaderRows1Count">0</definedName>
    <definedName name="xxxNumber_Areas">1</definedName>
    <definedName name="xxxODECols1Count">0</definedName>
    <definedName name="xxxODERows1Count">0</definedName>
    <definedName name="xxxRefreshable">1</definedName>
    <definedName name="xxxRLabel1.1.Prompt">0</definedName>
    <definedName name="xxxRLabel1.10.Prompt">0</definedName>
    <definedName name="xxxRLabel1.100.Prompt">0</definedName>
    <definedName name="xxxRLabel1.101.Prompt">0</definedName>
    <definedName name="xxxRLabel1.102.Prompt">0</definedName>
    <definedName name="xxxRLabel1.103.Prompt">0</definedName>
    <definedName name="xxxRLabel1.104.Prompt">0</definedName>
    <definedName name="xxxRLabel1.105.Prompt">0</definedName>
    <definedName name="xxxRLabel1.106.Prompt">0</definedName>
    <definedName name="xxxRLabel1.107.Prompt">0</definedName>
    <definedName name="xxxRLabel1.108.Prompt">0</definedName>
    <definedName name="xxxRLabel1.109.Prompt">0</definedName>
    <definedName name="xxxRLabel1.11.Prompt">0</definedName>
    <definedName name="xxxRLabel1.110.Prompt">0</definedName>
    <definedName name="xxxRLabel1.111.Prompt">0</definedName>
    <definedName name="xxxRLabel1.112.Prompt">0</definedName>
    <definedName name="xxxRLabel1.113.Prompt">0</definedName>
    <definedName name="xxxRLabel1.114.Prompt">0</definedName>
    <definedName name="xxxRLabel1.115.Prompt">0</definedName>
    <definedName name="xxxRLabel1.116.Prompt">0</definedName>
    <definedName name="xxxRLabel1.117.Prompt">0</definedName>
    <definedName name="xxxRLabel1.118.Prompt">0</definedName>
    <definedName name="xxxRLabel1.119.Prompt">0</definedName>
    <definedName name="xxxRLabel1.12.Prompt">0</definedName>
    <definedName name="xxxRLabel1.120.Prompt">0</definedName>
    <definedName name="xxxRLabel1.121.Prompt">0</definedName>
    <definedName name="xxxRLabel1.122.Prompt">0</definedName>
    <definedName name="xxxRLabel1.123.Prompt">0</definedName>
    <definedName name="xxxRLabel1.124.Prompt">0</definedName>
    <definedName name="xxxRLabel1.125.Prompt">0</definedName>
    <definedName name="xxxRLabel1.126.Prompt">0</definedName>
    <definedName name="xxxRLabel1.127.Prompt">0</definedName>
    <definedName name="xxxRLabel1.128.Prompt">0</definedName>
    <definedName name="xxxRLabel1.129.Prompt">0</definedName>
    <definedName name="xxxRLabel1.13.Prompt">0</definedName>
    <definedName name="xxxRLabel1.130.Prompt">0</definedName>
    <definedName name="xxxRLabel1.131.Prompt">0</definedName>
    <definedName name="xxxRLabel1.132.Prompt">0</definedName>
    <definedName name="xxxRLabel1.133.Prompt">0</definedName>
    <definedName name="xxxRLabel1.134.Prompt">0</definedName>
    <definedName name="xxxRLabel1.135.Prompt">0</definedName>
    <definedName name="xxxRLabel1.136.Prompt">0</definedName>
    <definedName name="xxxRLabel1.137.Prompt">0</definedName>
    <definedName name="xxxRLabel1.138.Prompt">0</definedName>
    <definedName name="xxxRLabel1.139.Prompt">0</definedName>
    <definedName name="xxxRLabel1.14.Prompt">0</definedName>
    <definedName name="xxxRLabel1.140.Prompt">0</definedName>
    <definedName name="xxxRLabel1.141.Prompt">0</definedName>
    <definedName name="xxxRLabel1.142.Prompt">0</definedName>
    <definedName name="xxxRLabel1.143.Prompt">0</definedName>
    <definedName name="xxxRLabel1.144.Prompt">0</definedName>
    <definedName name="xxxRLabel1.145.Prompt">0</definedName>
    <definedName name="xxxRLabel1.146.Prompt">0</definedName>
    <definedName name="xxxRLabel1.147.Prompt">0</definedName>
    <definedName name="xxxRLabel1.148.Prompt">0</definedName>
    <definedName name="xxxRLabel1.149.Prompt">0</definedName>
    <definedName name="xxxRLabel1.15.Prompt">0</definedName>
    <definedName name="xxxRLabel1.150.Prompt">0</definedName>
    <definedName name="xxxRLabel1.151.Prompt">0</definedName>
    <definedName name="xxxRLabel1.152.Prompt">0</definedName>
    <definedName name="xxxRLabel1.153.Prompt">0</definedName>
    <definedName name="xxxRLabel1.154.Prompt">0</definedName>
    <definedName name="xxxRLabel1.155.Prompt">0</definedName>
    <definedName name="xxxRLabel1.156.Prompt">0</definedName>
    <definedName name="xxxRLabel1.157.Prompt">0</definedName>
    <definedName name="xxxRLabel1.158.Prompt">0</definedName>
    <definedName name="xxxRLabel1.159.Prompt">0</definedName>
    <definedName name="xxxRLabel1.16.Prompt">0</definedName>
    <definedName name="xxxRLabel1.160.Prompt">0</definedName>
    <definedName name="xxxRLabel1.161.Prompt">0</definedName>
    <definedName name="xxxRLabel1.162.Prompt">0</definedName>
    <definedName name="xxxRLabel1.163.Prompt">0</definedName>
    <definedName name="xxxRLabel1.164.Prompt">0</definedName>
    <definedName name="xxxRLabel1.165.Prompt">0</definedName>
    <definedName name="xxxRLabel1.166.Prompt">0</definedName>
    <definedName name="xxxRLabel1.167.Prompt">0</definedName>
    <definedName name="xxxRLabel1.168.Prompt">0</definedName>
    <definedName name="xxxRLabel1.169.Prompt">0</definedName>
    <definedName name="xxxRLabel1.17.Prompt">0</definedName>
    <definedName name="xxxRLabel1.170.Prompt">0</definedName>
    <definedName name="xxxRLabel1.171.Prompt">0</definedName>
    <definedName name="xxxRLabel1.172.Prompt">0</definedName>
    <definedName name="xxxRLabel1.173.Prompt">0</definedName>
    <definedName name="xxxRLabel1.174.Prompt">0</definedName>
    <definedName name="xxxRLabel1.175.Prompt">0</definedName>
    <definedName name="xxxRLabel1.176.Prompt">0</definedName>
    <definedName name="xxxRLabel1.177.Prompt">0</definedName>
    <definedName name="xxxRLabel1.178.Prompt">0</definedName>
    <definedName name="xxxRLabel1.179.Prompt">0</definedName>
    <definedName name="xxxRLabel1.18.Prompt">0</definedName>
    <definedName name="xxxRLabel1.180.Prompt">0</definedName>
    <definedName name="xxxRLabel1.181.Prompt">0</definedName>
    <definedName name="xxxRLabel1.182.Prompt">0</definedName>
    <definedName name="xxxRLabel1.183.Prompt">0</definedName>
    <definedName name="xxxRLabel1.184.Prompt">0</definedName>
    <definedName name="xxxRLabel1.185.Prompt">0</definedName>
    <definedName name="xxxRLabel1.186.Prompt">0</definedName>
    <definedName name="xxxRLabel1.187.Prompt">0</definedName>
    <definedName name="xxxRLabel1.188.Prompt">0</definedName>
    <definedName name="xxxRLabel1.189.Prompt">0</definedName>
    <definedName name="xxxRLabel1.19.Prompt">0</definedName>
    <definedName name="xxxRLabel1.190.Prompt">0</definedName>
    <definedName name="xxxRLabel1.191.Prompt">0</definedName>
    <definedName name="xxxRLabel1.192.Prompt">0</definedName>
    <definedName name="xxxRLabel1.193.Prompt">0</definedName>
    <definedName name="xxxRLabel1.194.Prompt">0</definedName>
    <definedName name="xxxRLabel1.195.Prompt">0</definedName>
    <definedName name="xxxRLabel1.196.Prompt">0</definedName>
    <definedName name="xxxRLabel1.197.Prompt">0</definedName>
    <definedName name="xxxRLabel1.198.Prompt">0</definedName>
    <definedName name="xxxRLabel1.199.Prompt">0</definedName>
    <definedName name="xxxRLabel1.2.Prompt">0</definedName>
    <definedName name="xxxRLabel1.20.Prompt">0</definedName>
    <definedName name="xxxRLabel1.200.Prompt">0</definedName>
    <definedName name="xxxRLabel1.201.Prompt">0</definedName>
    <definedName name="xxxRLabel1.202.Prompt">0</definedName>
    <definedName name="xxxRLabel1.203.Prompt">0</definedName>
    <definedName name="xxxRLabel1.204.Prompt">0</definedName>
    <definedName name="xxxRLabel1.205.Prompt">0</definedName>
    <definedName name="xxxRLabel1.206.Prompt">0</definedName>
    <definedName name="xxxRLabel1.207.Prompt">0</definedName>
    <definedName name="xxxRLabel1.208.Prompt">0</definedName>
    <definedName name="xxxRLabel1.209.Prompt">0</definedName>
    <definedName name="xxxRLabel1.21.Prompt">0</definedName>
    <definedName name="xxxRLabel1.210.Prompt">0</definedName>
    <definedName name="xxxRLabel1.211.Prompt">0</definedName>
    <definedName name="xxxRLabel1.212.Prompt">0</definedName>
    <definedName name="xxxRLabel1.213.Prompt">0</definedName>
    <definedName name="xxxRLabel1.214.Prompt">0</definedName>
    <definedName name="xxxRLabel1.215.Prompt">0</definedName>
    <definedName name="xxxRLabel1.216.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33.Prompt">0</definedName>
    <definedName name="xxxRLabel1.34.Prompt">0</definedName>
    <definedName name="xxxRLabel1.35.Prompt">0</definedName>
    <definedName name="xxxRLabel1.36.Prompt">0</definedName>
    <definedName name="xxxRLabel1.37.Prompt">0</definedName>
    <definedName name="xxxRLabel1.38.Prompt">0</definedName>
    <definedName name="xxxRLabel1.39.Prompt">0</definedName>
    <definedName name="xxxRLabel1.4.Prompt">0</definedName>
    <definedName name="xxxRLabel1.40.Prompt">0</definedName>
    <definedName name="xxxRLabel1.41.Prompt">0</definedName>
    <definedName name="xxxRLabel1.42.Prompt">0</definedName>
    <definedName name="xxxRLabel1.43.Prompt">0</definedName>
    <definedName name="xxxRLabel1.44.Prompt">0</definedName>
    <definedName name="xxxRLabel1.45.Prompt">0</definedName>
    <definedName name="xxxRLabel1.46.Prompt">0</definedName>
    <definedName name="xxxRLabel1.47.Prompt">0</definedName>
    <definedName name="xxxRLabel1.48.Prompt">0</definedName>
    <definedName name="xxxRLabel1.49.Prompt">0</definedName>
    <definedName name="xxxRLabel1.5.Prompt">0</definedName>
    <definedName name="xxxRLabel1.50.Prompt">0</definedName>
    <definedName name="xxxRLabel1.51.Prompt">0</definedName>
    <definedName name="xxxRLabel1.52.Prompt">0</definedName>
    <definedName name="xxxRLabel1.53.Prompt">0</definedName>
    <definedName name="xxxRLabel1.54.Prompt">0</definedName>
    <definedName name="xxxRLabel1.55.Prompt">0</definedName>
    <definedName name="xxxRLabel1.56.Prompt">0</definedName>
    <definedName name="xxxRLabel1.57.Prompt">0</definedName>
    <definedName name="xxxRLabel1.58.Prompt">0</definedName>
    <definedName name="xxxRLabel1.59.Prompt">0</definedName>
    <definedName name="xxxRLabel1.6.Prompt">0</definedName>
    <definedName name="xxxRLabel1.60.Prompt">0</definedName>
    <definedName name="xxxRLabel1.61.Prompt">0</definedName>
    <definedName name="xxxRLabel1.62.Prompt">0</definedName>
    <definedName name="xxxRLabel1.63.Prompt">0</definedName>
    <definedName name="xxxRLabel1.64.Prompt">0</definedName>
    <definedName name="xxxRLabel1.65.Prompt">0</definedName>
    <definedName name="xxxRLabel1.66.Prompt">0</definedName>
    <definedName name="xxxRLabel1.67.Prompt">0</definedName>
    <definedName name="xxxRLabel1.68.Prompt">0</definedName>
    <definedName name="xxxRLabel1.69.Prompt">0</definedName>
    <definedName name="xxxRLabel1.7.Prompt">0</definedName>
    <definedName name="xxxRLabel1.70.Prompt">0</definedName>
    <definedName name="xxxRLabel1.71.Prompt">0</definedName>
    <definedName name="xxxRLabel1.72.Prompt">0</definedName>
    <definedName name="xxxRLabel1.73.Prompt">0</definedName>
    <definedName name="xxxRLabel1.74.Prompt">0</definedName>
    <definedName name="xxxRLabel1.75.Prompt">0</definedName>
    <definedName name="xxxRLabel1.76.Prompt">0</definedName>
    <definedName name="xxxRLabel1.77.Prompt">0</definedName>
    <definedName name="xxxRLabel1.78.Prompt">0</definedName>
    <definedName name="xxxRLabel1.79.Prompt">0</definedName>
    <definedName name="xxxRLabel1.8.Prompt">0</definedName>
    <definedName name="xxxRLabel1.80.Prompt">0</definedName>
    <definedName name="xxxRLabel1.81.Prompt">0</definedName>
    <definedName name="xxxRLabel1.82.Prompt">0</definedName>
    <definedName name="xxxRLabel1.83.Prompt">0</definedName>
    <definedName name="xxxRLabel1.84.Prompt">0</definedName>
    <definedName name="xxxRLabel1.85.Prompt">0</definedName>
    <definedName name="xxxRLabel1.86.Prompt">0</definedName>
    <definedName name="xxxRLabel1.87.Prompt">0</definedName>
    <definedName name="xxxRLabel1.88.Prompt">0</definedName>
    <definedName name="xxxRLabel1.89.Prompt">0</definedName>
    <definedName name="xxxRLabel1.9.Prompt">0</definedName>
    <definedName name="xxxRLabel1.90.Prompt">0</definedName>
    <definedName name="xxxRLabel1.91.Prompt">0</definedName>
    <definedName name="xxxRLabel1.96.Prompt">0</definedName>
    <definedName name="xxxRLabel1.97.Prompt">0</definedName>
    <definedName name="xxxRLabel1.98.Prompt">0</definedName>
    <definedName name="xxxRLabel1.99.Prompt">0</definedName>
    <definedName name="xxxRowHeader1bx">0</definedName>
    <definedName name="xxxRowHeader1by">13</definedName>
    <definedName name="xxxRowLabels1bx">0</definedName>
    <definedName name="xxxUDCols1Submit0">1</definedName>
    <definedName name="XXXXXXXXXXXX" localSheetId="18" hidden="1">#REF!</definedName>
    <definedName name="XXXXXXXXXXXX" localSheetId="15" hidden="1">#REF!</definedName>
    <definedName name="XXXXXXXXXXXX" localSheetId="16" hidden="1">#REF!</definedName>
    <definedName name="XXXXXXXXXXXX" localSheetId="14" hidden="1">#REF!</definedName>
    <definedName name="XXXXXXXXXXXX" hidden="1">#REF!</definedName>
    <definedName name="xyz" localSheetId="18" hidden="1">#REF!</definedName>
    <definedName name="xyz" localSheetId="15" hidden="1">#REF!</definedName>
    <definedName name="xyz" localSheetId="16" hidden="1">#REF!</definedName>
    <definedName name="xyz" localSheetId="14" hidden="1">#REF!</definedName>
    <definedName name="xyz" hidden="1">#REF!</definedName>
    <definedName name="yeb" localSheetId="18">#REF!</definedName>
    <definedName name="yeb" localSheetId="15">#REF!</definedName>
    <definedName name="yeb" localSheetId="16">#REF!</definedName>
    <definedName name="yeb" localSheetId="14">#REF!</definedName>
    <definedName name="yeb">#REF!</definedName>
    <definedName name="yfk" localSheetId="18">#REF!</definedName>
    <definedName name="yfk" localSheetId="15">#REF!</definedName>
    <definedName name="yfk" localSheetId="16">#REF!</definedName>
    <definedName name="yfk" localSheetId="14">#REF!</definedName>
    <definedName name="yfk">#REF!</definedName>
    <definedName name="yingfugongzi.dbf" localSheetId="18">#REF!</definedName>
    <definedName name="yingfugongzi.dbf" localSheetId="15">#REF!</definedName>
    <definedName name="yingfugongzi.dbf" localSheetId="16">#REF!</definedName>
    <definedName name="yingfugongzi.dbf" localSheetId="14">#REF!</definedName>
    <definedName name="yingfugongzi.dbf">#REF!</definedName>
    <definedName name="z" localSheetId="18">#REF!</definedName>
    <definedName name="z" localSheetId="15">#REF!</definedName>
    <definedName name="z" localSheetId="16">#REF!</definedName>
    <definedName name="z" localSheetId="14">#REF!</definedName>
    <definedName name="z">#REF!</definedName>
    <definedName name="Z_5B0018AC_ED7C_43A5_8355_57F537E03D3C_.wvu.Cols" localSheetId="18" hidden="1">#REF!</definedName>
    <definedName name="Z_5B0018AC_ED7C_43A5_8355_57F537E03D3C_.wvu.Cols" localSheetId="15" hidden="1">#REF!</definedName>
    <definedName name="Z_5B0018AC_ED7C_43A5_8355_57F537E03D3C_.wvu.Cols" localSheetId="16" hidden="1">#REF!</definedName>
    <definedName name="Z_5B0018AC_ED7C_43A5_8355_57F537E03D3C_.wvu.Cols" localSheetId="14" hidden="1">#REF!</definedName>
    <definedName name="Z_5B0018AC_ED7C_43A5_8355_57F537E03D3C_.wvu.Cols" hidden="1">#REF!</definedName>
    <definedName name="Z_5B0018AC_ED7C_43A5_8355_57F537E03D3C_.wvu.PrintArea" localSheetId="18" hidden="1">#REF!</definedName>
    <definedName name="Z_5B0018AC_ED7C_43A5_8355_57F537E03D3C_.wvu.PrintArea" localSheetId="15" hidden="1">#REF!</definedName>
    <definedName name="Z_5B0018AC_ED7C_43A5_8355_57F537E03D3C_.wvu.PrintArea" localSheetId="16" hidden="1">#REF!</definedName>
    <definedName name="Z_5B0018AC_ED7C_43A5_8355_57F537E03D3C_.wvu.PrintArea" localSheetId="14" hidden="1">#REF!</definedName>
    <definedName name="Z_5B0018AC_ED7C_43A5_8355_57F537E03D3C_.wvu.PrintArea" hidden="1">#REF!</definedName>
    <definedName name="Z_5B0018AC_ED7C_43A5_8355_57F537E03D3C_.wvu.PrintTitles" localSheetId="18" hidden="1">#REF!</definedName>
    <definedName name="Z_5B0018AC_ED7C_43A5_8355_57F537E03D3C_.wvu.PrintTitles" localSheetId="15" hidden="1">#REF!</definedName>
    <definedName name="Z_5B0018AC_ED7C_43A5_8355_57F537E03D3C_.wvu.PrintTitles" localSheetId="16" hidden="1">#REF!</definedName>
    <definedName name="Z_5B0018AC_ED7C_43A5_8355_57F537E03D3C_.wvu.PrintTitles" localSheetId="14" hidden="1">#REF!</definedName>
    <definedName name="Z_5B0018AC_ED7C_43A5_8355_57F537E03D3C_.wvu.PrintTitles" hidden="1">#REF!</definedName>
    <definedName name="Z_5B0018AC_ED7C_43A5_8355_57F537E03D3C_.wvu.Rows" localSheetId="18" hidden="1">#REF!</definedName>
    <definedName name="Z_5B0018AC_ED7C_43A5_8355_57F537E03D3C_.wvu.Rows" localSheetId="15" hidden="1">#REF!</definedName>
    <definedName name="Z_5B0018AC_ED7C_43A5_8355_57F537E03D3C_.wvu.Rows" localSheetId="16" hidden="1">#REF!</definedName>
    <definedName name="Z_5B0018AC_ED7C_43A5_8355_57F537E03D3C_.wvu.Rows" localSheetId="14" hidden="1">#REF!</definedName>
    <definedName name="Z_5B0018AC_ED7C_43A5_8355_57F537E03D3C_.wvu.Rows" hidden="1">#REF!</definedName>
    <definedName name="Z_911DACAA_054E_4C3B_90DF_B9C6288DD7EC_.wvu.PrintArea" localSheetId="18" hidden="1">#REF!</definedName>
    <definedName name="Z_911DACAA_054E_4C3B_90DF_B9C6288DD7EC_.wvu.PrintArea" localSheetId="15" hidden="1">#REF!</definedName>
    <definedName name="Z_911DACAA_054E_4C3B_90DF_B9C6288DD7EC_.wvu.PrintArea" localSheetId="16" hidden="1">#REF!</definedName>
    <definedName name="Z_911DACAA_054E_4C3B_90DF_B9C6288DD7EC_.wvu.PrintArea" localSheetId="14" hidden="1">#REF!</definedName>
    <definedName name="Z_911DACAA_054E_4C3B_90DF_B9C6288DD7EC_.wvu.PrintArea" hidden="1">#REF!</definedName>
    <definedName name="Z_911DACAA_054E_4C3B_90DF_B9C6288DD7EC_.wvu.PrintTitles" localSheetId="18" hidden="1">#REF!</definedName>
    <definedName name="Z_911DACAA_054E_4C3B_90DF_B9C6288DD7EC_.wvu.PrintTitles" localSheetId="15" hidden="1">#REF!</definedName>
    <definedName name="Z_911DACAA_054E_4C3B_90DF_B9C6288DD7EC_.wvu.PrintTitles" localSheetId="16" hidden="1">#REF!</definedName>
    <definedName name="Z_911DACAA_054E_4C3B_90DF_B9C6288DD7EC_.wvu.PrintTitles" localSheetId="14" hidden="1">#REF!</definedName>
    <definedName name="Z_911DACAA_054E_4C3B_90DF_B9C6288DD7EC_.wvu.PrintTitles" hidden="1">#REF!</definedName>
    <definedName name="Z_CA114490_6245_4E49_8357_51EE85C54725_.wvu.PrintArea" localSheetId="18" hidden="1">#REF!</definedName>
    <definedName name="Z_CA114490_6245_4E49_8357_51EE85C54725_.wvu.PrintArea" localSheetId="15" hidden="1">#REF!</definedName>
    <definedName name="Z_CA114490_6245_4E49_8357_51EE85C54725_.wvu.PrintArea" localSheetId="16" hidden="1">#REF!</definedName>
    <definedName name="Z_CA114490_6245_4E49_8357_51EE85C54725_.wvu.PrintArea" localSheetId="14" hidden="1">#REF!</definedName>
    <definedName name="Z_CA114490_6245_4E49_8357_51EE85C54725_.wvu.PrintArea" hidden="1">#REF!</definedName>
    <definedName name="Z_CA114490_6245_4E49_8357_51EE85C54725_.wvu.PrintTitles" localSheetId="18" hidden="1">#REF!</definedName>
    <definedName name="Z_CA114490_6245_4E49_8357_51EE85C54725_.wvu.PrintTitles" localSheetId="15" hidden="1">#REF!</definedName>
    <definedName name="Z_CA114490_6245_4E49_8357_51EE85C54725_.wvu.PrintTitles" localSheetId="16" hidden="1">#REF!</definedName>
    <definedName name="Z_CA114490_6245_4E49_8357_51EE85C54725_.wvu.PrintTitles" localSheetId="14" hidden="1">#REF!</definedName>
    <definedName name="Z_CA114490_6245_4E49_8357_51EE85C54725_.wvu.PrintTitles" hidden="1">#REF!</definedName>
    <definedName name="Z_D9CAD22C_EDFA_407B_9680_56518E9E07BF_.wvu.PrintArea" localSheetId="2">'01 商业总则'!$A$1:$I$81</definedName>
    <definedName name="z_df" localSheetId="18">#REF!</definedName>
    <definedName name="z_df" localSheetId="15">#REF!</definedName>
    <definedName name="z_df" localSheetId="16">#REF!</definedName>
    <definedName name="z_df" localSheetId="14">#REF!</definedName>
    <definedName name="z_df">#REF!</definedName>
    <definedName name="z_jf" localSheetId="18">#REF!</definedName>
    <definedName name="z_jf" localSheetId="15">#REF!</definedName>
    <definedName name="z_jf" localSheetId="16">#REF!</definedName>
    <definedName name="z_jf" localSheetId="14">#REF!</definedName>
    <definedName name="z_jf">#REF!</definedName>
    <definedName name="z_km" localSheetId="18">#REF!</definedName>
    <definedName name="z_km" localSheetId="15">#REF!</definedName>
    <definedName name="z_km" localSheetId="16">#REF!</definedName>
    <definedName name="z_km" localSheetId="14">#REF!</definedName>
    <definedName name="z_km">#REF!</definedName>
    <definedName name="zjgch2000.dbf" localSheetId="18">#REF!</definedName>
    <definedName name="zjgch2000.dbf" localSheetId="15">#REF!</definedName>
    <definedName name="zjgch2000.dbf" localSheetId="16">#REF!</definedName>
    <definedName name="zjgch2000.dbf" localSheetId="14">#REF!</definedName>
    <definedName name="zjgch2000.dbf">#REF!</definedName>
    <definedName name="ZZ1B" localSheetId="13">#REF!</definedName>
    <definedName name="ZZ1B">#REF!</definedName>
    <definedName name="ZZ3B" localSheetId="13">#REF!</definedName>
    <definedName name="ZZ3B">#REF!</definedName>
    <definedName name="ZZ3C" localSheetId="13">#REF!</definedName>
    <definedName name="ZZ3C">#REF!</definedName>
    <definedName name="ZZZZZZZZZZZZZ" localSheetId="18" hidden="1">#REF!</definedName>
    <definedName name="ZZZZZZZZZZZZZ" localSheetId="15" hidden="1">#REF!</definedName>
    <definedName name="ZZZZZZZZZZZZZ" localSheetId="16" hidden="1">#REF!</definedName>
    <definedName name="ZZZZZZZZZZZZZ" localSheetId="14" hidden="1">#REF!</definedName>
    <definedName name="ZZZZZZZZZZZZZ" hidden="1">#REF!</definedName>
    <definedName name="啊啊" localSheetId="18">#REF!</definedName>
    <definedName name="啊啊" localSheetId="15">#REF!</definedName>
    <definedName name="啊啊" localSheetId="16">#REF!</definedName>
    <definedName name="啊啊" localSheetId="14">#REF!</definedName>
    <definedName name="啊啊">#REF!</definedName>
    <definedName name="八号砼" localSheetId="18">#REF!</definedName>
    <definedName name="八号砼" localSheetId="15">#REF!</definedName>
    <definedName name="八号砼" localSheetId="16">#REF!</definedName>
    <definedName name="八号砼" localSheetId="14">#REF!</definedName>
    <definedName name="八号砼">#REF!</definedName>
    <definedName name="吧" localSheetId="18">#REF!</definedName>
    <definedName name="吧" localSheetId="15">#REF!</definedName>
    <definedName name="吧" localSheetId="16">#REF!</definedName>
    <definedName name="吧" localSheetId="14">#REF!</definedName>
    <definedName name="吧">#REF!</definedName>
    <definedName name="半成品" localSheetId="18">#REF!</definedName>
    <definedName name="半成品" localSheetId="15">#REF!</definedName>
    <definedName name="半成品" localSheetId="16">#REF!</definedName>
    <definedName name="半成品" localSheetId="14">#REF!</definedName>
    <definedName name="半成品">#REF!</definedName>
    <definedName name="包装物" localSheetId="18">#REF!</definedName>
    <definedName name="包装物" localSheetId="15">#REF!</definedName>
    <definedName name="包装物" localSheetId="16">#REF!</definedName>
    <definedName name="包装物" localSheetId="14">#REF!</definedName>
    <definedName name="包装物">#REF!</definedName>
    <definedName name="保管费清单" localSheetId="18">#REF!</definedName>
    <definedName name="保管费清单" localSheetId="15">#REF!</definedName>
    <definedName name="保管费清单" localSheetId="16">#REF!</definedName>
    <definedName name="保管费清单" localSheetId="14">#REF!</definedName>
    <definedName name="保管费清单">#REF!</definedName>
    <definedName name="保守利润">#REF!</definedName>
    <definedName name="保守利润率">#REF!</definedName>
    <definedName name="报告">#REF!</definedName>
    <definedName name="备用" localSheetId="11" hidden="1">{#N/A,#N/A,FALSE,"OffAdvance";#N/A,#N/A,FALSE,"OffExpRprt";#N/A,#N/A,FALSE,"Entertmnt";#N/A,#N/A,FALSE,"Promotion";#N/A,#N/A,FALSE,"Travelling"}</definedName>
    <definedName name="备用" localSheetId="17" hidden="1">{#N/A,#N/A,FALSE,"OffAdvance";#N/A,#N/A,FALSE,"OffExpRprt";#N/A,#N/A,FALSE,"Entertmnt";#N/A,#N/A,FALSE,"Promotion";#N/A,#N/A,FALSE,"Travelling"}</definedName>
    <definedName name="备用" localSheetId="10" hidden="1">{#N/A,#N/A,FALSE,"OffAdvance";#N/A,#N/A,FALSE,"OffExpRprt";#N/A,#N/A,FALSE,"Entertmnt";#N/A,#N/A,FALSE,"Promotion";#N/A,#N/A,FALSE,"Travelling"}</definedName>
    <definedName name="备用" localSheetId="20" hidden="1">{#N/A,#N/A,FALSE,"OffAdvance";#N/A,#N/A,FALSE,"OffExpRprt";#N/A,#N/A,FALSE,"Entertmnt";#N/A,#N/A,FALSE,"Promotion";#N/A,#N/A,FALSE,"Travelling"}</definedName>
    <definedName name="备用" localSheetId="18" hidden="1">{#N/A,#N/A,FALSE,"OffAdvance";#N/A,#N/A,FALSE,"OffExpRprt";#N/A,#N/A,FALSE,"Entertmnt";#N/A,#N/A,FALSE,"Promotion";#N/A,#N/A,FALSE,"Travelling"}</definedName>
    <definedName name="备用" localSheetId="19" hidden="1">{#N/A,#N/A,FALSE,"OffAdvance";#N/A,#N/A,FALSE,"OffExpRprt";#N/A,#N/A,FALSE,"Entertmnt";#N/A,#N/A,FALSE,"Promotion";#N/A,#N/A,FALSE,"Travelling"}</definedName>
    <definedName name="备用" localSheetId="13" hidden="1">{#N/A,#N/A,FALSE,"OffAdvance";#N/A,#N/A,FALSE,"OffExpRprt";#N/A,#N/A,FALSE,"Entertmnt";#N/A,#N/A,FALSE,"Promotion";#N/A,#N/A,FALSE,"Travelling"}</definedName>
    <definedName name="备用" hidden="1">{#N/A,#N/A,FALSE,"OffAdvance";#N/A,#N/A,FALSE,"OffExpRprt";#N/A,#N/A,FALSE,"Entertmnt";#N/A,#N/A,FALSE,"Promotion";#N/A,#N/A,FALSE,"Travelling"}</definedName>
    <definedName name="表1" localSheetId="18">#REF!</definedName>
    <definedName name="表1" localSheetId="15">#REF!</definedName>
    <definedName name="表1" localSheetId="16">#REF!</definedName>
    <definedName name="表1" localSheetId="14">#REF!</definedName>
    <definedName name="表1">#REF!</definedName>
    <definedName name="表2" localSheetId="18">#REF!</definedName>
    <definedName name="表2" localSheetId="15">#REF!</definedName>
    <definedName name="表2" localSheetId="16">#REF!</definedName>
    <definedName name="表2" localSheetId="14">#REF!</definedName>
    <definedName name="表2">#REF!</definedName>
    <definedName name="表3" localSheetId="18">#REF!</definedName>
    <definedName name="表3" localSheetId="15">#REF!</definedName>
    <definedName name="表3" localSheetId="16">#REF!</definedName>
    <definedName name="表3" localSheetId="14">#REF!</definedName>
    <definedName name="表3">#REF!</definedName>
    <definedName name="不" localSheetId="13">#REF!</definedName>
    <definedName name="不">#REF!</definedName>
    <definedName name="不使用" localSheetId="18">#REF!</definedName>
    <definedName name="不使用" localSheetId="15">#REF!</definedName>
    <definedName name="不使用" localSheetId="16">#REF!</definedName>
    <definedName name="不使用" localSheetId="14">#REF!</definedName>
    <definedName name="不使用">#REF!</definedName>
    <definedName name="财务费用.dbf" localSheetId="18">#REF!</definedName>
    <definedName name="财务费用.dbf" localSheetId="15">#REF!</definedName>
    <definedName name="财务费用.dbf" localSheetId="16">#REF!</definedName>
    <definedName name="财务费用.dbf" localSheetId="14">#REF!</definedName>
    <definedName name="财务费用.dbf">#REF!</definedName>
    <definedName name="查询3" localSheetId="18">#REF!</definedName>
    <definedName name="查询3" localSheetId="15">#REF!</definedName>
    <definedName name="查询3" localSheetId="16">#REF!</definedName>
    <definedName name="查询3" localSheetId="14">#REF!</definedName>
    <definedName name="查询3">#REF!</definedName>
    <definedName name="产成品" localSheetId="18">#REF!</definedName>
    <definedName name="产成品" localSheetId="15">#REF!</definedName>
    <definedName name="产成品" localSheetId="16">#REF!</definedName>
    <definedName name="产成品" localSheetId="14">#REF!</definedName>
    <definedName name="产成品">#REF!</definedName>
    <definedName name="陈勇" localSheetId="18">#REF!</definedName>
    <definedName name="陈勇" localSheetId="15">#REF!</definedName>
    <definedName name="陈勇" localSheetId="16">#REF!</definedName>
    <definedName name="陈勇" localSheetId="14">#REF!</definedName>
    <definedName name="陈勇">#REF!</definedName>
    <definedName name="成本">#REF!</definedName>
    <definedName name="成本结构" localSheetId="18">#REF!</definedName>
    <definedName name="成本结构" localSheetId="15">#REF!</definedName>
    <definedName name="成本结构" localSheetId="16">#REF!</definedName>
    <definedName name="成本结构" localSheetId="14">#REF!</definedName>
    <definedName name="成本结构">#REF!</definedName>
    <definedName name="船二" localSheetId="18">#REF!</definedName>
    <definedName name="船二" localSheetId="15">#REF!</definedName>
    <definedName name="船二" localSheetId="16">#REF!</definedName>
    <definedName name="船二" localSheetId="14">#REF!</definedName>
    <definedName name="船二">#REF!</definedName>
    <definedName name="存货">#REF!,#REF!,#REF!,#REF!,#REF!,#REF!,#REF!,#REF!</definedName>
    <definedName name="达到">#REF!</definedName>
    <definedName name="待处理固定资产净损失明细表" localSheetId="18">#REF!</definedName>
    <definedName name="待处理固定资产净损失明细表" localSheetId="15">#REF!</definedName>
    <definedName name="待处理固定资产净损失明细表" localSheetId="16">#REF!</definedName>
    <definedName name="待处理固定资产净损失明细表" localSheetId="14">#REF!</definedName>
    <definedName name="待处理固定资产净损失明细表">#REF!</definedName>
    <definedName name="待摊费用.dbf" localSheetId="18">#REF!</definedName>
    <definedName name="待摊费用.dbf" localSheetId="15">#REF!</definedName>
    <definedName name="待摊费用.dbf" localSheetId="16">#REF!</definedName>
    <definedName name="待摊费用.dbf" localSheetId="14">#REF!</definedName>
    <definedName name="待摊费用.dbf">#REF!</definedName>
    <definedName name="单点">#REF!</definedName>
    <definedName name="单独" localSheetId="18">#REF!</definedName>
    <definedName name="单独" localSheetId="15">#REF!</definedName>
    <definedName name="单独" localSheetId="16">#REF!</definedName>
    <definedName name="单独" localSheetId="14">#REF!</definedName>
    <definedName name="单独">#REF!</definedName>
    <definedName name="当前明细帐" localSheetId="18">#REF!</definedName>
    <definedName name="当前明细帐" localSheetId="15">#REF!</definedName>
    <definedName name="当前明细帐" localSheetId="16">#REF!</definedName>
    <definedName name="当前明细帐" localSheetId="14">#REF!</definedName>
    <definedName name="当前明细帐">#REF!</definedName>
    <definedName name="当前明细账" localSheetId="18">#REF!</definedName>
    <definedName name="当前明细账" localSheetId="15">#REF!</definedName>
    <definedName name="当前明细账" localSheetId="16">#REF!</definedName>
    <definedName name="当前明细账" localSheetId="14">#REF!</definedName>
    <definedName name="当前明细账">#REF!</definedName>
    <definedName name="低耗品" localSheetId="18">#REF!</definedName>
    <definedName name="低耗品" localSheetId="15">#REF!</definedName>
    <definedName name="低耗品" localSheetId="16">#REF!</definedName>
    <definedName name="低耗品" localSheetId="14">#REF!</definedName>
    <definedName name="低耗品">#REF!</definedName>
    <definedName name="地价">#REF!</definedName>
    <definedName name="地面砖" localSheetId="18">#REF!</definedName>
    <definedName name="地面砖" localSheetId="15">#REF!</definedName>
    <definedName name="地面砖" localSheetId="16">#REF!</definedName>
    <definedName name="地面砖" localSheetId="14">#REF!</definedName>
    <definedName name="地面砖">#REF!</definedName>
    <definedName name="地区1" localSheetId="18">#REF!</definedName>
    <definedName name="地区1" localSheetId="15">#REF!</definedName>
    <definedName name="地区1" localSheetId="16">#REF!</definedName>
    <definedName name="地区1" localSheetId="14">#REF!</definedName>
    <definedName name="地区1">#REF!</definedName>
    <definedName name="点">#REF!</definedName>
    <definedName name="电厂" localSheetId="18">#REF!</definedName>
    <definedName name="电厂" localSheetId="15">#REF!</definedName>
    <definedName name="电厂" localSheetId="16">#REF!</definedName>
    <definedName name="电厂" localSheetId="14">#REF!</definedName>
    <definedName name="电厂">#REF!</definedName>
    <definedName name="电焊条" localSheetId="13">#REF!</definedName>
    <definedName name="电焊条">#REF!</definedName>
    <definedName name="东北区应收帐款.dbf" localSheetId="18">#REF!</definedName>
    <definedName name="东北区应收帐款.dbf" localSheetId="15">#REF!</definedName>
    <definedName name="东北区应收帐款.dbf" localSheetId="16">#REF!</definedName>
    <definedName name="东北区应收帐款.dbf" localSheetId="14">#REF!</definedName>
    <definedName name="东北区应收帐款.dbf">#REF!</definedName>
    <definedName name="短期借款" localSheetId="18">#REF!</definedName>
    <definedName name="短期借款" localSheetId="15">#REF!</definedName>
    <definedName name="短期借款" localSheetId="16">#REF!</definedName>
    <definedName name="短期借款" localSheetId="14">#REF!</definedName>
    <definedName name="短期借款">#REF!</definedName>
    <definedName name="短期借款.dbf" localSheetId="18">#REF!</definedName>
    <definedName name="短期借款.dbf" localSheetId="15">#REF!</definedName>
    <definedName name="短期借款.dbf" localSheetId="16">#REF!</definedName>
    <definedName name="短期借款.dbf" localSheetId="14">#REF!</definedName>
    <definedName name="短期借款.dbf">#REF!</definedName>
    <definedName name="短期投资_债券_明细表" localSheetId="18">#REF!</definedName>
    <definedName name="短期投资_债券_明细表" localSheetId="15">#REF!</definedName>
    <definedName name="短期投资_债券_明细表" localSheetId="16">#REF!</definedName>
    <definedName name="短期投资_债券_明细表" localSheetId="14">#REF!</definedName>
    <definedName name="短期投资_债券_明细表">#REF!</definedName>
    <definedName name="对对对">#REF!</definedName>
    <definedName name="二号砼" localSheetId="18">#REF!</definedName>
    <definedName name="二号砼" localSheetId="15">#REF!</definedName>
    <definedName name="二号砼" localSheetId="16">#REF!</definedName>
    <definedName name="二号砼" localSheetId="14">#REF!</definedName>
    <definedName name="二号砼">#REF!</definedName>
    <definedName name="发出商品" localSheetId="18">#REF!</definedName>
    <definedName name="发出商品" localSheetId="15">#REF!</definedName>
    <definedName name="发出商品" localSheetId="16">#REF!</definedName>
    <definedName name="发出商品" localSheetId="14">#REF!</definedName>
    <definedName name="发出商品">#REF!</definedName>
    <definedName name="发生额及余额表" localSheetId="18">#REF!</definedName>
    <definedName name="发生额及余额表" localSheetId="15">#REF!</definedName>
    <definedName name="发生额及余额表" localSheetId="16">#REF!</definedName>
    <definedName name="发生额及余额表" localSheetId="14">#REF!</definedName>
    <definedName name="发生额及余额表">#REF!</definedName>
    <definedName name="法规和地方" localSheetId="18">#REF!</definedName>
    <definedName name="法规和地方" localSheetId="15">#REF!</definedName>
    <definedName name="法规和地方" localSheetId="16">#REF!</definedName>
    <definedName name="法规和地方" localSheetId="14">#REF!</definedName>
    <definedName name="法规和地方">#REF!</definedName>
    <definedName name="方法">#REF!</definedName>
    <definedName name="枋板材" localSheetId="13">#REF!</definedName>
    <definedName name="枋板材">#REF!</definedName>
    <definedName name="费率" localSheetId="18">#REF!</definedName>
    <definedName name="费率" localSheetId="15">#REF!</definedName>
    <definedName name="费率" localSheetId="16">#REF!</definedName>
    <definedName name="费率" localSheetId="14">#REF!</definedName>
    <definedName name="费率">#REF!</definedName>
    <definedName name="风格还是" localSheetId="18">#REF!</definedName>
    <definedName name="风格还是" localSheetId="15">#REF!</definedName>
    <definedName name="风格还是" localSheetId="16">#REF!</definedName>
    <definedName name="风格还是" localSheetId="14">#REF!</definedName>
    <definedName name="风格还是">#REF!</definedName>
    <definedName name="附注" localSheetId="18">#REF!</definedName>
    <definedName name="附注" localSheetId="15">#REF!</definedName>
    <definedName name="附注" localSheetId="16">#REF!</definedName>
    <definedName name="附注" localSheetId="14">#REF!</definedName>
    <definedName name="附注">#REF!</definedName>
    <definedName name="个人各" hidden="1">#REF!</definedName>
    <definedName name="工" localSheetId="18">#REF!</definedName>
    <definedName name="工" localSheetId="15">#REF!</definedName>
    <definedName name="工" localSheetId="16">#REF!</definedName>
    <definedName name="工" localSheetId="14">#REF!</definedName>
    <definedName name="工">#REF!</definedName>
    <definedName name="工程类型">#REF!</definedName>
    <definedName name="股份感谢惠顾" localSheetId="18">#REF!</definedName>
    <definedName name="股份感谢惠顾" localSheetId="15">#REF!</definedName>
    <definedName name="股份感谢惠顾" localSheetId="16">#REF!</definedName>
    <definedName name="股份感谢惠顾" localSheetId="14">#REF!</definedName>
    <definedName name="股份感谢惠顾">#REF!</definedName>
    <definedName name="固定区">#REF!,#REF!,#REF!,#REF!,#REF!</definedName>
    <definedName name="固定资产" localSheetId="18">#REF!,#REF!,#REF!,#REF!,#REF!,#REF!,#REF!,#REF!</definedName>
    <definedName name="固定资产" localSheetId="15">#REF!,#REF!,#REF!,#REF!,#REF!,#REF!,#REF!,#REF!</definedName>
    <definedName name="固定资产" localSheetId="16">#REF!,#REF!,#REF!,#REF!,#REF!,#REF!,#REF!,#REF!</definedName>
    <definedName name="固定资产" localSheetId="14">#REF!,#REF!,#REF!,#REF!,#REF!,#REF!,#REF!,#REF!</definedName>
    <definedName name="固定资产">#REF!,#REF!,#REF!,#REF!,#REF!,#REF!,#REF!,#REF!</definedName>
    <definedName name="固定资产.dbf" localSheetId="18">#REF!</definedName>
    <definedName name="固定资产.dbf" localSheetId="15">#REF!</definedName>
    <definedName name="固定资产.dbf" localSheetId="16">#REF!</definedName>
    <definedName name="固定资产.dbf" localSheetId="14">#REF!</definedName>
    <definedName name="固定资产.dbf">#REF!</definedName>
    <definedName name="固定资产变动资料" localSheetId="18">#REF!</definedName>
    <definedName name="固定资产变动资料" localSheetId="15">#REF!</definedName>
    <definedName name="固定资产变动资料" localSheetId="16">#REF!</definedName>
    <definedName name="固定资产变动资料" localSheetId="14">#REF!</definedName>
    <definedName name="固定资产变动资料">#REF!</definedName>
    <definedName name="固定资产及累计折旧明细帐" localSheetId="18">#REF!</definedName>
    <definedName name="固定资产及累计折旧明细帐" localSheetId="15">#REF!</definedName>
    <definedName name="固定资产及累计折旧明细帐" localSheetId="16">#REF!</definedName>
    <definedName name="固定资产及累计折旧明细帐" localSheetId="14">#REF!</definedName>
    <definedName name="固定资产及累计折旧明细帐">#REF!</definedName>
    <definedName name="固定资产价值结构分析表" localSheetId="18">#REF!</definedName>
    <definedName name="固定资产价值结构分析表" localSheetId="15">#REF!</definedName>
    <definedName name="固定资产价值结构分析表" localSheetId="16">#REF!</definedName>
    <definedName name="固定资产价值结构分析表" localSheetId="14">#REF!</definedName>
    <definedName name="固定资产价值结构分析表">#REF!</definedName>
    <definedName name="固定资产卡片" localSheetId="18">#REF!</definedName>
    <definedName name="固定资产卡片" localSheetId="15">#REF!</definedName>
    <definedName name="固定资产卡片" localSheetId="16">#REF!</definedName>
    <definedName name="固定资产卡片" localSheetId="14">#REF!</definedName>
    <definedName name="固定资产卡片">#REF!</definedName>
    <definedName name="固定资产明细" localSheetId="18">#REF!</definedName>
    <definedName name="固定资产明细" localSheetId="15">#REF!</definedName>
    <definedName name="固定资产明细" localSheetId="16">#REF!</definedName>
    <definedName name="固定资产明细" localSheetId="14">#REF!</definedName>
    <definedName name="固定资产明细">#REF!</definedName>
    <definedName name="固定资产原值表" localSheetId="18">#REF!</definedName>
    <definedName name="固定资产原值表" localSheetId="15">#REF!</definedName>
    <definedName name="固定资产原值表" localSheetId="16">#REF!</definedName>
    <definedName name="固定资产原值表" localSheetId="14">#REF!</definedName>
    <definedName name="固定资产原值表">#REF!</definedName>
    <definedName name="固定资产折旧表" localSheetId="18">#REF!</definedName>
    <definedName name="固定资产折旧表" localSheetId="15">#REF!</definedName>
    <definedName name="固定资产折旧表" localSheetId="16">#REF!</definedName>
    <definedName name="固定资产折旧表" localSheetId="14">#REF!</definedName>
    <definedName name="固定资产折旧表">#REF!</definedName>
    <definedName name="关联类型">#REF!</definedName>
    <definedName name="管理费用明细表" localSheetId="18">#REF!</definedName>
    <definedName name="管理费用明细表" localSheetId="15">#REF!</definedName>
    <definedName name="管理费用明细表" localSheetId="16">#REF!</definedName>
    <definedName name="管理费用明细表" localSheetId="14">#REF!</definedName>
    <definedName name="管理费用明细表">#REF!</definedName>
    <definedName name="管理费用明细帐" localSheetId="18">#REF!</definedName>
    <definedName name="管理费用明细帐" localSheetId="15">#REF!</definedName>
    <definedName name="管理费用明细帐" localSheetId="16">#REF!</definedName>
    <definedName name="管理费用明细帐" localSheetId="14">#REF!</definedName>
    <definedName name="管理费用明细帐">#REF!</definedName>
    <definedName name="规格" localSheetId="18">#REF!</definedName>
    <definedName name="规格" localSheetId="15">#REF!</definedName>
    <definedName name="规格" localSheetId="16">#REF!</definedName>
    <definedName name="规格" localSheetId="14">#REF!</definedName>
    <definedName name="规格">#REF!</definedName>
    <definedName name="国华电力" localSheetId="18">#REF!</definedName>
    <definedName name="国华电力" localSheetId="15">#REF!</definedName>
    <definedName name="国华电力" localSheetId="16">#REF!</definedName>
    <definedName name="国华电力" localSheetId="14">#REF!</definedName>
    <definedName name="国华电力">#REF!</definedName>
    <definedName name="好" localSheetId="18">#REF!</definedName>
    <definedName name="好" localSheetId="15">#REF!</definedName>
    <definedName name="好" localSheetId="16">#REF!</definedName>
    <definedName name="好" localSheetId="14">#REF!</definedName>
    <definedName name="好">#REF!</definedName>
    <definedName name="合并价差明细表" localSheetId="18">#REF!</definedName>
    <definedName name="合并价差明细表" localSheetId="15">#REF!</definedName>
    <definedName name="合并价差明细表" localSheetId="16">#REF!</definedName>
    <definedName name="合并价差明细表" localSheetId="14">#REF!</definedName>
    <definedName name="合并价差明细表">#REF!</definedName>
    <definedName name="和" localSheetId="18">#REF!</definedName>
    <definedName name="和" localSheetId="15">#REF!</definedName>
    <definedName name="和" localSheetId="16">#REF!</definedName>
    <definedName name="和" localSheetId="14">#REF!</definedName>
    <definedName name="和">#REF!</definedName>
    <definedName name="和你" localSheetId="18">#REF!</definedName>
    <definedName name="和你" localSheetId="15">#REF!</definedName>
    <definedName name="和你" localSheetId="16">#REF!</definedName>
    <definedName name="和你" localSheetId="14">#REF!</definedName>
    <definedName name="和你">#REF!</definedName>
    <definedName name="核算项目明细账_1133" localSheetId="18">#REF!</definedName>
    <definedName name="核算项目明细账_1133" localSheetId="15">#REF!</definedName>
    <definedName name="核算项目明细账_1133" localSheetId="16">#REF!</definedName>
    <definedName name="核算项目明细账_1133" localSheetId="14">#REF!</definedName>
    <definedName name="核算项目明细账_1133">#REF!</definedName>
    <definedName name="核算项目明细账_122" localSheetId="18">#REF!</definedName>
    <definedName name="核算项目明细账_122" localSheetId="15">#REF!</definedName>
    <definedName name="核算项目明细账_122" localSheetId="16">#REF!</definedName>
    <definedName name="核算项目明细账_122" localSheetId="14">#REF!</definedName>
    <definedName name="核算项目明细账_122">#REF!</definedName>
    <definedName name="核算项目明细账_1603" localSheetId="18">#REF!</definedName>
    <definedName name="核算项目明细账_1603" localSheetId="15">#REF!</definedName>
    <definedName name="核算项目明细账_1603" localSheetId="16">#REF!</definedName>
    <definedName name="核算项目明细账_1603" localSheetId="14">#REF!</definedName>
    <definedName name="核算项目明细账_1603">#REF!</definedName>
    <definedName name="汇率" localSheetId="18">#REF!</definedName>
    <definedName name="汇率" localSheetId="15">#REF!</definedName>
    <definedName name="汇率" localSheetId="16">#REF!</definedName>
    <definedName name="汇率" localSheetId="14">#REF!</definedName>
    <definedName name="汇率">#REF!</definedName>
    <definedName name="会计科目" localSheetId="13">#REF!</definedName>
    <definedName name="会计科目">#REF!</definedName>
    <definedName name="蕙" localSheetId="13">#REF!</definedName>
    <definedName name="蕙">#REF!</definedName>
    <definedName name="计划" localSheetId="18">#REF!</definedName>
    <definedName name="计划" localSheetId="15">#REF!</definedName>
    <definedName name="计划" localSheetId="16">#REF!</definedName>
    <definedName name="计划" localSheetId="14">#REF!</definedName>
    <definedName name="计划">#REF!</definedName>
    <definedName name="加P6P8" localSheetId="18">#REF!</definedName>
    <definedName name="加P6P8" localSheetId="15">#REF!</definedName>
    <definedName name="加P6P8" localSheetId="16">#REF!</definedName>
    <definedName name="加P6P8" localSheetId="14">#REF!</definedName>
    <definedName name="加P6P8">#REF!</definedName>
    <definedName name="加泡沫" localSheetId="18">#REF!</definedName>
    <definedName name="加泡沫" localSheetId="15">#REF!</definedName>
    <definedName name="加泡沫" localSheetId="16">#REF!</definedName>
    <definedName name="加泡沫" localSheetId="14">#REF!</definedName>
    <definedName name="加泡沫">#REF!</definedName>
    <definedName name="加砌块" localSheetId="18">#REF!</definedName>
    <definedName name="加砌块" localSheetId="15">#REF!</definedName>
    <definedName name="加砌块" localSheetId="16">#REF!</definedName>
    <definedName name="加砌块" localSheetId="14">#REF!</definedName>
    <definedName name="加砌块">#REF!</definedName>
    <definedName name="加微膨胀" localSheetId="18">#REF!</definedName>
    <definedName name="加微膨胀" localSheetId="15">#REF!</definedName>
    <definedName name="加微膨胀" localSheetId="16">#REF!</definedName>
    <definedName name="加微膨胀" localSheetId="14">#REF!</definedName>
    <definedName name="加微膨胀">#REF!</definedName>
    <definedName name="加细石" localSheetId="18">#REF!</definedName>
    <definedName name="加细石" localSheetId="15">#REF!</definedName>
    <definedName name="加细石" localSheetId="16">#REF!</definedName>
    <definedName name="加细石" localSheetId="14">#REF!</definedName>
    <definedName name="加细石">#REF!</definedName>
    <definedName name="建筑">#REF!</definedName>
    <definedName name="姐姐啊就光棍节" localSheetId="18">#REF!</definedName>
    <definedName name="姐姐啊就光棍节" localSheetId="15">#REF!</definedName>
    <definedName name="姐姐啊就光棍节" localSheetId="16">#REF!</definedName>
    <definedName name="姐姐啊就光棍节" localSheetId="14">#REF!</definedName>
    <definedName name="姐姐啊就光棍节">#REF!</definedName>
    <definedName name="借款" localSheetId="11" hidden="1">{#N/A,#N/A,FALSE,"970301";#N/A,#N/A,FALSE,"970302";#N/A,#N/A,FALSE,"970303";#N/A,#N/A,FALSE,"970304";#N/A,#N/A,FALSE,"COM1";#N/A,#N/A,FALSE,"COM2"}</definedName>
    <definedName name="借款" localSheetId="17" hidden="1">{#N/A,#N/A,FALSE,"970301";#N/A,#N/A,FALSE,"970302";#N/A,#N/A,FALSE,"970303";#N/A,#N/A,FALSE,"970304";#N/A,#N/A,FALSE,"COM1";#N/A,#N/A,FALSE,"COM2"}</definedName>
    <definedName name="借款" localSheetId="10" hidden="1">{#N/A,#N/A,FALSE,"970301";#N/A,#N/A,FALSE,"970302";#N/A,#N/A,FALSE,"970303";#N/A,#N/A,FALSE,"970304";#N/A,#N/A,FALSE,"COM1";#N/A,#N/A,FALSE,"COM2"}</definedName>
    <definedName name="借款" localSheetId="20" hidden="1">{#N/A,#N/A,FALSE,"970301";#N/A,#N/A,FALSE,"970302";#N/A,#N/A,FALSE,"970303";#N/A,#N/A,FALSE,"970304";#N/A,#N/A,FALSE,"COM1";#N/A,#N/A,FALSE,"COM2"}</definedName>
    <definedName name="借款" localSheetId="18" hidden="1">{#N/A,#N/A,FALSE,"970301";#N/A,#N/A,FALSE,"970302";#N/A,#N/A,FALSE,"970303";#N/A,#N/A,FALSE,"970304";#N/A,#N/A,FALSE,"COM1";#N/A,#N/A,FALSE,"COM2"}</definedName>
    <definedName name="借款" localSheetId="19" hidden="1">{#N/A,#N/A,FALSE,"970301";#N/A,#N/A,FALSE,"970302";#N/A,#N/A,FALSE,"970303";#N/A,#N/A,FALSE,"970304";#N/A,#N/A,FALSE,"COM1";#N/A,#N/A,FALSE,"COM2"}</definedName>
    <definedName name="借款" localSheetId="13" hidden="1">{#N/A,#N/A,FALSE,"970301";#N/A,#N/A,FALSE,"970302";#N/A,#N/A,FALSE,"970303";#N/A,#N/A,FALSE,"970304";#N/A,#N/A,FALSE,"COM1";#N/A,#N/A,FALSE,"COM2"}</definedName>
    <definedName name="借款" hidden="1">{#N/A,#N/A,FALSE,"970301";#N/A,#N/A,FALSE,"970302";#N/A,#N/A,FALSE,"970303";#N/A,#N/A,FALSE,"970304";#N/A,#N/A,FALSE,"COM1";#N/A,#N/A,FALSE,"COM2"}</definedName>
    <definedName name="经营承包" localSheetId="18">#REF!</definedName>
    <definedName name="经营承包" localSheetId="15">#REF!</definedName>
    <definedName name="经营承包" localSheetId="16">#REF!</definedName>
    <definedName name="经营承包" localSheetId="14">#REF!</definedName>
    <definedName name="经营承包">#REF!</definedName>
    <definedName name="就" localSheetId="18">#REF!</definedName>
    <definedName name="就" localSheetId="15">#REF!</definedName>
    <definedName name="就" localSheetId="16">#REF!</definedName>
    <definedName name="就" localSheetId="14">#REF!</definedName>
    <definedName name="就">#REF!</definedName>
    <definedName name="科目余额表" localSheetId="18">#REF!</definedName>
    <definedName name="科目余额表" localSheetId="15">#REF!</definedName>
    <definedName name="科目余额表" localSheetId="16">#REF!</definedName>
    <definedName name="科目余额表" localSheetId="14">#REF!</definedName>
    <definedName name="科目余额表">#REF!</definedName>
    <definedName name="科研">#REF!</definedName>
    <definedName name="劳务工资" localSheetId="18">#REF!</definedName>
    <definedName name="劳务工资" localSheetId="15">#REF!</definedName>
    <definedName name="劳务工资" localSheetId="16">#REF!</definedName>
    <definedName name="劳务工资" localSheetId="14">#REF!</definedName>
    <definedName name="劳务工资">#REF!</definedName>
    <definedName name="累计折旧明细表" localSheetId="18">#REF!</definedName>
    <definedName name="累计折旧明细表" localSheetId="15">#REF!</definedName>
    <definedName name="累计折旧明细表" localSheetId="16">#REF!</definedName>
    <definedName name="累计折旧明细表" localSheetId="14">#REF!</definedName>
    <definedName name="累计折旧明细表">#REF!</definedName>
    <definedName name="累计折旧余额表.dbf" localSheetId="18">#REF!</definedName>
    <definedName name="累计折旧余额表.dbf" localSheetId="15">#REF!</definedName>
    <definedName name="累计折旧余额表.dbf" localSheetId="16">#REF!</definedName>
    <definedName name="累计折旧余额表.dbf" localSheetId="14">#REF!</definedName>
    <definedName name="累计折旧余额表.dbf">#REF!</definedName>
    <definedName name="利润1">#REF!</definedName>
    <definedName name="利润2">#REF!</definedName>
    <definedName name="利润3">#REF!</definedName>
    <definedName name="利润率1">#REF!</definedName>
    <definedName name="利润率2">#REF!</definedName>
    <definedName name="利润率3">#REF!</definedName>
    <definedName name="梁板" localSheetId="18">#REF!</definedName>
    <definedName name="梁板" localSheetId="15">#REF!</definedName>
    <definedName name="梁板" localSheetId="16">#REF!</definedName>
    <definedName name="梁板" localSheetId="14">#REF!</definedName>
    <definedName name="梁板">#REF!</definedName>
    <definedName name="六号砼" localSheetId="18">#REF!</definedName>
    <definedName name="六号砼" localSheetId="15">#REF!</definedName>
    <definedName name="六号砼" localSheetId="16">#REF!</definedName>
    <definedName name="六号砼" localSheetId="14">#REF!</definedName>
    <definedName name="六号砼">#REF!</definedName>
    <definedName name="楼面地价">#REF!</definedName>
    <definedName name="楼面地价a">#REF!</definedName>
    <definedName name="楼盘">#REF!</definedName>
    <definedName name="楼梯级咀砖" localSheetId="18">#REF!</definedName>
    <definedName name="楼梯级咀砖" localSheetId="15">#REF!</definedName>
    <definedName name="楼梯级咀砖" localSheetId="16">#REF!</definedName>
    <definedName name="楼梯级咀砖" localSheetId="14">#REF!</definedName>
    <definedName name="楼梯级咀砖">#REF!</definedName>
    <definedName name="露盘">#REF!</definedName>
    <definedName name="螺纹钢筋" localSheetId="13">#REF!</definedName>
    <definedName name="螺纹钢筋">#REF!</definedName>
    <definedName name="吗" localSheetId="18">#REF!</definedName>
    <definedName name="吗" localSheetId="15">#REF!</definedName>
    <definedName name="吗" localSheetId="16">#REF!</definedName>
    <definedName name="吗" localSheetId="14">#REF!</definedName>
    <definedName name="吗">#REF!</definedName>
    <definedName name="孟傻" localSheetId="18">#REF!</definedName>
    <definedName name="孟傻" localSheetId="15">#REF!</definedName>
    <definedName name="孟傻" localSheetId="16">#REF!</definedName>
    <definedName name="孟傻" localSheetId="14">#REF!</definedName>
    <definedName name="孟傻">#REF!</definedName>
    <definedName name="密度方案">#REF!</definedName>
    <definedName name="密度方案1">#REF!</definedName>
    <definedName name="敏感性">#REF!</definedName>
    <definedName name="明细表" localSheetId="18">#REF!</definedName>
    <definedName name="明细表" localSheetId="15">#REF!</definedName>
    <definedName name="明细表" localSheetId="16">#REF!</definedName>
    <definedName name="明细表" localSheetId="14">#REF!</definedName>
    <definedName name="明细表">#REF!</definedName>
    <definedName name="明细分类账" localSheetId="18">#REF!</definedName>
    <definedName name="明细分类账" localSheetId="15">#REF!</definedName>
    <definedName name="明细分类账" localSheetId="16">#REF!</definedName>
    <definedName name="明细分类账" localSheetId="14">#REF!</definedName>
    <definedName name="明细分类账">#REF!</definedName>
    <definedName name="明细账" localSheetId="18">#REF!</definedName>
    <definedName name="明细账" localSheetId="15">#REF!</definedName>
    <definedName name="明细账" localSheetId="16">#REF!</definedName>
    <definedName name="明细账" localSheetId="14">#REF!</definedName>
    <definedName name="明细账">#REF!</definedName>
    <definedName name="幕墙上悬窗增加费" localSheetId="13">#REF!</definedName>
    <definedName name="幕墙上悬窗增加费">#REF!</definedName>
    <definedName name="年初短期投资" localSheetId="18">#REF!</definedName>
    <definedName name="年初短期投资" localSheetId="15">#REF!</definedName>
    <definedName name="年初短期投资" localSheetId="16">#REF!</definedName>
    <definedName name="年初短期投资" localSheetId="14">#REF!</definedName>
    <definedName name="年初短期投资">#REF!</definedName>
    <definedName name="年初合计" localSheetId="18">#REF!</definedName>
    <definedName name="年初合计" localSheetId="15">#REF!</definedName>
    <definedName name="年初合计" localSheetId="16">#REF!</definedName>
    <definedName name="年初合计" localSheetId="14">#REF!</definedName>
    <definedName name="年初合计">#REF!</definedName>
    <definedName name="年初货币资金" localSheetId="18">#REF!</definedName>
    <definedName name="年初货币资金" localSheetId="15">#REF!</definedName>
    <definedName name="年初货币资金" localSheetId="16">#REF!</definedName>
    <definedName name="年初货币资金" localSheetId="14">#REF!</definedName>
    <definedName name="年初货币资金">#REF!</definedName>
    <definedName name="年初应收票据" localSheetId="18">#REF!</definedName>
    <definedName name="年初应收票据" localSheetId="15">#REF!</definedName>
    <definedName name="年初应收票据" localSheetId="16">#REF!</definedName>
    <definedName name="年初应收票据" localSheetId="14">#REF!</definedName>
    <definedName name="年初应收票据">#REF!</definedName>
    <definedName name="年末合计" localSheetId="18">#REF!</definedName>
    <definedName name="年末合计" localSheetId="15">#REF!</definedName>
    <definedName name="年末合计" localSheetId="16">#REF!</definedName>
    <definedName name="年末合计" localSheetId="14">#REF!</definedName>
    <definedName name="年末合计">#REF!</definedName>
    <definedName name="年末合计1" localSheetId="18">#REF!</definedName>
    <definedName name="年末合计1" localSheetId="15">#REF!</definedName>
    <definedName name="年末合计1" localSheetId="16">#REF!</definedName>
    <definedName name="年末合计1" localSheetId="14">#REF!</definedName>
    <definedName name="年末合计1">#REF!</definedName>
    <definedName name="年末合计3" localSheetId="18">#REF!</definedName>
    <definedName name="年末合计3" localSheetId="15">#REF!</definedName>
    <definedName name="年末合计3" localSheetId="16">#REF!</definedName>
    <definedName name="年末合计3" localSheetId="14">#REF!</definedName>
    <definedName name="年末合计3">#REF!</definedName>
    <definedName name="年末余额4" localSheetId="18">#REF!</definedName>
    <definedName name="年末余额4" localSheetId="15">#REF!</definedName>
    <definedName name="年末余额4" localSheetId="16">#REF!</definedName>
    <definedName name="年末余额4" localSheetId="14">#REF!</definedName>
    <definedName name="年末余额4">#REF!</definedName>
    <definedName name="年末余额5" localSheetId="18">#REF!</definedName>
    <definedName name="年末余额5" localSheetId="15">#REF!</definedName>
    <definedName name="年末余额5" localSheetId="16">#REF!</definedName>
    <definedName name="年末余额5" localSheetId="14">#REF!</definedName>
    <definedName name="年末余额5">#REF!</definedName>
    <definedName name="哦派">#REF!</definedName>
    <definedName name="盘点" localSheetId="18">#REF!</definedName>
    <definedName name="盘点" localSheetId="15">#REF!</definedName>
    <definedName name="盘点" localSheetId="16">#REF!</definedName>
    <definedName name="盘点" localSheetId="14">#REF!</definedName>
    <definedName name="盘点">#REF!</definedName>
    <definedName name="泡沫砼" localSheetId="18">#REF!</definedName>
    <definedName name="泡沫砼" localSheetId="15">#REF!</definedName>
    <definedName name="泡沫砼" localSheetId="16">#REF!</definedName>
    <definedName name="泡沫砼" localSheetId="14">#REF!</definedName>
    <definedName name="泡沫砼">#REF!</definedName>
    <definedName name="凭证汇总表" localSheetId="18">#REF!</definedName>
    <definedName name="凭证汇总表" localSheetId="15">#REF!</definedName>
    <definedName name="凭证汇总表" localSheetId="16">#REF!</definedName>
    <definedName name="凭证汇总表" localSheetId="14">#REF!</definedName>
    <definedName name="凭证汇总表">#REF!</definedName>
    <definedName name="七号砼" localSheetId="18">#REF!</definedName>
    <definedName name="七号砼" localSheetId="15">#REF!</definedName>
    <definedName name="七号砼" localSheetId="16">#REF!</definedName>
    <definedName name="七号砼" localSheetId="14">#REF!</definedName>
    <definedName name="七号砼">#REF!</definedName>
    <definedName name="七五五五五" localSheetId="18">#REF!</definedName>
    <definedName name="七五五五五" localSheetId="15">#REF!</definedName>
    <definedName name="七五五五五" localSheetId="16">#REF!</definedName>
    <definedName name="七五五五五" localSheetId="14">#REF!</definedName>
    <definedName name="七五五五五">#REF!</definedName>
    <definedName name="期" localSheetId="18">#REF!</definedName>
    <definedName name="期" localSheetId="15">#REF!</definedName>
    <definedName name="期" localSheetId="16">#REF!</definedName>
    <definedName name="期" localSheetId="14">#REF!</definedName>
    <definedName name="期">#REF!</definedName>
    <definedName name="期间" localSheetId="13">#REF!</definedName>
    <definedName name="期间">#REF!</definedName>
    <definedName name="其他货币资金明细表" localSheetId="18">#REF!</definedName>
    <definedName name="其他货币资金明细表" localSheetId="15">#REF!</definedName>
    <definedName name="其他货币资金明细表" localSheetId="16">#REF!</definedName>
    <definedName name="其他货币资金明细表" localSheetId="14">#REF!</definedName>
    <definedName name="其他货币资金明细表">#REF!</definedName>
    <definedName name="其他未交款明细表" localSheetId="18">#REF!</definedName>
    <definedName name="其他未交款明细表" localSheetId="15">#REF!</definedName>
    <definedName name="其他未交款明细表" localSheetId="16">#REF!</definedName>
    <definedName name="其他未交款明细表" localSheetId="14">#REF!</definedName>
    <definedName name="其他未交款明细表">#REF!</definedName>
    <definedName name="其他业务收入.dbf" localSheetId="18">#REF!</definedName>
    <definedName name="其他业务收入.dbf" localSheetId="15">#REF!</definedName>
    <definedName name="其他业务收入.dbf" localSheetId="16">#REF!</definedName>
    <definedName name="其他业务收入.dbf" localSheetId="14">#REF!</definedName>
    <definedName name="其他业务收入.dbf">#REF!</definedName>
    <definedName name="其他业务支出.dbf" localSheetId="18">#REF!</definedName>
    <definedName name="其他业务支出.dbf" localSheetId="15">#REF!</definedName>
    <definedName name="其他业务支出.dbf" localSheetId="16">#REF!</definedName>
    <definedName name="其他业务支出.dbf" localSheetId="14">#REF!</definedName>
    <definedName name="其他业务支出.dbf">#REF!</definedName>
    <definedName name="其他应付款明细表" localSheetId="18">#REF!</definedName>
    <definedName name="其他应付款明细表" localSheetId="15">#REF!</definedName>
    <definedName name="其他应付款明细表" localSheetId="16">#REF!</definedName>
    <definedName name="其他应付款明细表" localSheetId="14">#REF!</definedName>
    <definedName name="其他应付款明细表">#REF!</definedName>
    <definedName name="其他应付款明细帐" localSheetId="18">#REF!</definedName>
    <definedName name="其他应付款明细帐" localSheetId="15">#REF!</definedName>
    <definedName name="其他应付款明细帐" localSheetId="16">#REF!</definedName>
    <definedName name="其他应付款明细帐" localSheetId="14">#REF!</definedName>
    <definedName name="其他应付款明细帐">#REF!</definedName>
    <definedName name="其他应收款—单位.dbf" localSheetId="18">#REF!</definedName>
    <definedName name="其他应收款—单位.dbf" localSheetId="15">#REF!</definedName>
    <definedName name="其他应收款—单位.dbf" localSheetId="16">#REF!</definedName>
    <definedName name="其他应收款—单位.dbf" localSheetId="14">#REF!</definedName>
    <definedName name="其他应收款—单位.dbf">#REF!</definedName>
    <definedName name="其他应收款明细表" localSheetId="18">#REF!</definedName>
    <definedName name="其他应收款明细表" localSheetId="15">#REF!</definedName>
    <definedName name="其他应收款明细表" localSheetId="16">#REF!</definedName>
    <definedName name="其他应收款明细表" localSheetId="14">#REF!</definedName>
    <definedName name="其他应收款明细表">#REF!</definedName>
    <definedName name="其他应收款明细帐" localSheetId="18">#REF!</definedName>
    <definedName name="其他应收款明细帐" localSheetId="15">#REF!</definedName>
    <definedName name="其他应收款明细帐" localSheetId="16">#REF!</definedName>
    <definedName name="其他应收款明细帐" localSheetId="14">#REF!</definedName>
    <definedName name="其他应收款明细帐">#REF!</definedName>
    <definedName name="其他应收款性质">#REF!</definedName>
    <definedName name="签证依据" localSheetId="18">#REF!</definedName>
    <definedName name="签证依据" localSheetId="15">#REF!</definedName>
    <definedName name="签证依据" localSheetId="16">#REF!</definedName>
    <definedName name="签证依据" localSheetId="14">#REF!</definedName>
    <definedName name="签证依据">#REF!</definedName>
    <definedName name="墙砖" localSheetId="18">#REF!</definedName>
    <definedName name="墙砖" localSheetId="15">#REF!</definedName>
    <definedName name="墙砖" localSheetId="16">#REF!</definedName>
    <definedName name="墙砖" localSheetId="14">#REF!</definedName>
    <definedName name="墙砖">#REF!</definedName>
    <definedName name="轻质砌块" localSheetId="13">#REF!</definedName>
    <definedName name="轻质砌块">#REF!</definedName>
    <definedName name="轻质砌块B" localSheetId="13">#REF!</definedName>
    <definedName name="轻质砌块B">#REF!</definedName>
    <definedName name="轻质砌块C" localSheetId="13">#REF!</definedName>
    <definedName name="轻质砌块C">#REF!</definedName>
    <definedName name="染" localSheetId="18">#REF!</definedName>
    <definedName name="染" localSheetId="15">#REF!</definedName>
    <definedName name="染" localSheetId="16">#REF!</definedName>
    <definedName name="染" localSheetId="14">#REF!</definedName>
    <definedName name="染">#REF!</definedName>
    <definedName name="人工" localSheetId="13">#REF!</definedName>
    <definedName name="人工">#REF!</definedName>
    <definedName name="三号砼" localSheetId="18">#REF!</definedName>
    <definedName name="三号砼" localSheetId="15">#REF!</definedName>
    <definedName name="三号砼" localSheetId="16">#REF!</definedName>
    <definedName name="三号砼" localSheetId="14">#REF!</definedName>
    <definedName name="三号砼">#REF!</definedName>
    <definedName name="三项费用表" localSheetId="18">#REF!</definedName>
    <definedName name="三项费用表" localSheetId="15">#REF!</definedName>
    <definedName name="三项费用表" localSheetId="16">#REF!</definedName>
    <definedName name="三项费用表" localSheetId="14">#REF!</definedName>
    <definedName name="三项费用表">#REF!</definedName>
    <definedName name="商标采购.dbf" localSheetId="18">#REF!</definedName>
    <definedName name="商标采购.dbf" localSheetId="15">#REF!</definedName>
    <definedName name="商标采购.dbf" localSheetId="16">#REF!</definedName>
    <definedName name="商标采购.dbf" localSheetId="14">#REF!</definedName>
    <definedName name="商标采购.dbf">#REF!</definedName>
    <definedName name="上" localSheetId="13">#REF!</definedName>
    <definedName name="上">#REF!</definedName>
    <definedName name="上盖模板" localSheetId="13">#REF!</definedName>
    <definedName name="上盖模板">#REF!</definedName>
    <definedName name="设备" localSheetId="18">#REF!</definedName>
    <definedName name="设备" localSheetId="15">#REF!</definedName>
    <definedName name="设备" localSheetId="16">#REF!</definedName>
    <definedName name="设备" localSheetId="14">#REF!</definedName>
    <definedName name="设备">#REF!</definedName>
    <definedName name="神东奔西跑" localSheetId="18">#REF!</definedName>
    <definedName name="神东奔西跑" localSheetId="15">#REF!</definedName>
    <definedName name="神东奔西跑" localSheetId="16">#REF!</definedName>
    <definedName name="神东奔西跑" localSheetId="14">#REF!</definedName>
    <definedName name="神东奔西跑">#REF!</definedName>
    <definedName name="升官进爵" localSheetId="18">#REF!</definedName>
    <definedName name="升官进爵" localSheetId="15">#REF!</definedName>
    <definedName name="升官进爵" localSheetId="16">#REF!</definedName>
    <definedName name="升官进爵" localSheetId="14">#REF!</definedName>
    <definedName name="升官进爵">#REF!</definedName>
    <definedName name="生产成本明细帐" localSheetId="18">#REF!</definedName>
    <definedName name="生产成本明细帐" localSheetId="15">#REF!</definedName>
    <definedName name="生产成本明细帐" localSheetId="16">#REF!</definedName>
    <definedName name="生产成本明细帐" localSheetId="14">#REF!</definedName>
    <definedName name="生产成本明细帐">#REF!</definedName>
    <definedName name="生产列1" localSheetId="18">#REF!</definedName>
    <definedName name="生产列1" localSheetId="15">#REF!</definedName>
    <definedName name="生产列1" localSheetId="16">#REF!</definedName>
    <definedName name="生产列1" localSheetId="14">#REF!</definedName>
    <definedName name="生产列1">#REF!</definedName>
    <definedName name="生产列11" localSheetId="18">#REF!</definedName>
    <definedName name="生产列11" localSheetId="15">#REF!</definedName>
    <definedName name="生产列11" localSheetId="16">#REF!</definedName>
    <definedName name="生产列11" localSheetId="14">#REF!</definedName>
    <definedName name="生产列11">#REF!</definedName>
    <definedName name="生产列15" localSheetId="18">#REF!</definedName>
    <definedName name="生产列15" localSheetId="15">#REF!</definedName>
    <definedName name="生产列15" localSheetId="16">#REF!</definedName>
    <definedName name="生产列15" localSheetId="14">#REF!</definedName>
    <definedName name="生产列15">#REF!</definedName>
    <definedName name="生产列16" localSheetId="18">#REF!</definedName>
    <definedName name="生产列16" localSheetId="15">#REF!</definedName>
    <definedName name="生产列16" localSheetId="16">#REF!</definedName>
    <definedName name="生产列16" localSheetId="14">#REF!</definedName>
    <definedName name="生产列16">#REF!</definedName>
    <definedName name="生产列17" localSheetId="18">#REF!</definedName>
    <definedName name="生产列17" localSheetId="15">#REF!</definedName>
    <definedName name="生产列17" localSheetId="16">#REF!</definedName>
    <definedName name="生产列17" localSheetId="14">#REF!</definedName>
    <definedName name="生产列17">#REF!</definedName>
    <definedName name="生产列19" localSheetId="18">#REF!</definedName>
    <definedName name="生产列19" localSheetId="15">#REF!</definedName>
    <definedName name="生产列19" localSheetId="16">#REF!</definedName>
    <definedName name="生产列19" localSheetId="14">#REF!</definedName>
    <definedName name="生产列19">#REF!</definedName>
    <definedName name="生产列2" localSheetId="18">#REF!</definedName>
    <definedName name="生产列2" localSheetId="15">#REF!</definedName>
    <definedName name="生产列2" localSheetId="16">#REF!</definedName>
    <definedName name="生产列2" localSheetId="14">#REF!</definedName>
    <definedName name="生产列2">#REF!</definedName>
    <definedName name="生产列20" localSheetId="18">#REF!</definedName>
    <definedName name="生产列20" localSheetId="15">#REF!</definedName>
    <definedName name="生产列20" localSheetId="16">#REF!</definedName>
    <definedName name="生产列20" localSheetId="14">#REF!</definedName>
    <definedName name="生产列20">#REF!</definedName>
    <definedName name="生产列3" localSheetId="18">#REF!</definedName>
    <definedName name="生产列3" localSheetId="15">#REF!</definedName>
    <definedName name="生产列3" localSheetId="16">#REF!</definedName>
    <definedName name="生产列3" localSheetId="14">#REF!</definedName>
    <definedName name="生产列3">#REF!</definedName>
    <definedName name="生产列4" localSheetId="18">#REF!</definedName>
    <definedName name="生产列4" localSheetId="15">#REF!</definedName>
    <definedName name="生产列4" localSheetId="16">#REF!</definedName>
    <definedName name="生产列4" localSheetId="14">#REF!</definedName>
    <definedName name="生产列4">#REF!</definedName>
    <definedName name="生产列5" localSheetId="18">#REF!</definedName>
    <definedName name="生产列5" localSheetId="15">#REF!</definedName>
    <definedName name="生产列5" localSheetId="16">#REF!</definedName>
    <definedName name="生产列5" localSheetId="14">#REF!</definedName>
    <definedName name="生产列5">#REF!</definedName>
    <definedName name="生产列6" localSheetId="18">#REF!</definedName>
    <definedName name="生产列6" localSheetId="15">#REF!</definedName>
    <definedName name="生产列6" localSheetId="16">#REF!</definedName>
    <definedName name="生产列6" localSheetId="14">#REF!</definedName>
    <definedName name="生产列6">#REF!</definedName>
    <definedName name="生产列7" localSheetId="18">#REF!</definedName>
    <definedName name="生产列7" localSheetId="15">#REF!</definedName>
    <definedName name="生产列7" localSheetId="16">#REF!</definedName>
    <definedName name="生产列7" localSheetId="14">#REF!</definedName>
    <definedName name="生产列7">#REF!</definedName>
    <definedName name="生产列8" localSheetId="18">#REF!</definedName>
    <definedName name="生产列8" localSheetId="15">#REF!</definedName>
    <definedName name="生产列8" localSheetId="16">#REF!</definedName>
    <definedName name="生产列8" localSheetId="14">#REF!</definedName>
    <definedName name="生产列8">#REF!</definedName>
    <definedName name="生产列9" localSheetId="18">#REF!</definedName>
    <definedName name="生产列9" localSheetId="15">#REF!</definedName>
    <definedName name="生产列9" localSheetId="16">#REF!</definedName>
    <definedName name="生产列9" localSheetId="14">#REF!</definedName>
    <definedName name="生产列9">#REF!</definedName>
    <definedName name="生产领料序时簿" localSheetId="18">#REF!</definedName>
    <definedName name="生产领料序时簿" localSheetId="15">#REF!</definedName>
    <definedName name="生产领料序时簿" localSheetId="16">#REF!</definedName>
    <definedName name="生产领料序时簿" localSheetId="14">#REF!</definedName>
    <definedName name="生产领料序时簿">#REF!</definedName>
    <definedName name="生产期" localSheetId="18">#REF!</definedName>
    <definedName name="生产期" localSheetId="15">#REF!</definedName>
    <definedName name="生产期" localSheetId="16">#REF!</definedName>
    <definedName name="生产期" localSheetId="14">#REF!</definedName>
    <definedName name="生产期">#REF!</definedName>
    <definedName name="生产期1" localSheetId="18">#REF!</definedName>
    <definedName name="生产期1" localSheetId="15">#REF!</definedName>
    <definedName name="生产期1" localSheetId="16">#REF!</definedName>
    <definedName name="生产期1" localSheetId="14">#REF!</definedName>
    <definedName name="生产期1">#REF!</definedName>
    <definedName name="生产期11" localSheetId="18">#REF!</definedName>
    <definedName name="生产期11" localSheetId="15">#REF!</definedName>
    <definedName name="生产期11" localSheetId="16">#REF!</definedName>
    <definedName name="生产期11" localSheetId="14">#REF!</definedName>
    <definedName name="生产期11">#REF!</definedName>
    <definedName name="生产期15" localSheetId="18">#REF!</definedName>
    <definedName name="生产期15" localSheetId="15">#REF!</definedName>
    <definedName name="生产期15" localSheetId="16">#REF!</definedName>
    <definedName name="生产期15" localSheetId="14">#REF!</definedName>
    <definedName name="生产期15">#REF!</definedName>
    <definedName name="生产期16" localSheetId="18">#REF!</definedName>
    <definedName name="生产期16" localSheetId="15">#REF!</definedName>
    <definedName name="生产期16" localSheetId="16">#REF!</definedName>
    <definedName name="生产期16" localSheetId="14">#REF!</definedName>
    <definedName name="生产期16">#REF!</definedName>
    <definedName name="生产期17" localSheetId="18">#REF!</definedName>
    <definedName name="生产期17" localSheetId="15">#REF!</definedName>
    <definedName name="生产期17" localSheetId="16">#REF!</definedName>
    <definedName name="生产期17" localSheetId="14">#REF!</definedName>
    <definedName name="生产期17">#REF!</definedName>
    <definedName name="生产期19" localSheetId="18">#REF!</definedName>
    <definedName name="生产期19" localSheetId="15">#REF!</definedName>
    <definedName name="生产期19" localSheetId="16">#REF!</definedName>
    <definedName name="生产期19" localSheetId="14">#REF!</definedName>
    <definedName name="生产期19">#REF!</definedName>
    <definedName name="生产期2" localSheetId="18">#REF!</definedName>
    <definedName name="生产期2" localSheetId="15">#REF!</definedName>
    <definedName name="生产期2" localSheetId="16">#REF!</definedName>
    <definedName name="生产期2" localSheetId="14">#REF!</definedName>
    <definedName name="生产期2">#REF!</definedName>
    <definedName name="生产期20" localSheetId="18">#REF!</definedName>
    <definedName name="生产期20" localSheetId="15">#REF!</definedName>
    <definedName name="生产期20" localSheetId="16">#REF!</definedName>
    <definedName name="生产期20" localSheetId="14">#REF!</definedName>
    <definedName name="生产期20">#REF!</definedName>
    <definedName name="生产期3" localSheetId="18">#REF!</definedName>
    <definedName name="生产期3" localSheetId="15">#REF!</definedName>
    <definedName name="生产期3" localSheetId="16">#REF!</definedName>
    <definedName name="生产期3" localSheetId="14">#REF!</definedName>
    <definedName name="生产期3">#REF!</definedName>
    <definedName name="生产期4" localSheetId="18">#REF!</definedName>
    <definedName name="生产期4" localSheetId="15">#REF!</definedName>
    <definedName name="生产期4" localSheetId="16">#REF!</definedName>
    <definedName name="生产期4" localSheetId="14">#REF!</definedName>
    <definedName name="生产期4">#REF!</definedName>
    <definedName name="生产期5" localSheetId="18">#REF!</definedName>
    <definedName name="生产期5" localSheetId="15">#REF!</definedName>
    <definedName name="生产期5" localSheetId="16">#REF!</definedName>
    <definedName name="生产期5" localSheetId="14">#REF!</definedName>
    <definedName name="生产期5">#REF!</definedName>
    <definedName name="生产期6" localSheetId="18">#REF!</definedName>
    <definedName name="生产期6" localSheetId="15">#REF!</definedName>
    <definedName name="生产期6" localSheetId="16">#REF!</definedName>
    <definedName name="生产期6" localSheetId="14">#REF!</definedName>
    <definedName name="生产期6">#REF!</definedName>
    <definedName name="生产期7" localSheetId="18">#REF!</definedName>
    <definedName name="生产期7" localSheetId="15">#REF!</definedName>
    <definedName name="生产期7" localSheetId="16">#REF!</definedName>
    <definedName name="生产期7" localSheetId="14">#REF!</definedName>
    <definedName name="生产期7">#REF!</definedName>
    <definedName name="生产期8" localSheetId="18">#REF!</definedName>
    <definedName name="生产期8" localSheetId="15">#REF!</definedName>
    <definedName name="生产期8" localSheetId="16">#REF!</definedName>
    <definedName name="生产期8" localSheetId="14">#REF!</definedName>
    <definedName name="生产期8">#REF!</definedName>
    <definedName name="生产期9" localSheetId="18">#REF!</definedName>
    <definedName name="生产期9" localSheetId="15">#REF!</definedName>
    <definedName name="生产期9" localSheetId="16">#REF!</definedName>
    <definedName name="生产期9" localSheetId="14">#REF!</definedName>
    <definedName name="生产期9">#REF!</definedName>
    <definedName name="试验" localSheetId="11" hidden="1">{#N/A,#N/A,FALSE,"OffAdvance";#N/A,#N/A,FALSE,"OffExpRprt";#N/A,#N/A,FALSE,"Travelling";#N/A,#N/A,FALSE,"Entertmnt";#N/A,#N/A,FALSE,"Promotion"}</definedName>
    <definedName name="试验" localSheetId="17" hidden="1">{#N/A,#N/A,FALSE,"OffAdvance";#N/A,#N/A,FALSE,"OffExpRprt";#N/A,#N/A,FALSE,"Travelling";#N/A,#N/A,FALSE,"Entertmnt";#N/A,#N/A,FALSE,"Promotion"}</definedName>
    <definedName name="试验" localSheetId="10" hidden="1">{#N/A,#N/A,FALSE,"OffAdvance";#N/A,#N/A,FALSE,"OffExpRprt";#N/A,#N/A,FALSE,"Travelling";#N/A,#N/A,FALSE,"Entertmnt";#N/A,#N/A,FALSE,"Promotion"}</definedName>
    <definedName name="试验" localSheetId="20" hidden="1">{#N/A,#N/A,FALSE,"OffAdvance";#N/A,#N/A,FALSE,"OffExpRprt";#N/A,#N/A,FALSE,"Travelling";#N/A,#N/A,FALSE,"Entertmnt";#N/A,#N/A,FALSE,"Promotion"}</definedName>
    <definedName name="试验" localSheetId="18" hidden="1">{#N/A,#N/A,FALSE,"OffAdvance";#N/A,#N/A,FALSE,"OffExpRprt";#N/A,#N/A,FALSE,"Travelling";#N/A,#N/A,FALSE,"Entertmnt";#N/A,#N/A,FALSE,"Promotion"}</definedName>
    <definedName name="试验" localSheetId="19" hidden="1">{#N/A,#N/A,FALSE,"OffAdvance";#N/A,#N/A,FALSE,"OffExpRprt";#N/A,#N/A,FALSE,"Travelling";#N/A,#N/A,FALSE,"Entertmnt";#N/A,#N/A,FALSE,"Promotion"}</definedName>
    <definedName name="试验" localSheetId="13" hidden="1">{#N/A,#N/A,FALSE,"OffAdvance";#N/A,#N/A,FALSE,"OffExpRprt";#N/A,#N/A,FALSE,"Travelling";#N/A,#N/A,FALSE,"Entertmnt";#N/A,#N/A,FALSE,"Promotion"}</definedName>
    <definedName name="试验" hidden="1">{#N/A,#N/A,FALSE,"OffAdvance";#N/A,#N/A,FALSE,"OffExpRprt";#N/A,#N/A,FALSE,"Travelling";#N/A,#N/A,FALSE,"Entertmnt";#N/A,#N/A,FALSE,"Promotion"}</definedName>
    <definedName name="是" localSheetId="18">#REF!</definedName>
    <definedName name="是" localSheetId="15">#REF!</definedName>
    <definedName name="是" localSheetId="16">#REF!</definedName>
    <definedName name="是" localSheetId="14">#REF!</definedName>
    <definedName name="是">#REF!</definedName>
    <definedName name="首钢园二期">#REF!</definedName>
    <definedName name="数量金额总账" localSheetId="18">#REF!</definedName>
    <definedName name="数量金额总账" localSheetId="15">#REF!</definedName>
    <definedName name="数量金额总账" localSheetId="16">#REF!</definedName>
    <definedName name="数量金额总账" localSheetId="14">#REF!</definedName>
    <definedName name="数量金额总账">#REF!</definedName>
    <definedName name="水" localSheetId="13">#REF!</definedName>
    <definedName name="水">#REF!</definedName>
    <definedName name="水泥425" localSheetId="13">#REF!</definedName>
    <definedName name="水泥425">#REF!</definedName>
    <definedName name="水泥砂浆12.5" localSheetId="13">#REF!</definedName>
    <definedName name="水泥砂浆12.5">#REF!</definedName>
    <definedName name="水泥石灰砂浆116" localSheetId="13">#REF!</definedName>
    <definedName name="水泥石灰砂浆116">#REF!</definedName>
    <definedName name="水泥石灰砂浆M5" localSheetId="13">#REF!</definedName>
    <definedName name="水泥石灰砂浆M5">#REF!</definedName>
    <definedName name="税1" localSheetId="18">#REF!</definedName>
    <definedName name="税1" localSheetId="15">#REF!</definedName>
    <definedName name="税1" localSheetId="16">#REF!</definedName>
    <definedName name="税1" localSheetId="14">#REF!</definedName>
    <definedName name="税1">#REF!</definedName>
    <definedName name="税金" localSheetId="18">#REF!</definedName>
    <definedName name="税金" localSheetId="15">#REF!</definedName>
    <definedName name="税金" localSheetId="16">#REF!</definedName>
    <definedName name="税金" localSheetId="14">#REF!</definedName>
    <definedName name="税金">#REF!</definedName>
    <definedName name="四号砼" localSheetId="18">#REF!</definedName>
    <definedName name="四号砼" localSheetId="15">#REF!</definedName>
    <definedName name="四号砼" localSheetId="16">#REF!</definedName>
    <definedName name="四号砼" localSheetId="14">#REF!</definedName>
    <definedName name="四号砼">#REF!</definedName>
    <definedName name="损益余额表.dbf" localSheetId="18">#REF!</definedName>
    <definedName name="损益余额表.dbf" localSheetId="15">#REF!</definedName>
    <definedName name="损益余额表.dbf" localSheetId="16">#REF!</definedName>
    <definedName name="损益余额表.dbf" localSheetId="14">#REF!</definedName>
    <definedName name="损益余额表.dbf">#REF!</definedName>
    <definedName name="套筒" localSheetId="13">#REF!</definedName>
    <definedName name="套筒">#REF!</definedName>
    <definedName name="踢脚线" localSheetId="18">#REF!</definedName>
    <definedName name="踢脚线" localSheetId="15">#REF!</definedName>
    <definedName name="踢脚线" localSheetId="16">#REF!</definedName>
    <definedName name="踢脚线" localSheetId="14">#REF!</definedName>
    <definedName name="踢脚线">#REF!</definedName>
    <definedName name="_xlnm.Extract" localSheetId="18">#REF!</definedName>
    <definedName name="_xlnm.Extract" localSheetId="15">#REF!</definedName>
    <definedName name="_xlnm.Extract" localSheetId="16">#REF!</definedName>
    <definedName name="_xlnm.Extract" localSheetId="14">#REF!</definedName>
    <definedName name="_xlnm.Extract">#REF!</definedName>
    <definedName name="调后合计" localSheetId="18">#REF!</definedName>
    <definedName name="调后合计" localSheetId="15">#REF!</definedName>
    <definedName name="调后合计" localSheetId="16">#REF!</definedName>
    <definedName name="调后合计" localSheetId="14">#REF!</definedName>
    <definedName name="调后合计">#REF!</definedName>
    <definedName name="铁钉" localSheetId="13">#REF!</definedName>
    <definedName name="铁钉">#REF!</definedName>
    <definedName name="铁丝" localSheetId="13">#REF!</definedName>
    <definedName name="铁丝">#REF!</definedName>
    <definedName name="砼C10" localSheetId="18">#REF!</definedName>
    <definedName name="砼C10" localSheetId="15">#REF!</definedName>
    <definedName name="砼C10" localSheetId="16">#REF!</definedName>
    <definedName name="砼C10" localSheetId="14">#REF!</definedName>
    <definedName name="砼C10">#REF!</definedName>
    <definedName name="砼C15" localSheetId="18">#REF!</definedName>
    <definedName name="砼C15" localSheetId="15">#REF!</definedName>
    <definedName name="砼C15" localSheetId="16">#REF!</definedName>
    <definedName name="砼C15" localSheetId="14">#REF!</definedName>
    <definedName name="砼C15">#REF!</definedName>
    <definedName name="砼C15细石" localSheetId="18">#REF!</definedName>
    <definedName name="砼C15细石" localSheetId="15">#REF!</definedName>
    <definedName name="砼C15细石" localSheetId="16">#REF!</definedName>
    <definedName name="砼C15细石" localSheetId="14">#REF!</definedName>
    <definedName name="砼C15细石">#REF!</definedName>
    <definedName name="砼C20" localSheetId="18">#REF!</definedName>
    <definedName name="砼C20" localSheetId="15">#REF!</definedName>
    <definedName name="砼C20" localSheetId="16">#REF!</definedName>
    <definedName name="砼C20" localSheetId="14">#REF!</definedName>
    <definedName name="砼C20">#REF!</definedName>
    <definedName name="砼C20细石" localSheetId="18">#REF!</definedName>
    <definedName name="砼C20细石" localSheetId="15">#REF!</definedName>
    <definedName name="砼C20细石" localSheetId="16">#REF!</definedName>
    <definedName name="砼C20细石" localSheetId="14">#REF!</definedName>
    <definedName name="砼C20细石">#REF!</definedName>
    <definedName name="砼C25" localSheetId="18">#REF!</definedName>
    <definedName name="砼C25" localSheetId="15">#REF!</definedName>
    <definedName name="砼C25" localSheetId="16">#REF!</definedName>
    <definedName name="砼C25" localSheetId="14">#REF!</definedName>
    <definedName name="砼C25">#REF!</definedName>
    <definedName name="砼C30" localSheetId="18">#REF!</definedName>
    <definedName name="砼C30" localSheetId="15">#REF!</definedName>
    <definedName name="砼C30" localSheetId="16">#REF!</definedName>
    <definedName name="砼C30" localSheetId="14">#REF!</definedName>
    <definedName name="砼C30">#REF!</definedName>
    <definedName name="砼C30P6" localSheetId="18">#REF!</definedName>
    <definedName name="砼C30P6" localSheetId="15">#REF!</definedName>
    <definedName name="砼C30P6" localSheetId="16">#REF!</definedName>
    <definedName name="砼C30P6" localSheetId="14">#REF!</definedName>
    <definedName name="砼C30P6">#REF!</definedName>
    <definedName name="砼C30P8" localSheetId="18">#REF!</definedName>
    <definedName name="砼C30P8" localSheetId="15">#REF!</definedName>
    <definedName name="砼C30P8" localSheetId="16">#REF!</definedName>
    <definedName name="砼C30P8" localSheetId="14">#REF!</definedName>
    <definedName name="砼C30P8">#REF!</definedName>
    <definedName name="砼C30细石" localSheetId="18">#REF!</definedName>
    <definedName name="砼C30细石" localSheetId="15">#REF!</definedName>
    <definedName name="砼C30细石" localSheetId="16">#REF!</definedName>
    <definedName name="砼C30细石" localSheetId="14">#REF!</definedName>
    <definedName name="砼C30细石">#REF!</definedName>
    <definedName name="砼C35" localSheetId="18">#REF!</definedName>
    <definedName name="砼C35" localSheetId="15">#REF!</definedName>
    <definedName name="砼C35" localSheetId="16">#REF!</definedName>
    <definedName name="砼C35" localSheetId="14">#REF!</definedName>
    <definedName name="砼C35">#REF!</definedName>
    <definedName name="砼C35P8" localSheetId="18">#REF!</definedName>
    <definedName name="砼C35P8" localSheetId="15">#REF!</definedName>
    <definedName name="砼C35P8" localSheetId="16">#REF!</definedName>
    <definedName name="砼C35P8" localSheetId="14">#REF!</definedName>
    <definedName name="砼C35P8">#REF!</definedName>
    <definedName name="砼C35微膨胀" localSheetId="18">#REF!</definedName>
    <definedName name="砼C35微膨胀" localSheetId="15">#REF!</definedName>
    <definedName name="砼C35微膨胀" localSheetId="16">#REF!</definedName>
    <definedName name="砼C35微膨胀" localSheetId="14">#REF!</definedName>
    <definedName name="砼C35微膨胀">#REF!</definedName>
    <definedName name="砼C40" localSheetId="18">#REF!</definedName>
    <definedName name="砼C40" localSheetId="15">#REF!</definedName>
    <definedName name="砼C40" localSheetId="16">#REF!</definedName>
    <definedName name="砼C40" localSheetId="14">#REF!</definedName>
    <definedName name="砼C40">#REF!</definedName>
    <definedName name="砼C40P8微膨胀" localSheetId="18">#REF!</definedName>
    <definedName name="砼C40P8微膨胀" localSheetId="15">#REF!</definedName>
    <definedName name="砼C40P8微膨胀" localSheetId="16">#REF!</definedName>
    <definedName name="砼C40P8微膨胀" localSheetId="14">#REF!</definedName>
    <definedName name="砼C40P8微膨胀">#REF!</definedName>
    <definedName name="砼C45" localSheetId="18">#REF!</definedName>
    <definedName name="砼C45" localSheetId="15">#REF!</definedName>
    <definedName name="砼C45" localSheetId="16">#REF!</definedName>
    <definedName name="砼C45" localSheetId="14">#REF!</definedName>
    <definedName name="砼C45">#REF!</definedName>
    <definedName name="砼C50" localSheetId="18">#REF!</definedName>
    <definedName name="砼C50" localSheetId="15">#REF!</definedName>
    <definedName name="砼C50" localSheetId="16">#REF!</definedName>
    <definedName name="砼C50" localSheetId="14">#REF!</definedName>
    <definedName name="砼C50">#REF!</definedName>
    <definedName name="砼C55" localSheetId="18">#REF!</definedName>
    <definedName name="砼C55" localSheetId="15">#REF!</definedName>
    <definedName name="砼C55" localSheetId="16">#REF!</definedName>
    <definedName name="砼C55" localSheetId="14">#REF!</definedName>
    <definedName name="砼C55">#REF!</definedName>
    <definedName name="砼C60" localSheetId="18">#REF!</definedName>
    <definedName name="砼C60" localSheetId="15">#REF!</definedName>
    <definedName name="砼C60" localSheetId="16">#REF!</definedName>
    <definedName name="砼C60" localSheetId="14">#REF!</definedName>
    <definedName name="砼C60">#REF!</definedName>
    <definedName name="投资收益明细表" localSheetId="18">#REF!</definedName>
    <definedName name="投资收益明细表" localSheetId="15">#REF!</definedName>
    <definedName name="投资收益明细表" localSheetId="16">#REF!</definedName>
    <definedName name="投资收益明细表" localSheetId="14">#REF!</definedName>
    <definedName name="投资收益明细表">#REF!</definedName>
    <definedName name="外购入库序时簿" localSheetId="18">#REF!</definedName>
    <definedName name="外购入库序时簿" localSheetId="15">#REF!</definedName>
    <definedName name="外购入库序时簿" localSheetId="16">#REF!</definedName>
    <definedName name="外购入库序时簿" localSheetId="14">#REF!</definedName>
    <definedName name="外购入库序时簿">#REF!</definedName>
    <definedName name="委托贷款.dbf" localSheetId="18">#REF!</definedName>
    <definedName name="委托贷款.dbf" localSheetId="15">#REF!</definedName>
    <definedName name="委托贷款.dbf" localSheetId="16">#REF!</definedName>
    <definedName name="委托贷款.dbf" localSheetId="14">#REF!</definedName>
    <definedName name="委托贷款.dbf">#REF!</definedName>
    <definedName name="委托加工" localSheetId="18">#REF!</definedName>
    <definedName name="委托加工" localSheetId="15">#REF!</definedName>
    <definedName name="委托加工" localSheetId="16">#REF!</definedName>
    <definedName name="委托加工" localSheetId="14">#REF!</definedName>
    <definedName name="委托加工">#REF!</definedName>
    <definedName name="文件编号联系单" localSheetId="18">#REF!</definedName>
    <definedName name="文件编号联系单" localSheetId="15">#REF!</definedName>
    <definedName name="文件编号联系单" localSheetId="16">#REF!</definedName>
    <definedName name="文件编号联系单" localSheetId="14">#REF!</definedName>
    <definedName name="文件编号联系单">#REF!</definedName>
    <definedName name="文件编号设计变更" localSheetId="18">#REF!</definedName>
    <definedName name="文件编号设计变更" localSheetId="15">#REF!</definedName>
    <definedName name="文件编号设计变更" localSheetId="16">#REF!</definedName>
    <definedName name="文件编号设计变更" localSheetId="14">#REF!</definedName>
    <definedName name="文件编号设计变更">#REF!</definedName>
    <definedName name="文件编号委托函" localSheetId="18">#REF!</definedName>
    <definedName name="文件编号委托函" localSheetId="15">#REF!</definedName>
    <definedName name="文件编号委托函" localSheetId="16">#REF!</definedName>
    <definedName name="文件编号委托函" localSheetId="14">#REF!</definedName>
    <definedName name="文件编号委托函">#REF!</definedName>
    <definedName name="我" localSheetId="18">#REF!</definedName>
    <definedName name="我" localSheetId="15">#REF!</definedName>
    <definedName name="我" localSheetId="16">#REF!</definedName>
    <definedName name="我" localSheetId="14">#REF!</definedName>
    <definedName name="我">#REF!</definedName>
    <definedName name="屋面砖" localSheetId="18">#REF!</definedName>
    <definedName name="屋面砖" localSheetId="15">#REF!</definedName>
    <definedName name="屋面砖" localSheetId="16">#REF!</definedName>
    <definedName name="屋面砖" localSheetId="14">#REF!</definedName>
    <definedName name="屋面砖">#REF!</definedName>
    <definedName name="无对应明细表的报表项目" localSheetId="18">#REF!</definedName>
    <definedName name="无对应明细表的报表项目" localSheetId="15">#REF!</definedName>
    <definedName name="无对应明细表的报表项目" localSheetId="16">#REF!</definedName>
    <definedName name="无对应明细表的报表项目" localSheetId="14">#REF!</definedName>
    <definedName name="无对应明细表的报表项目">#REF!</definedName>
    <definedName name="五号砼" localSheetId="18">#REF!</definedName>
    <definedName name="五号砼" localSheetId="15">#REF!</definedName>
    <definedName name="五号砼" localSheetId="16">#REF!</definedName>
    <definedName name="五号砼" localSheetId="14">#REF!</definedName>
    <definedName name="五号砼">#REF!</definedName>
    <definedName name="现_金_流_量_表" localSheetId="18">#REF!</definedName>
    <definedName name="现_金_流_量_表" localSheetId="15">#REF!</definedName>
    <definedName name="现_金_流_量_表" localSheetId="16">#REF!</definedName>
    <definedName name="现_金_流_量_表" localSheetId="14">#REF!</definedName>
    <definedName name="现_金_流_量_表">#REF!</definedName>
    <definedName name="销售费用明细帐" localSheetId="18">#REF!</definedName>
    <definedName name="销售费用明细帐" localSheetId="15">#REF!</definedName>
    <definedName name="销售费用明细帐" localSheetId="16">#REF!</definedName>
    <definedName name="销售费用明细帐" localSheetId="14">#REF!</definedName>
    <definedName name="销售费用明细帐">#REF!</definedName>
    <definedName name="销售毛利润汇总表" localSheetId="18">#REF!</definedName>
    <definedName name="销售毛利润汇总表" localSheetId="15">#REF!</definedName>
    <definedName name="销售毛利润汇总表" localSheetId="16">#REF!</definedName>
    <definedName name="销售毛利润汇总表" localSheetId="14">#REF!</definedName>
    <definedName name="销售毛利润汇总表">#REF!</definedName>
    <definedName name="业务类型1">#REF!</definedName>
    <definedName name="一号砼" localSheetId="18">#REF!</definedName>
    <definedName name="一号砼" localSheetId="15">#REF!</definedName>
    <definedName name="一号砼" localSheetId="16">#REF!</definedName>
    <definedName name="一号砼" localSheetId="14">#REF!</definedName>
    <definedName name="一号砼">#REF!</definedName>
    <definedName name="营业费用" localSheetId="18">#REF!</definedName>
    <definedName name="营业费用" localSheetId="15">#REF!</definedName>
    <definedName name="营业费用" localSheetId="16">#REF!</definedName>
    <definedName name="营业费用" localSheetId="14">#REF!</definedName>
    <definedName name="营业费用">#REF!</definedName>
    <definedName name="营业外收支合计" localSheetId="18">SUM(#REF!)</definedName>
    <definedName name="营业外收支合计" localSheetId="15">SUM(#REF!)</definedName>
    <definedName name="营业外收支合计" localSheetId="16">SUM(#REF!)</definedName>
    <definedName name="营业外收支合计" localSheetId="14">SUM(#REF!)</definedName>
    <definedName name="营业外收支合计">SUM(#REF!)</definedName>
    <definedName name="营业外支出明细表" localSheetId="18">#REF!</definedName>
    <definedName name="营业外支出明细表" localSheetId="15">#REF!</definedName>
    <definedName name="营业外支出明细表" localSheetId="16">#REF!</definedName>
    <definedName name="营业外支出明细表" localSheetId="14">#REF!</definedName>
    <definedName name="营业外支出明细表">#REF!</definedName>
    <definedName name="应付福利费.dbf" localSheetId="18">#REF!</definedName>
    <definedName name="应付福利费.dbf" localSheetId="15">#REF!</definedName>
    <definedName name="应付福利费.dbf" localSheetId="16">#REF!</definedName>
    <definedName name="应付福利费.dbf" localSheetId="14">#REF!</definedName>
    <definedName name="应付福利费.dbf">#REF!</definedName>
    <definedName name="应付工资.dbf" localSheetId="18">#REF!</definedName>
    <definedName name="应付工资.dbf" localSheetId="15">#REF!</definedName>
    <definedName name="应付工资.dbf" localSheetId="16">#REF!</definedName>
    <definedName name="应付工资.dbf" localSheetId="14">#REF!</definedName>
    <definedName name="应付工资.dbf">#REF!</definedName>
    <definedName name="应付股利明细表" localSheetId="18">#REF!</definedName>
    <definedName name="应付股利明细表" localSheetId="15">#REF!</definedName>
    <definedName name="应付股利明细表" localSheetId="16">#REF!</definedName>
    <definedName name="应付股利明细表" localSheetId="14">#REF!</definedName>
    <definedName name="应付股利明细表">#REF!</definedName>
    <definedName name="应该" localSheetId="18">#REF!</definedName>
    <definedName name="应该" localSheetId="15">#REF!</definedName>
    <definedName name="应该" localSheetId="16">#REF!</definedName>
    <definedName name="应该" localSheetId="14">#REF!</definedName>
    <definedName name="应该">#REF!</definedName>
    <definedName name="应收票据" localSheetId="18">#REF!</definedName>
    <definedName name="应收票据" localSheetId="15">#REF!</definedName>
    <definedName name="应收票据" localSheetId="16">#REF!</definedName>
    <definedName name="应收票据" localSheetId="14">#REF!</definedName>
    <definedName name="应收票据">#REF!</definedName>
    <definedName name="应收帐款明细帐" localSheetId="18">#REF!</definedName>
    <definedName name="应收帐款明细帐" localSheetId="15">#REF!</definedName>
    <definedName name="应收帐款明细帐" localSheetId="16">#REF!</definedName>
    <definedName name="应收帐款明细帐" localSheetId="14">#REF!</definedName>
    <definedName name="应收帐款明细帐">#REF!</definedName>
    <definedName name="应手款" localSheetId="11" hidden="1">{#N/A,#N/A,FALSE,"970301";#N/A,#N/A,FALSE,"970302";#N/A,#N/A,FALSE,"970303";#N/A,#N/A,FALSE,"970304";#N/A,#N/A,FALSE,"COM1";#N/A,#N/A,FALSE,"COM2"}</definedName>
    <definedName name="应手款" localSheetId="17" hidden="1">{#N/A,#N/A,FALSE,"970301";#N/A,#N/A,FALSE,"970302";#N/A,#N/A,FALSE,"970303";#N/A,#N/A,FALSE,"970304";#N/A,#N/A,FALSE,"COM1";#N/A,#N/A,FALSE,"COM2"}</definedName>
    <definedName name="应手款" localSheetId="10" hidden="1">{#N/A,#N/A,FALSE,"970301";#N/A,#N/A,FALSE,"970302";#N/A,#N/A,FALSE,"970303";#N/A,#N/A,FALSE,"970304";#N/A,#N/A,FALSE,"COM1";#N/A,#N/A,FALSE,"COM2"}</definedName>
    <definedName name="应手款" localSheetId="20" hidden="1">{#N/A,#N/A,FALSE,"970301";#N/A,#N/A,FALSE,"970302";#N/A,#N/A,FALSE,"970303";#N/A,#N/A,FALSE,"970304";#N/A,#N/A,FALSE,"COM1";#N/A,#N/A,FALSE,"COM2"}</definedName>
    <definedName name="应手款" localSheetId="18" hidden="1">{#N/A,#N/A,FALSE,"970301";#N/A,#N/A,FALSE,"970302";#N/A,#N/A,FALSE,"970303";#N/A,#N/A,FALSE,"970304";#N/A,#N/A,FALSE,"COM1";#N/A,#N/A,FALSE,"COM2"}</definedName>
    <definedName name="应手款" localSheetId="19" hidden="1">{#N/A,#N/A,FALSE,"970301";#N/A,#N/A,FALSE,"970302";#N/A,#N/A,FALSE,"970303";#N/A,#N/A,FALSE,"970304";#N/A,#N/A,FALSE,"COM1";#N/A,#N/A,FALSE,"COM2"}</definedName>
    <definedName name="应手款" localSheetId="13"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1" hidden="1">{#N/A,#N/A,FALSE,"Marketing";#N/A,#N/A,FALSE,"Selling";#N/A,#N/A,FALSE,"Promotional";#N/A,#N/A,FALSE,"Advertising"}</definedName>
    <definedName name="应手款1月" localSheetId="17" hidden="1">{#N/A,#N/A,FALSE,"Marketing";#N/A,#N/A,FALSE,"Selling";#N/A,#N/A,FALSE,"Promotional";#N/A,#N/A,FALSE,"Advertising"}</definedName>
    <definedName name="应手款1月" localSheetId="10" hidden="1">{#N/A,#N/A,FALSE,"Marketing";#N/A,#N/A,FALSE,"Selling";#N/A,#N/A,FALSE,"Promotional";#N/A,#N/A,FALSE,"Advertising"}</definedName>
    <definedName name="应手款1月" localSheetId="20" hidden="1">{#N/A,#N/A,FALSE,"Marketing";#N/A,#N/A,FALSE,"Selling";#N/A,#N/A,FALSE,"Promotional";#N/A,#N/A,FALSE,"Advertising"}</definedName>
    <definedName name="应手款1月" localSheetId="18" hidden="1">{#N/A,#N/A,FALSE,"Marketing";#N/A,#N/A,FALSE,"Selling";#N/A,#N/A,FALSE,"Promotional";#N/A,#N/A,FALSE,"Advertising"}</definedName>
    <definedName name="应手款1月" localSheetId="19" hidden="1">{#N/A,#N/A,FALSE,"Marketing";#N/A,#N/A,FALSE,"Selling";#N/A,#N/A,FALSE,"Promotional";#N/A,#N/A,FALSE,"Advertising"}</definedName>
    <definedName name="应手款1月" localSheetId="13" hidden="1">{#N/A,#N/A,FALSE,"Marketing";#N/A,#N/A,FALSE,"Selling";#N/A,#N/A,FALSE,"Promotional";#N/A,#N/A,FALSE,"Advertising"}</definedName>
    <definedName name="应手款1月" hidden="1">{#N/A,#N/A,FALSE,"Marketing";#N/A,#N/A,FALSE,"Selling";#N/A,#N/A,FALSE,"Promotional";#N/A,#N/A,FALSE,"Advertising"}</definedName>
    <definedName name="由于">#REF!</definedName>
    <definedName name="淤泥清运1公里" localSheetId="13">#REF!</definedName>
    <definedName name="淤泥清运1公里">#REF!</definedName>
    <definedName name="余额表" localSheetId="18">#REF!</definedName>
    <definedName name="余额表" localSheetId="15">#REF!</definedName>
    <definedName name="余额表" localSheetId="16">#REF!</definedName>
    <definedName name="余额表" localSheetId="14">#REF!</definedName>
    <definedName name="余额表">#REF!</definedName>
    <definedName name="余额表.dbf" localSheetId="18">#REF!</definedName>
    <definedName name="余额表.dbf" localSheetId="15">#REF!</definedName>
    <definedName name="余额表.dbf" localSheetId="16">#REF!</definedName>
    <definedName name="余额表.dbf" localSheetId="14">#REF!</definedName>
    <definedName name="余额表.dbf">#REF!</definedName>
    <definedName name="余额调节表" localSheetId="18">#REF!</definedName>
    <definedName name="余额调节表" localSheetId="15">#REF!</definedName>
    <definedName name="余额调节表" localSheetId="16">#REF!</definedName>
    <definedName name="余额调节表" localSheetId="14">#REF!</definedName>
    <definedName name="余额调节表">#REF!</definedName>
    <definedName name="预付帐款.dbf" localSheetId="18">#REF!</definedName>
    <definedName name="预付帐款.dbf" localSheetId="15">#REF!</definedName>
    <definedName name="预付帐款.dbf" localSheetId="16">#REF!</definedName>
    <definedName name="预付帐款.dbf" localSheetId="14">#REF!</definedName>
    <definedName name="预付帐款.dbf">#REF!</definedName>
    <definedName name="预付帐款明细表" localSheetId="18">#REF!</definedName>
    <definedName name="预付帐款明细表" localSheetId="15">#REF!</definedName>
    <definedName name="预付帐款明细表" localSheetId="16">#REF!</definedName>
    <definedName name="预付帐款明细表" localSheetId="14">#REF!</definedName>
    <definedName name="预付帐款明细表">#REF!</definedName>
    <definedName name="预付账款性质">#REF!</definedName>
    <definedName name="预收货款明细表" localSheetId="18">#REF!</definedName>
    <definedName name="预收货款明细表" localSheetId="15">#REF!</definedName>
    <definedName name="预收货款明细表" localSheetId="16">#REF!</definedName>
    <definedName name="预收货款明细表" localSheetId="14">#REF!</definedName>
    <definedName name="预收货款明细表">#REF!</definedName>
    <definedName name="预提费用明细帐" localSheetId="18">#REF!</definedName>
    <definedName name="预提费用明细帐" localSheetId="15">#REF!</definedName>
    <definedName name="预提费用明细帐" localSheetId="16">#REF!</definedName>
    <definedName name="预提费用明细帐" localSheetId="14">#REF!</definedName>
    <definedName name="预提费用明细帐">#REF!</definedName>
    <definedName name="原材料" localSheetId="18">#REF!</definedName>
    <definedName name="原材料" localSheetId="15">#REF!</definedName>
    <definedName name="原材料" localSheetId="16">#REF!</definedName>
    <definedName name="原材料" localSheetId="14">#REF!</definedName>
    <definedName name="原材料">#REF!</definedName>
    <definedName name="圆钢筋" localSheetId="13">#REF!</definedName>
    <definedName name="圆钢筋">#REF!</definedName>
    <definedName name="月">#REF!</definedName>
    <definedName name="在建工程.dbf" localSheetId="18">#REF!</definedName>
    <definedName name="在建工程.dbf" localSheetId="15">#REF!</definedName>
    <definedName name="在建工程.dbf" localSheetId="16">#REF!</definedName>
    <definedName name="在建工程.dbf" localSheetId="14">#REF!</definedName>
    <definedName name="在建工程.dbf">#REF!</definedName>
    <definedName name="在途材料" localSheetId="18">#REF!</definedName>
    <definedName name="在途材料" localSheetId="15">#REF!</definedName>
    <definedName name="在途材料" localSheetId="16">#REF!</definedName>
    <definedName name="在途材料" localSheetId="14">#REF!</definedName>
    <definedName name="在途材料">#REF!</definedName>
    <definedName name="造价复审表" localSheetId="13">#REF!</definedName>
    <definedName name="造价复审表">#REF!</definedName>
    <definedName name="长期借款" localSheetId="18">#REF!</definedName>
    <definedName name="长期借款" localSheetId="15">#REF!</definedName>
    <definedName name="长期借款" localSheetId="16">#REF!</definedName>
    <definedName name="长期借款" localSheetId="14">#REF!</definedName>
    <definedName name="长期借款">#REF!</definedName>
    <definedName name="正常利润">#REF!</definedName>
    <definedName name="正常利润率">#REF!</definedName>
    <definedName name="资" localSheetId="18">#REF!</definedName>
    <definedName name="资" localSheetId="15">#REF!</definedName>
    <definedName name="资" localSheetId="16">#REF!</definedName>
    <definedName name="资" localSheetId="14">#REF!</definedName>
    <definedName name="资">#REF!</definedName>
    <definedName name="资产" localSheetId="18">#REF!</definedName>
    <definedName name="资产" localSheetId="15">#REF!</definedName>
    <definedName name="资产" localSheetId="16">#REF!</definedName>
    <definedName name="资产" localSheetId="14">#REF!</definedName>
    <definedName name="资产">#REF!</definedName>
    <definedName name="总分类账" localSheetId="18">#REF!</definedName>
    <definedName name="总分类账" localSheetId="15">#REF!</definedName>
    <definedName name="总分类账" localSheetId="16">#REF!</definedName>
    <definedName name="总分类账" localSheetId="14">#REF!</definedName>
    <definedName name="总分类账">#REF!</definedName>
    <definedName name="總收入" localSheetId="18">#REF!</definedName>
    <definedName name="總收入" localSheetId="15">#REF!</definedName>
    <definedName name="總收入" localSheetId="16">#REF!</definedName>
    <definedName name="總收入" localSheetId="14">#REF!</definedName>
    <definedName name="總收入">#REF!</definedName>
    <definedName name="전" localSheetId="18">#REF!</definedName>
    <definedName name="전" localSheetId="15">#REF!</definedName>
    <definedName name="전" localSheetId="16">#REF!</definedName>
    <definedName name="전" localSheetId="14">#REF!</definedName>
    <definedName name="전">#REF!</definedName>
    <definedName name="주택사업본부" localSheetId="18">#REF!</definedName>
    <definedName name="주택사업본부" localSheetId="15">#REF!</definedName>
    <definedName name="주택사업본부" localSheetId="16">#REF!</definedName>
    <definedName name="주택사업본부" localSheetId="14">#REF!</definedName>
    <definedName name="주택사업본부">#REF!</definedName>
    <definedName name="철구사업본부" localSheetId="18">#REF!</definedName>
    <definedName name="철구사업본부" localSheetId="15">#REF!</definedName>
    <definedName name="철구사업본부" localSheetId="16">#REF!</definedName>
    <definedName name="철구사업본부" localSheetId="14">#REF!</definedName>
    <definedName name="철구사업본부">#REF!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 i="5" l="1"/>
  <c r="I14" i="19"/>
  <c r="Y754" i="7" l="1"/>
  <c r="Y721" i="7"/>
  <c r="A6" i="28" l="1"/>
  <c r="A7" i="28" l="1"/>
  <c r="A8" i="28"/>
  <c r="A9" i="28" l="1"/>
  <c r="A10" i="28" l="1"/>
  <c r="A11" i="28"/>
  <c r="A12" i="28"/>
  <c r="A13" i="28" l="1"/>
  <c r="A14" i="28" l="1"/>
  <c r="A15" i="28" l="1"/>
  <c r="E21" i="19"/>
  <c r="C20" i="19"/>
  <c r="E44" i="25"/>
  <c r="D44" i="25"/>
  <c r="F81" i="8"/>
  <c r="F61" i="8"/>
  <c r="F60" i="8"/>
  <c r="F62" i="8"/>
  <c r="F63" i="8"/>
  <c r="A16" i="28" l="1"/>
  <c r="K234" i="7"/>
  <c r="I17" i="15"/>
  <c r="F17" i="15"/>
  <c r="E13" i="23"/>
  <c r="D16" i="23"/>
  <c r="H16" i="23"/>
  <c r="G16" i="23"/>
  <c r="D16" i="12"/>
  <c r="G16" i="12"/>
  <c r="E16" i="12"/>
  <c r="D11" i="12"/>
  <c r="B8" i="12"/>
  <c r="C11" i="12" s="1"/>
  <c r="D4" i="12"/>
  <c r="C4" i="12"/>
  <c r="A8" i="12" s="1"/>
  <c r="G19" i="22"/>
  <c r="F18" i="22"/>
  <c r="G18" i="22" s="1"/>
  <c r="D16" i="4"/>
  <c r="K62" i="7"/>
  <c r="C40" i="25"/>
  <c r="K39" i="27"/>
  <c r="K6" i="27"/>
  <c r="K37" i="27"/>
  <c r="L37" i="27" s="1"/>
  <c r="E37" i="27"/>
  <c r="G37" i="27" s="1"/>
  <c r="K36" i="27"/>
  <c r="L36" i="27" s="1"/>
  <c r="E36" i="27"/>
  <c r="G36" i="27" s="1"/>
  <c r="K35" i="27"/>
  <c r="L35" i="27" s="1"/>
  <c r="K34" i="27"/>
  <c r="L34" i="27" s="1"/>
  <c r="G34" i="27"/>
  <c r="K33" i="27"/>
  <c r="L33" i="27" s="1"/>
  <c r="G33" i="27"/>
  <c r="K32" i="27"/>
  <c r="L32" i="27" s="1"/>
  <c r="G32" i="27"/>
  <c r="K31" i="27"/>
  <c r="L31" i="27" s="1"/>
  <c r="G31" i="27"/>
  <c r="K30" i="27"/>
  <c r="L30" i="27" s="1"/>
  <c r="G30" i="27"/>
  <c r="L29" i="27"/>
  <c r="K29" i="27"/>
  <c r="G29" i="27"/>
  <c r="L28" i="27"/>
  <c r="K28" i="27"/>
  <c r="E28" i="27"/>
  <c r="G28" i="27" s="1"/>
  <c r="K27" i="27"/>
  <c r="L27" i="27" s="1"/>
  <c r="E27" i="27"/>
  <c r="G27" i="27" s="1"/>
  <c r="L26" i="27"/>
  <c r="K26" i="27"/>
  <c r="E26" i="27"/>
  <c r="G26" i="27" s="1"/>
  <c r="K25" i="27"/>
  <c r="L25" i="27" s="1"/>
  <c r="G25" i="27"/>
  <c r="K24" i="27"/>
  <c r="L24" i="27" s="1"/>
  <c r="G24" i="27"/>
  <c r="K23" i="27"/>
  <c r="L23" i="27" s="1"/>
  <c r="G23" i="27"/>
  <c r="L22" i="27"/>
  <c r="K22" i="27"/>
  <c r="G22" i="27"/>
  <c r="L21" i="27"/>
  <c r="K21" i="27"/>
  <c r="G21" i="27"/>
  <c r="K20" i="27"/>
  <c r="L20" i="27" s="1"/>
  <c r="G20" i="27"/>
  <c r="K19" i="27"/>
  <c r="L19" i="27" s="1"/>
  <c r="G19" i="27"/>
  <c r="K18" i="27"/>
  <c r="L18" i="27" s="1"/>
  <c r="G18" i="27"/>
  <c r="K17" i="27"/>
  <c r="L17" i="27" s="1"/>
  <c r="G17" i="27"/>
  <c r="K16" i="27"/>
  <c r="L16" i="27" s="1"/>
  <c r="G16" i="27"/>
  <c r="K15" i="27"/>
  <c r="L15" i="27" s="1"/>
  <c r="G15" i="27"/>
  <c r="L14" i="27"/>
  <c r="K14" i="27"/>
  <c r="G14" i="27"/>
  <c r="L13" i="27"/>
  <c r="K13" i="27"/>
  <c r="G13" i="27"/>
  <c r="K12" i="27"/>
  <c r="L12" i="27" s="1"/>
  <c r="G12" i="27"/>
  <c r="K11" i="27"/>
  <c r="L11" i="27" s="1"/>
  <c r="G11" i="27"/>
  <c r="K10" i="27"/>
  <c r="L10" i="27" s="1"/>
  <c r="G10" i="27"/>
  <c r="K9" i="27"/>
  <c r="L9" i="27" s="1"/>
  <c r="G9" i="27"/>
  <c r="K8" i="27"/>
  <c r="L8" i="27" s="1"/>
  <c r="G8" i="27"/>
  <c r="K7" i="27"/>
  <c r="L7" i="27" s="1"/>
  <c r="G7" i="27"/>
  <c r="L6" i="27"/>
  <c r="G6" i="27"/>
  <c r="K5" i="27"/>
  <c r="L5" i="27" s="1"/>
  <c r="G5" i="27"/>
  <c r="C14" i="22"/>
  <c r="C13" i="22"/>
  <c r="C6" i="22"/>
  <c r="O14" i="13"/>
  <c r="O16" i="13" s="1"/>
  <c r="M15" i="13"/>
  <c r="O15" i="13" s="1"/>
  <c r="D113" i="5"/>
  <c r="D112" i="5"/>
  <c r="Q4" i="18"/>
  <c r="S4" i="18"/>
  <c r="D72" i="5"/>
  <c r="AC43" i="4"/>
  <c r="K804" i="7"/>
  <c r="C38" i="25"/>
  <c r="C43" i="4"/>
  <c r="K22" i="4"/>
  <c r="K21" i="4"/>
  <c r="F9" i="17"/>
  <c r="F8" i="17"/>
  <c r="F7" i="17"/>
  <c r="B6" i="19"/>
  <c r="B5" i="19"/>
  <c r="D6" i="19"/>
  <c r="D5" i="19"/>
  <c r="S57" i="13"/>
  <c r="S54" i="13"/>
  <c r="P54" i="13"/>
  <c r="S52" i="13"/>
  <c r="E52" i="13"/>
  <c r="S50" i="13"/>
  <c r="R50" i="13"/>
  <c r="S49" i="13"/>
  <c r="R49" i="13"/>
  <c r="S48" i="13"/>
  <c r="R48" i="13"/>
  <c r="E48" i="13"/>
  <c r="E51" i="13" s="1"/>
  <c r="F51" i="13" s="1"/>
  <c r="S47" i="13"/>
  <c r="R47" i="13"/>
  <c r="F47" i="13"/>
  <c r="S45" i="13"/>
  <c r="E44" i="13"/>
  <c r="E43" i="13" s="1"/>
  <c r="S43" i="13"/>
  <c r="S42" i="13"/>
  <c r="Y41" i="13"/>
  <c r="S35" i="13"/>
  <c r="E30" i="13"/>
  <c r="E36" i="13" s="1"/>
  <c r="P26" i="13"/>
  <c r="S56" i="13" s="1"/>
  <c r="L26" i="13"/>
  <c r="M24" i="13" s="1"/>
  <c r="Q25" i="13"/>
  <c r="Q26" i="13" s="1"/>
  <c r="Q27" i="13" s="1"/>
  <c r="N25" i="13"/>
  <c r="Q24" i="13"/>
  <c r="N24" i="13"/>
  <c r="E7" i="13" s="1"/>
  <c r="E20" i="13"/>
  <c r="S53" i="13" s="1"/>
  <c r="K16" i="13"/>
  <c r="E23" i="13" s="1"/>
  <c r="G16" i="13"/>
  <c r="E16" i="13"/>
  <c r="G12" i="13"/>
  <c r="E12" i="13"/>
  <c r="K7" i="13"/>
  <c r="G7" i="13"/>
  <c r="G5" i="13"/>
  <c r="H27" i="13" s="1"/>
  <c r="F5" i="13"/>
  <c r="E4" i="13"/>
  <c r="F4" i="13" s="1"/>
  <c r="B2" i="13"/>
  <c r="A17" i="28" l="1"/>
  <c r="A18" i="28" s="1"/>
  <c r="A19" i="28"/>
  <c r="A20" i="28" s="1"/>
  <c r="A21" i="28" s="1"/>
  <c r="A22" i="28" s="1"/>
  <c r="A23" i="28" s="1"/>
  <c r="L38" i="27"/>
  <c r="G38" i="27"/>
  <c r="S55" i="13"/>
  <c r="S58" i="13" s="1"/>
  <c r="E32" i="13"/>
  <c r="E34" i="13" s="1"/>
  <c r="H7" i="13"/>
  <c r="E54" i="13" s="1"/>
  <c r="E55" i="13" s="1"/>
  <c r="S46" i="13"/>
  <c r="S44" i="13" s="1"/>
  <c r="E6" i="13"/>
  <c r="S51" i="13"/>
  <c r="M26" i="13"/>
  <c r="F19" i="13"/>
  <c r="E46" i="13"/>
  <c r="Y44" i="13"/>
  <c r="S60" i="13"/>
  <c r="Y38" i="13" s="1"/>
  <c r="F12" i="13"/>
  <c r="P29" i="13"/>
  <c r="E18" i="13"/>
  <c r="M25" i="13"/>
  <c r="N26" i="13"/>
  <c r="O24" i="13" s="1"/>
  <c r="E31" i="13"/>
  <c r="E15" i="13"/>
  <c r="Y37" i="13" l="1"/>
  <c r="O25" i="13"/>
  <c r="F11" i="13"/>
  <c r="E24" i="13"/>
  <c r="F13" i="13"/>
  <c r="F9" i="13"/>
  <c r="E25" i="13"/>
  <c r="F8" i="13"/>
  <c r="G19" i="13"/>
  <c r="G21" i="13" s="1"/>
  <c r="S41" i="13"/>
  <c r="S40" i="13" s="1"/>
  <c r="F10" i="13"/>
  <c r="E29" i="13"/>
  <c r="E35" i="13"/>
  <c r="E26" i="13"/>
  <c r="F31" i="13" s="1"/>
  <c r="F7" i="13"/>
  <c r="E37" i="13"/>
  <c r="Y40" i="13" s="1"/>
  <c r="N3" i="13"/>
  <c r="E39" i="13" l="1"/>
  <c r="Y39" i="13"/>
  <c r="Y42" i="13" s="1"/>
  <c r="S39" i="13"/>
  <c r="Y36" i="13"/>
  <c r="S36" i="13"/>
  <c r="G23" i="13"/>
  <c r="F17" i="13"/>
  <c r="F16" i="13"/>
  <c r="E27" i="13"/>
  <c r="I11" i="13"/>
  <c r="E53" i="13"/>
  <c r="R27" i="13"/>
  <c r="L3" i="13"/>
  <c r="M3" i="13" s="1"/>
  <c r="G26" i="13"/>
  <c r="R25" i="13"/>
  <c r="F30" i="13"/>
  <c r="I15" i="13"/>
  <c r="I7" i="13"/>
  <c r="R28" i="13"/>
  <c r="I12" i="13"/>
  <c r="R24" i="13"/>
  <c r="F29" i="13"/>
  <c r="O26" i="13"/>
  <c r="R26" i="13" l="1"/>
  <c r="R29" i="13" s="1"/>
  <c r="S38" i="13"/>
  <c r="S37" i="13" s="1"/>
  <c r="S59" i="13"/>
  <c r="AA42" i="13"/>
  <c r="E40" i="13"/>
  <c r="E41" i="13" s="1"/>
  <c r="G39" i="13"/>
  <c r="S61" i="13"/>
  <c r="G38" i="13"/>
  <c r="S63" i="13" l="1"/>
  <c r="S62" i="13" s="1"/>
  <c r="E50" i="13"/>
  <c r="F42" i="13"/>
  <c r="G40" i="13"/>
  <c r="F49" i="13" l="1"/>
  <c r="Y45" i="13"/>
  <c r="S64" i="13"/>
  <c r="F20" i="13"/>
  <c r="F18" i="13" s="1"/>
  <c r="E49" i="13"/>
  <c r="G50" i="13"/>
  <c r="AA48" i="13" l="1"/>
  <c r="Y47" i="13"/>
  <c r="Y43" i="13"/>
  <c r="Y46" i="13" s="1"/>
  <c r="E45" i="25" l="1"/>
  <c r="D45" i="25"/>
  <c r="M31" i="25"/>
  <c r="M14" i="25"/>
  <c r="M4" i="25"/>
  <c r="E5" i="19"/>
  <c r="E6" i="19"/>
  <c r="X6" i="19" s="1"/>
  <c r="M6" i="19"/>
  <c r="K6" i="19"/>
  <c r="M5" i="19"/>
  <c r="K5" i="19"/>
  <c r="D7" i="19"/>
  <c r="O6" i="19"/>
  <c r="G6" i="19"/>
  <c r="X5" i="19"/>
  <c r="O5" i="19"/>
  <c r="E41" i="25"/>
  <c r="G5" i="19"/>
  <c r="E47" i="25" l="1"/>
  <c r="D39" i="25"/>
  <c r="E39" i="25"/>
  <c r="E42" i="25" s="1"/>
  <c r="G648" i="7" s="1"/>
  <c r="D41" i="25"/>
  <c r="D47" i="25" s="1"/>
  <c r="D42" i="25" l="1" a="1"/>
  <c r="D42" i="25" s="1"/>
  <c r="G644" i="7" s="1"/>
  <c r="D73" i="5" l="1"/>
  <c r="D93" i="5" l="1"/>
  <c r="F7" i="22" l="1"/>
  <c r="G7" i="22" s="1"/>
  <c r="E19" i="26" l="1"/>
  <c r="E18" i="26"/>
  <c r="E17" i="26"/>
  <c r="E16" i="26"/>
  <c r="E15" i="26"/>
  <c r="E14" i="26"/>
  <c r="E13" i="26"/>
  <c r="E10" i="26"/>
  <c r="E8" i="26"/>
  <c r="E7" i="26"/>
  <c r="E3" i="26"/>
  <c r="E4" i="26"/>
  <c r="E5" i="26"/>
  <c r="E2" i="26"/>
  <c r="D7" i="25"/>
  <c r="K120" i="7"/>
  <c r="O22" i="25"/>
  <c r="K6" i="25"/>
  <c r="N5" i="25"/>
  <c r="M5" i="25"/>
  <c r="L5" i="25"/>
  <c r="K5" i="25"/>
  <c r="E20" i="26" l="1"/>
  <c r="F20" i="26" s="1"/>
  <c r="K4175" i="7" s="1"/>
  <c r="E9" i="26"/>
  <c r="F9" i="26" s="1"/>
  <c r="K4171" i="7" s="1"/>
  <c r="E6" i="26"/>
  <c r="F6" i="26" s="1"/>
  <c r="K4166" i="7" s="1"/>
  <c r="D14" i="4" l="1"/>
  <c r="L4" i="25"/>
  <c r="K4" i="25"/>
  <c r="E31" i="25"/>
  <c r="D31" i="25"/>
  <c r="D32" i="25" s="1"/>
  <c r="L32" i="25" s="1"/>
  <c r="L31" i="25" s="1"/>
  <c r="C31" i="25"/>
  <c r="E22" i="25"/>
  <c r="G22" i="25" s="1"/>
  <c r="D10" i="25"/>
  <c r="C10" i="25"/>
  <c r="E9" i="25"/>
  <c r="C9" i="25"/>
  <c r="E8" i="25"/>
  <c r="D8" i="25"/>
  <c r="C8" i="25"/>
  <c r="E7" i="25"/>
  <c r="E14" i="25" s="1"/>
  <c r="C7" i="25"/>
  <c r="C6" i="25"/>
  <c r="F5" i="25"/>
  <c r="E5" i="25"/>
  <c r="D5" i="25"/>
  <c r="C5" i="25"/>
  <c r="E4" i="25"/>
  <c r="G4" i="25" s="1"/>
  <c r="G32" i="25" l="1"/>
  <c r="E32" i="25"/>
  <c r="M32" i="25" s="1"/>
  <c r="O4" i="25"/>
  <c r="D14" i="25"/>
  <c r="D15" i="25" s="1"/>
  <c r="L15" i="25" s="1"/>
  <c r="L14" i="25" s="1"/>
  <c r="E15" i="25"/>
  <c r="M15" i="25" s="1"/>
  <c r="C32" i="25"/>
  <c r="K32" i="25" s="1"/>
  <c r="K31" i="25" s="1"/>
  <c r="O32" i="25" s="1"/>
  <c r="D15" i="5" s="1"/>
  <c r="C14" i="25"/>
  <c r="G15" i="25" s="1"/>
  <c r="C15" i="25" l="1"/>
  <c r="K15" i="25" s="1"/>
  <c r="K14" i="25" s="1"/>
  <c r="O15" i="25" s="1"/>
  <c r="D14" i="5" s="1"/>
  <c r="H10" i="15" l="1"/>
  <c r="H12" i="15"/>
  <c r="C10" i="15"/>
  <c r="C11" i="15"/>
  <c r="C12" i="15"/>
  <c r="C9" i="15"/>
  <c r="D69" i="5"/>
  <c r="AB53" i="24"/>
  <c r="R53" i="24"/>
  <c r="M53" i="24"/>
  <c r="Z52" i="24"/>
  <c r="Z43" i="24" s="1"/>
  <c r="AA43" i="24" s="1"/>
  <c r="AB43" i="24" s="1"/>
  <c r="R52" i="24"/>
  <c r="R50" i="24" s="1"/>
  <c r="M52" i="24"/>
  <c r="M50" i="24" s="1"/>
  <c r="K52" i="24"/>
  <c r="AB51" i="24"/>
  <c r="R51" i="24"/>
  <c r="M51" i="24"/>
  <c r="D45" i="24"/>
  <c r="W44" i="24"/>
  <c r="V44" i="24"/>
  <c r="F44" i="24"/>
  <c r="E44" i="24" s="1"/>
  <c r="V43" i="24"/>
  <c r="W43" i="24" s="1"/>
  <c r="D43" i="24"/>
  <c r="I38" i="23"/>
  <c r="D38" i="23"/>
  <c r="G38" i="23" s="1"/>
  <c r="H38" i="23" s="1"/>
  <c r="I37" i="23"/>
  <c r="H37" i="23" s="1"/>
  <c r="G37" i="23"/>
  <c r="D37" i="23"/>
  <c r="E37" i="23" s="1"/>
  <c r="I36" i="23"/>
  <c r="I35" i="23"/>
  <c r="I34" i="23"/>
  <c r="E34" i="23" s="1"/>
  <c r="H34" i="23"/>
  <c r="G34" i="23"/>
  <c r="I33" i="23"/>
  <c r="D33" i="23"/>
  <c r="E33" i="23" s="1"/>
  <c r="I32" i="23"/>
  <c r="G32" i="23"/>
  <c r="D32" i="23"/>
  <c r="E32" i="23" s="1"/>
  <c r="I31" i="23"/>
  <c r="I30" i="23"/>
  <c r="I29" i="23"/>
  <c r="I21" i="23"/>
  <c r="E21" i="23"/>
  <c r="D21" i="23"/>
  <c r="G21" i="23" s="1"/>
  <c r="H21" i="23" s="1"/>
  <c r="I20" i="23"/>
  <c r="D20" i="23"/>
  <c r="G20" i="23" s="1"/>
  <c r="H20" i="23" s="1"/>
  <c r="I19" i="23"/>
  <c r="I18" i="23"/>
  <c r="D18" i="23"/>
  <c r="G18" i="23" s="1"/>
  <c r="H18" i="23" s="1"/>
  <c r="I17" i="23"/>
  <c r="D17" i="23"/>
  <c r="G17" i="23" s="1"/>
  <c r="H17" i="23" s="1"/>
  <c r="I16" i="23"/>
  <c r="E16" i="23"/>
  <c r="I15" i="23"/>
  <c r="I14" i="23"/>
  <c r="I13" i="23"/>
  <c r="L4" i="23"/>
  <c r="K4" i="23"/>
  <c r="J4" i="23"/>
  <c r="I4" i="23"/>
  <c r="N4" i="23" s="1"/>
  <c r="O4" i="23" s="1"/>
  <c r="D31" i="23" s="1"/>
  <c r="H4" i="23"/>
  <c r="F4" i="23"/>
  <c r="D29" i="23" s="1"/>
  <c r="L3" i="23"/>
  <c r="K3" i="23"/>
  <c r="J3" i="23"/>
  <c r="I3" i="23"/>
  <c r="N3" i="23" s="1"/>
  <c r="O3" i="23" s="1"/>
  <c r="D15" i="23" s="1"/>
  <c r="H3" i="23"/>
  <c r="F3" i="23"/>
  <c r="D13" i="23" s="1"/>
  <c r="H32" i="23" l="1"/>
  <c r="K43" i="24"/>
  <c r="L43" i="24" s="1"/>
  <c r="M43" i="24" s="1"/>
  <c r="K44" i="24"/>
  <c r="L44" i="24" s="1"/>
  <c r="M44" i="24" s="1"/>
  <c r="P44" i="24"/>
  <c r="Q44" i="24" s="1"/>
  <c r="R44" i="24" s="1"/>
  <c r="P43" i="24"/>
  <c r="Q43" i="24" s="1"/>
  <c r="R43" i="24" s="1"/>
  <c r="Z44" i="24"/>
  <c r="AA44" i="24" s="1"/>
  <c r="AB44" i="24" s="1"/>
  <c r="AB52" i="24"/>
  <c r="AB50" i="24" s="1"/>
  <c r="D19" i="23"/>
  <c r="D14" i="23"/>
  <c r="G13" i="23"/>
  <c r="G31" i="23"/>
  <c r="H31" i="23" s="1"/>
  <c r="E31" i="23"/>
  <c r="E15" i="23"/>
  <c r="G15" i="23"/>
  <c r="H15" i="23" s="1"/>
  <c r="E29" i="23"/>
  <c r="D35" i="23"/>
  <c r="D30" i="23"/>
  <c r="D36" i="23"/>
  <c r="G29" i="23"/>
  <c r="E18" i="23"/>
  <c r="E38" i="23"/>
  <c r="E20" i="23"/>
  <c r="G33" i="23"/>
  <c r="H33" i="23" s="1"/>
  <c r="E17" i="23"/>
  <c r="H44" i="24" l="1"/>
  <c r="H45" i="24" s="1"/>
  <c r="G43" i="24"/>
  <c r="H29" i="23"/>
  <c r="G36" i="23"/>
  <c r="H36" i="23" s="1"/>
  <c r="E36" i="23"/>
  <c r="E30" i="23"/>
  <c r="G30" i="23"/>
  <c r="H30" i="23" s="1"/>
  <c r="E35" i="23"/>
  <c r="G35" i="23"/>
  <c r="H35" i="23" s="1"/>
  <c r="G14" i="23"/>
  <c r="H14" i="23" s="1"/>
  <c r="E14" i="23"/>
  <c r="H13" i="23"/>
  <c r="G23" i="23"/>
  <c r="H3" i="15" s="1"/>
  <c r="H9" i="15" s="1"/>
  <c r="E19" i="23"/>
  <c r="G19" i="23"/>
  <c r="H19" i="23" s="1"/>
  <c r="G45" i="24" l="1"/>
  <c r="F43" i="24"/>
  <c r="G40" i="23"/>
  <c r="H5" i="15" s="1"/>
  <c r="H11" i="15" s="1"/>
  <c r="E43" i="24" l="1"/>
  <c r="E45" i="24" s="1"/>
  <c r="F45" i="24"/>
  <c r="G49" i="24"/>
  <c r="G48" i="24"/>
  <c r="R6" i="19" l="1"/>
  <c r="R5" i="19"/>
  <c r="P6" i="19" l="1"/>
  <c r="L6" i="19"/>
  <c r="N5" i="19"/>
  <c r="N6" i="19"/>
  <c r="H5" i="19"/>
  <c r="Y5" i="19"/>
  <c r="J5" i="19"/>
  <c r="U6" i="19"/>
  <c r="U5" i="19"/>
  <c r="F5" i="19"/>
  <c r="W5" i="19"/>
  <c r="D8" i="19"/>
  <c r="L5" i="19"/>
  <c r="F6" i="19"/>
  <c r="W6" i="19"/>
  <c r="P5" i="19"/>
  <c r="P8" i="19" s="1"/>
  <c r="H6" i="19"/>
  <c r="Y6" i="19"/>
  <c r="J6" i="19"/>
  <c r="N8" i="19" l="1"/>
  <c r="I9" i="19" s="1"/>
  <c r="S5" i="19"/>
  <c r="L8" i="19"/>
  <c r="S6" i="19"/>
  <c r="F8" i="19"/>
  <c r="U8" i="19"/>
  <c r="T8" i="19" s="1"/>
  <c r="Y8" i="19"/>
  <c r="X8" i="19" s="1"/>
  <c r="D92" i="5" s="1"/>
  <c r="H8" i="19"/>
  <c r="W8" i="19"/>
  <c r="R8" i="19"/>
  <c r="J8" i="19"/>
  <c r="V8" i="19" l="1"/>
  <c r="D94" i="5" s="1"/>
  <c r="S8" i="19"/>
  <c r="E9" i="19" l="1"/>
  <c r="E13" i="19" s="1"/>
  <c r="K74" i="7"/>
  <c r="D29" i="17"/>
  <c r="E20" i="17"/>
  <c r="J20" i="17" s="1"/>
  <c r="M20" i="17" s="1"/>
  <c r="E19" i="17"/>
  <c r="J19" i="17" s="1"/>
  <c r="M19" i="17" s="1"/>
  <c r="E18" i="17"/>
  <c r="E17" i="17"/>
  <c r="E16" i="17"/>
  <c r="M15" i="17"/>
  <c r="F15" i="17"/>
  <c r="E15" i="17"/>
  <c r="M14" i="17"/>
  <c r="F14" i="17"/>
  <c r="E14" i="17"/>
  <c r="F13" i="17"/>
  <c r="J13" i="17" s="1"/>
  <c r="E13" i="17"/>
  <c r="M12" i="17"/>
  <c r="F12" i="17"/>
  <c r="E12" i="17"/>
  <c r="M11" i="17"/>
  <c r="F11" i="17"/>
  <c r="E11" i="17"/>
  <c r="F10" i="17"/>
  <c r="J10" i="17" s="1"/>
  <c r="M10" i="17" s="1"/>
  <c r="E10" i="17"/>
  <c r="G9" i="17"/>
  <c r="J9" i="17" s="1"/>
  <c r="M9" i="17" s="1"/>
  <c r="E9" i="17"/>
  <c r="G8" i="17"/>
  <c r="J8" i="17" s="1"/>
  <c r="M8" i="17" s="1"/>
  <c r="E8" i="17"/>
  <c r="G7" i="17"/>
  <c r="J7" i="17" s="1"/>
  <c r="M7" i="17" s="1"/>
  <c r="E7" i="17"/>
  <c r="G6" i="17"/>
  <c r="J6" i="17" s="1"/>
  <c r="M6" i="17" s="1"/>
  <c r="E6" i="17"/>
  <c r="G5" i="17"/>
  <c r="J5" i="17" s="1"/>
  <c r="M5" i="17" s="1"/>
  <c r="E5" i="17"/>
  <c r="G4" i="17"/>
  <c r="J4" i="17" s="1"/>
  <c r="M4" i="17" s="1"/>
  <c r="E4" i="17"/>
  <c r="J3" i="17"/>
  <c r="M3" i="17" s="1"/>
  <c r="F3" i="17"/>
  <c r="F19" i="17" s="1"/>
  <c r="D79" i="5" l="1"/>
  <c r="C21" i="19"/>
  <c r="P14" i="17"/>
  <c r="J16" i="17"/>
  <c r="M16" i="17" s="1"/>
  <c r="P11" i="17"/>
  <c r="F17" i="17"/>
  <c r="J17" i="17" s="1"/>
  <c r="M17" i="17" s="1"/>
  <c r="P15" i="17"/>
  <c r="F22" i="17"/>
  <c r="F18" i="17"/>
  <c r="J18" i="17" s="1"/>
  <c r="M18" i="17" s="1"/>
  <c r="P18" i="17" s="1"/>
  <c r="P12" i="17"/>
  <c r="F16" i="17"/>
  <c r="P19" i="17"/>
  <c r="P8" i="17"/>
  <c r="P3" i="17"/>
  <c r="P6" i="17"/>
  <c r="P17" i="17"/>
  <c r="P4" i="17"/>
  <c r="P9" i="17"/>
  <c r="P7" i="17"/>
  <c r="P5" i="17"/>
  <c r="P10" i="17"/>
  <c r="M13" i="17"/>
  <c r="F20" i="17"/>
  <c r="P20" i="17" s="1"/>
  <c r="F23" i="17"/>
  <c r="F21" i="17"/>
  <c r="P16" i="17" l="1"/>
  <c r="P13" i="17"/>
  <c r="M21" i="17"/>
  <c r="M22" i="17" l="1"/>
  <c r="P21" i="17"/>
  <c r="P22" i="17" l="1"/>
  <c r="M23" i="17"/>
  <c r="P23" i="17" l="1"/>
  <c r="D76" i="5" l="1"/>
  <c r="G4" i="15"/>
  <c r="G10" i="15" s="1"/>
  <c r="I10" i="15" s="1"/>
  <c r="G5" i="15"/>
  <c r="G6" i="15"/>
  <c r="G12" i="15" s="1"/>
  <c r="G3" i="15"/>
  <c r="G9" i="15" s="1"/>
  <c r="F4" i="15"/>
  <c r="F5" i="15"/>
  <c r="F6" i="15"/>
  <c r="F3" i="15"/>
  <c r="K35" i="15"/>
  <c r="I5" i="15" l="1"/>
  <c r="G11" i="15"/>
  <c r="I11" i="15" s="1"/>
  <c r="I4" i="15"/>
  <c r="I3" i="15"/>
  <c r="D12" i="5"/>
  <c r="D17" i="5" l="1"/>
  <c r="H6" i="25" s="1"/>
  <c r="H24" i="25" s="1"/>
  <c r="K24" i="4"/>
  <c r="G17" i="22"/>
  <c r="G16" i="22"/>
  <c r="C15" i="22"/>
  <c r="G15" i="22" s="1"/>
  <c r="F14" i="22"/>
  <c r="G14" i="22" s="1"/>
  <c r="F13" i="22"/>
  <c r="G13" i="22" s="1"/>
  <c r="G9" i="22"/>
  <c r="G8" i="22"/>
  <c r="F6" i="22"/>
  <c r="G6" i="22" s="1"/>
  <c r="H22" i="22" l="1"/>
  <c r="K4283" i="7" s="1"/>
  <c r="K51" i="7" l="1"/>
  <c r="K50" i="7"/>
  <c r="K49" i="7"/>
  <c r="E3" i="16"/>
  <c r="C18" i="15"/>
  <c r="I12" i="15"/>
  <c r="AA43" i="4" l="1"/>
  <c r="Z43" i="4"/>
  <c r="X43" i="4"/>
  <c r="U43" i="4"/>
  <c r="L43" i="4"/>
  <c r="C35" i="4"/>
  <c r="E35" i="4" s="1"/>
  <c r="C33" i="4"/>
  <c r="D13" i="4"/>
  <c r="C34" i="4" l="1"/>
  <c r="AD43" i="4"/>
  <c r="D67" i="4" l="1"/>
  <c r="C67" i="4"/>
  <c r="D43" i="4" l="1"/>
  <c r="AI33" i="4"/>
  <c r="AJ33" i="4" s="1"/>
  <c r="F43" i="4" l="1"/>
  <c r="G43" i="4"/>
  <c r="E43" i="4"/>
  <c r="G14" i="16" l="1"/>
  <c r="F11" i="16"/>
  <c r="D11" i="16"/>
  <c r="E11" i="16" s="1"/>
  <c r="G10" i="16"/>
  <c r="I10" i="16" s="1"/>
  <c r="G8" i="16"/>
  <c r="I8" i="16" s="1"/>
  <c r="G7" i="16"/>
  <c r="I7" i="16" s="1"/>
  <c r="E4" i="16"/>
  <c r="G4" i="16" s="1"/>
  <c r="I4" i="16" s="1"/>
  <c r="E5" i="16"/>
  <c r="G5" i="16" s="1"/>
  <c r="I5" i="16" s="1"/>
  <c r="F27" i="15"/>
  <c r="I27" i="15" s="1"/>
  <c r="F26" i="15"/>
  <c r="E26" i="15"/>
  <c r="F24" i="15"/>
  <c r="F23" i="15"/>
  <c r="F20" i="15"/>
  <c r="I20" i="15" s="1"/>
  <c r="C19" i="15"/>
  <c r="F19" i="15" s="1"/>
  <c r="I19" i="15" s="1"/>
  <c r="I13" i="15"/>
  <c r="F8" i="15"/>
  <c r="G11" i="16" l="1"/>
  <c r="I50" i="7" s="1"/>
  <c r="B16" i="12"/>
  <c r="I26" i="15"/>
  <c r="F18" i="15"/>
  <c r="I18" i="15" s="1"/>
  <c r="I11" i="16"/>
  <c r="I6" i="15"/>
  <c r="I9" i="15"/>
  <c r="I14" i="15" s="1"/>
  <c r="C25" i="15"/>
  <c r="F25" i="15" s="1"/>
  <c r="I25" i="15" s="1"/>
  <c r="E6" i="16"/>
  <c r="G6" i="16" s="1"/>
  <c r="I6" i="16" s="1"/>
  <c r="G3" i="16"/>
  <c r="F14" i="15"/>
  <c r="I7" i="15" l="1"/>
  <c r="G9" i="16"/>
  <c r="I49" i="7" s="1"/>
  <c r="I3" i="16"/>
  <c r="C21" i="15"/>
  <c r="F15" i="15"/>
  <c r="I8" i="15" l="1"/>
  <c r="H8" i="15" s="1"/>
  <c r="M8" i="15" s="1"/>
  <c r="I9" i="16"/>
  <c r="C22" i="15"/>
  <c r="F22" i="15" s="1"/>
  <c r="I22" i="15" s="1"/>
  <c r="F21" i="15"/>
  <c r="I21" i="15" s="1"/>
  <c r="E12" i="16"/>
  <c r="G12" i="16" s="1"/>
  <c r="I51" i="7" s="1"/>
  <c r="I15" i="15" l="1"/>
  <c r="I28" i="15"/>
  <c r="H15" i="15"/>
  <c r="I12" i="16"/>
  <c r="G13" i="16"/>
  <c r="I31" i="15" l="1"/>
  <c r="M15" i="15"/>
  <c r="I31" i="7" s="1"/>
  <c r="K31" i="7"/>
  <c r="I13" i="16"/>
  <c r="I15" i="16" l="1"/>
  <c r="B652" i="11" l="1"/>
  <c r="B598" i="11"/>
  <c r="C571" i="11"/>
  <c r="C569" i="11"/>
  <c r="C567" i="11"/>
  <c r="C565" i="11"/>
  <c r="C563" i="11"/>
  <c r="C561" i="11"/>
  <c r="C559" i="11"/>
  <c r="C557" i="11"/>
  <c r="C555" i="11"/>
  <c r="C553" i="11"/>
  <c r="C551" i="11"/>
  <c r="C549" i="11"/>
  <c r="C547" i="11"/>
  <c r="C545" i="11"/>
  <c r="C543" i="11"/>
  <c r="C541" i="11"/>
  <c r="C537" i="11"/>
  <c r="C536" i="11"/>
  <c r="C534" i="11"/>
  <c r="C532" i="11"/>
  <c r="C530" i="11"/>
  <c r="C525" i="11"/>
  <c r="C518" i="11"/>
  <c r="C517" i="11"/>
  <c r="C513" i="11"/>
  <c r="C512" i="11"/>
  <c r="C511" i="11"/>
  <c r="C506" i="11"/>
  <c r="C505" i="11"/>
  <c r="C504" i="11"/>
  <c r="B500" i="11"/>
  <c r="C486" i="11"/>
  <c r="C484" i="11"/>
  <c r="C482" i="11"/>
  <c r="C480" i="11"/>
  <c r="C478" i="11"/>
  <c r="C476" i="11"/>
  <c r="C474" i="11"/>
  <c r="C472" i="11"/>
  <c r="C468" i="11"/>
  <c r="C467" i="11"/>
  <c r="C465" i="11"/>
  <c r="C463" i="11"/>
  <c r="C461" i="11"/>
  <c r="C456" i="11"/>
  <c r="C449" i="11"/>
  <c r="C448" i="11"/>
  <c r="C444" i="11"/>
  <c r="C443" i="11"/>
  <c r="C442" i="11"/>
  <c r="C437" i="11"/>
  <c r="C436" i="11"/>
  <c r="C435" i="11"/>
  <c r="B431" i="11"/>
  <c r="B644" i="11" s="1"/>
  <c r="C417" i="11"/>
  <c r="C415" i="11"/>
  <c r="C413" i="11"/>
  <c r="C411" i="11"/>
  <c r="C409" i="11"/>
  <c r="C407" i="11"/>
  <c r="C405" i="11"/>
  <c r="C403" i="11"/>
  <c r="C399" i="11"/>
  <c r="C398" i="11"/>
  <c r="C392" i="11"/>
  <c r="C387" i="11"/>
  <c r="C380" i="11"/>
  <c r="C379" i="11"/>
  <c r="C375" i="11"/>
  <c r="C374" i="11"/>
  <c r="C373" i="11"/>
  <c r="C368" i="11"/>
  <c r="C367" i="11"/>
  <c r="C366" i="11"/>
  <c r="B362" i="11"/>
  <c r="B595" i="11" s="1"/>
  <c r="C348" i="11"/>
  <c r="C346" i="11"/>
  <c r="C344" i="11"/>
  <c r="C343" i="11"/>
  <c r="C340" i="11"/>
  <c r="C339" i="11"/>
  <c r="C336" i="11"/>
  <c r="C335" i="11"/>
  <c r="C333" i="11"/>
  <c r="C331" i="11"/>
  <c r="C329" i="11"/>
  <c r="C324" i="11"/>
  <c r="C323" i="11"/>
  <c r="C316" i="11"/>
  <c r="C315" i="11"/>
  <c r="C311" i="11"/>
  <c r="C310" i="11"/>
  <c r="C309" i="11"/>
  <c r="C308" i="11"/>
  <c r="C307" i="11"/>
  <c r="C302" i="11"/>
  <c r="C301" i="11"/>
  <c r="C300" i="11"/>
  <c r="C299" i="11"/>
  <c r="C298" i="11"/>
  <c r="B294" i="11"/>
  <c r="C280" i="11"/>
  <c r="C278" i="11"/>
  <c r="C276" i="11"/>
  <c r="C274" i="11"/>
  <c r="C272" i="11"/>
  <c r="C270" i="11"/>
  <c r="C268" i="11"/>
  <c r="C266" i="11"/>
  <c r="C264" i="11"/>
  <c r="C262" i="11"/>
  <c r="C260" i="11"/>
  <c r="C258" i="11"/>
  <c r="C246" i="11"/>
  <c r="C245" i="11"/>
  <c r="C227" i="11"/>
  <c r="C226" i="11"/>
  <c r="B209" i="11"/>
  <c r="B593" i="11" s="1"/>
  <c r="C195" i="11"/>
  <c r="C193" i="11"/>
  <c r="C191" i="11"/>
  <c r="C158" i="11"/>
  <c r="C157" i="11"/>
  <c r="B140" i="11"/>
  <c r="B592" i="11" s="1"/>
  <c r="C121" i="11"/>
  <c r="C117" i="11"/>
  <c r="C116" i="11"/>
  <c r="C93" i="11"/>
  <c r="C92" i="11"/>
  <c r="B71" i="11"/>
  <c r="B591" i="11" s="1"/>
  <c r="C49" i="11"/>
  <c r="C48" i="11"/>
  <c r="G130" i="10"/>
  <c r="G126" i="10"/>
  <c r="G125" i="10"/>
  <c r="E70" i="10"/>
  <c r="E69" i="10"/>
  <c r="E68" i="10"/>
  <c r="E67" i="10"/>
  <c r="E66" i="10"/>
  <c r="I51" i="10"/>
  <c r="H51" i="10"/>
  <c r="G51" i="10"/>
  <c r="E51" i="10"/>
  <c r="I40" i="10"/>
  <c r="H40" i="10"/>
  <c r="G40" i="10"/>
  <c r="E40" i="10"/>
  <c r="I29" i="10"/>
  <c r="H29" i="10"/>
  <c r="G29" i="10"/>
  <c r="E29" i="10"/>
  <c r="D26" i="10"/>
  <c r="D25" i="10"/>
  <c r="D24" i="10"/>
  <c r="G21" i="10"/>
  <c r="F21" i="10"/>
  <c r="E21" i="10"/>
  <c r="D21" i="10"/>
  <c r="G20" i="10"/>
  <c r="F20" i="10"/>
  <c r="E20" i="10"/>
  <c r="D20" i="10"/>
  <c r="G19" i="10"/>
  <c r="F19" i="10"/>
  <c r="E19" i="10"/>
  <c r="D19" i="10"/>
  <c r="HY4" i="9"/>
  <c r="HW4" i="9"/>
  <c r="HV4" i="9"/>
  <c r="HU4" i="9"/>
  <c r="HT4" i="9"/>
  <c r="HQ4" i="9"/>
  <c r="HP4" i="9"/>
  <c r="HO4" i="9"/>
  <c r="HN4" i="9"/>
  <c r="HM4" i="9"/>
  <c r="HL4" i="9"/>
  <c r="HI4" i="9"/>
  <c r="HG4" i="9"/>
  <c r="HF4" i="9"/>
  <c r="HE4" i="9"/>
  <c r="HD4" i="9"/>
  <c r="HA4" i="9"/>
  <c r="GZ4" i="9"/>
  <c r="GY4" i="9"/>
  <c r="GX4" i="9"/>
  <c r="GW4" i="9"/>
  <c r="GV4" i="9"/>
  <c r="GS4" i="9"/>
  <c r="GQ4" i="9"/>
  <c r="GP4" i="9"/>
  <c r="GO4" i="9"/>
  <c r="GN4" i="9"/>
  <c r="GK4" i="9"/>
  <c r="GJ4" i="9"/>
  <c r="GI4" i="9"/>
  <c r="GH4" i="9"/>
  <c r="GG4" i="9"/>
  <c r="GF4" i="9"/>
  <c r="GC4" i="9"/>
  <c r="GA4" i="9"/>
  <c r="FZ4" i="9"/>
  <c r="FY4" i="9"/>
  <c r="FX4" i="9"/>
  <c r="FU4" i="9"/>
  <c r="FT4" i="9"/>
  <c r="FS4" i="9"/>
  <c r="FR4" i="9"/>
  <c r="FQ4" i="9"/>
  <c r="FP4" i="9"/>
  <c r="FM4" i="9"/>
  <c r="FK4" i="9"/>
  <c r="FJ4" i="9"/>
  <c r="FI4" i="9"/>
  <c r="FH4" i="9"/>
  <c r="FE4" i="9"/>
  <c r="FD4" i="9"/>
  <c r="FC4" i="9"/>
  <c r="FB4" i="9"/>
  <c r="FA4" i="9"/>
  <c r="EZ4" i="9"/>
  <c r="EW4" i="9"/>
  <c r="EU4" i="9"/>
  <c r="ET4" i="9"/>
  <c r="ES4" i="9"/>
  <c r="ER4" i="9"/>
  <c r="EO4" i="9"/>
  <c r="EN4" i="9"/>
  <c r="EM4" i="9"/>
  <c r="EL4" i="9"/>
  <c r="EK4" i="9"/>
  <c r="EJ4" i="9"/>
  <c r="EG4" i="9"/>
  <c r="EE4" i="9"/>
  <c r="ED4" i="9"/>
  <c r="EC4" i="9"/>
  <c r="EB4" i="9"/>
  <c r="DY4" i="9"/>
  <c r="DX4" i="9"/>
  <c r="DW4" i="9"/>
  <c r="DV4" i="9"/>
  <c r="DU4" i="9"/>
  <c r="DT4" i="9"/>
  <c r="DQ4" i="9"/>
  <c r="DO4" i="9"/>
  <c r="DN4" i="9"/>
  <c r="DM4" i="9"/>
  <c r="DL4" i="9"/>
  <c r="DI4" i="9"/>
  <c r="DH4" i="9"/>
  <c r="DG4" i="9"/>
  <c r="DF4" i="9"/>
  <c r="DE4" i="9"/>
  <c r="DD4" i="9"/>
  <c r="CY4" i="9"/>
  <c r="CX4" i="9"/>
  <c r="CW4" i="9"/>
  <c r="CV4" i="9"/>
  <c r="CS4" i="9"/>
  <c r="CR4" i="9"/>
  <c r="CQ4" i="9"/>
  <c r="CP4" i="9"/>
  <c r="CI4" i="9"/>
  <c r="CH4" i="9"/>
  <c r="CG4" i="9"/>
  <c r="CF4" i="9"/>
  <c r="CC4" i="9"/>
  <c r="CB4" i="9"/>
  <c r="CA4" i="9"/>
  <c r="BZ4" i="9"/>
  <c r="BS4" i="9"/>
  <c r="BR4" i="9"/>
  <c r="BQ4" i="9"/>
  <c r="BP4" i="9"/>
  <c r="BM4" i="9"/>
  <c r="BL4" i="9"/>
  <c r="BK4" i="9"/>
  <c r="BJ4" i="9"/>
  <c r="BG4" i="9"/>
  <c r="BF4" i="9"/>
  <c r="BB4" i="9"/>
  <c r="BA4" i="9"/>
  <c r="AZ4" i="9"/>
  <c r="AY4" i="9"/>
  <c r="H4" i="9"/>
  <c r="H150" i="8"/>
  <c r="E150" i="8"/>
  <c r="D150" i="8"/>
  <c r="E149" i="8"/>
  <c r="D149" i="8"/>
  <c r="H148" i="8"/>
  <c r="E148" i="8"/>
  <c r="D148" i="8"/>
  <c r="E147" i="8"/>
  <c r="D147" i="8"/>
  <c r="H146" i="8"/>
  <c r="G146" i="8"/>
  <c r="E146" i="8"/>
  <c r="D146" i="8"/>
  <c r="E145" i="8"/>
  <c r="D145" i="8"/>
  <c r="G144" i="8"/>
  <c r="G148" i="8" s="1"/>
  <c r="F144" i="8"/>
  <c r="F146" i="8" s="1"/>
  <c r="E144" i="8"/>
  <c r="D144" i="8"/>
  <c r="F139" i="8"/>
  <c r="F138" i="8"/>
  <c r="F137" i="8"/>
  <c r="F136" i="8"/>
  <c r="D132" i="8"/>
  <c r="D131" i="8"/>
  <c r="D130" i="8"/>
  <c r="F96" i="8"/>
  <c r="E96" i="8"/>
  <c r="D96" i="8"/>
  <c r="D93" i="8"/>
  <c r="F93" i="8" s="1"/>
  <c r="D92" i="8"/>
  <c r="H145" i="8" s="1"/>
  <c r="D91" i="8"/>
  <c r="F91" i="8" s="1"/>
  <c r="D90" i="8"/>
  <c r="F90" i="8" s="1"/>
  <c r="E87" i="8"/>
  <c r="D87" i="8"/>
  <c r="D83" i="8"/>
  <c r="H147" i="8" s="1"/>
  <c r="D82" i="8"/>
  <c r="F82" i="8" s="1"/>
  <c r="D81" i="8"/>
  <c r="F78" i="8"/>
  <c r="E78" i="8"/>
  <c r="D78" i="8"/>
  <c r="D75" i="8"/>
  <c r="F75" i="8" s="1"/>
  <c r="F74" i="8"/>
  <c r="D74" i="8"/>
  <c r="H149" i="8" s="1"/>
  <c r="D73" i="8"/>
  <c r="G149" i="8" s="1"/>
  <c r="D72" i="8"/>
  <c r="E69" i="8"/>
  <c r="D64" i="8"/>
  <c r="F64" i="8" s="1"/>
  <c r="D63" i="8"/>
  <c r="D62" i="8"/>
  <c r="D61" i="8"/>
  <c r="D60" i="8"/>
  <c r="D143" i="8" s="1"/>
  <c r="I55" i="8"/>
  <c r="H55" i="8"/>
  <c r="G55" i="8"/>
  <c r="E55" i="8"/>
  <c r="I47" i="8"/>
  <c r="H47" i="8"/>
  <c r="G47" i="8"/>
  <c r="E47" i="8"/>
  <c r="I39" i="8"/>
  <c r="H39" i="8"/>
  <c r="G39" i="8"/>
  <c r="E39" i="8"/>
  <c r="D29" i="8"/>
  <c r="D28" i="8"/>
  <c r="D27" i="8"/>
  <c r="G24" i="8"/>
  <c r="F24" i="8"/>
  <c r="E24" i="8"/>
  <c r="D24" i="8"/>
  <c r="G23" i="8"/>
  <c r="F23" i="8"/>
  <c r="E23" i="8"/>
  <c r="D23" i="8"/>
  <c r="G22" i="8"/>
  <c r="F22" i="8"/>
  <c r="E22" i="8"/>
  <c r="D22" i="8"/>
  <c r="M4309" i="7"/>
  <c r="M4308" i="7" s="1"/>
  <c r="D4303" i="7"/>
  <c r="I4303" i="7" s="1"/>
  <c r="M4303" i="7" s="1"/>
  <c r="M4302" i="7" s="1"/>
  <c r="D4302" i="7"/>
  <c r="D4301" i="7"/>
  <c r="I4301" i="7" s="1"/>
  <c r="M4301" i="7" s="1"/>
  <c r="D4300" i="7"/>
  <c r="D4299" i="7"/>
  <c r="I4299" i="7" s="1"/>
  <c r="M4299" i="7" s="1"/>
  <c r="M4298" i="7" s="1"/>
  <c r="D4298" i="7"/>
  <c r="D4297" i="7"/>
  <c r="I4297" i="7" s="1"/>
  <c r="M4297" i="7" s="1"/>
  <c r="D4296" i="7"/>
  <c r="D4295" i="7"/>
  <c r="I4295" i="7" s="1"/>
  <c r="M4295" i="7" s="1"/>
  <c r="D4294" i="7"/>
  <c r="I4294" i="7" s="1"/>
  <c r="M4294" i="7" s="1"/>
  <c r="D4293" i="7"/>
  <c r="I4293" i="7" s="1"/>
  <c r="M4293" i="7" s="1"/>
  <c r="D4292" i="7"/>
  <c r="I4292" i="7" s="1"/>
  <c r="M4292" i="7" s="1"/>
  <c r="D4291" i="7"/>
  <c r="I4291" i="7" s="1"/>
  <c r="M4291" i="7" s="1"/>
  <c r="D4290" i="7"/>
  <c r="D4289" i="7"/>
  <c r="I4289" i="7" s="1"/>
  <c r="M4289" i="7" s="1"/>
  <c r="D4288" i="7"/>
  <c r="I4288" i="7" s="1"/>
  <c r="M4288" i="7" s="1"/>
  <c r="D4287" i="7"/>
  <c r="I4287" i="7" s="1"/>
  <c r="M4287" i="7" s="1"/>
  <c r="D4286" i="7"/>
  <c r="I4286" i="7" s="1"/>
  <c r="M4286" i="7" s="1"/>
  <c r="D4285" i="7"/>
  <c r="I4285" i="7" s="1"/>
  <c r="M4285" i="7" s="1"/>
  <c r="D4284" i="7"/>
  <c r="I4284" i="7" s="1"/>
  <c r="M4284" i="7" s="1"/>
  <c r="D4283" i="7"/>
  <c r="I4283" i="7" s="1"/>
  <c r="M4283" i="7" s="1"/>
  <c r="D4282" i="7"/>
  <c r="D4281" i="7"/>
  <c r="N4251" i="7"/>
  <c r="D4251" i="7"/>
  <c r="I4251" i="7" s="1"/>
  <c r="M4251" i="7" s="1"/>
  <c r="C44" i="6" s="1"/>
  <c r="P4240" i="7"/>
  <c r="N4240" i="7"/>
  <c r="P4239" i="7"/>
  <c r="N4239" i="7"/>
  <c r="D4239" i="7" s="1"/>
  <c r="P4238" i="7"/>
  <c r="N4238" i="7"/>
  <c r="M4238" i="7"/>
  <c r="P4237" i="7"/>
  <c r="N4237" i="7"/>
  <c r="D4237" i="7" s="1"/>
  <c r="M4237" i="7"/>
  <c r="P4236" i="7"/>
  <c r="N4236" i="7"/>
  <c r="D4236" i="7" s="1"/>
  <c r="I4236" i="7" s="1"/>
  <c r="M4236" i="7" s="1"/>
  <c r="P4235" i="7"/>
  <c r="N4235" i="7"/>
  <c r="D4235" i="7" s="1"/>
  <c r="P4234" i="7"/>
  <c r="N4234" i="7"/>
  <c r="D4234" i="7" s="1"/>
  <c r="I4234" i="7" s="1"/>
  <c r="M4234" i="7" s="1"/>
  <c r="O4234" i="7" s="1"/>
  <c r="P4233" i="7"/>
  <c r="N4233" i="7"/>
  <c r="D4233" i="7" s="1"/>
  <c r="I4233" i="7" s="1"/>
  <c r="M4233" i="7" s="1"/>
  <c r="P4232" i="7"/>
  <c r="N4232" i="7"/>
  <c r="D4232" i="7" s="1"/>
  <c r="I4232" i="7" s="1"/>
  <c r="M4232" i="7" s="1"/>
  <c r="P4231" i="7"/>
  <c r="N4231" i="7"/>
  <c r="D4231" i="7" s="1"/>
  <c r="P4230" i="7"/>
  <c r="N4230" i="7"/>
  <c r="D4230" i="7" s="1"/>
  <c r="I4230" i="7" s="1"/>
  <c r="M4230" i="7" s="1"/>
  <c r="P4229" i="7"/>
  <c r="N4229" i="7"/>
  <c r="D4229" i="7" s="1"/>
  <c r="I4229" i="7" s="1"/>
  <c r="M4229" i="7" s="1"/>
  <c r="P4228" i="7"/>
  <c r="N4228" i="7"/>
  <c r="D4228" i="7" s="1"/>
  <c r="I4228" i="7" s="1"/>
  <c r="M4228" i="7" s="1"/>
  <c r="P4227" i="7"/>
  <c r="N4227" i="7"/>
  <c r="D4227" i="7" s="1"/>
  <c r="I4227" i="7" s="1"/>
  <c r="M4227" i="7" s="1"/>
  <c r="P4226" i="7"/>
  <c r="N4226" i="7"/>
  <c r="D4226" i="7" s="1"/>
  <c r="I4226" i="7" s="1"/>
  <c r="M4226" i="7" s="1"/>
  <c r="O4226" i="7" s="1"/>
  <c r="P4225" i="7"/>
  <c r="N4225" i="7"/>
  <c r="D4225" i="7" s="1"/>
  <c r="I4225" i="7" s="1"/>
  <c r="M4225" i="7" s="1"/>
  <c r="P4224" i="7"/>
  <c r="N4224" i="7"/>
  <c r="D4224" i="7" s="1"/>
  <c r="I4224" i="7" s="1"/>
  <c r="M4224" i="7" s="1"/>
  <c r="P4223" i="7"/>
  <c r="N4223" i="7"/>
  <c r="D4223" i="7" s="1"/>
  <c r="P4222" i="7"/>
  <c r="N4222" i="7"/>
  <c r="D4222" i="7"/>
  <c r="I4222" i="7" s="1"/>
  <c r="M4222" i="7" s="1"/>
  <c r="P4221" i="7"/>
  <c r="N4221" i="7"/>
  <c r="D4221" i="7"/>
  <c r="P4220" i="7"/>
  <c r="N4220" i="7"/>
  <c r="D4220" i="7"/>
  <c r="I4220" i="7" s="1"/>
  <c r="M4220" i="7" s="1"/>
  <c r="P4219" i="7"/>
  <c r="N4219" i="7"/>
  <c r="D4219" i="7"/>
  <c r="P4218" i="7"/>
  <c r="N4218" i="7"/>
  <c r="D4218" i="7"/>
  <c r="I4218" i="7" s="1"/>
  <c r="M4218" i="7" s="1"/>
  <c r="P4217" i="7"/>
  <c r="N4217" i="7"/>
  <c r="D4217" i="7"/>
  <c r="I4217" i="7" s="1"/>
  <c r="M4217" i="7" s="1"/>
  <c r="P4216" i="7"/>
  <c r="N4216" i="7"/>
  <c r="D4216" i="7"/>
  <c r="P4215" i="7"/>
  <c r="N4215" i="7"/>
  <c r="D4215" i="7"/>
  <c r="I4215" i="7" s="1"/>
  <c r="M4215" i="7" s="1"/>
  <c r="P4214" i="7"/>
  <c r="N4214" i="7"/>
  <c r="D4214" i="7"/>
  <c r="P4213" i="7"/>
  <c r="N4213" i="7"/>
  <c r="D4213" i="7"/>
  <c r="I4213" i="7" s="1"/>
  <c r="M4213" i="7" s="1"/>
  <c r="P4212" i="7"/>
  <c r="N4212" i="7"/>
  <c r="D4212" i="7"/>
  <c r="I4212" i="7" s="1"/>
  <c r="M4212" i="7" s="1"/>
  <c r="P4211" i="7"/>
  <c r="N4211" i="7"/>
  <c r="D4211" i="7"/>
  <c r="I4211" i="7" s="1"/>
  <c r="M4211" i="7" s="1"/>
  <c r="P4210" i="7"/>
  <c r="N4210" i="7"/>
  <c r="D4210" i="7"/>
  <c r="I4210" i="7" s="1"/>
  <c r="M4210" i="7" s="1"/>
  <c r="P4209" i="7"/>
  <c r="N4209" i="7"/>
  <c r="D4209" i="7"/>
  <c r="I4209" i="7" s="1"/>
  <c r="M4209" i="7" s="1"/>
  <c r="P4208" i="7"/>
  <c r="N4208" i="7"/>
  <c r="D4208" i="7"/>
  <c r="P4207" i="7"/>
  <c r="N4207" i="7"/>
  <c r="D4207" i="7"/>
  <c r="I4207" i="7" s="1"/>
  <c r="M4207" i="7" s="1"/>
  <c r="P4206" i="7"/>
  <c r="N4206" i="7"/>
  <c r="D4206" i="7"/>
  <c r="I4206" i="7" s="1"/>
  <c r="M4206" i="7" s="1"/>
  <c r="P4205" i="7"/>
  <c r="N4205" i="7"/>
  <c r="D4205" i="7"/>
  <c r="I4205" i="7" s="1"/>
  <c r="M4205" i="7" s="1"/>
  <c r="P4204" i="7"/>
  <c r="N4204" i="7"/>
  <c r="D4204" i="7"/>
  <c r="P4203" i="7"/>
  <c r="N4203" i="7"/>
  <c r="D4203" i="7"/>
  <c r="P4202" i="7"/>
  <c r="N4202" i="7"/>
  <c r="D4202" i="7"/>
  <c r="I4202" i="7" s="1"/>
  <c r="M4202" i="7" s="1"/>
  <c r="P4201" i="7"/>
  <c r="N4201" i="7"/>
  <c r="D4201" i="7"/>
  <c r="I4201" i="7" s="1"/>
  <c r="M4201" i="7" s="1"/>
  <c r="P4200" i="7"/>
  <c r="N4200" i="7"/>
  <c r="D4200" i="7"/>
  <c r="I4200" i="7" s="1"/>
  <c r="M4200" i="7" s="1"/>
  <c r="P4199" i="7"/>
  <c r="N4199" i="7"/>
  <c r="D4199" i="7"/>
  <c r="I4199" i="7" s="1"/>
  <c r="M4199" i="7" s="1"/>
  <c r="P4198" i="7"/>
  <c r="N4198" i="7"/>
  <c r="D4198" i="7"/>
  <c r="I4198" i="7" s="1"/>
  <c r="M4198" i="7" s="1"/>
  <c r="P4197" i="7"/>
  <c r="N4197" i="7"/>
  <c r="D4197" i="7"/>
  <c r="I4197" i="7" s="1"/>
  <c r="M4197" i="7" s="1"/>
  <c r="P4196" i="7"/>
  <c r="N4196" i="7"/>
  <c r="D4196" i="7"/>
  <c r="I4196" i="7" s="1"/>
  <c r="M4196" i="7" s="1"/>
  <c r="P4195" i="7"/>
  <c r="N4195" i="7"/>
  <c r="D4195" i="7"/>
  <c r="I4195" i="7" s="1"/>
  <c r="M4195" i="7" s="1"/>
  <c r="P4194" i="7"/>
  <c r="N4194" i="7"/>
  <c r="D4194" i="7"/>
  <c r="P4193" i="7"/>
  <c r="N4193" i="7"/>
  <c r="D4193" i="7"/>
  <c r="I4193" i="7" s="1"/>
  <c r="M4193" i="7" s="1"/>
  <c r="P4192" i="7"/>
  <c r="N4192" i="7"/>
  <c r="D4192" i="7"/>
  <c r="I4192" i="7" s="1"/>
  <c r="M4192" i="7" s="1"/>
  <c r="P4191" i="7"/>
  <c r="N4191" i="7"/>
  <c r="D4191" i="7"/>
  <c r="P4190" i="7"/>
  <c r="N4190" i="7"/>
  <c r="D33" i="6" s="1"/>
  <c r="F33" i="6" s="1"/>
  <c r="K4190" i="7"/>
  <c r="D4190" i="7"/>
  <c r="M4185" i="7"/>
  <c r="D4182" i="7"/>
  <c r="I4182" i="7" s="1"/>
  <c r="M4182" i="7" s="1"/>
  <c r="D4174" i="7"/>
  <c r="I4174" i="7" s="1"/>
  <c r="M4174" i="7" s="1"/>
  <c r="G4162" i="7"/>
  <c r="M4158" i="7"/>
  <c r="M4157" i="7"/>
  <c r="M4156" i="7"/>
  <c r="M4155" i="7"/>
  <c r="M4154" i="7"/>
  <c r="M4153" i="7"/>
  <c r="M4152" i="7"/>
  <c r="M4148" i="7"/>
  <c r="M4147" i="7"/>
  <c r="M4127" i="7"/>
  <c r="M4126" i="7"/>
  <c r="M4125" i="7"/>
  <c r="I4084" i="7"/>
  <c r="I4085" i="7" s="1"/>
  <c r="M4083" i="7"/>
  <c r="M4079" i="7"/>
  <c r="M4052" i="7"/>
  <c r="M4051" i="7"/>
  <c r="M4050" i="7"/>
  <c r="M4048" i="7"/>
  <c r="M4047" i="7"/>
  <c r="M4046" i="7"/>
  <c r="M4043" i="7"/>
  <c r="I4043" i="7"/>
  <c r="M4042" i="7"/>
  <c r="I4040" i="7"/>
  <c r="M4039" i="7"/>
  <c r="M4033" i="7"/>
  <c r="M3960" i="7"/>
  <c r="M3959" i="7"/>
  <c r="G3958" i="7"/>
  <c r="G3946" i="7"/>
  <c r="G3939" i="7"/>
  <c r="G3940" i="7" s="1"/>
  <c r="M3935" i="7"/>
  <c r="M3934" i="7"/>
  <c r="M3933" i="7"/>
  <c r="I3931" i="7"/>
  <c r="M3931" i="7" s="1"/>
  <c r="M3930" i="7"/>
  <c r="I3928" i="7"/>
  <c r="M3928" i="7" s="1"/>
  <c r="M3927" i="7"/>
  <c r="I3925" i="7"/>
  <c r="M3925" i="7" s="1"/>
  <c r="M3924" i="7"/>
  <c r="I3922" i="7"/>
  <c r="M3922" i="7" s="1"/>
  <c r="M3921" i="7"/>
  <c r="M3919" i="7"/>
  <c r="I3919" i="7"/>
  <c r="M3918" i="7"/>
  <c r="G3911" i="7"/>
  <c r="G3912" i="7" s="1"/>
  <c r="G3908" i="7"/>
  <c r="G3906" i="7"/>
  <c r="G3901" i="7"/>
  <c r="G3902" i="7" s="1"/>
  <c r="G3903" i="7" s="1"/>
  <c r="G3898" i="7"/>
  <c r="M3891" i="7"/>
  <c r="M3890" i="7"/>
  <c r="M3889" i="7"/>
  <c r="M3885" i="7"/>
  <c r="M3884" i="7"/>
  <c r="M3868" i="7"/>
  <c r="M3867" i="7"/>
  <c r="I3824" i="7"/>
  <c r="I3825" i="7" s="1"/>
  <c r="M3825" i="7" s="1"/>
  <c r="M3823" i="7"/>
  <c r="M3819" i="7"/>
  <c r="M3792" i="7"/>
  <c r="M3791" i="7"/>
  <c r="M3789" i="7" s="1"/>
  <c r="M3790" i="7"/>
  <c r="M3788" i="7"/>
  <c r="M3787" i="7"/>
  <c r="M3786" i="7"/>
  <c r="I3783" i="7"/>
  <c r="M3783" i="7" s="1"/>
  <c r="M3782" i="7"/>
  <c r="I3780" i="7"/>
  <c r="M3780" i="7" s="1"/>
  <c r="M3779" i="7"/>
  <c r="M3773" i="7"/>
  <c r="I3767" i="7"/>
  <c r="M3767" i="7" s="1"/>
  <c r="M3766" i="7"/>
  <c r="M3733" i="7"/>
  <c r="M3732" i="7"/>
  <c r="G3731" i="7"/>
  <c r="G3719" i="7"/>
  <c r="G3712" i="7"/>
  <c r="G3713" i="7" s="1"/>
  <c r="M3708" i="7"/>
  <c r="M3707" i="7"/>
  <c r="M3706" i="7"/>
  <c r="I3704" i="7"/>
  <c r="M3704" i="7" s="1"/>
  <c r="M3703" i="7"/>
  <c r="I3701" i="7"/>
  <c r="M3701" i="7" s="1"/>
  <c r="M3700" i="7"/>
  <c r="M3698" i="7"/>
  <c r="I3698" i="7"/>
  <c r="M3697" i="7"/>
  <c r="I3695" i="7"/>
  <c r="M3694" i="7"/>
  <c r="I3692" i="7"/>
  <c r="M3692" i="7" s="1"/>
  <c r="M3690" i="7" s="1"/>
  <c r="M3691" i="7"/>
  <c r="G3685" i="7"/>
  <c r="G3684" i="7"/>
  <c r="G3681" i="7"/>
  <c r="G3679" i="7"/>
  <c r="G3674" i="7"/>
  <c r="G3675" i="7" s="1"/>
  <c r="G3671" i="7"/>
  <c r="M3664" i="7"/>
  <c r="M3663" i="7"/>
  <c r="M3662" i="7"/>
  <c r="M3658" i="7"/>
  <c r="M3657" i="7"/>
  <c r="M3641" i="7"/>
  <c r="M3640" i="7"/>
  <c r="M3597" i="7"/>
  <c r="I3597" i="7"/>
  <c r="I3598" i="7" s="1"/>
  <c r="M3596" i="7"/>
  <c r="M3592" i="7"/>
  <c r="M3565" i="7"/>
  <c r="M3564" i="7"/>
  <c r="M3563" i="7"/>
  <c r="M3561" i="7"/>
  <c r="M3560" i="7"/>
  <c r="M3559" i="7"/>
  <c r="I3556" i="7"/>
  <c r="M3556" i="7" s="1"/>
  <c r="M3555" i="7"/>
  <c r="I3553" i="7"/>
  <c r="M3553" i="7" s="1"/>
  <c r="M3552" i="7"/>
  <c r="M3546" i="7"/>
  <c r="I3540" i="7"/>
  <c r="M3540" i="7" s="1"/>
  <c r="M3539" i="7"/>
  <c r="M3506" i="7"/>
  <c r="M3505" i="7"/>
  <c r="G3504" i="7"/>
  <c r="G3492" i="7"/>
  <c r="G3485" i="7"/>
  <c r="G3486" i="7" s="1"/>
  <c r="M3481" i="7"/>
  <c r="M3480" i="7"/>
  <c r="M3479" i="7"/>
  <c r="I3477" i="7"/>
  <c r="M3476" i="7"/>
  <c r="I3474" i="7"/>
  <c r="M3474" i="7" s="1"/>
  <c r="M3473" i="7"/>
  <c r="I3471" i="7"/>
  <c r="M3471" i="7" s="1"/>
  <c r="M3470" i="7"/>
  <c r="I3468" i="7"/>
  <c r="M3467" i="7"/>
  <c r="I3465" i="7"/>
  <c r="M3465" i="7" s="1"/>
  <c r="M3464" i="7"/>
  <c r="G3458" i="7"/>
  <c r="G3457" i="7"/>
  <c r="G3454" i="7"/>
  <c r="G3452" i="7"/>
  <c r="G3447" i="7"/>
  <c r="G3448" i="7" s="1"/>
  <c r="G3444" i="7"/>
  <c r="M3435" i="7"/>
  <c r="M3434" i="7"/>
  <c r="M3433" i="7"/>
  <c r="M3432" i="7"/>
  <c r="M3428" i="7"/>
  <c r="M3427" i="7"/>
  <c r="M3412" i="7"/>
  <c r="M3411" i="7"/>
  <c r="I3376" i="7"/>
  <c r="M3376" i="7" s="1"/>
  <c r="I3375" i="7"/>
  <c r="M3375" i="7" s="1"/>
  <c r="I3374" i="7"/>
  <c r="M3374" i="7" s="1"/>
  <c r="I3373" i="7"/>
  <c r="M3373" i="7" s="1"/>
  <c r="I3372" i="7"/>
  <c r="M3372" i="7" s="1"/>
  <c r="I3371" i="7"/>
  <c r="M3371" i="7" s="1"/>
  <c r="I3370" i="7"/>
  <c r="M3370" i="7" s="1"/>
  <c r="I3369" i="7"/>
  <c r="M3369" i="7" s="1"/>
  <c r="M3368" i="7"/>
  <c r="M3364" i="7"/>
  <c r="M3333" i="7"/>
  <c r="M3332" i="7"/>
  <c r="M3331" i="7"/>
  <c r="M3329" i="7"/>
  <c r="M3328" i="7"/>
  <c r="M3327" i="7"/>
  <c r="I3324" i="7"/>
  <c r="M3324" i="7" s="1"/>
  <c r="M3322" i="7" s="1"/>
  <c r="M3323" i="7"/>
  <c r="I3321" i="7"/>
  <c r="M3321" i="7" s="1"/>
  <c r="M3320" i="7"/>
  <c r="M3314" i="7"/>
  <c r="M3302" i="7"/>
  <c r="M3288" i="7"/>
  <c r="M3287" i="7"/>
  <c r="M3286" i="7"/>
  <c r="G3285" i="7"/>
  <c r="G3273" i="7"/>
  <c r="M3261" i="7"/>
  <c r="M3260" i="7"/>
  <c r="M3259" i="7"/>
  <c r="I3257" i="7"/>
  <c r="M3257" i="7" s="1"/>
  <c r="M3256" i="7"/>
  <c r="I3254" i="7"/>
  <c r="M3254" i="7" s="1"/>
  <c r="M3253" i="7"/>
  <c r="I3251" i="7"/>
  <c r="M3251" i="7" s="1"/>
  <c r="M3250" i="7"/>
  <c r="I3248" i="7"/>
  <c r="M3247" i="7"/>
  <c r="I3245" i="7"/>
  <c r="M3245" i="7" s="1"/>
  <c r="M3244" i="7"/>
  <c r="I3242" i="7"/>
  <c r="M3242" i="7" s="1"/>
  <c r="M3240" i="7" s="1"/>
  <c r="M3241" i="7"/>
  <c r="I3239" i="7"/>
  <c r="M3239" i="7" s="1"/>
  <c r="M3238" i="7"/>
  <c r="G3228" i="7"/>
  <c r="G3220" i="7"/>
  <c r="G3221" i="7" s="1"/>
  <c r="G3222" i="7" s="1"/>
  <c r="G3208" i="7"/>
  <c r="G3209" i="7" s="1"/>
  <c r="M3205" i="7"/>
  <c r="M3204" i="7"/>
  <c r="M3203" i="7"/>
  <c r="M3201" i="7"/>
  <c r="M3200" i="7"/>
  <c r="M3199" i="7"/>
  <c r="M3195" i="7"/>
  <c r="M3194" i="7"/>
  <c r="K3192" i="7"/>
  <c r="M3174" i="7"/>
  <c r="K3174" i="7"/>
  <c r="I3174" i="7"/>
  <c r="K3173" i="7"/>
  <c r="I3173" i="7"/>
  <c r="K3130" i="7"/>
  <c r="M3130" i="7" s="1"/>
  <c r="I3130" i="7"/>
  <c r="M3126" i="7"/>
  <c r="K3102" i="7"/>
  <c r="K3101" i="7"/>
  <c r="M3099" i="7"/>
  <c r="M3098" i="7"/>
  <c r="M3097" i="7"/>
  <c r="M3095" i="7"/>
  <c r="M3094" i="7"/>
  <c r="K3093" i="7"/>
  <c r="I3093" i="7"/>
  <c r="I3090" i="7"/>
  <c r="M3090" i="7" s="1"/>
  <c r="M3089" i="7"/>
  <c r="I3087" i="7"/>
  <c r="M3086" i="7"/>
  <c r="M3080" i="7"/>
  <c r="K3029" i="7"/>
  <c r="C256" i="11" s="1"/>
  <c r="K3025" i="7"/>
  <c r="K3021" i="7"/>
  <c r="K3017" i="7"/>
  <c r="C250" i="11" s="1"/>
  <c r="M3007" i="7"/>
  <c r="M3006" i="7"/>
  <c r="G3005" i="7"/>
  <c r="K3001" i="7"/>
  <c r="C243" i="11" s="1"/>
  <c r="K3000" i="7"/>
  <c r="C241" i="11" s="1"/>
  <c r="K2999" i="7"/>
  <c r="K2998" i="7"/>
  <c r="K2986" i="7"/>
  <c r="K2985" i="7"/>
  <c r="G2985" i="7"/>
  <c r="C234" i="11" s="1"/>
  <c r="M2982" i="7"/>
  <c r="M2981" i="7"/>
  <c r="M2980" i="7"/>
  <c r="I2978" i="7"/>
  <c r="M2978" i="7" s="1"/>
  <c r="M2976" i="7" s="1"/>
  <c r="M2977" i="7"/>
  <c r="I2975" i="7"/>
  <c r="M2974" i="7"/>
  <c r="I2972" i="7"/>
  <c r="M2972" i="7" s="1"/>
  <c r="M2971" i="7"/>
  <c r="M2969" i="7"/>
  <c r="M2967" i="7" s="1"/>
  <c r="I2969" i="7"/>
  <c r="M2968" i="7"/>
  <c r="I2966" i="7"/>
  <c r="M2966" i="7" s="1"/>
  <c r="M2965" i="7"/>
  <c r="G2958" i="7"/>
  <c r="G2959" i="7" s="1"/>
  <c r="G2955" i="7"/>
  <c r="K2953" i="7"/>
  <c r="C222" i="11" s="1"/>
  <c r="K2952" i="7"/>
  <c r="G2952" i="7"/>
  <c r="K2947" i="7"/>
  <c r="G2947" i="7"/>
  <c r="G2948" i="7" s="1"/>
  <c r="G2949" i="7" s="1"/>
  <c r="G2950" i="7" s="1"/>
  <c r="K2945" i="7"/>
  <c r="K2944" i="7"/>
  <c r="G2944" i="7"/>
  <c r="G2945" i="7" s="1"/>
  <c r="M2938" i="7"/>
  <c r="M2937" i="7"/>
  <c r="M2936" i="7"/>
  <c r="M2932" i="7"/>
  <c r="M2931" i="7"/>
  <c r="K2929" i="7"/>
  <c r="M2915" i="7"/>
  <c r="K2915" i="7"/>
  <c r="I2915" i="7"/>
  <c r="M2914" i="7"/>
  <c r="M2913" i="7" s="1"/>
  <c r="K2914" i="7"/>
  <c r="I2914" i="7"/>
  <c r="K2870" i="7"/>
  <c r="M2870" i="7" s="1"/>
  <c r="I2870" i="7"/>
  <c r="I2871" i="7" s="1"/>
  <c r="M2866" i="7"/>
  <c r="K2842" i="7"/>
  <c r="K2841" i="7"/>
  <c r="M2839" i="7"/>
  <c r="M2838" i="7"/>
  <c r="M2837" i="7"/>
  <c r="M2835" i="7"/>
  <c r="M2834" i="7"/>
  <c r="M2833" i="7"/>
  <c r="K2833" i="7"/>
  <c r="I2833" i="7"/>
  <c r="I2830" i="7"/>
  <c r="M2830" i="7" s="1"/>
  <c r="M2829" i="7"/>
  <c r="I2827" i="7"/>
  <c r="M2827" i="7" s="1"/>
  <c r="M2826" i="7"/>
  <c r="M2820" i="7"/>
  <c r="I2814" i="7"/>
  <c r="I2815" i="7" s="1"/>
  <c r="M2815" i="7" s="1"/>
  <c r="M2813" i="7"/>
  <c r="K2810" i="7"/>
  <c r="K2806" i="7"/>
  <c r="C189" i="11" s="1"/>
  <c r="K2802" i="7"/>
  <c r="C187" i="11" s="1"/>
  <c r="K2798" i="7"/>
  <c r="C185" i="11" s="1"/>
  <c r="K2794" i="7"/>
  <c r="C183" i="11" s="1"/>
  <c r="K2790" i="7"/>
  <c r="C181" i="11" s="1"/>
  <c r="M2780" i="7"/>
  <c r="M2779" i="7"/>
  <c r="K2777" i="7"/>
  <c r="C176" i="11" s="1"/>
  <c r="G2777" i="7"/>
  <c r="C177" i="11" s="1"/>
  <c r="K2774" i="7"/>
  <c r="C174" i="11" s="1"/>
  <c r="K2773" i="7"/>
  <c r="C172" i="11" s="1"/>
  <c r="K2772" i="7"/>
  <c r="K2771" i="7"/>
  <c r="C170" i="11" s="1"/>
  <c r="K2759" i="7"/>
  <c r="K2758" i="7"/>
  <c r="G2758" i="7"/>
  <c r="C165" i="11" s="1"/>
  <c r="M2755" i="7"/>
  <c r="M2754" i="7"/>
  <c r="M2753" i="7"/>
  <c r="I2751" i="7"/>
  <c r="M2751" i="7" s="1"/>
  <c r="M2750" i="7"/>
  <c r="I2748" i="7"/>
  <c r="M2748" i="7" s="1"/>
  <c r="M2747" i="7"/>
  <c r="I2745" i="7"/>
  <c r="M2745" i="7" s="1"/>
  <c r="M2744" i="7"/>
  <c r="I2742" i="7"/>
  <c r="M2742" i="7" s="1"/>
  <c r="M2741" i="7"/>
  <c r="I2739" i="7"/>
  <c r="M2739" i="7" s="1"/>
  <c r="M2738" i="7"/>
  <c r="G2732" i="7"/>
  <c r="G2731" i="7"/>
  <c r="G2728" i="7"/>
  <c r="K2726" i="7"/>
  <c r="C153" i="11" s="1"/>
  <c r="K2725" i="7"/>
  <c r="G2725" i="7"/>
  <c r="G2726" i="7" s="1"/>
  <c r="K2720" i="7"/>
  <c r="G2720" i="7"/>
  <c r="G2721" i="7" s="1"/>
  <c r="G2722" i="7" s="1"/>
  <c r="K2718" i="7"/>
  <c r="C146" i="11" s="1"/>
  <c r="K2717" i="7"/>
  <c r="G2717" i="7"/>
  <c r="G2718" i="7" s="1"/>
  <c r="M2709" i="7"/>
  <c r="M2708" i="7"/>
  <c r="M2707" i="7"/>
  <c r="M2706" i="7"/>
  <c r="M2702" i="7"/>
  <c r="M2701" i="7"/>
  <c r="K2699" i="7"/>
  <c r="K2686" i="7"/>
  <c r="I2686" i="7"/>
  <c r="K2685" i="7"/>
  <c r="I2685" i="7"/>
  <c r="K2642" i="7"/>
  <c r="M2642" i="7" s="1"/>
  <c r="I2642" i="7"/>
  <c r="I2643" i="7" s="1"/>
  <c r="M2638" i="7"/>
  <c r="K2614" i="7"/>
  <c r="K2613" i="7"/>
  <c r="K2612" i="7"/>
  <c r="K2611" i="7"/>
  <c r="K2610" i="7"/>
  <c r="K2609" i="7"/>
  <c r="M2607" i="7"/>
  <c r="M2606" i="7"/>
  <c r="M2604" i="7" s="1"/>
  <c r="M2605" i="7"/>
  <c r="M2603" i="7"/>
  <c r="M2602" i="7"/>
  <c r="K2601" i="7"/>
  <c r="M2601" i="7" s="1"/>
  <c r="I2601" i="7"/>
  <c r="I2598" i="7"/>
  <c r="M2598" i="7" s="1"/>
  <c r="M2597" i="7"/>
  <c r="M2596" i="7" s="1"/>
  <c r="I2595" i="7"/>
  <c r="M2595" i="7" s="1"/>
  <c r="M2594" i="7"/>
  <c r="M2588" i="7"/>
  <c r="K2585" i="7"/>
  <c r="C125" i="11" s="1"/>
  <c r="K2580" i="7"/>
  <c r="C123" i="11" s="1"/>
  <c r="M2576" i="7"/>
  <c r="K2573" i="7"/>
  <c r="C120" i="11" s="1"/>
  <c r="M2562" i="7"/>
  <c r="M2561" i="7"/>
  <c r="M2560" i="7"/>
  <c r="K2558" i="7"/>
  <c r="C112" i="11" s="1"/>
  <c r="G2558" i="7"/>
  <c r="C113" i="11" s="1"/>
  <c r="K2555" i="7"/>
  <c r="C110" i="11" s="1"/>
  <c r="K2554" i="7"/>
  <c r="C108" i="11" s="1"/>
  <c r="K2553" i="7"/>
  <c r="K2552" i="7"/>
  <c r="K2540" i="7"/>
  <c r="K2539" i="7"/>
  <c r="G2539" i="7"/>
  <c r="C101" i="11" s="1"/>
  <c r="K2538" i="7"/>
  <c r="G2538" i="7"/>
  <c r="C100" i="11" s="1"/>
  <c r="M2535" i="7"/>
  <c r="M2534" i="7"/>
  <c r="M2533" i="7"/>
  <c r="I2531" i="7"/>
  <c r="M2531" i="7" s="1"/>
  <c r="M2530" i="7"/>
  <c r="I2528" i="7"/>
  <c r="M2528" i="7" s="1"/>
  <c r="M2527" i="7"/>
  <c r="I2525" i="7"/>
  <c r="M2525" i="7" s="1"/>
  <c r="M2524" i="7"/>
  <c r="I2522" i="7"/>
  <c r="M2522" i="7" s="1"/>
  <c r="M2520" i="7" s="1"/>
  <c r="M2521" i="7"/>
  <c r="I2519" i="7"/>
  <c r="M2519" i="7" s="1"/>
  <c r="M2518" i="7"/>
  <c r="I2516" i="7"/>
  <c r="M2516" i="7" s="1"/>
  <c r="M2515" i="7"/>
  <c r="I2513" i="7"/>
  <c r="M2513" i="7" s="1"/>
  <c r="M2512" i="7"/>
  <c r="G2502" i="7"/>
  <c r="K2500" i="7"/>
  <c r="C88" i="11" s="1"/>
  <c r="K2499" i="7"/>
  <c r="C87" i="11" s="1"/>
  <c r="G2499" i="7"/>
  <c r="K2498" i="7"/>
  <c r="G2498" i="7"/>
  <c r="K2493" i="7"/>
  <c r="G2493" i="7"/>
  <c r="G2494" i="7" s="1"/>
  <c r="G2495" i="7" s="1"/>
  <c r="G2496" i="7" s="1"/>
  <c r="K2491" i="7"/>
  <c r="C79" i="11" s="1"/>
  <c r="K2490" i="7"/>
  <c r="C78" i="11" s="1"/>
  <c r="G2490" i="7"/>
  <c r="K2489" i="7"/>
  <c r="G2489" i="7"/>
  <c r="I2483" i="7"/>
  <c r="M2483" i="7" s="1"/>
  <c r="G2475" i="7"/>
  <c r="M2456" i="7"/>
  <c r="M2455" i="7"/>
  <c r="M2454" i="7"/>
  <c r="M2450" i="7"/>
  <c r="K2422" i="7"/>
  <c r="K2421" i="7"/>
  <c r="G2421" i="7"/>
  <c r="C57" i="11" s="1"/>
  <c r="M2418" i="7"/>
  <c r="M2417" i="7"/>
  <c r="M2416" i="7"/>
  <c r="M2415" i="7"/>
  <c r="M2414" i="7"/>
  <c r="M2412" i="7"/>
  <c r="I2412" i="7"/>
  <c r="M2411" i="7"/>
  <c r="I2409" i="7"/>
  <c r="M2409" i="7" s="1"/>
  <c r="M2408" i="7"/>
  <c r="I2406" i="7"/>
  <c r="M2406" i="7" s="1"/>
  <c r="M2405" i="7"/>
  <c r="I2403" i="7"/>
  <c r="M2402" i="7"/>
  <c r="G2395" i="7"/>
  <c r="G2396" i="7" s="1"/>
  <c r="G2397" i="7" s="1"/>
  <c r="G2398" i="7" s="1"/>
  <c r="G2399" i="7" s="1"/>
  <c r="K2388" i="7"/>
  <c r="C44" i="11" s="1"/>
  <c r="K2387" i="7"/>
  <c r="G2387" i="7"/>
  <c r="G2388" i="7" s="1"/>
  <c r="K2385" i="7"/>
  <c r="G2385" i="7"/>
  <c r="K2383" i="7"/>
  <c r="C37" i="11" s="1"/>
  <c r="K2382" i="7"/>
  <c r="G2382" i="7"/>
  <c r="D2247" i="7"/>
  <c r="I2247" i="7" s="1"/>
  <c r="M2247" i="7" s="1"/>
  <c r="D2054" i="7"/>
  <c r="I2054" i="7" s="1"/>
  <c r="M2054" i="7" s="1"/>
  <c r="D1861" i="7"/>
  <c r="I1861" i="7" s="1"/>
  <c r="M1861" i="7" s="1"/>
  <c r="D1668" i="7"/>
  <c r="I1668" i="7" s="1"/>
  <c r="M1668" i="7" s="1"/>
  <c r="D1475" i="7"/>
  <c r="I1475" i="7" s="1"/>
  <c r="M1475" i="7" s="1"/>
  <c r="D1282" i="7"/>
  <c r="I1282" i="7" s="1"/>
  <c r="M1282" i="7" s="1"/>
  <c r="D1089" i="7"/>
  <c r="I1089" i="7" s="1"/>
  <c r="M1089" i="7" s="1"/>
  <c r="K1026" i="7"/>
  <c r="K1011" i="7"/>
  <c r="K1002" i="7"/>
  <c r="K1001" i="7"/>
  <c r="K990" i="7"/>
  <c r="K962" i="7"/>
  <c r="K953" i="7"/>
  <c r="K948" i="7"/>
  <c r="G948" i="7"/>
  <c r="K947" i="7"/>
  <c r="G947" i="7"/>
  <c r="K942" i="7"/>
  <c r="G942" i="7"/>
  <c r="G943" i="7" s="1"/>
  <c r="K940" i="7"/>
  <c r="G940" i="7"/>
  <c r="G941" i="7" s="1"/>
  <c r="K939" i="7"/>
  <c r="G939" i="7"/>
  <c r="G937" i="7"/>
  <c r="G935" i="7"/>
  <c r="K932" i="7"/>
  <c r="G932" i="7"/>
  <c r="G933" i="7" s="1"/>
  <c r="K930" i="7"/>
  <c r="G930" i="7"/>
  <c r="K925" i="7"/>
  <c r="G925" i="7"/>
  <c r="K919" i="7"/>
  <c r="G919" i="7"/>
  <c r="BU4" i="9" s="1"/>
  <c r="K916" i="7"/>
  <c r="K914" i="7"/>
  <c r="D896" i="7"/>
  <c r="I896" i="7" s="1"/>
  <c r="M896" i="7" s="1"/>
  <c r="K848" i="7"/>
  <c r="K843" i="7"/>
  <c r="G842" i="7"/>
  <c r="K841" i="7"/>
  <c r="G838" i="7"/>
  <c r="K837" i="7"/>
  <c r="BH4" i="9" s="1"/>
  <c r="K833" i="7"/>
  <c r="K818" i="7"/>
  <c r="K809" i="7"/>
  <c r="K808" i="7"/>
  <c r="K797" i="7"/>
  <c r="K769" i="7"/>
  <c r="K760" i="7"/>
  <c r="K755" i="7"/>
  <c r="G755" i="7"/>
  <c r="K754" i="7"/>
  <c r="G754" i="7"/>
  <c r="K749" i="7"/>
  <c r="G749" i="7"/>
  <c r="G750" i="7" s="1"/>
  <c r="K747" i="7"/>
  <c r="G747" i="7"/>
  <c r="G748" i="7" s="1"/>
  <c r="K746" i="7"/>
  <c r="G746" i="7"/>
  <c r="G744" i="7"/>
  <c r="G742" i="7"/>
  <c r="K739" i="7"/>
  <c r="G739" i="7"/>
  <c r="K737" i="7"/>
  <c r="G737" i="7"/>
  <c r="G738" i="7" s="1"/>
  <c r="K732" i="7"/>
  <c r="G732" i="7"/>
  <c r="K726" i="7"/>
  <c r="K723" i="7"/>
  <c r="K721" i="7"/>
  <c r="D703" i="7"/>
  <c r="I703" i="7" s="1"/>
  <c r="M703" i="7" s="1"/>
  <c r="K650" i="7"/>
  <c r="G649" i="7"/>
  <c r="K648" i="7"/>
  <c r="G645" i="7"/>
  <c r="K644" i="7"/>
  <c r="BX4" i="9" s="1"/>
  <c r="K640" i="7"/>
  <c r="K625" i="7"/>
  <c r="K616" i="7"/>
  <c r="K615" i="7"/>
  <c r="K604" i="7"/>
  <c r="K576" i="7"/>
  <c r="K567" i="7"/>
  <c r="K562" i="7"/>
  <c r="G562" i="7"/>
  <c r="K561" i="7"/>
  <c r="G561" i="7"/>
  <c r="K556" i="7"/>
  <c r="G556" i="7"/>
  <c r="G557" i="7" s="1"/>
  <c r="K554" i="7"/>
  <c r="G554" i="7"/>
  <c r="K553" i="7"/>
  <c r="G553" i="7"/>
  <c r="G551" i="7"/>
  <c r="G549" i="7"/>
  <c r="K546" i="7"/>
  <c r="G546" i="7"/>
  <c r="G547" i="7" s="1"/>
  <c r="K544" i="7"/>
  <c r="G544" i="7"/>
  <c r="G545" i="7" s="1"/>
  <c r="K539" i="7"/>
  <c r="G539" i="7"/>
  <c r="K533" i="7"/>
  <c r="G533" i="7"/>
  <c r="DA4" i="9" s="1"/>
  <c r="K530" i="7"/>
  <c r="K528" i="7"/>
  <c r="D510" i="7"/>
  <c r="I510" i="7" s="1"/>
  <c r="M510" i="7" s="1"/>
  <c r="K462" i="7"/>
  <c r="K457" i="7"/>
  <c r="G456" i="7"/>
  <c r="K455" i="7"/>
  <c r="G452" i="7"/>
  <c r="K451" i="7"/>
  <c r="CN4" i="9" s="1"/>
  <c r="D317" i="7"/>
  <c r="I317" i="7" s="1"/>
  <c r="M317" i="7" s="1"/>
  <c r="I245" i="7"/>
  <c r="M245" i="7" s="1"/>
  <c r="M235" i="7"/>
  <c r="D232" i="7"/>
  <c r="I232" i="7" s="1"/>
  <c r="M232" i="7" s="1"/>
  <c r="D231" i="7"/>
  <c r="I231" i="7" s="1"/>
  <c r="M231" i="7" s="1"/>
  <c r="D230" i="7"/>
  <c r="I230" i="7" s="1"/>
  <c r="M230" i="7" s="1"/>
  <c r="D228" i="7"/>
  <c r="I228" i="7" s="1"/>
  <c r="M228" i="7" s="1"/>
  <c r="D227" i="7"/>
  <c r="I227" i="7" s="1"/>
  <c r="M227" i="7" s="1"/>
  <c r="D226" i="7"/>
  <c r="I226" i="7" s="1"/>
  <c r="M226" i="7" s="1"/>
  <c r="D225" i="7"/>
  <c r="I225" i="7" s="1"/>
  <c r="M225" i="7" s="1"/>
  <c r="D224" i="7"/>
  <c r="I224" i="7" s="1"/>
  <c r="M224" i="7" s="1"/>
  <c r="D223" i="7"/>
  <c r="I223" i="7" s="1"/>
  <c r="M223" i="7" s="1"/>
  <c r="D209" i="7"/>
  <c r="I209" i="7" s="1"/>
  <c r="M209" i="7" s="1"/>
  <c r="G206" i="7"/>
  <c r="D206" i="7"/>
  <c r="G205" i="7"/>
  <c r="D205" i="7"/>
  <c r="G204" i="7"/>
  <c r="I204" i="7" s="1"/>
  <c r="M204" i="7" s="1"/>
  <c r="D204" i="7"/>
  <c r="G203" i="7"/>
  <c r="I203" i="7" s="1"/>
  <c r="M203" i="7" s="1"/>
  <c r="D203" i="7"/>
  <c r="G202" i="7"/>
  <c r="D202" i="7"/>
  <c r="G201" i="7"/>
  <c r="D201" i="7"/>
  <c r="G200" i="7"/>
  <c r="D200" i="7"/>
  <c r="I200" i="7" s="1"/>
  <c r="M200" i="7" s="1"/>
  <c r="G199" i="7"/>
  <c r="D199" i="7"/>
  <c r="I199" i="7" s="1"/>
  <c r="M199" i="7" s="1"/>
  <c r="G198" i="7"/>
  <c r="D198" i="7"/>
  <c r="I198" i="7" s="1"/>
  <c r="M198" i="7" s="1"/>
  <c r="D195" i="7"/>
  <c r="I195" i="7" s="1"/>
  <c r="M195" i="7" s="1"/>
  <c r="D190" i="7"/>
  <c r="I190" i="7" s="1"/>
  <c r="M190" i="7" s="1"/>
  <c r="D189" i="7"/>
  <c r="I189" i="7" s="1"/>
  <c r="M189" i="7" s="1"/>
  <c r="D188" i="7"/>
  <c r="I188" i="7" s="1"/>
  <c r="M188" i="7" s="1"/>
  <c r="D187" i="7"/>
  <c r="I187" i="7" s="1"/>
  <c r="M187" i="7" s="1"/>
  <c r="D186" i="7"/>
  <c r="I186" i="7" s="1"/>
  <c r="M186" i="7" s="1"/>
  <c r="D185" i="7"/>
  <c r="I185" i="7" s="1"/>
  <c r="M185" i="7" s="1"/>
  <c r="D184" i="7"/>
  <c r="I184" i="7" s="1"/>
  <c r="M184" i="7" s="1"/>
  <c r="D183" i="7"/>
  <c r="I183" i="7" s="1"/>
  <c r="M183" i="7" s="1"/>
  <c r="D182" i="7"/>
  <c r="I182" i="7" s="1"/>
  <c r="M182" i="7" s="1"/>
  <c r="D181" i="7"/>
  <c r="I181" i="7" s="1"/>
  <c r="M181" i="7" s="1"/>
  <c r="D180" i="7"/>
  <c r="I180" i="7" s="1"/>
  <c r="M180" i="7" s="1"/>
  <c r="D179" i="7"/>
  <c r="I179" i="7" s="1"/>
  <c r="M179" i="7" s="1"/>
  <c r="D178" i="7"/>
  <c r="I178" i="7" s="1"/>
  <c r="M178" i="7" s="1"/>
  <c r="D177" i="7"/>
  <c r="I177" i="7" s="1"/>
  <c r="M177" i="7" s="1"/>
  <c r="D168" i="7"/>
  <c r="I168" i="7" s="1"/>
  <c r="M168" i="7" s="1"/>
  <c r="G117" i="7"/>
  <c r="G118" i="7" s="1"/>
  <c r="K108" i="7"/>
  <c r="K101" i="7"/>
  <c r="G101" i="7"/>
  <c r="K97" i="7"/>
  <c r="AW4" i="9" s="1"/>
  <c r="G97" i="7"/>
  <c r="M83" i="7"/>
  <c r="M82" i="7"/>
  <c r="M81" i="7"/>
  <c r="D81" i="7"/>
  <c r="G81" i="7" s="1"/>
  <c r="M80" i="7"/>
  <c r="D80" i="7"/>
  <c r="G80" i="7" s="1"/>
  <c r="M79" i="7"/>
  <c r="D79" i="7"/>
  <c r="G79" i="7" s="1"/>
  <c r="M78" i="7"/>
  <c r="D78" i="7"/>
  <c r="G78" i="7" s="1"/>
  <c r="M77" i="7"/>
  <c r="D77" i="7"/>
  <c r="G77" i="7" s="1"/>
  <c r="M75" i="7"/>
  <c r="M73" i="7"/>
  <c r="M72" i="7"/>
  <c r="D72" i="7"/>
  <c r="G72" i="7" s="1"/>
  <c r="M71" i="7"/>
  <c r="D71" i="7"/>
  <c r="G71" i="7" s="1"/>
  <c r="M70" i="7"/>
  <c r="D70" i="7"/>
  <c r="G70" i="7" s="1"/>
  <c r="M69" i="7"/>
  <c r="D69" i="7"/>
  <c r="G69" i="7" s="1"/>
  <c r="M68" i="7"/>
  <c r="D68" i="7"/>
  <c r="G68" i="7" s="1"/>
  <c r="M67" i="7"/>
  <c r="D67" i="7"/>
  <c r="G67" i="7" s="1"/>
  <c r="M66" i="7"/>
  <c r="D66" i="7"/>
  <c r="G66" i="7" s="1"/>
  <c r="M65" i="7"/>
  <c r="D65" i="7"/>
  <c r="G65" i="7" s="1"/>
  <c r="M64" i="7"/>
  <c r="D64" i="7"/>
  <c r="G64" i="7" s="1"/>
  <c r="M63" i="7"/>
  <c r="D63" i="7"/>
  <c r="G63" i="7" s="1"/>
  <c r="D62" i="7"/>
  <c r="M60" i="7"/>
  <c r="M59" i="7"/>
  <c r="M58" i="7"/>
  <c r="M57" i="7"/>
  <c r="M56" i="7"/>
  <c r="M55" i="7"/>
  <c r="M54" i="7"/>
  <c r="D54" i="7"/>
  <c r="G54" i="7" s="1"/>
  <c r="M53" i="7"/>
  <c r="D53" i="7"/>
  <c r="G53" i="7" s="1"/>
  <c r="M52" i="7"/>
  <c r="D52" i="7"/>
  <c r="G52" i="7" s="1"/>
  <c r="M51" i="7"/>
  <c r="D51" i="7"/>
  <c r="G51" i="7" s="1"/>
  <c r="M50" i="7"/>
  <c r="D50" i="7"/>
  <c r="G50" i="7" s="1"/>
  <c r="M49" i="7"/>
  <c r="D49" i="7"/>
  <c r="G49" i="7" s="1"/>
  <c r="M40" i="7"/>
  <c r="M39" i="7"/>
  <c r="M38" i="7"/>
  <c r="M37" i="7"/>
  <c r="M36" i="7"/>
  <c r="M35" i="7"/>
  <c r="M34" i="7"/>
  <c r="M33" i="7"/>
  <c r="M32" i="7"/>
  <c r="M31" i="7"/>
  <c r="B69" i="6"/>
  <c r="B67" i="6"/>
  <c r="B74" i="6" s="1"/>
  <c r="B66" i="6"/>
  <c r="B73" i="6" s="1"/>
  <c r="B65" i="6"/>
  <c r="B72" i="6" s="1"/>
  <c r="B64" i="6"/>
  <c r="B71" i="6" s="1"/>
  <c r="B63" i="6"/>
  <c r="B70" i="6" s="1"/>
  <c r="B62" i="6"/>
  <c r="B61" i="6"/>
  <c r="B68" i="6" s="1"/>
  <c r="L60" i="6"/>
  <c r="J60" i="6"/>
  <c r="L59" i="6"/>
  <c r="J59" i="6"/>
  <c r="D44" i="6"/>
  <c r="E44" i="6" s="1"/>
  <c r="T23" i="6"/>
  <c r="T22" i="6"/>
  <c r="J11" i="6"/>
  <c r="D127" i="5"/>
  <c r="D81" i="5"/>
  <c r="D35" i="5"/>
  <c r="CB95" i="4"/>
  <c r="CC95" i="4" s="1"/>
  <c r="BV95" i="4"/>
  <c r="BU95" i="4"/>
  <c r="BL95" i="4"/>
  <c r="AV95" i="4"/>
  <c r="AU95" i="4"/>
  <c r="AP95" i="4"/>
  <c r="AC95" i="4"/>
  <c r="AC93" i="4" s="1"/>
  <c r="AB95" i="4"/>
  <c r="C95" i="4"/>
  <c r="CB94" i="4"/>
  <c r="CC94" i="4" s="1"/>
  <c r="BV94" i="4"/>
  <c r="BV93" i="4" s="1"/>
  <c r="BU94" i="4"/>
  <c r="BU93" i="4" s="1"/>
  <c r="D4161" i="7" s="1"/>
  <c r="BL94" i="4"/>
  <c r="AV94" i="4"/>
  <c r="AU94" i="4"/>
  <c r="AP94" i="4"/>
  <c r="AC94" i="4"/>
  <c r="AB94" i="4"/>
  <c r="AB93" i="4" s="1"/>
  <c r="D3970" i="7" s="1"/>
  <c r="C94" i="4"/>
  <c r="CA93" i="4"/>
  <c r="BZ93" i="4"/>
  <c r="BY93" i="4"/>
  <c r="BX93" i="4"/>
  <c r="BW93" i="4"/>
  <c r="BT93" i="4"/>
  <c r="D3994" i="7" s="1"/>
  <c r="BS93" i="4"/>
  <c r="G3994" i="7" s="1"/>
  <c r="G3995" i="7" s="1"/>
  <c r="G3996" i="7" s="1"/>
  <c r="BR93" i="4"/>
  <c r="D3990" i="7" s="1"/>
  <c r="BQ93" i="4"/>
  <c r="G3990" i="7" s="1"/>
  <c r="G3991" i="7" s="1"/>
  <c r="G3992" i="7" s="1"/>
  <c r="BP93" i="4"/>
  <c r="D3986" i="7" s="1"/>
  <c r="BO93" i="4"/>
  <c r="G3986" i="7" s="1"/>
  <c r="G3987" i="7" s="1"/>
  <c r="G3988" i="7" s="1"/>
  <c r="BN93" i="4"/>
  <c r="D3982" i="7" s="1"/>
  <c r="BM93" i="4"/>
  <c r="G3982" i="7" s="1"/>
  <c r="G3983" i="7" s="1"/>
  <c r="G3984" i="7" s="1"/>
  <c r="BL93" i="4"/>
  <c r="BA93" i="4"/>
  <c r="D4032" i="7" s="1"/>
  <c r="I4032" i="7" s="1"/>
  <c r="M4032" i="7" s="1"/>
  <c r="AX93" i="4"/>
  <c r="D4054" i="7" s="1"/>
  <c r="AW93" i="4"/>
  <c r="AT93" i="4"/>
  <c r="AS93" i="4"/>
  <c r="AR93" i="4"/>
  <c r="AQ93" i="4"/>
  <c r="D4030" i="7" s="1"/>
  <c r="AP93" i="4"/>
  <c r="AO93" i="4"/>
  <c r="D4026" i="7" s="1"/>
  <c r="AN93" i="4"/>
  <c r="D4022" i="7" s="1"/>
  <c r="AM93" i="4"/>
  <c r="D4018" i="7" s="1"/>
  <c r="AL93" i="4"/>
  <c r="D4014" i="7" s="1"/>
  <c r="AK93" i="4"/>
  <c r="D4010" i="7" s="1"/>
  <c r="AJ93" i="4"/>
  <c r="D4006" i="7" s="1"/>
  <c r="AI93" i="4"/>
  <c r="D4002" i="7" s="1"/>
  <c r="AH93" i="4"/>
  <c r="AG93" i="4"/>
  <c r="D3998" i="7" s="1"/>
  <c r="AF93" i="4"/>
  <c r="AE93" i="4"/>
  <c r="AA93" i="4"/>
  <c r="Z93" i="4"/>
  <c r="Y93" i="4"/>
  <c r="X93" i="4"/>
  <c r="W93" i="4"/>
  <c r="V93" i="4"/>
  <c r="U93" i="4"/>
  <c r="T93" i="4"/>
  <c r="D3974" i="7" s="1"/>
  <c r="S93" i="4"/>
  <c r="G93" i="4"/>
  <c r="F93" i="4"/>
  <c r="D93" i="4"/>
  <c r="CB92" i="4"/>
  <c r="BL92" i="4"/>
  <c r="AV92" i="4"/>
  <c r="AU92" i="4"/>
  <c r="AP92" i="4"/>
  <c r="AC92" i="4"/>
  <c r="AB92" i="4"/>
  <c r="C92" i="4"/>
  <c r="O92" i="4" s="1"/>
  <c r="CB91" i="4"/>
  <c r="CC91" i="4" s="1"/>
  <c r="BL91" i="4"/>
  <c r="AV91" i="4"/>
  <c r="AV90" i="4" s="1"/>
  <c r="AU91" i="4"/>
  <c r="AP91" i="4"/>
  <c r="AP90" i="4" s="1"/>
  <c r="AC91" i="4"/>
  <c r="AB91" i="4"/>
  <c r="C91" i="4"/>
  <c r="I91" i="4" s="1"/>
  <c r="CA90" i="4"/>
  <c r="BZ90" i="4"/>
  <c r="BY90" i="4"/>
  <c r="BX90" i="4"/>
  <c r="BW90" i="4"/>
  <c r="BK90" i="4"/>
  <c r="BJ90" i="4"/>
  <c r="BI90" i="4"/>
  <c r="BH90" i="4"/>
  <c r="BG90" i="4"/>
  <c r="BD90" i="4"/>
  <c r="BC90" i="4"/>
  <c r="BA90" i="4"/>
  <c r="D3772" i="7" s="1"/>
  <c r="I3772" i="7" s="1"/>
  <c r="M3772" i="7" s="1"/>
  <c r="AX90" i="4"/>
  <c r="D3794" i="7" s="1"/>
  <c r="AW90" i="4"/>
  <c r="AT90" i="4"/>
  <c r="AS90" i="4"/>
  <c r="AR90" i="4"/>
  <c r="AQ90" i="4"/>
  <c r="D3770" i="7" s="1"/>
  <c r="AO90" i="4"/>
  <c r="AH90" i="4"/>
  <c r="AG90" i="4"/>
  <c r="AF90" i="4"/>
  <c r="AE90" i="4"/>
  <c r="AA90" i="4"/>
  <c r="Z90" i="4"/>
  <c r="Y90" i="4"/>
  <c r="X90" i="4"/>
  <c r="W90" i="4"/>
  <c r="V90" i="4"/>
  <c r="U90" i="4"/>
  <c r="T90" i="4"/>
  <c r="D3747" i="7" s="1"/>
  <c r="S90" i="4"/>
  <c r="P90" i="4"/>
  <c r="N90" i="4"/>
  <c r="M90" i="4"/>
  <c r="H90" i="4"/>
  <c r="G90" i="4"/>
  <c r="F90" i="4"/>
  <c r="D90" i="4"/>
  <c r="CB89" i="4"/>
  <c r="CB87" i="4" s="1"/>
  <c r="CC87" i="4" s="1"/>
  <c r="G3655" i="7" s="1"/>
  <c r="G3656" i="7" s="1"/>
  <c r="BL89" i="4"/>
  <c r="AV89" i="4"/>
  <c r="AU89" i="4"/>
  <c r="AP89" i="4"/>
  <c r="AP87" i="4" s="1"/>
  <c r="AC89" i="4"/>
  <c r="AB89" i="4"/>
  <c r="C89" i="4"/>
  <c r="O89" i="4" s="1"/>
  <c r="CC88" i="4"/>
  <c r="CB88" i="4"/>
  <c r="BL88" i="4"/>
  <c r="AV88" i="4"/>
  <c r="AU88" i="4"/>
  <c r="AU87" i="4" s="1"/>
  <c r="AP88" i="4"/>
  <c r="AC88" i="4"/>
  <c r="AB88" i="4"/>
  <c r="O88" i="4"/>
  <c r="C88" i="4"/>
  <c r="I88" i="4" s="1"/>
  <c r="CA87" i="4"/>
  <c r="BZ87" i="4"/>
  <c r="BY87" i="4"/>
  <c r="G3500" i="7" s="1"/>
  <c r="C397" i="11" s="1"/>
  <c r="BX87" i="4"/>
  <c r="BW87" i="4"/>
  <c r="BK87" i="4"/>
  <c r="BJ87" i="4"/>
  <c r="BI87" i="4"/>
  <c r="BH87" i="4"/>
  <c r="BG87" i="4"/>
  <c r="BD87" i="4"/>
  <c r="BC87" i="4"/>
  <c r="BA87" i="4"/>
  <c r="D3545" i="7" s="1"/>
  <c r="I3545" i="7" s="1"/>
  <c r="M3545" i="7" s="1"/>
  <c r="AX87" i="4"/>
  <c r="D3567" i="7" s="1"/>
  <c r="AW87" i="4"/>
  <c r="AT87" i="4"/>
  <c r="AS87" i="4"/>
  <c r="AR87" i="4"/>
  <c r="AQ87" i="4"/>
  <c r="D3543" i="7" s="1"/>
  <c r="AO87" i="4"/>
  <c r="AH87" i="4"/>
  <c r="AG87" i="4"/>
  <c r="AF87" i="4"/>
  <c r="AE87" i="4"/>
  <c r="AA87" i="4"/>
  <c r="Z87" i="4"/>
  <c r="Y87" i="4"/>
  <c r="X87" i="4"/>
  <c r="W87" i="4"/>
  <c r="V87" i="4"/>
  <c r="U87" i="4"/>
  <c r="T87" i="4"/>
  <c r="D3520" i="7" s="1"/>
  <c r="S87" i="4"/>
  <c r="P87" i="4"/>
  <c r="N87" i="4"/>
  <c r="M87" i="4"/>
  <c r="H87" i="4"/>
  <c r="G87" i="4"/>
  <c r="F87" i="4"/>
  <c r="D87" i="4"/>
  <c r="C87" i="4"/>
  <c r="R87" i="4" s="1"/>
  <c r="CB86" i="4"/>
  <c r="CC86" i="4" s="1"/>
  <c r="BL86" i="4"/>
  <c r="AV86" i="4"/>
  <c r="AU86" i="4"/>
  <c r="AP86" i="4"/>
  <c r="AC86" i="4"/>
  <c r="AB86" i="4"/>
  <c r="C86" i="4"/>
  <c r="O86" i="4" s="1"/>
  <c r="CB85" i="4"/>
  <c r="CB84" i="4" s="1"/>
  <c r="BL85" i="4"/>
  <c r="AV85" i="4"/>
  <c r="AV84" i="4" s="1"/>
  <c r="AU85" i="4"/>
  <c r="AU84" i="4" s="1"/>
  <c r="AP85" i="4"/>
  <c r="AP84" i="4" s="1"/>
  <c r="AC85" i="4"/>
  <c r="AB85" i="4"/>
  <c r="AB84" i="4" s="1"/>
  <c r="C85" i="4"/>
  <c r="I85" i="4" s="1"/>
  <c r="CA84" i="4"/>
  <c r="BZ84" i="4"/>
  <c r="BY84" i="4"/>
  <c r="BX84" i="4"/>
  <c r="BW84" i="4"/>
  <c r="BF84" i="4"/>
  <c r="I3436" i="7" s="1"/>
  <c r="BE84" i="4"/>
  <c r="I3437" i="7" s="1"/>
  <c r="BD84" i="4"/>
  <c r="BC84" i="4"/>
  <c r="BB84" i="4"/>
  <c r="D3304" i="7" s="1"/>
  <c r="I3304" i="7" s="1"/>
  <c r="M3304" i="7" s="1"/>
  <c r="BA84" i="4"/>
  <c r="D3313" i="7" s="1"/>
  <c r="I3313" i="7" s="1"/>
  <c r="M3313" i="7" s="1"/>
  <c r="AZ84" i="4"/>
  <c r="D3339" i="7" s="1"/>
  <c r="AY84" i="4"/>
  <c r="D3337" i="7" s="1"/>
  <c r="AX84" i="4"/>
  <c r="D3335" i="7" s="1"/>
  <c r="AW84" i="4"/>
  <c r="AQ84" i="4"/>
  <c r="D3311" i="7" s="1"/>
  <c r="AO84" i="4"/>
  <c r="AG84" i="4"/>
  <c r="AD84" i="4"/>
  <c r="AC84" i="4"/>
  <c r="AA84" i="4"/>
  <c r="Z84" i="4"/>
  <c r="Y84" i="4"/>
  <c r="X84" i="4"/>
  <c r="W84" i="4"/>
  <c r="T84" i="4"/>
  <c r="S84" i="4"/>
  <c r="P84" i="4"/>
  <c r="L84" i="4"/>
  <c r="J84" i="4"/>
  <c r="H84" i="4"/>
  <c r="G84" i="4"/>
  <c r="F84" i="4"/>
  <c r="E84" i="4"/>
  <c r="D3215" i="7" s="1"/>
  <c r="D84" i="4"/>
  <c r="D3216" i="7" s="1"/>
  <c r="CB83" i="4"/>
  <c r="CC83" i="4" s="1"/>
  <c r="BV83" i="4"/>
  <c r="BU83" i="4"/>
  <c r="BL83" i="4"/>
  <c r="AV83" i="4"/>
  <c r="AU83" i="4"/>
  <c r="AP83" i="4"/>
  <c r="AP81" i="4" s="1"/>
  <c r="AC83" i="4"/>
  <c r="AB83" i="4"/>
  <c r="C83" i="4"/>
  <c r="CB82" i="4"/>
  <c r="CC82" i="4" s="1"/>
  <c r="BV82" i="4"/>
  <c r="BU82" i="4"/>
  <c r="BL82" i="4"/>
  <c r="AV82" i="4"/>
  <c r="AV81" i="4" s="1"/>
  <c r="AU82" i="4"/>
  <c r="AP82" i="4"/>
  <c r="AC82" i="4"/>
  <c r="AC81" i="4" s="1"/>
  <c r="AB82" i="4"/>
  <c r="AB81" i="4" s="1"/>
  <c r="D3017" i="7" s="1"/>
  <c r="C82" i="4"/>
  <c r="CA81" i="4"/>
  <c r="BZ81" i="4"/>
  <c r="BY81" i="4"/>
  <c r="BX81" i="4"/>
  <c r="BW81" i="4"/>
  <c r="BV81" i="4"/>
  <c r="BT81" i="4"/>
  <c r="D3041" i="7" s="1"/>
  <c r="BS81" i="4"/>
  <c r="G3041" i="7" s="1"/>
  <c r="G3042" i="7" s="1"/>
  <c r="G3043" i="7" s="1"/>
  <c r="BR81" i="4"/>
  <c r="D3037" i="7" s="1"/>
  <c r="BP81" i="4"/>
  <c r="D3033" i="7" s="1"/>
  <c r="BO81" i="4"/>
  <c r="G3033" i="7" s="1"/>
  <c r="G3034" i="7" s="1"/>
  <c r="G3035" i="7" s="1"/>
  <c r="BN81" i="4"/>
  <c r="D3029" i="7" s="1"/>
  <c r="BA81" i="4"/>
  <c r="D3079" i="7" s="1"/>
  <c r="I3079" i="7" s="1"/>
  <c r="M3079" i="7" s="1"/>
  <c r="AX81" i="4"/>
  <c r="D3101" i="7" s="1"/>
  <c r="AW81" i="4"/>
  <c r="AT81" i="4"/>
  <c r="AS81" i="4"/>
  <c r="AR81" i="4"/>
  <c r="AQ81" i="4"/>
  <c r="D3077" i="7" s="1"/>
  <c r="AO81" i="4"/>
  <c r="D3073" i="7" s="1"/>
  <c r="AN81" i="4"/>
  <c r="D3069" i="7" s="1"/>
  <c r="AM81" i="4"/>
  <c r="AM96" i="4" s="1"/>
  <c r="AL81" i="4"/>
  <c r="D3061" i="7" s="1"/>
  <c r="AK81" i="4"/>
  <c r="D3057" i="7" s="1"/>
  <c r="AJ81" i="4"/>
  <c r="D3053" i="7" s="1"/>
  <c r="AI81" i="4"/>
  <c r="D3049" i="7" s="1"/>
  <c r="AH81" i="4"/>
  <c r="AG81" i="4"/>
  <c r="D3045" i="7" s="1"/>
  <c r="AF81" i="4"/>
  <c r="AE81" i="4"/>
  <c r="AA81" i="4"/>
  <c r="Z81" i="4"/>
  <c r="Y81" i="4"/>
  <c r="X81" i="4"/>
  <c r="W81" i="4"/>
  <c r="V81" i="4"/>
  <c r="AF12" i="4" s="1"/>
  <c r="U81" i="4"/>
  <c r="T81" i="4"/>
  <c r="D3021" i="7" s="1"/>
  <c r="S81" i="4"/>
  <c r="G81" i="4"/>
  <c r="F81" i="4"/>
  <c r="D81" i="4"/>
  <c r="CB80" i="4"/>
  <c r="CC80" i="4" s="1"/>
  <c r="BL80" i="4"/>
  <c r="AV80" i="4"/>
  <c r="AU80" i="4"/>
  <c r="AP80" i="4"/>
  <c r="AC80" i="4"/>
  <c r="AB80" i="4"/>
  <c r="C80" i="4"/>
  <c r="O80" i="4" s="1"/>
  <c r="CB79" i="4"/>
  <c r="BL79" i="4"/>
  <c r="BL78" i="4" s="1"/>
  <c r="AV79" i="4"/>
  <c r="AU79" i="4"/>
  <c r="AU78" i="4" s="1"/>
  <c r="AP79" i="4"/>
  <c r="AP78" i="4" s="1"/>
  <c r="AC79" i="4"/>
  <c r="AB79" i="4"/>
  <c r="C79" i="4"/>
  <c r="O79" i="4" s="1"/>
  <c r="CA78" i="4"/>
  <c r="BZ78" i="4"/>
  <c r="BY78" i="4"/>
  <c r="BX78" i="4"/>
  <c r="BW78" i="4"/>
  <c r="BK78" i="4"/>
  <c r="BK96" i="4" s="1"/>
  <c r="BJ78" i="4"/>
  <c r="BI78" i="4"/>
  <c r="BH78" i="4"/>
  <c r="BH96" i="4" s="1"/>
  <c r="BG78" i="4"/>
  <c r="BD78" i="4"/>
  <c r="BC78" i="4"/>
  <c r="BA78" i="4"/>
  <c r="D2819" i="7" s="1"/>
  <c r="I2819" i="7" s="1"/>
  <c r="M2819" i="7" s="1"/>
  <c r="AX78" i="4"/>
  <c r="D2841" i="7" s="1"/>
  <c r="AW78" i="4"/>
  <c r="AT78" i="4"/>
  <c r="AT96" i="4" s="1"/>
  <c r="AS78" i="4"/>
  <c r="AR78" i="4"/>
  <c r="AQ78" i="4"/>
  <c r="D2817" i="7" s="1"/>
  <c r="AO78" i="4"/>
  <c r="AH78" i="4"/>
  <c r="AG78" i="4"/>
  <c r="AF78" i="4"/>
  <c r="AE78" i="4"/>
  <c r="AA78" i="4"/>
  <c r="Z78" i="4"/>
  <c r="Z96" i="4" s="1"/>
  <c r="Y78" i="4"/>
  <c r="X78" i="4"/>
  <c r="W78" i="4"/>
  <c r="V78" i="4"/>
  <c r="U78" i="4"/>
  <c r="T78" i="4"/>
  <c r="D2794" i="7" s="1"/>
  <c r="S78" i="4"/>
  <c r="Q78" i="4"/>
  <c r="Y15" i="4" s="1"/>
  <c r="P78" i="4"/>
  <c r="Y14" i="4" s="1"/>
  <c r="N78" i="4"/>
  <c r="N96" i="4" s="1"/>
  <c r="M78" i="4"/>
  <c r="Y7" i="4" s="1"/>
  <c r="H78" i="4"/>
  <c r="G78" i="4"/>
  <c r="F78" i="4"/>
  <c r="Y12" i="4" s="1"/>
  <c r="D78" i="4"/>
  <c r="C78" i="4"/>
  <c r="Y5" i="4" s="1"/>
  <c r="CB77" i="4"/>
  <c r="CC77" i="4" s="1"/>
  <c r="BL77" i="4"/>
  <c r="AV77" i="4"/>
  <c r="AU77" i="4"/>
  <c r="AP77" i="4"/>
  <c r="C77" i="4"/>
  <c r="I77" i="4" s="1"/>
  <c r="CB76" i="4"/>
  <c r="CC76" i="4" s="1"/>
  <c r="BL76" i="4"/>
  <c r="AV76" i="4"/>
  <c r="AU76" i="4"/>
  <c r="AU75" i="4" s="1"/>
  <c r="AP76" i="4"/>
  <c r="AP75" i="4" s="1"/>
  <c r="C76" i="4"/>
  <c r="CA75" i="4"/>
  <c r="BZ75" i="4"/>
  <c r="BY75" i="4"/>
  <c r="D199" i="5" s="1"/>
  <c r="G2555" i="7" s="1"/>
  <c r="C111" i="11" s="1"/>
  <c r="BX75" i="4"/>
  <c r="BW75" i="4"/>
  <c r="BL75" i="4"/>
  <c r="BF75" i="4"/>
  <c r="I2710" i="7" s="1"/>
  <c r="BE75" i="4"/>
  <c r="I2711" i="7" s="1"/>
  <c r="BD75" i="4"/>
  <c r="BC75" i="4"/>
  <c r="BB75" i="4"/>
  <c r="D2578" i="7" s="1"/>
  <c r="I2578" i="7" s="1"/>
  <c r="M2578" i="7" s="1"/>
  <c r="BA75" i="4"/>
  <c r="D2587" i="7" s="1"/>
  <c r="I2587" i="7" s="1"/>
  <c r="M2587" i="7" s="1"/>
  <c r="AZ75" i="4"/>
  <c r="D2613" i="7" s="1"/>
  <c r="AY75" i="4"/>
  <c r="D2611" i="7" s="1"/>
  <c r="AX75" i="4"/>
  <c r="D2609" i="7" s="1"/>
  <c r="AW75" i="4"/>
  <c r="AQ75" i="4"/>
  <c r="D2585" i="7" s="1"/>
  <c r="AO75" i="4"/>
  <c r="AG75" i="4"/>
  <c r="AD75" i="4"/>
  <c r="W75" i="4"/>
  <c r="T75" i="4"/>
  <c r="S75" i="4"/>
  <c r="L75" i="4"/>
  <c r="R15" i="4" s="1"/>
  <c r="J75" i="4"/>
  <c r="R13" i="4" s="1"/>
  <c r="H75" i="4"/>
  <c r="H96" i="4" s="1"/>
  <c r="G75" i="4"/>
  <c r="F75" i="4"/>
  <c r="E75" i="4"/>
  <c r="D2489" i="7" s="1"/>
  <c r="D75" i="4"/>
  <c r="D2490" i="7" s="1"/>
  <c r="CG74" i="4"/>
  <c r="AU74" i="4"/>
  <c r="AP74" i="4"/>
  <c r="C74" i="4"/>
  <c r="CG73" i="4"/>
  <c r="AU73" i="4"/>
  <c r="AU72" i="4" s="1"/>
  <c r="AP73" i="4"/>
  <c r="C73" i="4"/>
  <c r="CH72" i="4"/>
  <c r="D2475" i="7" s="1"/>
  <c r="CF72" i="4"/>
  <c r="CF96" i="4" s="1"/>
  <c r="CE72" i="4"/>
  <c r="CE96" i="4" s="1"/>
  <c r="CD72" i="4"/>
  <c r="D2476" i="7" s="1"/>
  <c r="I2476" i="7" s="1"/>
  <c r="M2476" i="7" s="1"/>
  <c r="AQ72" i="4"/>
  <c r="AO72" i="4"/>
  <c r="S72" i="4"/>
  <c r="G72" i="4"/>
  <c r="F72" i="4"/>
  <c r="E72" i="4"/>
  <c r="C72" i="4"/>
  <c r="AF68" i="4"/>
  <c r="Y68" i="4"/>
  <c r="V68" i="4"/>
  <c r="V66" i="4" s="1"/>
  <c r="S68" i="4"/>
  <c r="P68" i="4"/>
  <c r="M68" i="4"/>
  <c r="I68" i="4"/>
  <c r="AF67" i="4"/>
  <c r="Y67" i="4"/>
  <c r="V67" i="4"/>
  <c r="S67" i="4"/>
  <c r="P67" i="4"/>
  <c r="P66" i="4" s="1"/>
  <c r="M67" i="4"/>
  <c r="I67" i="4"/>
  <c r="AI66" i="4"/>
  <c r="AH66" i="4"/>
  <c r="AG66" i="4"/>
  <c r="D2366" i="7" s="1"/>
  <c r="I2366" i="7" s="1"/>
  <c r="M2366" i="7" s="1"/>
  <c r="AD66" i="4"/>
  <c r="AC66" i="4"/>
  <c r="AB66" i="4"/>
  <c r="AA66" i="4"/>
  <c r="D2300" i="7" s="1"/>
  <c r="I2300" i="7" s="1"/>
  <c r="M2300" i="7" s="1"/>
  <c r="Z66" i="4"/>
  <c r="X66" i="4"/>
  <c r="W66" i="4"/>
  <c r="U66" i="4"/>
  <c r="R66" i="4"/>
  <c r="Q66" i="4" s="1"/>
  <c r="O66" i="4"/>
  <c r="L66" i="4"/>
  <c r="K66" i="4" s="1"/>
  <c r="J66" i="4"/>
  <c r="E66" i="4"/>
  <c r="H23" i="6" s="1"/>
  <c r="H60" i="6" s="1"/>
  <c r="I60" i="6" s="1"/>
  <c r="D66" i="4"/>
  <c r="C66" i="4"/>
  <c r="AF65" i="4"/>
  <c r="Y65" i="4"/>
  <c r="Y63" i="4" s="1"/>
  <c r="V65" i="4"/>
  <c r="V63" i="4" s="1"/>
  <c r="S65" i="4"/>
  <c r="P65" i="4"/>
  <c r="M65" i="4"/>
  <c r="I65" i="4"/>
  <c r="AF64" i="4"/>
  <c r="AF63" i="4" s="1"/>
  <c r="Y64" i="4"/>
  <c r="V64" i="4"/>
  <c r="S64" i="4"/>
  <c r="S63" i="4" s="1"/>
  <c r="P64" i="4"/>
  <c r="M64" i="4"/>
  <c r="I64" i="4"/>
  <c r="AI63" i="4"/>
  <c r="AH63" i="4"/>
  <c r="AG63" i="4"/>
  <c r="D2173" i="7" s="1"/>
  <c r="I2173" i="7" s="1"/>
  <c r="M2173" i="7" s="1"/>
  <c r="AD63" i="4"/>
  <c r="AC63" i="4"/>
  <c r="AB63" i="4"/>
  <c r="AA63" i="4"/>
  <c r="D2107" i="7" s="1"/>
  <c r="I2107" i="7" s="1"/>
  <c r="M2107" i="7" s="1"/>
  <c r="Z63" i="4"/>
  <c r="X63" i="4"/>
  <c r="W63" i="4" s="1"/>
  <c r="U63" i="4"/>
  <c r="T63" i="4" s="1"/>
  <c r="R63" i="4"/>
  <c r="Q63" i="4"/>
  <c r="O63" i="4"/>
  <c r="N63" i="4" s="1"/>
  <c r="L63" i="4"/>
  <c r="K63" i="4"/>
  <c r="J63" i="4"/>
  <c r="H63" i="4"/>
  <c r="P4251" i="7" s="1"/>
  <c r="F44" i="6" s="1"/>
  <c r="G44" i="6" s="1"/>
  <c r="E63" i="4"/>
  <c r="H44" i="6" s="1"/>
  <c r="I44" i="6" s="1"/>
  <c r="D63" i="4"/>
  <c r="C63" i="4"/>
  <c r="AF62" i="4"/>
  <c r="Y62" i="4"/>
  <c r="Y60" i="4" s="1"/>
  <c r="V62" i="4"/>
  <c r="S62" i="4"/>
  <c r="P62" i="4"/>
  <c r="M62" i="4"/>
  <c r="I62" i="4"/>
  <c r="I60" i="4" s="1"/>
  <c r="AF61" i="4"/>
  <c r="AF60" i="4" s="1"/>
  <c r="Y61" i="4"/>
  <c r="V61" i="4"/>
  <c r="S61" i="4"/>
  <c r="P61" i="4"/>
  <c r="M61" i="4"/>
  <c r="I61" i="4"/>
  <c r="AI60" i="4"/>
  <c r="AH60" i="4"/>
  <c r="AG60" i="4"/>
  <c r="D1980" i="7" s="1"/>
  <c r="I1980" i="7" s="1"/>
  <c r="M1980" i="7" s="1"/>
  <c r="AD60" i="4"/>
  <c r="AC60" i="4"/>
  <c r="AB60" i="4"/>
  <c r="AA60" i="4"/>
  <c r="D1914" i="7" s="1"/>
  <c r="I1914" i="7" s="1"/>
  <c r="M1914" i="7" s="1"/>
  <c r="Z60" i="4"/>
  <c r="X60" i="4"/>
  <c r="U60" i="4"/>
  <c r="T60" i="4" s="1"/>
  <c r="R60" i="4"/>
  <c r="Q60" i="4" s="1"/>
  <c r="O60" i="4"/>
  <c r="N60" i="4" s="1"/>
  <c r="L60" i="4"/>
  <c r="K60" i="4" s="1"/>
  <c r="J60" i="4"/>
  <c r="H60" i="4"/>
  <c r="G60" i="4"/>
  <c r="F60" i="4"/>
  <c r="E60" i="4"/>
  <c r="H43" i="6" s="1"/>
  <c r="I43" i="6" s="1"/>
  <c r="D60" i="4"/>
  <c r="C60" i="4"/>
  <c r="AF59" i="4"/>
  <c r="Y59" i="4"/>
  <c r="Y57" i="4" s="1"/>
  <c r="V59" i="4"/>
  <c r="S59" i="4"/>
  <c r="P59" i="4"/>
  <c r="M59" i="4"/>
  <c r="M57" i="4" s="1"/>
  <c r="I59" i="4"/>
  <c r="AF58" i="4"/>
  <c r="Y58" i="4"/>
  <c r="V58" i="4"/>
  <c r="S58" i="4"/>
  <c r="P58" i="4"/>
  <c r="M58" i="4"/>
  <c r="I58" i="4"/>
  <c r="AI57" i="4"/>
  <c r="AH57" i="4"/>
  <c r="AG57" i="4"/>
  <c r="D1787" i="7" s="1"/>
  <c r="I1787" i="7" s="1"/>
  <c r="M1787" i="7" s="1"/>
  <c r="AD57" i="4"/>
  <c r="AC57" i="4"/>
  <c r="AB57" i="4"/>
  <c r="AA57" i="4"/>
  <c r="D1721" i="7" s="1"/>
  <c r="I1721" i="7" s="1"/>
  <c r="M1721" i="7" s="1"/>
  <c r="Z57" i="4"/>
  <c r="X57" i="4"/>
  <c r="W57" i="4" s="1"/>
  <c r="U57" i="4"/>
  <c r="T57" i="4" s="1"/>
  <c r="R57" i="4"/>
  <c r="Q57" i="4" s="1"/>
  <c r="O57" i="4"/>
  <c r="L57" i="4"/>
  <c r="K57" i="4" s="1"/>
  <c r="J57" i="4"/>
  <c r="H57" i="4"/>
  <c r="G57" i="4"/>
  <c r="F57" i="4"/>
  <c r="E57" i="4"/>
  <c r="D57" i="4"/>
  <c r="C57" i="4"/>
  <c r="AF56" i="4"/>
  <c r="Y56" i="4"/>
  <c r="V56" i="4"/>
  <c r="S56" i="4"/>
  <c r="P56" i="4"/>
  <c r="M56" i="4"/>
  <c r="I56" i="4"/>
  <c r="AF55" i="4"/>
  <c r="Y55" i="4"/>
  <c r="V55" i="4"/>
  <c r="V54" i="4" s="1"/>
  <c r="S55" i="4"/>
  <c r="P55" i="4"/>
  <c r="M55" i="4"/>
  <c r="I55" i="4"/>
  <c r="AI54" i="4"/>
  <c r="AH54" i="4"/>
  <c r="AG54" i="4"/>
  <c r="D1594" i="7" s="1"/>
  <c r="I1594" i="7" s="1"/>
  <c r="M1594" i="7" s="1"/>
  <c r="AD54" i="4"/>
  <c r="AC54" i="4"/>
  <c r="AB54" i="4"/>
  <c r="AA54" i="4"/>
  <c r="D1528" i="7" s="1"/>
  <c r="I1528" i="7" s="1"/>
  <c r="M1528" i="7" s="1"/>
  <c r="Z54" i="4"/>
  <c r="X54" i="4"/>
  <c r="W54" i="4"/>
  <c r="U54" i="4"/>
  <c r="T54" i="4"/>
  <c r="R54" i="4"/>
  <c r="Q54" i="4" s="1"/>
  <c r="O54" i="4"/>
  <c r="N54" i="4" s="1"/>
  <c r="L54" i="4"/>
  <c r="K54" i="4" s="1"/>
  <c r="J54" i="4"/>
  <c r="H54" i="4"/>
  <c r="G54" i="4"/>
  <c r="F54" i="4"/>
  <c r="E54" i="4"/>
  <c r="H41" i="6" s="1"/>
  <c r="I41" i="6" s="1"/>
  <c r="D54" i="4"/>
  <c r="C54" i="4"/>
  <c r="AF53" i="4"/>
  <c r="Y53" i="4"/>
  <c r="Y51" i="4" s="1"/>
  <c r="V53" i="4"/>
  <c r="S53" i="4"/>
  <c r="P53" i="4"/>
  <c r="P51" i="4" s="1"/>
  <c r="M53" i="4"/>
  <c r="I53" i="4"/>
  <c r="AF52" i="4"/>
  <c r="AF51" i="4" s="1"/>
  <c r="AE51" i="4" s="1"/>
  <c r="EV4" i="9" s="1"/>
  <c r="Y52" i="4"/>
  <c r="V52" i="4"/>
  <c r="S52" i="4"/>
  <c r="S51" i="4" s="1"/>
  <c r="P52" i="4"/>
  <c r="M52" i="4"/>
  <c r="I52" i="4"/>
  <c r="AI51" i="4"/>
  <c r="AH51" i="4"/>
  <c r="AG51" i="4"/>
  <c r="D1401" i="7" s="1"/>
  <c r="I1401" i="7" s="1"/>
  <c r="M1401" i="7" s="1"/>
  <c r="AD51" i="4"/>
  <c r="AC51" i="4"/>
  <c r="AB51" i="4"/>
  <c r="AA51" i="4"/>
  <c r="D1335" i="7" s="1"/>
  <c r="I1335" i="7" s="1"/>
  <c r="M1335" i="7" s="1"/>
  <c r="Z51" i="4"/>
  <c r="X51" i="4"/>
  <c r="W51" i="4" s="1"/>
  <c r="U51" i="4"/>
  <c r="T51" i="4" s="1"/>
  <c r="R51" i="4"/>
  <c r="Q51" i="4" s="1"/>
  <c r="O51" i="4"/>
  <c r="N51" i="4" s="1"/>
  <c r="L51" i="4"/>
  <c r="K51" i="4" s="1"/>
  <c r="J51" i="4"/>
  <c r="H51" i="4"/>
  <c r="G51" i="4"/>
  <c r="F51" i="4"/>
  <c r="E51" i="4"/>
  <c r="H40" i="6" s="1"/>
  <c r="I40" i="6" s="1"/>
  <c r="D51" i="4"/>
  <c r="C51" i="4"/>
  <c r="AF50" i="4"/>
  <c r="Y50" i="4"/>
  <c r="Y48" i="4" s="1"/>
  <c r="V50" i="4"/>
  <c r="S50" i="4"/>
  <c r="P50" i="4"/>
  <c r="P48" i="4" s="1"/>
  <c r="M50" i="4"/>
  <c r="I50" i="4"/>
  <c r="AF49" i="4"/>
  <c r="Y49" i="4"/>
  <c r="V49" i="4"/>
  <c r="V48" i="4" s="1"/>
  <c r="S49" i="4"/>
  <c r="P49" i="4"/>
  <c r="M49" i="4"/>
  <c r="I49" i="4"/>
  <c r="AI48" i="4"/>
  <c r="AH48" i="4"/>
  <c r="AG48" i="4"/>
  <c r="D1208" i="7" s="1"/>
  <c r="I1208" i="7" s="1"/>
  <c r="M1208" i="7" s="1"/>
  <c r="AD48" i="4"/>
  <c r="AC48" i="4"/>
  <c r="AB48" i="4"/>
  <c r="AA48" i="4"/>
  <c r="D1142" i="7" s="1"/>
  <c r="I1142" i="7" s="1"/>
  <c r="M1142" i="7" s="1"/>
  <c r="Z48" i="4"/>
  <c r="X48" i="4"/>
  <c r="W48" i="4" s="1"/>
  <c r="U48" i="4"/>
  <c r="T48" i="4" s="1"/>
  <c r="R48" i="4"/>
  <c r="Q48" i="4" s="1"/>
  <c r="O48" i="4"/>
  <c r="N48" i="4" s="1"/>
  <c r="L48" i="4"/>
  <c r="J48" i="4"/>
  <c r="H48" i="4"/>
  <c r="G48" i="4"/>
  <c r="F48" i="4"/>
  <c r="E48" i="4"/>
  <c r="H39" i="6" s="1"/>
  <c r="I39" i="6" s="1"/>
  <c r="D48" i="4"/>
  <c r="C48" i="4"/>
  <c r="AF47" i="4"/>
  <c r="Y47" i="4"/>
  <c r="V47" i="4"/>
  <c r="S47" i="4"/>
  <c r="P47" i="4"/>
  <c r="M47" i="4"/>
  <c r="M45" i="4" s="1"/>
  <c r="I47" i="4"/>
  <c r="AF46" i="4"/>
  <c r="Y46" i="4"/>
  <c r="Y45" i="4" s="1"/>
  <c r="V46" i="4"/>
  <c r="S46" i="4"/>
  <c r="P46" i="4"/>
  <c r="P45" i="4" s="1"/>
  <c r="D142" i="5" s="1"/>
  <c r="M46" i="4"/>
  <c r="I46" i="4"/>
  <c r="I45" i="4" s="1"/>
  <c r="AI45" i="4"/>
  <c r="AH45" i="4"/>
  <c r="AG45" i="4"/>
  <c r="D1015" i="7" s="1"/>
  <c r="I1015" i="7" s="1"/>
  <c r="M1015" i="7" s="1"/>
  <c r="AD45" i="4"/>
  <c r="AC45" i="4"/>
  <c r="AB45" i="4"/>
  <c r="AA45" i="4"/>
  <c r="D949" i="7" s="1"/>
  <c r="I949" i="7" s="1"/>
  <c r="M949" i="7" s="1"/>
  <c r="Z45" i="4"/>
  <c r="X45" i="4"/>
  <c r="W45" i="4"/>
  <c r="U45" i="4"/>
  <c r="T45" i="4" s="1"/>
  <c r="R45" i="4"/>
  <c r="Q45" i="4" s="1"/>
  <c r="O45" i="4"/>
  <c r="N45" i="4" s="1"/>
  <c r="L45" i="4"/>
  <c r="K45" i="4"/>
  <c r="J45" i="4"/>
  <c r="H45" i="4"/>
  <c r="G45" i="4"/>
  <c r="F45" i="4"/>
  <c r="E45" i="4"/>
  <c r="H38" i="6" s="1"/>
  <c r="I38" i="6" s="1"/>
  <c r="D45" i="4"/>
  <c r="C45" i="4"/>
  <c r="AF44" i="4"/>
  <c r="Y44" i="4"/>
  <c r="V44" i="4"/>
  <c r="S44" i="4"/>
  <c r="P44" i="4"/>
  <c r="M44" i="4"/>
  <c r="I44" i="4"/>
  <c r="AF43" i="4"/>
  <c r="Y43" i="4"/>
  <c r="V43" i="4"/>
  <c r="S43" i="4"/>
  <c r="P43" i="4"/>
  <c r="P42" i="4" s="1"/>
  <c r="M43" i="4"/>
  <c r="I43" i="4"/>
  <c r="I42" i="4" s="1"/>
  <c r="AI42" i="4"/>
  <c r="AH42" i="4"/>
  <c r="AG42" i="4"/>
  <c r="D822" i="7" s="1"/>
  <c r="I822" i="7" s="1"/>
  <c r="M822" i="7" s="1"/>
  <c r="AD42" i="4"/>
  <c r="AC42" i="4"/>
  <c r="AB42" i="4"/>
  <c r="AA42" i="4"/>
  <c r="D756" i="7" s="1"/>
  <c r="I756" i="7" s="1"/>
  <c r="M756" i="7" s="1"/>
  <c r="Z42" i="4"/>
  <c r="X42" i="4"/>
  <c r="U42" i="4"/>
  <c r="R42" i="4"/>
  <c r="Q42" i="4" s="1"/>
  <c r="O42" i="4"/>
  <c r="L42" i="4"/>
  <c r="J42" i="4"/>
  <c r="H42" i="4"/>
  <c r="G42" i="4"/>
  <c r="F42" i="4"/>
  <c r="E42" i="4"/>
  <c r="H37" i="6" s="1"/>
  <c r="D42" i="4"/>
  <c r="C42" i="4"/>
  <c r="D108" i="5" s="1"/>
  <c r="AF41" i="4"/>
  <c r="Y41" i="4"/>
  <c r="V41" i="4"/>
  <c r="S41" i="4"/>
  <c r="P41" i="4"/>
  <c r="M41" i="4"/>
  <c r="I41" i="4"/>
  <c r="I39" i="4" s="1"/>
  <c r="AF40" i="4"/>
  <c r="Y40" i="4"/>
  <c r="V40" i="4"/>
  <c r="S40" i="4"/>
  <c r="P40" i="4"/>
  <c r="P39" i="4" s="1"/>
  <c r="D50" i="5" s="1"/>
  <c r="M40" i="4"/>
  <c r="I40" i="4"/>
  <c r="AI39" i="4"/>
  <c r="AH39" i="4"/>
  <c r="AG39" i="4"/>
  <c r="D629" i="7" s="1"/>
  <c r="I629" i="7" s="1"/>
  <c r="M629" i="7" s="1"/>
  <c r="AD39" i="4"/>
  <c r="AC39" i="4"/>
  <c r="AB39" i="4"/>
  <c r="AA39" i="4"/>
  <c r="D563" i="7" s="1"/>
  <c r="I563" i="7" s="1"/>
  <c r="M563" i="7" s="1"/>
  <c r="Z39" i="4"/>
  <c r="Y39" i="4"/>
  <c r="D58" i="5" s="1"/>
  <c r="X39" i="4"/>
  <c r="W39" i="4"/>
  <c r="U39" i="4"/>
  <c r="T39" i="4" s="1"/>
  <c r="R39" i="4"/>
  <c r="Q39" i="4" s="1"/>
  <c r="O39" i="4"/>
  <c r="N39" i="4" s="1"/>
  <c r="L39" i="4"/>
  <c r="K39" i="4" s="1"/>
  <c r="J39" i="4"/>
  <c r="H39" i="4"/>
  <c r="G39" i="4"/>
  <c r="F39" i="4"/>
  <c r="E39" i="4"/>
  <c r="H14" i="6" s="1"/>
  <c r="D39" i="4"/>
  <c r="C39" i="4"/>
  <c r="AF38" i="4"/>
  <c r="Y38" i="4"/>
  <c r="V38" i="4"/>
  <c r="S38" i="4"/>
  <c r="P38" i="4"/>
  <c r="M38" i="4"/>
  <c r="M36" i="4" s="1"/>
  <c r="I38" i="4"/>
  <c r="AF37" i="4"/>
  <c r="Y37" i="4"/>
  <c r="V37" i="4"/>
  <c r="S37" i="4"/>
  <c r="P37" i="4"/>
  <c r="M37" i="4"/>
  <c r="I37" i="4"/>
  <c r="AI36" i="4"/>
  <c r="AH36" i="4"/>
  <c r="AG36" i="4"/>
  <c r="D436" i="7" s="1"/>
  <c r="I436" i="7" s="1"/>
  <c r="M436" i="7" s="1"/>
  <c r="AD36" i="4"/>
  <c r="AC36" i="4"/>
  <c r="D432" i="7" s="1"/>
  <c r="I432" i="7" s="1"/>
  <c r="M432" i="7" s="1"/>
  <c r="AB36" i="4"/>
  <c r="AA36" i="4"/>
  <c r="D370" i="7" s="1"/>
  <c r="I370" i="7" s="1"/>
  <c r="M370" i="7" s="1"/>
  <c r="Z36" i="4"/>
  <c r="X36" i="4"/>
  <c r="W36" i="4" s="1"/>
  <c r="U36" i="4"/>
  <c r="T36" i="4" s="1"/>
  <c r="R36" i="4"/>
  <c r="Q36" i="4" s="1"/>
  <c r="O36" i="4"/>
  <c r="N36" i="4" s="1"/>
  <c r="L36" i="4"/>
  <c r="K36" i="4"/>
  <c r="J36" i="4"/>
  <c r="H36" i="4"/>
  <c r="G36" i="4"/>
  <c r="F36" i="4"/>
  <c r="E36" i="4"/>
  <c r="H35" i="6" s="1"/>
  <c r="I35" i="6" s="1"/>
  <c r="D36" i="4"/>
  <c r="C36" i="4"/>
  <c r="N422" i="7" s="1"/>
  <c r="I35" i="4"/>
  <c r="I34" i="4"/>
  <c r="I33" i="4"/>
  <c r="AK32" i="4"/>
  <c r="AJ32" i="4"/>
  <c r="D151" i="7" s="1"/>
  <c r="AI32" i="4"/>
  <c r="D245" i="7" s="1"/>
  <c r="G245" i="7" s="1"/>
  <c r="AB32" i="4"/>
  <c r="AA32" i="4"/>
  <c r="D194" i="7" s="1"/>
  <c r="I194" i="7" s="1"/>
  <c r="M194" i="7" s="1"/>
  <c r="H32" i="4"/>
  <c r="G32" i="4"/>
  <c r="F32" i="4"/>
  <c r="E32" i="4"/>
  <c r="H12" i="6" s="1"/>
  <c r="D32" i="4"/>
  <c r="K7" i="4" s="1"/>
  <c r="C32" i="4"/>
  <c r="D21" i="5" s="1"/>
  <c r="K14" i="4"/>
  <c r="AF13" i="4"/>
  <c r="Y13" i="4"/>
  <c r="Y11" i="4"/>
  <c r="Y10" i="4"/>
  <c r="AF8" i="4"/>
  <c r="Y8" i="4"/>
  <c r="R7" i="4"/>
  <c r="C20" i="11" s="1"/>
  <c r="AC6" i="4"/>
  <c r="AC7" i="4" s="1"/>
  <c r="AC8" i="4" s="1"/>
  <c r="AC9" i="4" s="1"/>
  <c r="AC10" i="4" s="1"/>
  <c r="AC11" i="4" s="1"/>
  <c r="AC12" i="4" s="1"/>
  <c r="AC13" i="4" s="1"/>
  <c r="AC14" i="4" s="1"/>
  <c r="AC15" i="4" s="1"/>
  <c r="AC16" i="4" s="1"/>
  <c r="AC17" i="4" s="1"/>
  <c r="Y6" i="4"/>
  <c r="V6" i="4"/>
  <c r="V7" i="4" s="1"/>
  <c r="V8" i="4" s="1"/>
  <c r="V9" i="4" s="1"/>
  <c r="V10" i="4" s="1"/>
  <c r="V11" i="4" s="1"/>
  <c r="V12" i="4" s="1"/>
  <c r="V13" i="4" s="1"/>
  <c r="V14" i="4" s="1"/>
  <c r="V15" i="4" s="1"/>
  <c r="V16" i="4" s="1"/>
  <c r="V17" i="4" s="1"/>
  <c r="R6" i="4"/>
  <c r="C19" i="11" s="1"/>
  <c r="O6" i="4"/>
  <c r="O7" i="4" s="1"/>
  <c r="O8" i="4" s="1"/>
  <c r="O9" i="4" s="1"/>
  <c r="O10" i="4" s="1"/>
  <c r="O11" i="4" s="1"/>
  <c r="O12" i="4" s="1"/>
  <c r="O13" i="4" s="1"/>
  <c r="O14" i="4" s="1"/>
  <c r="O15" i="4" s="1"/>
  <c r="O16" i="4" s="1"/>
  <c r="O17" i="4" s="1"/>
  <c r="O18" i="4" s="1"/>
  <c r="H5" i="4"/>
  <c r="H6" i="4" s="1"/>
  <c r="H7" i="4" s="1"/>
  <c r="H8" i="4" s="1"/>
  <c r="H9" i="4" s="1"/>
  <c r="H10" i="4" s="1"/>
  <c r="H11" i="4" s="1"/>
  <c r="H12" i="4" s="1"/>
  <c r="H13" i="4" s="1"/>
  <c r="H14" i="4" s="1"/>
  <c r="H15" i="4" s="1"/>
  <c r="H16" i="4" s="1"/>
  <c r="H17" i="4" s="1"/>
  <c r="H18" i="4" s="1"/>
  <c r="H19" i="4" s="1"/>
  <c r="H20" i="4" s="1"/>
  <c r="H21" i="4" s="1"/>
  <c r="H22" i="4" s="1"/>
  <c r="H23" i="4" s="1"/>
  <c r="H24" i="4" s="1"/>
  <c r="H25" i="4" s="1"/>
  <c r="H26" i="4" s="1"/>
  <c r="A5" i="4"/>
  <c r="A6" i="4" s="1"/>
  <c r="A7" i="4" s="1"/>
  <c r="A8" i="4" s="1"/>
  <c r="A9" i="4" s="1"/>
  <c r="A10" i="4" s="1"/>
  <c r="A11" i="4" s="1"/>
  <c r="A12" i="4" s="1"/>
  <c r="A13" i="4" s="1"/>
  <c r="A14" i="4" s="1"/>
  <c r="A15" i="4" s="1"/>
  <c r="A16" i="4" s="1"/>
  <c r="A17" i="4" s="1"/>
  <c r="A18" i="4" s="1"/>
  <c r="A19" i="4" s="1"/>
  <c r="A20" i="4" s="1"/>
  <c r="A21" i="4" s="1"/>
  <c r="A22" i="4" s="1"/>
  <c r="A23" i="4" s="1"/>
  <c r="A24" i="4" s="1"/>
  <c r="A25" i="4" s="1"/>
  <c r="A26" i="4" s="1"/>
  <c r="A64" i="3"/>
  <c r="A65" i="3" s="1"/>
  <c r="A66" i="3" s="1"/>
  <c r="A67" i="3" s="1"/>
  <c r="A68" i="3" s="1"/>
  <c r="A69" i="3" s="1"/>
  <c r="A70" i="3" s="1"/>
  <c r="A71" i="3" s="1"/>
  <c r="A72" i="3" s="1"/>
  <c r="A73" i="3" s="1"/>
  <c r="A74" i="3" s="1"/>
  <c r="A53" i="3"/>
  <c r="A54" i="3" s="1"/>
  <c r="A55" i="3" s="1"/>
  <c r="A56" i="3" s="1"/>
  <c r="A57" i="3" s="1"/>
  <c r="A58" i="3" s="1"/>
  <c r="A59" i="3" s="1"/>
  <c r="A60" i="3" s="1"/>
  <c r="M2511" i="7" l="1"/>
  <c r="M3917" i="7"/>
  <c r="M2746" i="7"/>
  <c r="M2410" i="7"/>
  <c r="M3932" i="7"/>
  <c r="M2600" i="7"/>
  <c r="M2749" i="7"/>
  <c r="M3096" i="7"/>
  <c r="M3551" i="7"/>
  <c r="B612" i="11"/>
  <c r="M3699" i="7"/>
  <c r="M3923" i="7"/>
  <c r="B620" i="11"/>
  <c r="M2413" i="7"/>
  <c r="M2529" i="7"/>
  <c r="O4207" i="7"/>
  <c r="G2370" i="7"/>
  <c r="C12" i="12"/>
  <c r="D12" i="12" s="1"/>
  <c r="D69" i="8"/>
  <c r="F69" i="8" s="1"/>
  <c r="C10" i="12"/>
  <c r="E10" i="19"/>
  <c r="E143" i="8"/>
  <c r="F83" i="8"/>
  <c r="G2547" i="7"/>
  <c r="B596" i="11"/>
  <c r="AR96" i="4"/>
  <c r="R8" i="4"/>
  <c r="R9" i="4" s="1"/>
  <c r="P36" i="4"/>
  <c r="AF39" i="4"/>
  <c r="S45" i="4"/>
  <c r="D146" i="5" s="1"/>
  <c r="V45" i="4"/>
  <c r="D148" i="5" s="1"/>
  <c r="M51" i="4"/>
  <c r="V60" i="4"/>
  <c r="AW96" i="4"/>
  <c r="CB75" i="4"/>
  <c r="CC75" i="4" s="1"/>
  <c r="D193" i="5" s="1"/>
  <c r="G2699" i="7" s="1"/>
  <c r="G2700" i="7" s="1"/>
  <c r="BJ96" i="4"/>
  <c r="BM81" i="4"/>
  <c r="G3029" i="7" s="1"/>
  <c r="G3030" i="7" s="1"/>
  <c r="G3031" i="7" s="1"/>
  <c r="AU90" i="4"/>
  <c r="I62" i="7"/>
  <c r="M62" i="7" s="1"/>
  <c r="M2825" i="7"/>
  <c r="V36" i="4"/>
  <c r="N42" i="4"/>
  <c r="Y54" i="4"/>
  <c r="P57" i="4"/>
  <c r="S96" i="4"/>
  <c r="O78" i="4"/>
  <c r="AU93" i="4"/>
  <c r="M2740" i="7"/>
  <c r="I3768" i="7"/>
  <c r="M3768" i="7" s="1"/>
  <c r="M3824" i="7"/>
  <c r="B604" i="11"/>
  <c r="F92" i="8"/>
  <c r="AF36" i="4"/>
  <c r="D60" i="5"/>
  <c r="M39" i="4"/>
  <c r="D52" i="5" s="1"/>
  <c r="AF42" i="4"/>
  <c r="AE42" i="4" s="1"/>
  <c r="CJ4" i="9" s="1"/>
  <c r="S48" i="4"/>
  <c r="V51" i="4"/>
  <c r="I205" i="7"/>
  <c r="M205" i="7" s="1"/>
  <c r="M60" i="4"/>
  <c r="CG72" i="4"/>
  <c r="CG96" i="4" s="1"/>
  <c r="AV75" i="4"/>
  <c r="Y96" i="4"/>
  <c r="AV78" i="4"/>
  <c r="M2404" i="7"/>
  <c r="M2743" i="7"/>
  <c r="M3463" i="7"/>
  <c r="O4238" i="7"/>
  <c r="B636" i="11"/>
  <c r="C81" i="4"/>
  <c r="BL81" i="4"/>
  <c r="C93" i="4"/>
  <c r="Q93" i="4" s="1"/>
  <c r="M2814" i="7"/>
  <c r="M3088" i="7"/>
  <c r="M3258" i="7"/>
  <c r="Q4238" i="7"/>
  <c r="F150" i="8"/>
  <c r="I57" i="4"/>
  <c r="P60" i="4"/>
  <c r="I63" i="4"/>
  <c r="E96" i="4"/>
  <c r="CB78" i="4"/>
  <c r="O85" i="4"/>
  <c r="M2514" i="7"/>
  <c r="M2523" i="7"/>
  <c r="G2559" i="7"/>
  <c r="M4084" i="7"/>
  <c r="F87" i="8"/>
  <c r="F148" i="8"/>
  <c r="N744" i="7"/>
  <c r="M4190" i="7"/>
  <c r="C33" i="6" s="1"/>
  <c r="L33" i="6" s="1"/>
  <c r="I4204" i="7"/>
  <c r="M4204" i="7" s="1"/>
  <c r="O4197" i="7"/>
  <c r="O4193" i="7"/>
  <c r="G145" i="8"/>
  <c r="R81" i="4"/>
  <c r="AF15" i="4" s="1"/>
  <c r="AF6" i="4"/>
  <c r="D319" i="5"/>
  <c r="BL84" i="4"/>
  <c r="D252" i="5"/>
  <c r="G2771" i="7" s="1"/>
  <c r="D150" i="5"/>
  <c r="I36" i="4"/>
  <c r="D152" i="5"/>
  <c r="D144" i="5"/>
  <c r="P54" i="4"/>
  <c r="S66" i="4"/>
  <c r="AO96" i="4"/>
  <c r="AP72" i="4"/>
  <c r="AP96" i="4" s="1"/>
  <c r="T96" i="4"/>
  <c r="AH96" i="4"/>
  <c r="D321" i="5"/>
  <c r="V42" i="4"/>
  <c r="T42" i="4" s="1"/>
  <c r="S54" i="4"/>
  <c r="AF57" i="4"/>
  <c r="X69" i="4"/>
  <c r="Y66" i="4"/>
  <c r="AQ96" i="4"/>
  <c r="W96" i="4"/>
  <c r="X96" i="4"/>
  <c r="AC78" i="4"/>
  <c r="AB78" i="4"/>
  <c r="D323" i="5"/>
  <c r="CC84" i="4"/>
  <c r="G3425" i="7" s="1"/>
  <c r="G3426" i="7" s="1"/>
  <c r="AB87" i="4"/>
  <c r="D3516" i="7" s="1"/>
  <c r="D3517" i="7" s="1"/>
  <c r="CC89" i="4"/>
  <c r="G3727" i="7"/>
  <c r="C466" i="11" s="1"/>
  <c r="CB93" i="4"/>
  <c r="CC93" i="4" s="1"/>
  <c r="G4145" i="7" s="1"/>
  <c r="G4146" i="7" s="1"/>
  <c r="Q4202" i="7"/>
  <c r="R93" i="4"/>
  <c r="I201" i="7"/>
  <c r="M201" i="7" s="1"/>
  <c r="D157" i="5"/>
  <c r="AC87" i="4"/>
  <c r="D306" i="5"/>
  <c r="G3000" i="7" s="1"/>
  <c r="C242" i="11" s="1"/>
  <c r="Y9" i="4"/>
  <c r="Y36" i="4"/>
  <c r="V39" i="4"/>
  <c r="D56" i="5" s="1"/>
  <c r="AF48" i="4"/>
  <c r="AF54" i="4"/>
  <c r="D1515" i="7" s="1"/>
  <c r="I1515" i="7" s="1"/>
  <c r="M1515" i="7" s="1"/>
  <c r="M63" i="4"/>
  <c r="AI69" i="4"/>
  <c r="I66" i="4"/>
  <c r="P2367" i="7" s="1"/>
  <c r="Q2367" i="7" s="1"/>
  <c r="BX96" i="4"/>
  <c r="AA96" i="4"/>
  <c r="AS96" i="4"/>
  <c r="BG96" i="4"/>
  <c r="D255" i="5"/>
  <c r="G2774" i="7" s="1"/>
  <c r="C175" i="11" s="1"/>
  <c r="D308" i="5"/>
  <c r="G2998" i="7" s="1"/>
  <c r="G2999" i="7" s="1"/>
  <c r="BL90" i="4"/>
  <c r="I202" i="7"/>
  <c r="M202" i="7" s="1"/>
  <c r="D250" i="5"/>
  <c r="G2773" i="7" s="1"/>
  <c r="C173" i="11" s="1"/>
  <c r="D311" i="5"/>
  <c r="G3001" i="7" s="1"/>
  <c r="C244" i="11" s="1"/>
  <c r="AV87" i="4"/>
  <c r="O91" i="4"/>
  <c r="CB90" i="4"/>
  <c r="CC90" i="4" s="1"/>
  <c r="G3882" i="7" s="1"/>
  <c r="G3883" i="7" s="1"/>
  <c r="AH69" i="4"/>
  <c r="AF66" i="4"/>
  <c r="D2289" i="7" s="1"/>
  <c r="I2289" i="7" s="1"/>
  <c r="M2289" i="7" s="1"/>
  <c r="AG96" i="4"/>
  <c r="BW96" i="4"/>
  <c r="I76" i="4"/>
  <c r="D272" i="5"/>
  <c r="Z69" i="4"/>
  <c r="D264" i="5"/>
  <c r="D20" i="4"/>
  <c r="D21" i="4" s="1"/>
  <c r="M4" i="9" s="1"/>
  <c r="D65" i="5"/>
  <c r="M42" i="4"/>
  <c r="D98" i="5" s="1"/>
  <c r="AF45" i="4"/>
  <c r="D935" i="7" s="1"/>
  <c r="I935" i="7" s="1"/>
  <c r="M935" i="7" s="1"/>
  <c r="I48" i="4"/>
  <c r="P1206" i="7" s="1"/>
  <c r="M48" i="4"/>
  <c r="I51" i="4"/>
  <c r="I54" i="4"/>
  <c r="P1565" i="7" s="1"/>
  <c r="M54" i="4"/>
  <c r="S57" i="4"/>
  <c r="V57" i="4"/>
  <c r="S60" i="4"/>
  <c r="P63" i="4"/>
  <c r="P69" i="4" s="1"/>
  <c r="M66" i="4"/>
  <c r="L96" i="4"/>
  <c r="I4307" i="7" s="1"/>
  <c r="BC96" i="4"/>
  <c r="BZ96" i="4"/>
  <c r="U96" i="4"/>
  <c r="D266" i="5"/>
  <c r="BI96" i="4"/>
  <c r="CC78" i="4"/>
  <c r="D249" i="5" s="1"/>
  <c r="G2929" i="7" s="1"/>
  <c r="G2930" i="7" s="1"/>
  <c r="AU81" i="4"/>
  <c r="AB90" i="4"/>
  <c r="D3743" i="7" s="1"/>
  <c r="D3744" i="7" s="1"/>
  <c r="Q4224" i="7"/>
  <c r="D325" i="5"/>
  <c r="S36" i="4"/>
  <c r="S39" i="4"/>
  <c r="D54" i="5" s="1"/>
  <c r="D121" i="5"/>
  <c r="Q72" i="4"/>
  <c r="C75" i="4"/>
  <c r="R5" i="4" s="1"/>
  <c r="BD96" i="4"/>
  <c r="CA96" i="4"/>
  <c r="M96" i="4"/>
  <c r="I4305" i="7" s="1"/>
  <c r="V96" i="4"/>
  <c r="D268" i="5"/>
  <c r="BU81" i="4"/>
  <c r="BU96" i="4" s="1"/>
  <c r="O87" i="4"/>
  <c r="BL87" i="4"/>
  <c r="AC90" i="4"/>
  <c r="AV93" i="4"/>
  <c r="I206" i="7"/>
  <c r="M206" i="7" s="1"/>
  <c r="O4211" i="7"/>
  <c r="O4225" i="7"/>
  <c r="Q4225" i="7"/>
  <c r="G2759" i="7"/>
  <c r="G2760" i="7" s="1"/>
  <c r="G2766" i="7"/>
  <c r="M3255" i="7"/>
  <c r="M3173" i="7"/>
  <c r="I2475" i="7"/>
  <c r="M2475" i="7" s="1"/>
  <c r="Q4222" i="7"/>
  <c r="Y42" i="4"/>
  <c r="D104" i="5" s="1"/>
  <c r="U69" i="4"/>
  <c r="S42" i="4"/>
  <c r="D100" i="5" s="1"/>
  <c r="R69" i="4"/>
  <c r="J69" i="4"/>
  <c r="H69" i="4"/>
  <c r="K20" i="4" s="1"/>
  <c r="F69" i="4"/>
  <c r="K12" i="4" s="1"/>
  <c r="D106" i="5"/>
  <c r="D75" i="5"/>
  <c r="D96" i="5"/>
  <c r="D69" i="4"/>
  <c r="K5" i="4" s="1"/>
  <c r="K6" i="4" s="1"/>
  <c r="I32" i="4"/>
  <c r="P210" i="7" s="1"/>
  <c r="M4221" i="7"/>
  <c r="O4221" i="7" s="1"/>
  <c r="O4199" i="7"/>
  <c r="D4238" i="7"/>
  <c r="G4238" i="7" s="1"/>
  <c r="Q4199" i="7"/>
  <c r="Q4193" i="7"/>
  <c r="O4202" i="7"/>
  <c r="O4222" i="7"/>
  <c r="Q4211" i="7"/>
  <c r="Q4218" i="7"/>
  <c r="Q4226" i="7"/>
  <c r="Q4234" i="7"/>
  <c r="C171" i="11"/>
  <c r="G2772" i="7"/>
  <c r="D3971" i="7"/>
  <c r="P443" i="7"/>
  <c r="P433" i="7"/>
  <c r="P427" i="7"/>
  <c r="P421" i="7"/>
  <c r="P416" i="7"/>
  <c r="P409" i="7"/>
  <c r="P402" i="7"/>
  <c r="P396" i="7"/>
  <c r="P390" i="7"/>
  <c r="P389" i="7"/>
  <c r="P388" i="7"/>
  <c r="P387" i="7"/>
  <c r="P386" i="7"/>
  <c r="P385" i="7"/>
  <c r="P384" i="7"/>
  <c r="P383" i="7"/>
  <c r="P382" i="7"/>
  <c r="P371" i="7"/>
  <c r="P364" i="7"/>
  <c r="P356" i="7"/>
  <c r="P349" i="7"/>
  <c r="P342" i="7"/>
  <c r="P335" i="7"/>
  <c r="P329" i="7"/>
  <c r="P321" i="7"/>
  <c r="P314" i="7"/>
  <c r="P306" i="7"/>
  <c r="P299" i="7"/>
  <c r="P293" i="7"/>
  <c r="P285" i="7"/>
  <c r="P278" i="7"/>
  <c r="P271" i="7"/>
  <c r="P264" i="7"/>
  <c r="P257" i="7"/>
  <c r="P434" i="7"/>
  <c r="P428" i="7"/>
  <c r="P422" i="7"/>
  <c r="P403" i="7"/>
  <c r="P397" i="7"/>
  <c r="P391" i="7"/>
  <c r="P365" i="7"/>
  <c r="P357" i="7"/>
  <c r="P343" i="7"/>
  <c r="P336" i="7"/>
  <c r="P330" i="7"/>
  <c r="P322" i="7"/>
  <c r="P315" i="7"/>
  <c r="P307" i="7"/>
  <c r="P286" i="7"/>
  <c r="P279" i="7"/>
  <c r="P272" i="7"/>
  <c r="P265" i="7"/>
  <c r="P258" i="7"/>
  <c r="P444" i="7"/>
  <c r="P438" i="7"/>
  <c r="Q438" i="7" s="1"/>
  <c r="P423" i="7"/>
  <c r="P417" i="7"/>
  <c r="P410" i="7"/>
  <c r="P398" i="7"/>
  <c r="P392" i="7"/>
  <c r="P372" i="7"/>
  <c r="P366" i="7"/>
  <c r="P358" i="7"/>
  <c r="P350" i="7"/>
  <c r="P344" i="7"/>
  <c r="P337" i="7"/>
  <c r="P323" i="7"/>
  <c r="P316" i="7"/>
  <c r="P308" i="7"/>
  <c r="P300" i="7"/>
  <c r="P294" i="7"/>
  <c r="P287" i="7"/>
  <c r="P280" i="7"/>
  <c r="P273" i="7"/>
  <c r="P266" i="7"/>
  <c r="P259" i="7"/>
  <c r="P442" i="7"/>
  <c r="P437" i="7"/>
  <c r="Q437" i="7" s="1"/>
  <c r="P415" i="7"/>
  <c r="P408" i="7"/>
  <c r="P370" i="7"/>
  <c r="P363" i="7"/>
  <c r="P355" i="7"/>
  <c r="P348" i="7"/>
  <c r="P341" i="7"/>
  <c r="P334" i="7"/>
  <c r="P328" i="7"/>
  <c r="P320" i="7"/>
  <c r="P313" i="7"/>
  <c r="P305" i="7"/>
  <c r="P298" i="7"/>
  <c r="P292" i="7"/>
  <c r="P284" i="7"/>
  <c r="P270" i="7"/>
  <c r="P263" i="7"/>
  <c r="P445" i="7"/>
  <c r="P435" i="7"/>
  <c r="P418" i="7"/>
  <c r="P411" i="7"/>
  <c r="P404" i="7"/>
  <c r="P399" i="7"/>
  <c r="P359" i="7"/>
  <c r="P338" i="7"/>
  <c r="P331" i="7"/>
  <c r="P324" i="7"/>
  <c r="P317" i="7"/>
  <c r="P311" i="7"/>
  <c r="P290" i="7"/>
  <c r="P430" i="7"/>
  <c r="P352" i="7"/>
  <c r="P345" i="7"/>
  <c r="P304" i="7"/>
  <c r="P297" i="7"/>
  <c r="P283" i="7"/>
  <c r="P276" i="7"/>
  <c r="P269" i="7"/>
  <c r="P262" i="7"/>
  <c r="P440" i="7"/>
  <c r="P425" i="7"/>
  <c r="P413" i="7"/>
  <c r="P406" i="7"/>
  <c r="P394" i="7"/>
  <c r="P381" i="7"/>
  <c r="P379" i="7"/>
  <c r="P377" i="7"/>
  <c r="P375" i="7"/>
  <c r="P373" i="7"/>
  <c r="P368" i="7"/>
  <c r="P361" i="7"/>
  <c r="P326" i="7"/>
  <c r="P301" i="7"/>
  <c r="P441" i="7"/>
  <c r="P426" i="7"/>
  <c r="P414" i="7"/>
  <c r="P407" i="7"/>
  <c r="P395" i="7"/>
  <c r="P369" i="7"/>
  <c r="P362" i="7"/>
  <c r="P327" i="7"/>
  <c r="P302" i="7"/>
  <c r="P281" i="7"/>
  <c r="P274" i="7"/>
  <c r="P267" i="7"/>
  <c r="P255" i="7"/>
  <c r="F13" i="6" s="1"/>
  <c r="P446" i="7"/>
  <c r="P431" i="7"/>
  <c r="P380" i="7"/>
  <c r="P376" i="7"/>
  <c r="P353" i="7"/>
  <c r="P339" i="7"/>
  <c r="P288" i="7"/>
  <c r="P260" i="7"/>
  <c r="P420" i="7"/>
  <c r="P401" i="7"/>
  <c r="P347" i="7"/>
  <c r="P333" i="7"/>
  <c r="P319" i="7"/>
  <c r="P310" i="7"/>
  <c r="P296" i="7"/>
  <c r="P429" i="7"/>
  <c r="P424" i="7"/>
  <c r="P351" i="7"/>
  <c r="P282" i="7"/>
  <c r="P268" i="7"/>
  <c r="P439" i="7"/>
  <c r="P405" i="7"/>
  <c r="P360" i="7"/>
  <c r="P332" i="7"/>
  <c r="P318" i="7"/>
  <c r="P291" i="7"/>
  <c r="P277" i="7"/>
  <c r="P419" i="7"/>
  <c r="P400" i="7"/>
  <c r="P378" i="7"/>
  <c r="P374" i="7"/>
  <c r="P346" i="7"/>
  <c r="P309" i="7"/>
  <c r="P295" i="7"/>
  <c r="P447" i="7"/>
  <c r="P432" i="7"/>
  <c r="P354" i="7"/>
  <c r="P340" i="7"/>
  <c r="P289" i="7"/>
  <c r="P436" i="7"/>
  <c r="Q436" i="7" s="1"/>
  <c r="P412" i="7"/>
  <c r="P367" i="7"/>
  <c r="P325" i="7"/>
  <c r="P312" i="7"/>
  <c r="P256" i="7"/>
  <c r="P275" i="7"/>
  <c r="P303" i="7"/>
  <c r="P261" i="7"/>
  <c r="P393" i="7"/>
  <c r="H51" i="6"/>
  <c r="I14" i="6"/>
  <c r="D6" i="4"/>
  <c r="D568" i="7"/>
  <c r="D567" i="7"/>
  <c r="D569" i="7"/>
  <c r="D574" i="7"/>
  <c r="D571" i="7"/>
  <c r="D572" i="7"/>
  <c r="D570" i="7"/>
  <c r="D573" i="7"/>
  <c r="P2237" i="7"/>
  <c r="C240" i="11"/>
  <c r="D939" i="7"/>
  <c r="I939" i="7" s="1"/>
  <c r="D940" i="7"/>
  <c r="I940" i="7" s="1"/>
  <c r="M940" i="7" s="1"/>
  <c r="D934" i="7"/>
  <c r="I934" i="7" s="1"/>
  <c r="M934" i="7" s="1"/>
  <c r="D931" i="7"/>
  <c r="D943" i="7"/>
  <c r="I943" i="7" s="1"/>
  <c r="M943" i="7" s="1"/>
  <c r="D936" i="7"/>
  <c r="I936" i="7" s="1"/>
  <c r="M936" i="7" s="1"/>
  <c r="AE45" i="4"/>
  <c r="D1153" i="7"/>
  <c r="D1152" i="7"/>
  <c r="D1151" i="7"/>
  <c r="D1150" i="7"/>
  <c r="D1149" i="7"/>
  <c r="D1148" i="7"/>
  <c r="D1147" i="7"/>
  <c r="D1146" i="7"/>
  <c r="P1194" i="7"/>
  <c r="P1094" i="7"/>
  <c r="P1210" i="7"/>
  <c r="Q1210" i="7" s="1"/>
  <c r="P1122" i="7"/>
  <c r="P1201" i="7"/>
  <c r="P1110" i="7"/>
  <c r="P1205" i="7"/>
  <c r="P1160" i="7"/>
  <c r="P1128" i="7"/>
  <c r="P1213" i="7"/>
  <c r="P1064" i="7"/>
  <c r="P1069" i="7"/>
  <c r="P1085" i="7"/>
  <c r="P1172" i="7"/>
  <c r="P1061" i="7"/>
  <c r="P1057" i="7"/>
  <c r="P1035" i="7"/>
  <c r="P1034" i="7"/>
  <c r="P1052" i="7"/>
  <c r="P1192" i="7"/>
  <c r="P1048" i="7"/>
  <c r="P1409" i="7"/>
  <c r="P1403" i="7"/>
  <c r="Q1403" i="7" s="1"/>
  <c r="P1388" i="7"/>
  <c r="P1382" i="7"/>
  <c r="P1375" i="7"/>
  <c r="P1412" i="7"/>
  <c r="P1395" i="7"/>
  <c r="P1384" i="7"/>
  <c r="P1365" i="7"/>
  <c r="P1359" i="7"/>
  <c r="P1346" i="7"/>
  <c r="P1345" i="7"/>
  <c r="P1344" i="7"/>
  <c r="P1343" i="7"/>
  <c r="P1342" i="7"/>
  <c r="P1341" i="7"/>
  <c r="P1340" i="7"/>
  <c r="P1339" i="7"/>
  <c r="P1338" i="7"/>
  <c r="P1333" i="7"/>
  <c r="P1326" i="7"/>
  <c r="P1318" i="7"/>
  <c r="P1311" i="7"/>
  <c r="P1304" i="7"/>
  <c r="P1291" i="7"/>
  <c r="P1276" i="7"/>
  <c r="P1268" i="7"/>
  <c r="P1255" i="7"/>
  <c r="P1247" i="7"/>
  <c r="P1240" i="7"/>
  <c r="P1233" i="7"/>
  <c r="P1226" i="7"/>
  <c r="P1405" i="7"/>
  <c r="P1402" i="7"/>
  <c r="Q1402" i="7" s="1"/>
  <c r="P1399" i="7"/>
  <c r="P1381" i="7"/>
  <c r="P1377" i="7"/>
  <c r="P1373" i="7"/>
  <c r="P1369" i="7"/>
  <c r="P1360" i="7"/>
  <c r="P1334" i="7"/>
  <c r="P1327" i="7"/>
  <c r="P1319" i="7"/>
  <c r="P1312" i="7"/>
  <c r="P1305" i="7"/>
  <c r="P1298" i="7"/>
  <c r="P1292" i="7"/>
  <c r="P1284" i="7"/>
  <c r="P1277" i="7"/>
  <c r="P1269" i="7"/>
  <c r="P1262" i="7"/>
  <c r="P1256" i="7"/>
  <c r="P1248" i="7"/>
  <c r="P1242" i="7"/>
  <c r="P1241" i="7"/>
  <c r="P1234" i="7"/>
  <c r="P1227" i="7"/>
  <c r="P1221" i="7"/>
  <c r="P1396" i="7"/>
  <c r="P1392" i="7"/>
  <c r="P1389" i="7"/>
  <c r="P1385" i="7"/>
  <c r="P1366" i="7"/>
  <c r="P1335" i="7"/>
  <c r="Q1335" i="7" s="1"/>
  <c r="P1328" i="7"/>
  <c r="P1320" i="7"/>
  <c r="P1313" i="7"/>
  <c r="P1306" i="7"/>
  <c r="P1299" i="7"/>
  <c r="P1293" i="7"/>
  <c r="P1285" i="7"/>
  <c r="P1278" i="7"/>
  <c r="P1270" i="7"/>
  <c r="P1263" i="7"/>
  <c r="P1257" i="7"/>
  <c r="P1249" i="7"/>
  <c r="P1235" i="7"/>
  <c r="P1228" i="7"/>
  <c r="P1408" i="7"/>
  <c r="P1404" i="7"/>
  <c r="P1398" i="7"/>
  <c r="P1391" i="7"/>
  <c r="P1387" i="7"/>
  <c r="P1380" i="7"/>
  <c r="P1376" i="7"/>
  <c r="P1372" i="7"/>
  <c r="P1368" i="7"/>
  <c r="P1332" i="7"/>
  <c r="P1325" i="7"/>
  <c r="P1317" i="7"/>
  <c r="P1310" i="7"/>
  <c r="P1297" i="7"/>
  <c r="P1290" i="7"/>
  <c r="P1283" i="7"/>
  <c r="P1275" i="7"/>
  <c r="P1267" i="7"/>
  <c r="P1261" i="7"/>
  <c r="P1254" i="7"/>
  <c r="P1246" i="7"/>
  <c r="P1239" i="7"/>
  <c r="P1232" i="7"/>
  <c r="P1220" i="7"/>
  <c r="F18" i="6" s="1"/>
  <c r="P1407" i="7"/>
  <c r="P1401" i="7"/>
  <c r="Q1401" i="7" s="1"/>
  <c r="P1390" i="7"/>
  <c r="P1379" i="7"/>
  <c r="P1371" i="7"/>
  <c r="P1363" i="7"/>
  <c r="P1337" i="7"/>
  <c r="P1323" i="7"/>
  <c r="P1309" i="7"/>
  <c r="P1302" i="7"/>
  <c r="P1288" i="7"/>
  <c r="P1281" i="7"/>
  <c r="P1265" i="7"/>
  <c r="P1358" i="7"/>
  <c r="P1316" i="7"/>
  <c r="P1274" i="7"/>
  <c r="P1260" i="7"/>
  <c r="P1253" i="7"/>
  <c r="P1225" i="7"/>
  <c r="P1406" i="7"/>
  <c r="P1400" i="7"/>
  <c r="P1378" i="7"/>
  <c r="P1370" i="7"/>
  <c r="P1355" i="7"/>
  <c r="P1353" i="7"/>
  <c r="P1351" i="7"/>
  <c r="P1349" i="7"/>
  <c r="P1347" i="7"/>
  <c r="P1336" i="7"/>
  <c r="P1329" i="7"/>
  <c r="P1294" i="7"/>
  <c r="P1271" i="7"/>
  <c r="P1264" i="7"/>
  <c r="P1250" i="7"/>
  <c r="P1243" i="7"/>
  <c r="P1236" i="7"/>
  <c r="P1229" i="7"/>
  <c r="P1222" i="7"/>
  <c r="P1393" i="7"/>
  <c r="P1356" i="7"/>
  <c r="P1330" i="7"/>
  <c r="P1295" i="7"/>
  <c r="P1272" i="7"/>
  <c r="P1251" i="7"/>
  <c r="P1244" i="7"/>
  <c r="P1237" i="7"/>
  <c r="P1230" i="7"/>
  <c r="P1223" i="7"/>
  <c r="P1411" i="7"/>
  <c r="P1394" i="7"/>
  <c r="P1303" i="7"/>
  <c r="P1289" i="7"/>
  <c r="P1266" i="7"/>
  <c r="P1410" i="7"/>
  <c r="P1361" i="7"/>
  <c r="P1352" i="7"/>
  <c r="P1348" i="7"/>
  <c r="P1321" i="7"/>
  <c r="P1307" i="7"/>
  <c r="P1279" i="7"/>
  <c r="P1397" i="7"/>
  <c r="P1301" i="7"/>
  <c r="P1287" i="7"/>
  <c r="P1383" i="7"/>
  <c r="P1367" i="7"/>
  <c r="P1357" i="7"/>
  <c r="P1331" i="7"/>
  <c r="P1252" i="7"/>
  <c r="P1238" i="7"/>
  <c r="P1224" i="7"/>
  <c r="P1364" i="7"/>
  <c r="P1282" i="7"/>
  <c r="Q1282" i="7" s="1"/>
  <c r="P1374" i="7"/>
  <c r="P1354" i="7"/>
  <c r="P1300" i="7"/>
  <c r="P1362" i="7"/>
  <c r="P1308" i="7"/>
  <c r="P1280" i="7"/>
  <c r="P1315" i="7"/>
  <c r="P1259" i="7"/>
  <c r="P1231" i="7"/>
  <c r="P1324" i="7"/>
  <c r="P1296" i="7"/>
  <c r="P1350" i="7"/>
  <c r="P1314" i="7"/>
  <c r="P1286" i="7"/>
  <c r="P1258" i="7"/>
  <c r="P1322" i="7"/>
  <c r="P1386" i="7"/>
  <c r="P1273" i="7"/>
  <c r="P1245" i="7"/>
  <c r="P1605" i="7"/>
  <c r="P1599" i="7"/>
  <c r="P1590" i="7"/>
  <c r="P1584" i="7"/>
  <c r="P1578" i="7"/>
  <c r="P1572" i="7"/>
  <c r="P1559" i="7"/>
  <c r="P1553" i="7"/>
  <c r="P1527" i="7"/>
  <c r="P1520" i="7"/>
  <c r="P1512" i="7"/>
  <c r="P1505" i="7"/>
  <c r="P1498" i="7"/>
  <c r="P1485" i="7"/>
  <c r="P1477" i="7"/>
  <c r="P1470" i="7"/>
  <c r="P1462" i="7"/>
  <c r="P1455" i="7"/>
  <c r="P1449" i="7"/>
  <c r="P1441" i="7"/>
  <c r="P1434" i="7"/>
  <c r="P1427" i="7"/>
  <c r="P1420" i="7"/>
  <c r="P1414" i="7"/>
  <c r="P1600" i="7"/>
  <c r="P1595" i="7"/>
  <c r="Q1595" i="7" s="1"/>
  <c r="P1573" i="7"/>
  <c r="P1528" i="7"/>
  <c r="Q1528" i="7" s="1"/>
  <c r="P1521" i="7"/>
  <c r="P1513" i="7"/>
  <c r="P1506" i="7"/>
  <c r="P1499" i="7"/>
  <c r="P1492" i="7"/>
  <c r="P1601" i="7"/>
  <c r="P1585" i="7"/>
  <c r="P1579" i="7"/>
  <c r="P1574" i="7"/>
  <c r="P1567" i="7"/>
  <c r="P1560" i="7"/>
  <c r="P1554" i="7"/>
  <c r="P1548" i="7"/>
  <c r="P1546" i="7"/>
  <c r="P1545" i="7"/>
  <c r="P1544" i="7"/>
  <c r="P1543" i="7"/>
  <c r="P1542" i="7"/>
  <c r="P1541" i="7"/>
  <c r="P1540" i="7"/>
  <c r="P1522" i="7"/>
  <c r="P1514" i="7"/>
  <c r="P1507" i="7"/>
  <c r="P1500" i="7"/>
  <c r="P1493" i="7"/>
  <c r="P1604" i="7"/>
  <c r="P1598" i="7"/>
  <c r="P1583" i="7"/>
  <c r="P1577" i="7"/>
  <c r="P1571" i="7"/>
  <c r="P1564" i="7"/>
  <c r="P1558" i="7"/>
  <c r="P1552" i="7"/>
  <c r="P1539" i="7"/>
  <c r="P1537" i="7"/>
  <c r="P1536" i="7"/>
  <c r="P1535" i="7"/>
  <c r="P1534" i="7"/>
  <c r="P1533" i="7"/>
  <c r="P1532" i="7"/>
  <c r="P1531" i="7"/>
  <c r="P1519" i="7"/>
  <c r="P1511" i="7"/>
  <c r="P1504" i="7"/>
  <c r="P1497" i="7"/>
  <c r="P1596" i="7"/>
  <c r="Q1596" i="7" s="1"/>
  <c r="P1581" i="7"/>
  <c r="P1550" i="7"/>
  <c r="P1508" i="7"/>
  <c r="P1488" i="7"/>
  <c r="P1467" i="7"/>
  <c r="P1463" i="7"/>
  <c r="P1447" i="7"/>
  <c r="P1443" i="7"/>
  <c r="P1431" i="7"/>
  <c r="P1415" i="7"/>
  <c r="P1603" i="7"/>
  <c r="P1593" i="7"/>
  <c r="P1576" i="7"/>
  <c r="P1569" i="7"/>
  <c r="P1562" i="7"/>
  <c r="P1557" i="7"/>
  <c r="P1496" i="7"/>
  <c r="P1484" i="7"/>
  <c r="P1480" i="7"/>
  <c r="P1476" i="7"/>
  <c r="P1472" i="7"/>
  <c r="P1459" i="7"/>
  <c r="P1439" i="7"/>
  <c r="P1588" i="7"/>
  <c r="P1510" i="7"/>
  <c r="P1503" i="7"/>
  <c r="P1468" i="7"/>
  <c r="P1464" i="7"/>
  <c r="P1456" i="7"/>
  <c r="P1452" i="7"/>
  <c r="P1444" i="7"/>
  <c r="P1436" i="7"/>
  <c r="P1428" i="7"/>
  <c r="P1424" i="7"/>
  <c r="P1416" i="7"/>
  <c r="P1586" i="7"/>
  <c r="P1555" i="7"/>
  <c r="P1501" i="7"/>
  <c r="P1494" i="7"/>
  <c r="P1483" i="7"/>
  <c r="P1479" i="7"/>
  <c r="P1475" i="7"/>
  <c r="P1471" i="7"/>
  <c r="P1458" i="7"/>
  <c r="P1426" i="7"/>
  <c r="P1587" i="7"/>
  <c r="P1582" i="7"/>
  <c r="P1509" i="7"/>
  <c r="P1482" i="7"/>
  <c r="P1474" i="7"/>
  <c r="P1461" i="7"/>
  <c r="P1597" i="7"/>
  <c r="P1563" i="7"/>
  <c r="P1518" i="7"/>
  <c r="P1490" i="7"/>
  <c r="P1487" i="7"/>
  <c r="P1466" i="7"/>
  <c r="P1442" i="7"/>
  <c r="P1580" i="7"/>
  <c r="P1561" i="7"/>
  <c r="P1489" i="7"/>
  <c r="P1481" i="7"/>
  <c r="P1473" i="7"/>
  <c r="P1460" i="7"/>
  <c r="P1602" i="7"/>
  <c r="P1495" i="7"/>
  <c r="P1469" i="7"/>
  <c r="P1453" i="7"/>
  <c r="P1445" i="7"/>
  <c r="P1437" i="7"/>
  <c r="P1429" i="7"/>
  <c r="P1421" i="7"/>
  <c r="P1454" i="7"/>
  <c r="P1438" i="7"/>
  <c r="P1422" i="7"/>
  <c r="P1592" i="7"/>
  <c r="P1432" i="7"/>
  <c r="P1516" i="7"/>
  <c r="P1457" i="7"/>
  <c r="P1549" i="7"/>
  <c r="P1430" i="7"/>
  <c r="P1530" i="7"/>
  <c r="P1440" i="7"/>
  <c r="P1478" i="7"/>
  <c r="P1417" i="7"/>
  <c r="P1525" i="7"/>
  <c r="P1523" i="7"/>
  <c r="P1446" i="7"/>
  <c r="P1575" i="7"/>
  <c r="P1556" i="7"/>
  <c r="P1502" i="7"/>
  <c r="P1486" i="7"/>
  <c r="P1413" i="7"/>
  <c r="F19" i="6" s="1"/>
  <c r="P1465" i="7"/>
  <c r="P1570" i="7"/>
  <c r="M4307" i="7"/>
  <c r="AV96" i="4"/>
  <c r="Q432" i="7"/>
  <c r="P183" i="7"/>
  <c r="Q183" i="7" s="1"/>
  <c r="P247" i="7"/>
  <c r="P199" i="7"/>
  <c r="Q199" i="7" s="1"/>
  <c r="P198" i="7"/>
  <c r="Q198" i="7" s="1"/>
  <c r="P250" i="7"/>
  <c r="P148" i="7"/>
  <c r="P180" i="7"/>
  <c r="Q180" i="7" s="1"/>
  <c r="P227" i="7"/>
  <c r="Q227" i="7" s="1"/>
  <c r="P168" i="7"/>
  <c r="Q168" i="7" s="1"/>
  <c r="P249" i="7"/>
  <c r="P99" i="7"/>
  <c r="P226" i="7"/>
  <c r="Q226" i="7" s="1"/>
  <c r="P109" i="7"/>
  <c r="P98" i="7"/>
  <c r="M4305" i="7"/>
  <c r="D3208" i="7"/>
  <c r="D3209" i="7" s="1"/>
  <c r="I3209" i="7" s="1"/>
  <c r="M3209" i="7" s="1"/>
  <c r="G972" i="7"/>
  <c r="D1712" i="7"/>
  <c r="I1712" i="7" s="1"/>
  <c r="M1712" i="7" s="1"/>
  <c r="D1704" i="7"/>
  <c r="I1704" i="7" s="1"/>
  <c r="M1704" i="7" s="1"/>
  <c r="D1713" i="7"/>
  <c r="I1713" i="7" s="1"/>
  <c r="M1713" i="7" s="1"/>
  <c r="D1705" i="7"/>
  <c r="I1705" i="7" s="1"/>
  <c r="M1705" i="7" s="1"/>
  <c r="D1714" i="7"/>
  <c r="I1714" i="7" s="1"/>
  <c r="M1714" i="7" s="1"/>
  <c r="D1706" i="7"/>
  <c r="I1706" i="7" s="1"/>
  <c r="M1706" i="7" s="1"/>
  <c r="D1711" i="7"/>
  <c r="I1711" i="7" s="1"/>
  <c r="M1711" i="7" s="1"/>
  <c r="D1703" i="7"/>
  <c r="I1703" i="7" s="1"/>
  <c r="M1703" i="7" s="1"/>
  <c r="D1709" i="7"/>
  <c r="I1709" i="7" s="1"/>
  <c r="M1709" i="7" s="1"/>
  <c r="D1702" i="7"/>
  <c r="I1702" i="7" s="1"/>
  <c r="M1702" i="7" s="1"/>
  <c r="D1707" i="7"/>
  <c r="I1707" i="7" s="1"/>
  <c r="M1707" i="7" s="1"/>
  <c r="D1710" i="7"/>
  <c r="I1710" i="7" s="1"/>
  <c r="M1710" i="7" s="1"/>
  <c r="D1715" i="7"/>
  <c r="I1715" i="7" s="1"/>
  <c r="M1715" i="7" s="1"/>
  <c r="D1708" i="7"/>
  <c r="I1708" i="7" s="1"/>
  <c r="M1708" i="7" s="1"/>
  <c r="AE57" i="4"/>
  <c r="GB4" i="9" s="1"/>
  <c r="V69" i="4"/>
  <c r="D1132" i="7"/>
  <c r="I1132" i="7" s="1"/>
  <c r="M1132" i="7" s="1"/>
  <c r="D1124" i="7"/>
  <c r="I1124" i="7" s="1"/>
  <c r="M1124" i="7" s="1"/>
  <c r="D1133" i="7"/>
  <c r="I1133" i="7" s="1"/>
  <c r="M1133" i="7" s="1"/>
  <c r="D1125" i="7"/>
  <c r="I1125" i="7" s="1"/>
  <c r="M1125" i="7" s="1"/>
  <c r="D1134" i="7"/>
  <c r="I1134" i="7" s="1"/>
  <c r="M1134" i="7" s="1"/>
  <c r="D1126" i="7"/>
  <c r="I1126" i="7" s="1"/>
  <c r="M1126" i="7" s="1"/>
  <c r="D1131" i="7"/>
  <c r="I1131" i="7" s="1"/>
  <c r="M1131" i="7" s="1"/>
  <c r="D1123" i="7"/>
  <c r="I1123" i="7" s="1"/>
  <c r="M1123" i="7" s="1"/>
  <c r="D1130" i="7"/>
  <c r="I1130" i="7" s="1"/>
  <c r="M1130" i="7" s="1"/>
  <c r="D1127" i="7"/>
  <c r="I1127" i="7" s="1"/>
  <c r="M1127" i="7" s="1"/>
  <c r="D1128" i="7"/>
  <c r="I1128" i="7" s="1"/>
  <c r="M1128" i="7" s="1"/>
  <c r="D1135" i="7"/>
  <c r="I1135" i="7" s="1"/>
  <c r="M1135" i="7" s="1"/>
  <c r="D1129" i="7"/>
  <c r="I1129" i="7" s="1"/>
  <c r="M1129" i="7" s="1"/>
  <c r="D1136" i="7"/>
  <c r="I1136" i="7" s="1"/>
  <c r="M1136" i="7" s="1"/>
  <c r="AE48" i="4"/>
  <c r="EF4" i="9" s="1"/>
  <c r="D1516" i="7"/>
  <c r="I1516" i="7" s="1"/>
  <c r="M1516" i="7" s="1"/>
  <c r="D1517" i="7"/>
  <c r="I1517" i="7" s="1"/>
  <c r="M1517" i="7" s="1"/>
  <c r="D1509" i="7"/>
  <c r="I1509" i="7" s="1"/>
  <c r="M1509" i="7" s="1"/>
  <c r="D1522" i="7"/>
  <c r="I1522" i="7" s="1"/>
  <c r="M1522" i="7" s="1"/>
  <c r="D1514" i="7"/>
  <c r="I1514" i="7" s="1"/>
  <c r="M1514" i="7" s="1"/>
  <c r="D1511" i="7"/>
  <c r="I1511" i="7" s="1"/>
  <c r="M1511" i="7" s="1"/>
  <c r="D1520" i="7"/>
  <c r="I1520" i="7" s="1"/>
  <c r="M1520" i="7" s="1"/>
  <c r="D1518" i="7"/>
  <c r="I1518" i="7" s="1"/>
  <c r="M1518" i="7" s="1"/>
  <c r="D1519" i="7"/>
  <c r="I1519" i="7" s="1"/>
  <c r="M1519" i="7" s="1"/>
  <c r="D1521" i="7"/>
  <c r="I1521" i="7" s="1"/>
  <c r="M1521" i="7" s="1"/>
  <c r="D1510" i="7"/>
  <c r="I1510" i="7" s="1"/>
  <c r="M1510" i="7" s="1"/>
  <c r="D1512" i="7"/>
  <c r="I1512" i="7" s="1"/>
  <c r="M1512" i="7" s="1"/>
  <c r="AE54" i="4"/>
  <c r="FL4" i="9" s="1"/>
  <c r="G586" i="7"/>
  <c r="D549" i="7"/>
  <c r="I549" i="7" s="1"/>
  <c r="M549" i="7" s="1"/>
  <c r="D550" i="7"/>
  <c r="I550" i="7" s="1"/>
  <c r="M550" i="7" s="1"/>
  <c r="D557" i="7"/>
  <c r="D556" i="7"/>
  <c r="I556" i="7" s="1"/>
  <c r="D555" i="7"/>
  <c r="D553" i="7"/>
  <c r="I553" i="7" s="1"/>
  <c r="D552" i="7"/>
  <c r="I552" i="7" s="1"/>
  <c r="M552" i="7" s="1"/>
  <c r="D548" i="7"/>
  <c r="I548" i="7" s="1"/>
  <c r="M548" i="7" s="1"/>
  <c r="D546" i="7"/>
  <c r="I546" i="7" s="1"/>
  <c r="M546" i="7" s="1"/>
  <c r="D544" i="7"/>
  <c r="I544" i="7" s="1"/>
  <c r="M544" i="7" s="1"/>
  <c r="D545" i="7"/>
  <c r="I545" i="7" s="1"/>
  <c r="M545" i="7" s="1"/>
  <c r="D547" i="7"/>
  <c r="D551" i="7"/>
  <c r="I551" i="7" s="1"/>
  <c r="M551" i="7" s="1"/>
  <c r="D554" i="7"/>
  <c r="AE39" i="4"/>
  <c r="P1795" i="7"/>
  <c r="P1789" i="7"/>
  <c r="Q1789" i="7" s="1"/>
  <c r="P1774" i="7"/>
  <c r="P1768" i="7"/>
  <c r="P1761" i="7"/>
  <c r="P1749" i="7"/>
  <c r="P1743" i="7"/>
  <c r="P1723" i="7"/>
  <c r="P1717" i="7"/>
  <c r="P1709" i="7"/>
  <c r="P1701" i="7"/>
  <c r="P1695" i="7"/>
  <c r="P1688" i="7"/>
  <c r="P1674" i="7"/>
  <c r="P1667" i="7"/>
  <c r="P1659" i="7"/>
  <c r="P1651" i="7"/>
  <c r="P1645" i="7"/>
  <c r="P1638" i="7"/>
  <c r="P1631" i="7"/>
  <c r="P1624" i="7"/>
  <c r="P1617" i="7"/>
  <c r="P1610" i="7"/>
  <c r="P1796" i="7"/>
  <c r="P1786" i="7"/>
  <c r="P1780" i="7"/>
  <c r="P1775" i="7"/>
  <c r="P1769" i="7"/>
  <c r="P1762" i="7"/>
  <c r="P1755" i="7"/>
  <c r="P1750" i="7"/>
  <c r="P1744" i="7"/>
  <c r="P1710" i="7"/>
  <c r="P1702" i="7"/>
  <c r="P1689" i="7"/>
  <c r="P1682" i="7"/>
  <c r="P1675" i="7"/>
  <c r="P1668" i="7"/>
  <c r="P1660" i="7"/>
  <c r="P1652" i="7"/>
  <c r="P1646" i="7"/>
  <c r="P1639" i="7"/>
  <c r="P1611" i="7"/>
  <c r="P1790" i="7"/>
  <c r="P1787" i="7"/>
  <c r="P1781" i="7"/>
  <c r="P1763" i="7"/>
  <c r="P1756" i="7"/>
  <c r="P1718" i="7"/>
  <c r="P1711" i="7"/>
  <c r="P1703" i="7"/>
  <c r="P1696" i="7"/>
  <c r="P1683" i="7"/>
  <c r="P1676" i="7"/>
  <c r="P1669" i="7"/>
  <c r="P1661" i="7"/>
  <c r="P1653" i="7"/>
  <c r="P1647" i="7"/>
  <c r="P1640" i="7"/>
  <c r="P1632" i="7"/>
  <c r="P1625" i="7"/>
  <c r="P1618" i="7"/>
  <c r="P1606" i="7"/>
  <c r="F20" i="6" s="1"/>
  <c r="P1785" i="7"/>
  <c r="P1779" i="7"/>
  <c r="P1773" i="7"/>
  <c r="P1754" i="7"/>
  <c r="P1748" i="7"/>
  <c r="P1742" i="7"/>
  <c r="P1716" i="7"/>
  <c r="P1708" i="7"/>
  <c r="P1694" i="7"/>
  <c r="P1687" i="7"/>
  <c r="P1681" i="7"/>
  <c r="P1673" i="7"/>
  <c r="P1666" i="7"/>
  <c r="P1658" i="7"/>
  <c r="P1637" i="7"/>
  <c r="P1630" i="7"/>
  <c r="P1623" i="7"/>
  <c r="P1616" i="7"/>
  <c r="P1609" i="7"/>
  <c r="P1792" i="7"/>
  <c r="P1777" i="7"/>
  <c r="P1765" i="7"/>
  <c r="P1758" i="7"/>
  <c r="P1746" i="7"/>
  <c r="P1720" i="7"/>
  <c r="P1713" i="7"/>
  <c r="P1678" i="7"/>
  <c r="P1655" i="7"/>
  <c r="P1648" i="7"/>
  <c r="P1634" i="7"/>
  <c r="P1627" i="7"/>
  <c r="P1620" i="7"/>
  <c r="P1613" i="7"/>
  <c r="P1706" i="7"/>
  <c r="P1699" i="7"/>
  <c r="P1692" i="7"/>
  <c r="P1685" i="7"/>
  <c r="P1671" i="7"/>
  <c r="P1664" i="7"/>
  <c r="P1643" i="7"/>
  <c r="P1794" i="7"/>
  <c r="P1784" i="7"/>
  <c r="P1772" i="7"/>
  <c r="P1767" i="7"/>
  <c r="P1760" i="7"/>
  <c r="P1753" i="7"/>
  <c r="P1741" i="7"/>
  <c r="P1739" i="7"/>
  <c r="P1737" i="7"/>
  <c r="P1735" i="7"/>
  <c r="P1733" i="7"/>
  <c r="P1722" i="7"/>
  <c r="P1715" i="7"/>
  <c r="P1680" i="7"/>
  <c r="P1657" i="7"/>
  <c r="P1650" i="7"/>
  <c r="P1636" i="7"/>
  <c r="P1629" i="7"/>
  <c r="P1622" i="7"/>
  <c r="P1615" i="7"/>
  <c r="P1608" i="7"/>
  <c r="P1797" i="7"/>
  <c r="P1782" i="7"/>
  <c r="P1770" i="7"/>
  <c r="P1751" i="7"/>
  <c r="P1731" i="7"/>
  <c r="P1729" i="7"/>
  <c r="P1727" i="7"/>
  <c r="P1725" i="7"/>
  <c r="P1704" i="7"/>
  <c r="P1697" i="7"/>
  <c r="P1690" i="7"/>
  <c r="P1662" i="7"/>
  <c r="P1641" i="7"/>
  <c r="P1793" i="7"/>
  <c r="P1788" i="7"/>
  <c r="Q1788" i="7" s="1"/>
  <c r="P1759" i="7"/>
  <c r="P1714" i="7"/>
  <c r="P1649" i="7"/>
  <c r="P1635" i="7"/>
  <c r="P1621" i="7"/>
  <c r="P1778" i="7"/>
  <c r="P1740" i="7"/>
  <c r="P1736" i="7"/>
  <c r="P1700" i="7"/>
  <c r="P1686" i="7"/>
  <c r="P1672" i="7"/>
  <c r="P1644" i="7"/>
  <c r="P1791" i="7"/>
  <c r="P1776" i="7"/>
  <c r="P1757" i="7"/>
  <c r="P1730" i="7"/>
  <c r="P1726" i="7"/>
  <c r="P1712" i="7"/>
  <c r="P1633" i="7"/>
  <c r="P1619" i="7"/>
  <c r="P1798" i="7"/>
  <c r="P1783" i="7"/>
  <c r="P1705" i="7"/>
  <c r="P1691" i="7"/>
  <c r="P1663" i="7"/>
  <c r="P1607" i="7"/>
  <c r="P1732" i="7"/>
  <c r="P1724" i="7"/>
  <c r="P1677" i="7"/>
  <c r="P1684" i="7"/>
  <c r="P1612" i="7"/>
  <c r="P1766" i="7"/>
  <c r="P1721" i="7"/>
  <c r="Q1721" i="7" s="1"/>
  <c r="P1628" i="7"/>
  <c r="P1734" i="7"/>
  <c r="P1707" i="7"/>
  <c r="P1614" i="7"/>
  <c r="P1679" i="7"/>
  <c r="P1626" i="7"/>
  <c r="P1747" i="7"/>
  <c r="P1693" i="7"/>
  <c r="P1642" i="7"/>
  <c r="P1764" i="7"/>
  <c r="P1745" i="7"/>
  <c r="P1728" i="7"/>
  <c r="P1656" i="7"/>
  <c r="P1670" i="7"/>
  <c r="P1654" i="7"/>
  <c r="P1738" i="7"/>
  <c r="P1719" i="7"/>
  <c r="P1771" i="7"/>
  <c r="P1752" i="7"/>
  <c r="P1698" i="7"/>
  <c r="P1665" i="7"/>
  <c r="P1986" i="7"/>
  <c r="P1981" i="7"/>
  <c r="Q1981" i="7" s="1"/>
  <c r="P1959" i="7"/>
  <c r="P1952" i="7"/>
  <c r="P1914" i="7"/>
  <c r="P1907" i="7"/>
  <c r="P1899" i="7"/>
  <c r="P1892" i="7"/>
  <c r="P1885" i="7"/>
  <c r="P1878" i="7"/>
  <c r="P1872" i="7"/>
  <c r="P1864" i="7"/>
  <c r="P1857" i="7"/>
  <c r="P1849" i="7"/>
  <c r="P1842" i="7"/>
  <c r="P1836" i="7"/>
  <c r="P1987" i="7"/>
  <c r="P1977" i="7"/>
  <c r="P1971" i="7"/>
  <c r="P1965" i="7"/>
  <c r="P1960" i="7"/>
  <c r="P1953" i="7"/>
  <c r="P1946" i="7"/>
  <c r="P1940" i="7"/>
  <c r="P1934" i="7"/>
  <c r="P1933" i="7"/>
  <c r="P1932" i="7"/>
  <c r="P1931" i="7"/>
  <c r="P1930" i="7"/>
  <c r="P1929" i="7"/>
  <c r="P1978" i="7"/>
  <c r="P1972" i="7"/>
  <c r="P1966" i="7"/>
  <c r="P1947" i="7"/>
  <c r="P1941" i="7"/>
  <c r="P1935" i="7"/>
  <c r="P1991" i="7"/>
  <c r="P1985" i="7"/>
  <c r="P1976" i="7"/>
  <c r="P1970" i="7"/>
  <c r="P1964" i="7"/>
  <c r="P1958" i="7"/>
  <c r="P1951" i="7"/>
  <c r="P1945" i="7"/>
  <c r="P1939" i="7"/>
  <c r="P1983" i="7"/>
  <c r="P1980" i="7"/>
  <c r="Q1980" i="7" s="1"/>
  <c r="P1956" i="7"/>
  <c r="P1949" i="7"/>
  <c r="P1922" i="7"/>
  <c r="P1909" i="7"/>
  <c r="P1896" i="7"/>
  <c r="P1884" i="7"/>
  <c r="P1873" i="7"/>
  <c r="P1856" i="7"/>
  <c r="P1852" i="7"/>
  <c r="P1840" i="7"/>
  <c r="P1832" i="7"/>
  <c r="P1827" i="7"/>
  <c r="P1821" i="7"/>
  <c r="P1820" i="7"/>
  <c r="P1813" i="7"/>
  <c r="P1806" i="7"/>
  <c r="P1800" i="7"/>
  <c r="P1990" i="7"/>
  <c r="P1975" i="7"/>
  <c r="P1963" i="7"/>
  <c r="P1944" i="7"/>
  <c r="P1923" i="7"/>
  <c r="P1913" i="7"/>
  <c r="P1905" i="7"/>
  <c r="P1901" i="7"/>
  <c r="P1893" i="7"/>
  <c r="P1881" i="7"/>
  <c r="P1869" i="7"/>
  <c r="P1865" i="7"/>
  <c r="P1861" i="7"/>
  <c r="P1848" i="7"/>
  <c r="P1844" i="7"/>
  <c r="P1837" i="7"/>
  <c r="P1828" i="7"/>
  <c r="P1814" i="7"/>
  <c r="P1807" i="7"/>
  <c r="P1982" i="7"/>
  <c r="Q1982" i="7" s="1"/>
  <c r="P1967" i="7"/>
  <c r="P1936" i="7"/>
  <c r="P1928" i="7"/>
  <c r="P1924" i="7"/>
  <c r="P1910" i="7"/>
  <c r="P1897" i="7"/>
  <c r="P1889" i="7"/>
  <c r="P1877" i="7"/>
  <c r="P1874" i="7"/>
  <c r="P1853" i="7"/>
  <c r="P1833" i="7"/>
  <c r="P1829" i="7"/>
  <c r="P1822" i="7"/>
  <c r="P1815" i="7"/>
  <c r="P1808" i="7"/>
  <c r="P1801" i="7"/>
  <c r="P1973" i="7"/>
  <c r="P1968" i="7"/>
  <c r="P1937" i="7"/>
  <c r="P1927" i="7"/>
  <c r="P1921" i="7"/>
  <c r="P1916" i="7"/>
  <c r="P1912" i="7"/>
  <c r="P1904" i="7"/>
  <c r="P1900" i="7"/>
  <c r="P1888" i="7"/>
  <c r="P1880" i="7"/>
  <c r="P1876" i="7"/>
  <c r="P1868" i="7"/>
  <c r="P1860" i="7"/>
  <c r="P1847" i="7"/>
  <c r="P1826" i="7"/>
  <c r="P1819" i="7"/>
  <c r="P1812" i="7"/>
  <c r="P1805" i="7"/>
  <c r="P1974" i="7"/>
  <c r="P1918" i="7"/>
  <c r="P1915" i="7"/>
  <c r="P1894" i="7"/>
  <c r="P1854" i="7"/>
  <c r="P1838" i="7"/>
  <c r="P1830" i="7"/>
  <c r="P1984" i="7"/>
  <c r="P1969" i="7"/>
  <c r="P1950" i="7"/>
  <c r="P1875" i="7"/>
  <c r="P1867" i="7"/>
  <c r="P1859" i="7"/>
  <c r="P1846" i="7"/>
  <c r="P1804" i="7"/>
  <c r="P1988" i="7"/>
  <c r="P1954" i="7"/>
  <c r="P1920" i="7"/>
  <c r="P1891" i="7"/>
  <c r="P1883" i="7"/>
  <c r="P1851" i="7"/>
  <c r="P1843" i="7"/>
  <c r="P1835" i="7"/>
  <c r="P1825" i="7"/>
  <c r="P1818" i="7"/>
  <c r="P1811" i="7"/>
  <c r="P1799" i="7"/>
  <c r="F21" i="6" s="1"/>
  <c r="P1989" i="7"/>
  <c r="P1979" i="7"/>
  <c r="P1955" i="7"/>
  <c r="P1925" i="7"/>
  <c r="P1902" i="7"/>
  <c r="P1886" i="7"/>
  <c r="P1870" i="7"/>
  <c r="P1862" i="7"/>
  <c r="P1841" i="7"/>
  <c r="P1823" i="7"/>
  <c r="P1816" i="7"/>
  <c r="P1809" i="7"/>
  <c r="P1802" i="7"/>
  <c r="P1911" i="7"/>
  <c r="P1879" i="7"/>
  <c r="P1961" i="7"/>
  <c r="P1942" i="7"/>
  <c r="P1926" i="7"/>
  <c r="P1895" i="7"/>
  <c r="P1863" i="7"/>
  <c r="P1831" i="7"/>
  <c r="P1948" i="7"/>
  <c r="P1882" i="7"/>
  <c r="P1866" i="7"/>
  <c r="P1845" i="7"/>
  <c r="P1898" i="7"/>
  <c r="P1957" i="7"/>
  <c r="P1938" i="7"/>
  <c r="P1919" i="7"/>
  <c r="P1903" i="7"/>
  <c r="P1908" i="7"/>
  <c r="P1962" i="7"/>
  <c r="P1943" i="7"/>
  <c r="P1917" i="7"/>
  <c r="P1906" i="7"/>
  <c r="P1890" i="7"/>
  <c r="P1817" i="7"/>
  <c r="P1803" i="7"/>
  <c r="P1858" i="7"/>
  <c r="P1834" i="7"/>
  <c r="P1824" i="7"/>
  <c r="P1887" i="7"/>
  <c r="P1855" i="7"/>
  <c r="P1850" i="7"/>
  <c r="P1871" i="7"/>
  <c r="P1839" i="7"/>
  <c r="P1810" i="7"/>
  <c r="D2099" i="7"/>
  <c r="I2099" i="7" s="1"/>
  <c r="M2099" i="7" s="1"/>
  <c r="D2091" i="7"/>
  <c r="I2091" i="7" s="1"/>
  <c r="M2091" i="7" s="1"/>
  <c r="D2100" i="7"/>
  <c r="I2100" i="7" s="1"/>
  <c r="M2100" i="7" s="1"/>
  <c r="D2092" i="7"/>
  <c r="I2092" i="7" s="1"/>
  <c r="M2092" i="7" s="1"/>
  <c r="D2101" i="7"/>
  <c r="I2101" i="7" s="1"/>
  <c r="M2101" i="7" s="1"/>
  <c r="D2093" i="7"/>
  <c r="I2093" i="7" s="1"/>
  <c r="M2093" i="7" s="1"/>
  <c r="D2098" i="7"/>
  <c r="I2098" i="7" s="1"/>
  <c r="M2098" i="7" s="1"/>
  <c r="D2090" i="7"/>
  <c r="I2090" i="7" s="1"/>
  <c r="M2090" i="7" s="1"/>
  <c r="D2096" i="7"/>
  <c r="I2096" i="7" s="1"/>
  <c r="M2096" i="7" s="1"/>
  <c r="D2089" i="7"/>
  <c r="I2089" i="7" s="1"/>
  <c r="M2089" i="7" s="1"/>
  <c r="D2095" i="7"/>
  <c r="I2095" i="7" s="1"/>
  <c r="M2095" i="7" s="1"/>
  <c r="D2097" i="7"/>
  <c r="I2097" i="7" s="1"/>
  <c r="M2097" i="7" s="1"/>
  <c r="D2088" i="7"/>
  <c r="I2088" i="7" s="1"/>
  <c r="M2088" i="7" s="1"/>
  <c r="D2094" i="7"/>
  <c r="I2094" i="7" s="1"/>
  <c r="M2094" i="7" s="1"/>
  <c r="AE63" i="4"/>
  <c r="HH4" i="9" s="1"/>
  <c r="D262" i="5"/>
  <c r="AC96" i="4"/>
  <c r="D2790" i="7"/>
  <c r="AB96" i="4"/>
  <c r="D581" i="7"/>
  <c r="D582" i="7"/>
  <c r="D583" i="7"/>
  <c r="D580" i="7"/>
  <c r="D578" i="7"/>
  <c r="D576" i="7"/>
  <c r="D579" i="7"/>
  <c r="D577" i="7"/>
  <c r="D1548" i="7"/>
  <c r="D1547" i="7"/>
  <c r="D1546" i="7"/>
  <c r="D1545" i="7"/>
  <c r="D1544" i="7"/>
  <c r="D1543" i="7"/>
  <c r="D1542" i="7"/>
  <c r="D1541" i="7"/>
  <c r="AU96" i="4"/>
  <c r="BL96" i="4"/>
  <c r="C90" i="4"/>
  <c r="D359" i="7"/>
  <c r="I359" i="7" s="1"/>
  <c r="M359" i="7" s="1"/>
  <c r="D351" i="7"/>
  <c r="I351" i="7" s="1"/>
  <c r="M351" i="7" s="1"/>
  <c r="D360" i="7"/>
  <c r="I360" i="7" s="1"/>
  <c r="M360" i="7" s="1"/>
  <c r="D352" i="7"/>
  <c r="I352" i="7" s="1"/>
  <c r="M352" i="7" s="1"/>
  <c r="D361" i="7"/>
  <c r="I361" i="7" s="1"/>
  <c r="M361" i="7" s="1"/>
  <c r="D353" i="7"/>
  <c r="I353" i="7" s="1"/>
  <c r="M353" i="7" s="1"/>
  <c r="D358" i="7"/>
  <c r="I358" i="7" s="1"/>
  <c r="M358" i="7" s="1"/>
  <c r="D362" i="7"/>
  <c r="I362" i="7" s="1"/>
  <c r="M362" i="7" s="1"/>
  <c r="D355" i="7"/>
  <c r="I355" i="7" s="1"/>
  <c r="M355" i="7" s="1"/>
  <c r="D364" i="7"/>
  <c r="I364" i="7" s="1"/>
  <c r="M364" i="7" s="1"/>
  <c r="D357" i="7"/>
  <c r="I357" i="7" s="1"/>
  <c r="M357" i="7" s="1"/>
  <c r="D356" i="7"/>
  <c r="I356" i="7" s="1"/>
  <c r="M356" i="7" s="1"/>
  <c r="D363" i="7"/>
  <c r="I363" i="7" s="1"/>
  <c r="M363" i="7" s="1"/>
  <c r="P635" i="7"/>
  <c r="P630" i="7"/>
  <c r="Q630" i="7" s="1"/>
  <c r="P619" i="7"/>
  <c r="P605" i="7"/>
  <c r="P597" i="7"/>
  <c r="P592" i="7"/>
  <c r="P586" i="7"/>
  <c r="P584" i="7"/>
  <c r="P575" i="7"/>
  <c r="P563" i="7"/>
  <c r="P561" i="7"/>
  <c r="P552" i="7"/>
  <c r="P535" i="7"/>
  <c r="P525" i="7"/>
  <c r="P518" i="7"/>
  <c r="P511" i="7"/>
  <c r="P503" i="7"/>
  <c r="P495" i="7"/>
  <c r="P636" i="7"/>
  <c r="P626" i="7"/>
  <c r="P627" i="7"/>
  <c r="P634" i="7"/>
  <c r="P631" i="7"/>
  <c r="Q631" i="7" s="1"/>
  <c r="P609" i="7"/>
  <c r="P593" i="7"/>
  <c r="P589" i="7"/>
  <c r="P585" i="7"/>
  <c r="P578" i="7"/>
  <c r="P572" i="7"/>
  <c r="P560" i="7"/>
  <c r="P554" i="7"/>
  <c r="P553" i="7"/>
  <c r="P547" i="7"/>
  <c r="P517" i="7"/>
  <c r="P513" i="7"/>
  <c r="P509" i="7"/>
  <c r="P505" i="7"/>
  <c r="P487" i="7"/>
  <c r="P480" i="7"/>
  <c r="P473" i="7"/>
  <c r="P466" i="7"/>
  <c r="P458" i="7"/>
  <c r="P448" i="7"/>
  <c r="F14" i="6" s="1"/>
  <c r="P638" i="7"/>
  <c r="P628" i="7"/>
  <c r="P618" i="7"/>
  <c r="P613" i="7"/>
  <c r="P601" i="7"/>
  <c r="P579" i="7"/>
  <c r="P573" i="7"/>
  <c r="P562" i="7"/>
  <c r="P556" i="7"/>
  <c r="P555" i="7"/>
  <c r="P541" i="7"/>
  <c r="P536" i="7"/>
  <c r="P531" i="7"/>
  <c r="P522" i="7"/>
  <c r="P501" i="7"/>
  <c r="P497" i="7"/>
  <c r="P488" i="7"/>
  <c r="P481" i="7"/>
  <c r="P459" i="7"/>
  <c r="P640" i="7"/>
  <c r="P622" i="7"/>
  <c r="P606" i="7"/>
  <c r="P594" i="7"/>
  <c r="P590" i="7"/>
  <c r="P580" i="7"/>
  <c r="P574" i="7"/>
  <c r="P557" i="7"/>
  <c r="P548" i="7"/>
  <c r="P526" i="7"/>
  <c r="P514" i="7"/>
  <c r="P510" i="7"/>
  <c r="Q510" i="7" s="1"/>
  <c r="P506" i="7"/>
  <c r="P493" i="7"/>
  <c r="P489" i="7"/>
  <c r="P482" i="7"/>
  <c r="P474" i="7"/>
  <c r="P467" i="7"/>
  <c r="P449" i="7"/>
  <c r="P639" i="7"/>
  <c r="P625" i="7"/>
  <c r="P621" i="7"/>
  <c r="P612" i="7"/>
  <c r="P604" i="7"/>
  <c r="P600" i="7"/>
  <c r="P596" i="7"/>
  <c r="P577" i="7"/>
  <c r="P571" i="7"/>
  <c r="P565" i="7"/>
  <c r="P546" i="7"/>
  <c r="P545" i="7"/>
  <c r="P540" i="7"/>
  <c r="P530" i="7"/>
  <c r="P529" i="7"/>
  <c r="P521" i="7"/>
  <c r="P500" i="7"/>
  <c r="P496" i="7"/>
  <c r="P492" i="7"/>
  <c r="P479" i="7"/>
  <c r="P472" i="7"/>
  <c r="P465" i="7"/>
  <c r="P457" i="7"/>
  <c r="P456" i="7"/>
  <c r="P455" i="7"/>
  <c r="P454" i="7"/>
  <c r="P624" i="7"/>
  <c r="P614" i="7"/>
  <c r="P598" i="7"/>
  <c r="P587" i="7"/>
  <c r="P559" i="7"/>
  <c r="P550" i="7"/>
  <c r="P539" i="7"/>
  <c r="P512" i="7"/>
  <c r="P504" i="7"/>
  <c r="P486" i="7"/>
  <c r="P611" i="7"/>
  <c r="P582" i="7"/>
  <c r="P566" i="7"/>
  <c r="P534" i="7"/>
  <c r="P532" i="7"/>
  <c r="P519" i="7"/>
  <c r="P498" i="7"/>
  <c r="P483" i="7"/>
  <c r="P450" i="7"/>
  <c r="P623" i="7"/>
  <c r="P608" i="7"/>
  <c r="P595" i="7"/>
  <c r="P568" i="7"/>
  <c r="P558" i="7"/>
  <c r="P549" i="7"/>
  <c r="P527" i="7"/>
  <c r="P490" i="7"/>
  <c r="P476" i="7"/>
  <c r="P469" i="7"/>
  <c r="P462" i="7"/>
  <c r="P460" i="7"/>
  <c r="P637" i="7"/>
  <c r="P632" i="7"/>
  <c r="P576" i="7"/>
  <c r="P569" i="7"/>
  <c r="P544" i="7"/>
  <c r="P520" i="7"/>
  <c r="P499" i="7"/>
  <c r="P491" i="7"/>
  <c r="P477" i="7"/>
  <c r="P463" i="7"/>
  <c r="P461" i="7"/>
  <c r="P452" i="7"/>
  <c r="P629" i="7"/>
  <c r="P615" i="7"/>
  <c r="P603" i="7"/>
  <c r="P567" i="7"/>
  <c r="P538" i="7"/>
  <c r="P515" i="7"/>
  <c r="P471" i="7"/>
  <c r="P453" i="7"/>
  <c r="P620" i="7"/>
  <c r="P602" i="7"/>
  <c r="P551" i="7"/>
  <c r="P537" i="7"/>
  <c r="P475" i="7"/>
  <c r="P607" i="7"/>
  <c r="P524" i="7"/>
  <c r="P494" i="7"/>
  <c r="P484" i="7"/>
  <c r="P470" i="7"/>
  <c r="P570" i="7"/>
  <c r="P528" i="7"/>
  <c r="P523" i="7"/>
  <c r="P588" i="7"/>
  <c r="P583" i="7"/>
  <c r="P508" i="7"/>
  <c r="P478" i="7"/>
  <c r="P464" i="7"/>
  <c r="P617" i="7"/>
  <c r="P599" i="7"/>
  <c r="P543" i="7"/>
  <c r="P502" i="7"/>
  <c r="P468" i="7"/>
  <c r="P451" i="7"/>
  <c r="P591" i="7"/>
  <c r="P485" i="7"/>
  <c r="D968" i="7"/>
  <c r="D966" i="7"/>
  <c r="D964" i="7"/>
  <c r="D962" i="7"/>
  <c r="D969" i="7"/>
  <c r="D965" i="7"/>
  <c r="D961" i="7"/>
  <c r="D967" i="7"/>
  <c r="D963" i="7"/>
  <c r="G1161" i="7"/>
  <c r="G1159" i="7"/>
  <c r="G1157" i="7"/>
  <c r="G1155" i="7"/>
  <c r="G1160" i="7"/>
  <c r="G1156" i="7"/>
  <c r="G1158" i="7"/>
  <c r="G1162" i="7"/>
  <c r="D1396" i="7"/>
  <c r="I1396" i="7" s="1"/>
  <c r="M1396" i="7" s="1"/>
  <c r="D1378" i="7"/>
  <c r="I1378" i="7" s="1"/>
  <c r="M1378" i="7" s="1"/>
  <c r="D1397" i="7"/>
  <c r="I1397" i="7" s="1"/>
  <c r="M1397" i="7" s="1"/>
  <c r="D1336" i="7"/>
  <c r="I1336" i="7" s="1"/>
  <c r="M1336" i="7" s="1"/>
  <c r="D1300" i="7"/>
  <c r="I1300" i="7" s="1"/>
  <c r="M1300" i="7" s="1"/>
  <c r="D1379" i="7"/>
  <c r="I1379" i="7" s="1"/>
  <c r="M1379" i="7" s="1"/>
  <c r="D1301" i="7"/>
  <c r="I1301" i="7" s="1"/>
  <c r="M1301" i="7" s="1"/>
  <c r="D1383" i="7"/>
  <c r="I1383" i="7" s="1"/>
  <c r="M1383" i="7" s="1"/>
  <c r="D1357" i="7"/>
  <c r="I1357" i="7" s="1"/>
  <c r="M1357" i="7" s="1"/>
  <c r="D1302" i="7"/>
  <c r="I1302" i="7" s="1"/>
  <c r="M1302" i="7" s="1"/>
  <c r="D1299" i="7"/>
  <c r="I1299" i="7" s="1"/>
  <c r="M1299" i="7" s="1"/>
  <c r="D1333" i="7"/>
  <c r="I1333" i="7" s="1"/>
  <c r="M1333" i="7" s="1"/>
  <c r="D1385" i="7"/>
  <c r="I1385" i="7" s="1"/>
  <c r="M1385" i="7" s="1"/>
  <c r="D1377" i="7"/>
  <c r="I1377" i="7" s="1"/>
  <c r="M1377" i="7" s="1"/>
  <c r="D1303" i="7"/>
  <c r="I1303" i="7" s="1"/>
  <c r="M1303" i="7" s="1"/>
  <c r="D1376" i="7"/>
  <c r="I1376" i="7" s="1"/>
  <c r="M1376" i="7" s="1"/>
  <c r="D1395" i="7"/>
  <c r="I1395" i="7" s="1"/>
  <c r="M1395" i="7" s="1"/>
  <c r="D1381" i="7"/>
  <c r="I1381" i="7" s="1"/>
  <c r="M1381" i="7" s="1"/>
  <c r="D1334" i="7"/>
  <c r="I1334" i="7" s="1"/>
  <c r="M1334" i="7" s="1"/>
  <c r="D1380" i="7"/>
  <c r="I1380" i="7" s="1"/>
  <c r="M1380" i="7" s="1"/>
  <c r="G1732" i="7"/>
  <c r="G1731" i="7"/>
  <c r="G1730" i="7"/>
  <c r="G1729" i="7"/>
  <c r="G1728" i="7"/>
  <c r="G1727" i="7"/>
  <c r="G1726" i="7"/>
  <c r="G1725" i="7"/>
  <c r="D1746" i="7"/>
  <c r="I1746" i="7" s="1"/>
  <c r="M1746" i="7" s="1"/>
  <c r="D1902" i="7"/>
  <c r="I1902" i="7" s="1"/>
  <c r="M1902" i="7" s="1"/>
  <c r="D1898" i="7"/>
  <c r="I1898" i="7" s="1"/>
  <c r="M1898" i="7" s="1"/>
  <c r="D1907" i="7"/>
  <c r="I1907" i="7" s="1"/>
  <c r="M1907" i="7" s="1"/>
  <c r="D1903" i="7"/>
  <c r="I1903" i="7" s="1"/>
  <c r="M1903" i="7" s="1"/>
  <c r="D1899" i="7"/>
  <c r="I1899" i="7" s="1"/>
  <c r="M1899" i="7" s="1"/>
  <c r="D1895" i="7"/>
  <c r="I1895" i="7" s="1"/>
  <c r="M1895" i="7" s="1"/>
  <c r="D1906" i="7"/>
  <c r="I1906" i="7" s="1"/>
  <c r="M1906" i="7" s="1"/>
  <c r="D1900" i="7"/>
  <c r="I1900" i="7" s="1"/>
  <c r="M1900" i="7" s="1"/>
  <c r="D1905" i="7"/>
  <c r="I1905" i="7" s="1"/>
  <c r="M1905" i="7" s="1"/>
  <c r="D1897" i="7"/>
  <c r="I1897" i="7" s="1"/>
  <c r="M1897" i="7" s="1"/>
  <c r="D1908" i="7"/>
  <c r="I1908" i="7" s="1"/>
  <c r="M1908" i="7" s="1"/>
  <c r="D1901" i="7"/>
  <c r="I1901" i="7" s="1"/>
  <c r="M1901" i="7" s="1"/>
  <c r="D1904" i="7"/>
  <c r="I1904" i="7" s="1"/>
  <c r="M1904" i="7" s="1"/>
  <c r="D1896" i="7"/>
  <c r="I1896" i="7" s="1"/>
  <c r="M1896" i="7" s="1"/>
  <c r="D2126" i="7"/>
  <c r="D2124" i="7"/>
  <c r="D2122" i="7"/>
  <c r="D2120" i="7"/>
  <c r="D2127" i="7"/>
  <c r="D2123" i="7"/>
  <c r="D2125" i="7"/>
  <c r="D2121" i="7"/>
  <c r="G2311" i="7"/>
  <c r="G2309" i="7"/>
  <c r="G2307" i="7"/>
  <c r="G2305" i="7"/>
  <c r="G2308" i="7"/>
  <c r="G2304" i="7"/>
  <c r="G2310" i="7"/>
  <c r="D2325" i="7"/>
  <c r="I2325" i="7" s="1"/>
  <c r="M2325" i="7" s="1"/>
  <c r="G2306" i="7"/>
  <c r="C18" i="11"/>
  <c r="D2480" i="7"/>
  <c r="N2476" i="7"/>
  <c r="P2476" i="7" s="1"/>
  <c r="N2468" i="7"/>
  <c r="P2468" i="7" s="1"/>
  <c r="D2465" i="7"/>
  <c r="I2465" i="7" s="1"/>
  <c r="M2465" i="7" s="1"/>
  <c r="N2461" i="7"/>
  <c r="P2461" i="7" s="1"/>
  <c r="D2460" i="7"/>
  <c r="N2454" i="7"/>
  <c r="D2452" i="7"/>
  <c r="I2452" i="7" s="1"/>
  <c r="M2452" i="7" s="1"/>
  <c r="N2448" i="7"/>
  <c r="N2447" i="7"/>
  <c r="P2447" i="7" s="1"/>
  <c r="D2444" i="7"/>
  <c r="I2444" i="7" s="1"/>
  <c r="M2444" i="7" s="1"/>
  <c r="N2439" i="7"/>
  <c r="P2439" i="7" s="1"/>
  <c r="D2436" i="7"/>
  <c r="I2436" i="7" s="1"/>
  <c r="M2436" i="7" s="1"/>
  <c r="N2432" i="7"/>
  <c r="P2432" i="7" s="1"/>
  <c r="D2429" i="7"/>
  <c r="I2429" i="7" s="1"/>
  <c r="M2429" i="7" s="1"/>
  <c r="N2426" i="7"/>
  <c r="N2425" i="7"/>
  <c r="P2425" i="7" s="1"/>
  <c r="N2424" i="7"/>
  <c r="P2424" i="7" s="1"/>
  <c r="N2421" i="7"/>
  <c r="P2421" i="7" s="1"/>
  <c r="D2418" i="7"/>
  <c r="G2418" i="7" s="1"/>
  <c r="N2413" i="7"/>
  <c r="P2413" i="7" s="1"/>
  <c r="N2406" i="7"/>
  <c r="N2405" i="7"/>
  <c r="D2402" i="7"/>
  <c r="G2402" i="7" s="1"/>
  <c r="N2399" i="7"/>
  <c r="P2399" i="7" s="1"/>
  <c r="N2398" i="7"/>
  <c r="P2398" i="7" s="1"/>
  <c r="N2397" i="7"/>
  <c r="P2397" i="7" s="1"/>
  <c r="N2396" i="7"/>
  <c r="P2396" i="7" s="1"/>
  <c r="N2395" i="7"/>
  <c r="P2395" i="7" s="1"/>
  <c r="N2394" i="7"/>
  <c r="P2394" i="7" s="1"/>
  <c r="D2391" i="7"/>
  <c r="I2391" i="7" s="1"/>
  <c r="M2391" i="7" s="1"/>
  <c r="N2383" i="7"/>
  <c r="P2383" i="7" s="1"/>
  <c r="N2380" i="7"/>
  <c r="P2380" i="7" s="1"/>
  <c r="D2379" i="7"/>
  <c r="N2483" i="7"/>
  <c r="P2483" i="7" s="1"/>
  <c r="Q2483" i="7" s="1"/>
  <c r="N2482" i="7"/>
  <c r="P2482" i="7" s="1"/>
  <c r="N2477" i="7"/>
  <c r="P2477" i="7" s="1"/>
  <c r="D2474" i="7"/>
  <c r="N2469" i="7"/>
  <c r="P2469" i="7" s="1"/>
  <c r="D2466" i="7"/>
  <c r="I2466" i="7" s="1"/>
  <c r="M2466" i="7" s="1"/>
  <c r="N2462" i="7"/>
  <c r="P2462" i="7" s="1"/>
  <c r="N2455" i="7"/>
  <c r="P2455" i="7" s="1"/>
  <c r="Q2455" i="7" s="1"/>
  <c r="D2453" i="7"/>
  <c r="N2440" i="7"/>
  <c r="P2440" i="7" s="1"/>
  <c r="D2437" i="7"/>
  <c r="I2437" i="7" s="1"/>
  <c r="M2437" i="7" s="1"/>
  <c r="N2433" i="7"/>
  <c r="P2433" i="7" s="1"/>
  <c r="D2430" i="7"/>
  <c r="I2430" i="7" s="1"/>
  <c r="M2430" i="7" s="1"/>
  <c r="N2420" i="7"/>
  <c r="P2420" i="7" s="1"/>
  <c r="D2419" i="7"/>
  <c r="N2484" i="7"/>
  <c r="P2484" i="7" s="1"/>
  <c r="D2481" i="7"/>
  <c r="I2481" i="7" s="1"/>
  <c r="M2481" i="7" s="1"/>
  <c r="N2470" i="7"/>
  <c r="P2470" i="7" s="1"/>
  <c r="D2467" i="7"/>
  <c r="I2467" i="7" s="1"/>
  <c r="M2467" i="7" s="1"/>
  <c r="N2463" i="7"/>
  <c r="P2463" i="7" s="1"/>
  <c r="D2461" i="7"/>
  <c r="N2456" i="7"/>
  <c r="P2456" i="7" s="1"/>
  <c r="N2449" i="7"/>
  <c r="P2449" i="7" s="1"/>
  <c r="D2446" i="7"/>
  <c r="I2446" i="7" s="1"/>
  <c r="M2446" i="7" s="1"/>
  <c r="N2441" i="7"/>
  <c r="P2441" i="7" s="1"/>
  <c r="D2438" i="7"/>
  <c r="I2438" i="7" s="1"/>
  <c r="M2438" i="7" s="1"/>
  <c r="N2434" i="7"/>
  <c r="P2434" i="7" s="1"/>
  <c r="D2431" i="7"/>
  <c r="I2431" i="7" s="1"/>
  <c r="M2431" i="7" s="1"/>
  <c r="N2427" i="7"/>
  <c r="P2427" i="7" s="1"/>
  <c r="N2415" i="7"/>
  <c r="P2415" i="7" s="1"/>
  <c r="Q2415" i="7" s="1"/>
  <c r="D2413" i="7"/>
  <c r="D2412" i="7"/>
  <c r="G2412" i="7" s="1"/>
  <c r="N2407" i="7"/>
  <c r="P2407" i="7" s="1"/>
  <c r="N2400" i="7"/>
  <c r="P2400" i="7" s="1"/>
  <c r="N2481" i="7"/>
  <c r="P2481" i="7" s="1"/>
  <c r="D2479" i="7"/>
  <c r="I2479" i="7" s="1"/>
  <c r="M2479" i="7" s="1"/>
  <c r="N2475" i="7"/>
  <c r="P2475" i="7" s="1"/>
  <c r="N2474" i="7"/>
  <c r="P2474" i="7" s="1"/>
  <c r="D2473" i="7"/>
  <c r="N2467" i="7"/>
  <c r="P2467" i="7" s="1"/>
  <c r="D2458" i="7"/>
  <c r="I2458" i="7" s="1"/>
  <c r="M2458" i="7" s="1"/>
  <c r="N2453" i="7"/>
  <c r="P2453" i="7" s="1"/>
  <c r="D2451" i="7"/>
  <c r="I2451" i="7" s="1"/>
  <c r="M2451" i="7" s="1"/>
  <c r="N2446" i="7"/>
  <c r="P2446" i="7" s="1"/>
  <c r="D2443" i="7"/>
  <c r="I2443" i="7" s="1"/>
  <c r="M2443" i="7" s="1"/>
  <c r="N2438" i="7"/>
  <c r="P2438" i="7" s="1"/>
  <c r="N2431" i="7"/>
  <c r="P2431" i="7" s="1"/>
  <c r="D2484" i="7"/>
  <c r="I2484" i="7" s="1"/>
  <c r="M2484" i="7" s="1"/>
  <c r="N2458" i="7"/>
  <c r="P2458" i="7" s="1"/>
  <c r="D2450" i="7"/>
  <c r="G2450" i="7" s="1"/>
  <c r="N2445" i="7"/>
  <c r="P2445" i="7" s="1"/>
  <c r="D2421" i="7"/>
  <c r="I2421" i="7" s="1"/>
  <c r="M2421" i="7" s="1"/>
  <c r="D2411" i="7"/>
  <c r="G2411" i="7" s="1"/>
  <c r="D2408" i="7"/>
  <c r="G2408" i="7" s="1"/>
  <c r="D2405" i="7"/>
  <c r="G2405" i="7" s="1"/>
  <c r="N2403" i="7"/>
  <c r="P2403" i="7" s="1"/>
  <c r="D2394" i="7"/>
  <c r="D2470" i="7"/>
  <c r="I2470" i="7" s="1"/>
  <c r="M2470" i="7" s="1"/>
  <c r="N2465" i="7"/>
  <c r="P2465" i="7" s="1"/>
  <c r="D2463" i="7"/>
  <c r="I2463" i="7" s="1"/>
  <c r="M2463" i="7" s="1"/>
  <c r="D2456" i="7"/>
  <c r="G2456" i="7" s="1"/>
  <c r="D2454" i="7"/>
  <c r="G2454" i="7" s="1"/>
  <c r="D2447" i="7"/>
  <c r="I2447" i="7" s="1"/>
  <c r="M2447" i="7" s="1"/>
  <c r="N2442" i="7"/>
  <c r="P2442" i="7" s="1"/>
  <c r="D2425" i="7"/>
  <c r="N2423" i="7"/>
  <c r="P2423" i="7" s="1"/>
  <c r="D2422" i="7"/>
  <c r="D2417" i="7"/>
  <c r="G2417" i="7" s="1"/>
  <c r="D2415" i="7"/>
  <c r="G2415" i="7" s="1"/>
  <c r="D2400" i="7"/>
  <c r="N2391" i="7"/>
  <c r="P2391" i="7" s="1"/>
  <c r="D2384" i="7"/>
  <c r="D2383" i="7"/>
  <c r="D2382" i="7"/>
  <c r="I2382" i="7" s="1"/>
  <c r="N2478" i="7"/>
  <c r="P2478" i="7" s="1"/>
  <c r="N2460" i="7"/>
  <c r="P2460" i="7" s="1"/>
  <c r="N2451" i="7"/>
  <c r="P2451" i="7" s="1"/>
  <c r="D2449" i="7"/>
  <c r="D2440" i="7"/>
  <c r="I2440" i="7" s="1"/>
  <c r="M2440" i="7" s="1"/>
  <c r="N2435" i="7"/>
  <c r="P2435" i="7" s="1"/>
  <c r="D2433" i="7"/>
  <c r="I2433" i="7" s="1"/>
  <c r="M2433" i="7" s="1"/>
  <c r="N2428" i="7"/>
  <c r="P2428" i="7" s="1"/>
  <c r="D2423" i="7"/>
  <c r="N2418" i="7"/>
  <c r="P2418" i="7" s="1"/>
  <c r="Q2418" i="7" s="1"/>
  <c r="N2416" i="7"/>
  <c r="P2416" i="7" s="1"/>
  <c r="D2390" i="7"/>
  <c r="I2390" i="7" s="1"/>
  <c r="M2390" i="7" s="1"/>
  <c r="N2388" i="7"/>
  <c r="P2388" i="7" s="1"/>
  <c r="N2387" i="7"/>
  <c r="P2387" i="7" s="1"/>
  <c r="N2386" i="7"/>
  <c r="P2386" i="7" s="1"/>
  <c r="N2471" i="7"/>
  <c r="P2471" i="7" s="1"/>
  <c r="N2457" i="7"/>
  <c r="P2457" i="7" s="1"/>
  <c r="N2444" i="7"/>
  <c r="P2444" i="7" s="1"/>
  <c r="D2420" i="7"/>
  <c r="N2410" i="7"/>
  <c r="P2410" i="7" s="1"/>
  <c r="Q2410" i="7" s="1"/>
  <c r="D2409" i="7"/>
  <c r="G2409" i="7" s="1"/>
  <c r="D2406" i="7"/>
  <c r="G2406" i="7" s="1"/>
  <c r="D2403" i="7"/>
  <c r="G2403" i="7" s="1"/>
  <c r="N2401" i="7"/>
  <c r="P2401" i="7" s="1"/>
  <c r="D2395" i="7"/>
  <c r="I2395" i="7" s="1"/>
  <c r="M2395" i="7" s="1"/>
  <c r="N2392" i="7"/>
  <c r="P2392" i="7" s="1"/>
  <c r="D2380" i="7"/>
  <c r="D2483" i="7"/>
  <c r="G2483" i="7" s="1"/>
  <c r="D2478" i="7"/>
  <c r="D2469" i="7"/>
  <c r="I2469" i="7" s="1"/>
  <c r="M2469" i="7" s="1"/>
  <c r="N2464" i="7"/>
  <c r="P2464" i="7" s="1"/>
  <c r="D2462" i="7"/>
  <c r="I2462" i="7" s="1"/>
  <c r="M2462" i="7" s="1"/>
  <c r="N2459" i="7"/>
  <c r="D2442" i="7"/>
  <c r="I2442" i="7" s="1"/>
  <c r="M2442" i="7" s="1"/>
  <c r="N2437" i="7"/>
  <c r="P2437" i="7" s="1"/>
  <c r="D2435" i="7"/>
  <c r="N2430" i="7"/>
  <c r="P2430" i="7" s="1"/>
  <c r="D2428" i="7"/>
  <c r="N2414" i="7"/>
  <c r="P2414" i="7" s="1"/>
  <c r="Q2414" i="7" s="1"/>
  <c r="D2407" i="7"/>
  <c r="N2404" i="7"/>
  <c r="D2396" i="7"/>
  <c r="I2396" i="7" s="1"/>
  <c r="M2396" i="7" s="1"/>
  <c r="N2393" i="7"/>
  <c r="D2386" i="7"/>
  <c r="D2385" i="7"/>
  <c r="I2385" i="7" s="1"/>
  <c r="N2382" i="7"/>
  <c r="P2382" i="7" s="1"/>
  <c r="N2381" i="7"/>
  <c r="P2381" i="7" s="1"/>
  <c r="N2378" i="7"/>
  <c r="N2479" i="7"/>
  <c r="P2479" i="7" s="1"/>
  <c r="D2477" i="7"/>
  <c r="I2477" i="7" s="1"/>
  <c r="M2477" i="7" s="1"/>
  <c r="N2472" i="7"/>
  <c r="D2468" i="7"/>
  <c r="I2468" i="7" s="1"/>
  <c r="M2468" i="7" s="1"/>
  <c r="N2452" i="7"/>
  <c r="P2452" i="7" s="1"/>
  <c r="D2441" i="7"/>
  <c r="I2441" i="7" s="1"/>
  <c r="M2441" i="7" s="1"/>
  <c r="N2436" i="7"/>
  <c r="P2436" i="7" s="1"/>
  <c r="D2434" i="7"/>
  <c r="I2434" i="7" s="1"/>
  <c r="M2434" i="7" s="1"/>
  <c r="N2429" i="7"/>
  <c r="P2429" i="7" s="1"/>
  <c r="D2427" i="7"/>
  <c r="N2419" i="7"/>
  <c r="P2419" i="7" s="1"/>
  <c r="D2414" i="7"/>
  <c r="G2414" i="7" s="1"/>
  <c r="N2412" i="7"/>
  <c r="N2409" i="7"/>
  <c r="P2409" i="7" s="1"/>
  <c r="D2399" i="7"/>
  <c r="I2399" i="7" s="1"/>
  <c r="M2399" i="7" s="1"/>
  <c r="N2390" i="7"/>
  <c r="P2390" i="7" s="1"/>
  <c r="D2389" i="7"/>
  <c r="D2388" i="7"/>
  <c r="I2388" i="7" s="1"/>
  <c r="D2387" i="7"/>
  <c r="I2387" i="7" s="1"/>
  <c r="N2385" i="7"/>
  <c r="P2385" i="7" s="1"/>
  <c r="N2384" i="7"/>
  <c r="P2384" i="7" s="1"/>
  <c r="N2379" i="7"/>
  <c r="P2379" i="7" s="1"/>
  <c r="N2466" i="7"/>
  <c r="P2466" i="7" s="1"/>
  <c r="D2457" i="7"/>
  <c r="I2457" i="7" s="1"/>
  <c r="M2457" i="7" s="1"/>
  <c r="N2450" i="7"/>
  <c r="P2450" i="7" s="1"/>
  <c r="D2432" i="7"/>
  <c r="I2432" i="7" s="1"/>
  <c r="M2432" i="7" s="1"/>
  <c r="D2424" i="7"/>
  <c r="I2424" i="7" s="1"/>
  <c r="M2424" i="7" s="1"/>
  <c r="N2408" i="7"/>
  <c r="P2408" i="7" s="1"/>
  <c r="N2473" i="7"/>
  <c r="P2473" i="7" s="1"/>
  <c r="D2404" i="7"/>
  <c r="D2482" i="7"/>
  <c r="D2464" i="7"/>
  <c r="D2439" i="7"/>
  <c r="I2439" i="7" s="1"/>
  <c r="M2439" i="7" s="1"/>
  <c r="N2411" i="7"/>
  <c r="N2443" i="7"/>
  <c r="P2443" i="7" s="1"/>
  <c r="D2416" i="7"/>
  <c r="G2416" i="7" s="1"/>
  <c r="D2401" i="7"/>
  <c r="D2392" i="7"/>
  <c r="I2392" i="7" s="1"/>
  <c r="M2392" i="7" s="1"/>
  <c r="D2381" i="7"/>
  <c r="D2397" i="7"/>
  <c r="I2397" i="7" s="1"/>
  <c r="M2397" i="7" s="1"/>
  <c r="N2389" i="7"/>
  <c r="P2389" i="7" s="1"/>
  <c r="D2378" i="7"/>
  <c r="D2410" i="7"/>
  <c r="D2471" i="7"/>
  <c r="I2471" i="7" s="1"/>
  <c r="M2471" i="7" s="1"/>
  <c r="D2455" i="7"/>
  <c r="G2455" i="7" s="1"/>
  <c r="N2417" i="7"/>
  <c r="N2480" i="7"/>
  <c r="P2480" i="7" s="1"/>
  <c r="N2422" i="7"/>
  <c r="P2422" i="7" s="1"/>
  <c r="D2398" i="7"/>
  <c r="I2398" i="7" s="1"/>
  <c r="M2398" i="7" s="1"/>
  <c r="N2402" i="7"/>
  <c r="R11" i="4"/>
  <c r="D254" i="7"/>
  <c r="I254" i="7" s="1"/>
  <c r="D248" i="7"/>
  <c r="I248" i="7" s="1"/>
  <c r="M248" i="7" s="1"/>
  <c r="D238" i="7"/>
  <c r="D233" i="7"/>
  <c r="D219" i="7"/>
  <c r="I219" i="7" s="1"/>
  <c r="M219" i="7" s="1"/>
  <c r="N215" i="7"/>
  <c r="D213" i="7"/>
  <c r="I213" i="7" s="1"/>
  <c r="M213" i="7" s="1"/>
  <c r="N209" i="7"/>
  <c r="O209" i="7" s="1"/>
  <c r="AB209" i="7" s="1"/>
  <c r="D207" i="7"/>
  <c r="I207" i="7" s="1"/>
  <c r="M207" i="7" s="1"/>
  <c r="N189" i="7"/>
  <c r="O189" i="7" s="1"/>
  <c r="AB189" i="7" s="1"/>
  <c r="N181" i="7"/>
  <c r="O181" i="7" s="1"/>
  <c r="AB181" i="7" s="1"/>
  <c r="N174" i="7"/>
  <c r="N168" i="7"/>
  <c r="O168" i="7" s="1"/>
  <c r="AB168" i="7" s="1"/>
  <c r="D166" i="7"/>
  <c r="I166" i="7" s="1"/>
  <c r="M166" i="7" s="1"/>
  <c r="N162" i="7"/>
  <c r="D159" i="7"/>
  <c r="I159" i="7" s="1"/>
  <c r="M159" i="7" s="1"/>
  <c r="N251" i="7"/>
  <c r="D249" i="7"/>
  <c r="I249" i="7" s="1"/>
  <c r="M249" i="7" s="1"/>
  <c r="N245" i="7"/>
  <c r="O245" i="7" s="1"/>
  <c r="AB245" i="7" s="1"/>
  <c r="N244" i="7"/>
  <c r="D241" i="7"/>
  <c r="N235" i="7"/>
  <c r="O235" i="7" s="1"/>
  <c r="AB235" i="7" s="1"/>
  <c r="N229" i="7"/>
  <c r="N222" i="7"/>
  <c r="D220" i="7"/>
  <c r="I220" i="7" s="1"/>
  <c r="M220" i="7" s="1"/>
  <c r="D214" i="7"/>
  <c r="D208" i="7"/>
  <c r="N196" i="7"/>
  <c r="N190" i="7"/>
  <c r="O190" i="7" s="1"/>
  <c r="AB190" i="7" s="1"/>
  <c r="N182" i="7"/>
  <c r="O182" i="7" s="1"/>
  <c r="AB182" i="7" s="1"/>
  <c r="N175" i="7"/>
  <c r="N252" i="7"/>
  <c r="D250" i="7"/>
  <c r="I250" i="7" s="1"/>
  <c r="M250" i="7" s="1"/>
  <c r="N239" i="7"/>
  <c r="O239" i="7" s="1"/>
  <c r="AB239" i="7" s="1"/>
  <c r="D234" i="7"/>
  <c r="I234" i="7" s="1"/>
  <c r="M234" i="7" s="1"/>
  <c r="N230" i="7"/>
  <c r="O230" i="7" s="1"/>
  <c r="AB230" i="7" s="1"/>
  <c r="N223" i="7"/>
  <c r="O223" i="7" s="1"/>
  <c r="AB223" i="7" s="1"/>
  <c r="D221" i="7"/>
  <c r="I221" i="7" s="1"/>
  <c r="M221" i="7" s="1"/>
  <c r="N216" i="7"/>
  <c r="N210" i="7"/>
  <c r="N191" i="7"/>
  <c r="N183" i="7"/>
  <c r="O183" i="7" s="1"/>
  <c r="AB183" i="7" s="1"/>
  <c r="D173" i="7"/>
  <c r="I173" i="7" s="1"/>
  <c r="M173" i="7" s="1"/>
  <c r="N169" i="7"/>
  <c r="N164" i="7"/>
  <c r="D161" i="7"/>
  <c r="I161" i="7" s="1"/>
  <c r="M161" i="7" s="1"/>
  <c r="N156" i="7"/>
  <c r="N250" i="7"/>
  <c r="D247" i="7"/>
  <c r="I247" i="7" s="1"/>
  <c r="M247" i="7" s="1"/>
  <c r="N243" i="7"/>
  <c r="N242" i="7"/>
  <c r="E72" i="10" s="1"/>
  <c r="N241" i="7"/>
  <c r="N238" i="7"/>
  <c r="O238" i="7" s="1"/>
  <c r="AB238" i="7" s="1"/>
  <c r="D237" i="7"/>
  <c r="I237" i="7" s="1"/>
  <c r="M237" i="7" s="1"/>
  <c r="N234" i="7"/>
  <c r="N228" i="7"/>
  <c r="O228" i="7" s="1"/>
  <c r="AB228" i="7" s="1"/>
  <c r="N221" i="7"/>
  <c r="D218" i="7"/>
  <c r="I218" i="7" s="1"/>
  <c r="M218" i="7" s="1"/>
  <c r="N214" i="7"/>
  <c r="D212" i="7"/>
  <c r="I212" i="7" s="1"/>
  <c r="M212" i="7" s="1"/>
  <c r="N208" i="7"/>
  <c r="N195" i="7"/>
  <c r="O195" i="7" s="1"/>
  <c r="AB195" i="7" s="1"/>
  <c r="D193" i="7"/>
  <c r="N188" i="7"/>
  <c r="O188" i="7" s="1"/>
  <c r="AB188" i="7" s="1"/>
  <c r="N180" i="7"/>
  <c r="O180" i="7" s="1"/>
  <c r="AB180" i="7" s="1"/>
  <c r="N173" i="7"/>
  <c r="N248" i="7"/>
  <c r="D246" i="7"/>
  <c r="D236" i="7"/>
  <c r="N231" i="7"/>
  <c r="O231" i="7" s="1"/>
  <c r="AB231" i="7" s="1"/>
  <c r="D229" i="7"/>
  <c r="N219" i="7"/>
  <c r="N207" i="7"/>
  <c r="N193" i="7"/>
  <c r="D191" i="7"/>
  <c r="I191" i="7" s="1"/>
  <c r="M191" i="7" s="1"/>
  <c r="N185" i="7"/>
  <c r="O185" i="7" s="1"/>
  <c r="AB185" i="7" s="1"/>
  <c r="D176" i="7"/>
  <c r="D162" i="7"/>
  <c r="I162" i="7" s="1"/>
  <c r="M162" i="7" s="1"/>
  <c r="N157" i="7"/>
  <c r="D156" i="7"/>
  <c r="I156" i="7" s="1"/>
  <c r="M156" i="7" s="1"/>
  <c r="N153" i="7"/>
  <c r="N146" i="7"/>
  <c r="D143" i="7"/>
  <c r="I143" i="7" s="1"/>
  <c r="M143" i="7" s="1"/>
  <c r="N138" i="7"/>
  <c r="D135" i="7"/>
  <c r="I135" i="7" s="1"/>
  <c r="M135" i="7" s="1"/>
  <c r="N131" i="7"/>
  <c r="D129" i="7"/>
  <c r="I129" i="7" s="1"/>
  <c r="M129" i="7" s="1"/>
  <c r="N125" i="7"/>
  <c r="D122" i="7"/>
  <c r="I122" i="7" s="1"/>
  <c r="M122" i="7" s="1"/>
  <c r="N118" i="7"/>
  <c r="N117" i="7"/>
  <c r="N116" i="7"/>
  <c r="D113" i="7"/>
  <c r="I113" i="7" s="1"/>
  <c r="M113" i="7" s="1"/>
  <c r="N109" i="7"/>
  <c r="D106" i="7"/>
  <c r="N99" i="7"/>
  <c r="N96" i="7"/>
  <c r="D95" i="7"/>
  <c r="D253" i="7"/>
  <c r="N227" i="7"/>
  <c r="O227" i="7" s="1"/>
  <c r="AB227" i="7" s="1"/>
  <c r="D217" i="7"/>
  <c r="I217" i="7" s="1"/>
  <c r="M217" i="7" s="1"/>
  <c r="N205" i="7"/>
  <c r="O205" i="7" s="1"/>
  <c r="AB205" i="7" s="1"/>
  <c r="N201" i="7"/>
  <c r="O201" i="7" s="1"/>
  <c r="AB201" i="7" s="1"/>
  <c r="N197" i="7"/>
  <c r="N179" i="7"/>
  <c r="O179" i="7" s="1"/>
  <c r="AB179" i="7" s="1"/>
  <c r="D170" i="7"/>
  <c r="I170" i="7" s="1"/>
  <c r="M170" i="7" s="1"/>
  <c r="D165" i="7"/>
  <c r="N163" i="7"/>
  <c r="N160" i="7"/>
  <c r="N154" i="7"/>
  <c r="D152" i="7"/>
  <c r="I152" i="7" s="1"/>
  <c r="M152" i="7" s="1"/>
  <c r="N147" i="7"/>
  <c r="D144" i="7"/>
  <c r="I144" i="7" s="1"/>
  <c r="M144" i="7" s="1"/>
  <c r="N139" i="7"/>
  <c r="D136" i="7"/>
  <c r="I136" i="7" s="1"/>
  <c r="M136" i="7" s="1"/>
  <c r="N132" i="7"/>
  <c r="D130" i="7"/>
  <c r="I130" i="7" s="1"/>
  <c r="M130" i="7" s="1"/>
  <c r="N126" i="7"/>
  <c r="D123" i="7"/>
  <c r="I123" i="7" s="1"/>
  <c r="M123" i="7" s="1"/>
  <c r="D114" i="7"/>
  <c r="I114" i="7" s="1"/>
  <c r="M114" i="7" s="1"/>
  <c r="N110" i="7"/>
  <c r="N102" i="7"/>
  <c r="N101" i="7"/>
  <c r="N233" i="7"/>
  <c r="N225" i="7"/>
  <c r="O225" i="7" s="1"/>
  <c r="AB225" i="7" s="1"/>
  <c r="N211" i="7"/>
  <c r="N192" i="7"/>
  <c r="N177" i="7"/>
  <c r="O177" i="7" s="1"/>
  <c r="AB177" i="7" s="1"/>
  <c r="N171" i="7"/>
  <c r="N166" i="7"/>
  <c r="D153" i="7"/>
  <c r="N148" i="7"/>
  <c r="D145" i="7"/>
  <c r="I145" i="7" s="1"/>
  <c r="M145" i="7" s="1"/>
  <c r="N140" i="7"/>
  <c r="D137" i="7"/>
  <c r="I137" i="7" s="1"/>
  <c r="M137" i="7" s="1"/>
  <c r="N133" i="7"/>
  <c r="D131" i="7"/>
  <c r="N127" i="7"/>
  <c r="D124" i="7"/>
  <c r="I124" i="7" s="1"/>
  <c r="M124" i="7" s="1"/>
  <c r="N119" i="7"/>
  <c r="D116" i="7"/>
  <c r="N111" i="7"/>
  <c r="D107" i="7"/>
  <c r="I107" i="7" s="1"/>
  <c r="M107" i="7" s="1"/>
  <c r="N103" i="7"/>
  <c r="N100" i="7"/>
  <c r="D96" i="7"/>
  <c r="N253" i="7"/>
  <c r="N212" i="7"/>
  <c r="D210" i="7"/>
  <c r="N204" i="7"/>
  <c r="O204" i="7" s="1"/>
  <c r="AB204" i="7" s="1"/>
  <c r="N200" i="7"/>
  <c r="O200" i="7" s="1"/>
  <c r="AB200" i="7" s="1"/>
  <c r="N187" i="7"/>
  <c r="O187" i="7" s="1"/>
  <c r="AB187" i="7" s="1"/>
  <c r="D172" i="7"/>
  <c r="I172" i="7" s="1"/>
  <c r="M172" i="7" s="1"/>
  <c r="D167" i="7"/>
  <c r="N165" i="7"/>
  <c r="D150" i="7"/>
  <c r="I150" i="7" s="1"/>
  <c r="M150" i="7" s="1"/>
  <c r="N145" i="7"/>
  <c r="D142" i="7"/>
  <c r="I142" i="7" s="1"/>
  <c r="M142" i="7" s="1"/>
  <c r="N137" i="7"/>
  <c r="N124" i="7"/>
  <c r="D121" i="7"/>
  <c r="I121" i="7" s="1"/>
  <c r="M121" i="7" s="1"/>
  <c r="N108" i="7"/>
  <c r="N107" i="7"/>
  <c r="D105" i="7"/>
  <c r="I105" i="7" s="1"/>
  <c r="M105" i="7" s="1"/>
  <c r="N98" i="7"/>
  <c r="N97" i="7"/>
  <c r="D251" i="7"/>
  <c r="N246" i="7"/>
  <c r="N232" i="7"/>
  <c r="O232" i="7" s="1"/>
  <c r="AB232" i="7" s="1"/>
  <c r="N218" i="7"/>
  <c r="D174" i="7"/>
  <c r="I174" i="7" s="1"/>
  <c r="M174" i="7" s="1"/>
  <c r="N170" i="7"/>
  <c r="D155" i="7"/>
  <c r="I155" i="7" s="1"/>
  <c r="M155" i="7" s="1"/>
  <c r="D148" i="7"/>
  <c r="I148" i="7" s="1"/>
  <c r="M148" i="7" s="1"/>
  <c r="N143" i="7"/>
  <c r="N129" i="7"/>
  <c r="D127" i="7"/>
  <c r="I127" i="7" s="1"/>
  <c r="M127" i="7" s="1"/>
  <c r="N122" i="7"/>
  <c r="N113" i="7"/>
  <c r="D111" i="7"/>
  <c r="I111" i="7" s="1"/>
  <c r="M111" i="7" s="1"/>
  <c r="D100" i="7"/>
  <c r="N254" i="7"/>
  <c r="N236" i="7"/>
  <c r="N213" i="7"/>
  <c r="N198" i="7"/>
  <c r="O198" i="7" s="1"/>
  <c r="AB198" i="7" s="1"/>
  <c r="N167" i="7"/>
  <c r="D164" i="7"/>
  <c r="I164" i="7" s="1"/>
  <c r="M164" i="7" s="1"/>
  <c r="D158" i="7"/>
  <c r="I158" i="7" s="1"/>
  <c r="M158" i="7" s="1"/>
  <c r="N152" i="7"/>
  <c r="D141" i="7"/>
  <c r="I141" i="7" s="1"/>
  <c r="M141" i="7" s="1"/>
  <c r="N136" i="7"/>
  <c r="D134" i="7"/>
  <c r="D120" i="7"/>
  <c r="I120" i="7" s="1"/>
  <c r="M120" i="7" s="1"/>
  <c r="N115" i="7"/>
  <c r="I115" i="7" s="1"/>
  <c r="D102" i="7"/>
  <c r="N203" i="7"/>
  <c r="O203" i="7" s="1"/>
  <c r="AB203" i="7" s="1"/>
  <c r="D192" i="7"/>
  <c r="I192" i="7" s="1"/>
  <c r="M192" i="7" s="1"/>
  <c r="D163" i="7"/>
  <c r="I163" i="7" s="1"/>
  <c r="M163" i="7" s="1"/>
  <c r="D160" i="7"/>
  <c r="I160" i="7" s="1"/>
  <c r="M160" i="7" s="1"/>
  <c r="D157" i="7"/>
  <c r="I157" i="7" s="1"/>
  <c r="M157" i="7" s="1"/>
  <c r="N149" i="7"/>
  <c r="D138" i="7"/>
  <c r="I138" i="7" s="1"/>
  <c r="M138" i="7" s="1"/>
  <c r="N106" i="7"/>
  <c r="D104" i="7"/>
  <c r="I104" i="7" s="1"/>
  <c r="M104" i="7" s="1"/>
  <c r="N249" i="7"/>
  <c r="N240" i="7"/>
  <c r="O240" i="7" s="1"/>
  <c r="AB240" i="7" s="1"/>
  <c r="D235" i="7"/>
  <c r="D222" i="7"/>
  <c r="N217" i="7"/>
  <c r="N172" i="7"/>
  <c r="D169" i="7"/>
  <c r="D154" i="7"/>
  <c r="I154" i="7" s="1"/>
  <c r="M154" i="7" s="1"/>
  <c r="D147" i="7"/>
  <c r="I147" i="7" s="1"/>
  <c r="M147" i="7" s="1"/>
  <c r="N142" i="7"/>
  <c r="N128" i="7"/>
  <c r="D126" i="7"/>
  <c r="I126" i="7" s="1"/>
  <c r="M126" i="7" s="1"/>
  <c r="N121" i="7"/>
  <c r="D119" i="7"/>
  <c r="D117" i="7"/>
  <c r="I117" i="7" s="1"/>
  <c r="M117" i="7" s="1"/>
  <c r="N112" i="7"/>
  <c r="D110" i="7"/>
  <c r="I110" i="7" s="1"/>
  <c r="M110" i="7" s="1"/>
  <c r="D108" i="7"/>
  <c r="I108" i="7" s="1"/>
  <c r="M108" i="7" s="1"/>
  <c r="D99" i="7"/>
  <c r="I99" i="7" s="1"/>
  <c r="M99" i="7" s="1"/>
  <c r="N95" i="7"/>
  <c r="D240" i="7"/>
  <c r="D216" i="7"/>
  <c r="N199" i="7"/>
  <c r="O199" i="7" s="1"/>
  <c r="AB199" i="7" s="1"/>
  <c r="N184" i="7"/>
  <c r="O184" i="7" s="1"/>
  <c r="AB184" i="7" s="1"/>
  <c r="N176" i="7"/>
  <c r="N151" i="7"/>
  <c r="E71" i="10" s="1"/>
  <c r="N247" i="7"/>
  <c r="D244" i="7"/>
  <c r="D239" i="7"/>
  <c r="N206" i="7"/>
  <c r="N178" i="7"/>
  <c r="O178" i="7" s="1"/>
  <c r="AB178" i="7" s="1"/>
  <c r="D175" i="7"/>
  <c r="I175" i="7" s="1"/>
  <c r="M175" i="7" s="1"/>
  <c r="N159" i="7"/>
  <c r="N226" i="7"/>
  <c r="O226" i="7" s="1"/>
  <c r="AB226" i="7" s="1"/>
  <c r="D215" i="7"/>
  <c r="I215" i="7" s="1"/>
  <c r="M215" i="7" s="1"/>
  <c r="N202" i="7"/>
  <c r="O202" i="7" s="1"/>
  <c r="AB202" i="7" s="1"/>
  <c r="D196" i="7"/>
  <c r="N161" i="7"/>
  <c r="N150" i="7"/>
  <c r="D139" i="7"/>
  <c r="I139" i="7" s="1"/>
  <c r="M139" i="7" s="1"/>
  <c r="N134" i="7"/>
  <c r="D132" i="7"/>
  <c r="I132" i="7" s="1"/>
  <c r="M132" i="7" s="1"/>
  <c r="D118" i="7"/>
  <c r="N104" i="7"/>
  <c r="D98" i="7"/>
  <c r="D94" i="7"/>
  <c r="G390" i="7"/>
  <c r="G388" i="7"/>
  <c r="G386" i="7"/>
  <c r="G384" i="7"/>
  <c r="G389" i="7"/>
  <c r="G385" i="7"/>
  <c r="G387" i="7"/>
  <c r="G383" i="7"/>
  <c r="D608" i="7"/>
  <c r="I608" i="7" s="1"/>
  <c r="M608" i="7" s="1"/>
  <c r="D527" i="7"/>
  <c r="I527" i="7" s="1"/>
  <c r="M527" i="7" s="1"/>
  <c r="D623" i="7"/>
  <c r="I623" i="7" s="1"/>
  <c r="M623" i="7" s="1"/>
  <c r="D611" i="7"/>
  <c r="I611" i="7" s="1"/>
  <c r="M611" i="7" s="1"/>
  <c r="D607" i="7"/>
  <c r="I607" i="7" s="1"/>
  <c r="M607" i="7" s="1"/>
  <c r="D564" i="7"/>
  <c r="I564" i="7" s="1"/>
  <c r="M564" i="7" s="1"/>
  <c r="D624" i="7"/>
  <c r="I624" i="7" s="1"/>
  <c r="M624" i="7" s="1"/>
  <c r="D528" i="7"/>
  <c r="I528" i="7" s="1"/>
  <c r="D606" i="7"/>
  <c r="I606" i="7" s="1"/>
  <c r="M606" i="7" s="1"/>
  <c r="D562" i="7"/>
  <c r="I562" i="7" s="1"/>
  <c r="M562" i="7" s="1"/>
  <c r="D561" i="7"/>
  <c r="I561" i="7" s="1"/>
  <c r="M561" i="7" s="1"/>
  <c r="D609" i="7"/>
  <c r="I609" i="7" s="1"/>
  <c r="M609" i="7" s="1"/>
  <c r="D604" i="7"/>
  <c r="I604" i="7" s="1"/>
  <c r="M604" i="7" s="1"/>
  <c r="D585" i="7"/>
  <c r="I585" i="7" s="1"/>
  <c r="M585" i="7" s="1"/>
  <c r="D530" i="7"/>
  <c r="I530" i="7" s="1"/>
  <c r="M530" i="7" s="1"/>
  <c r="D605" i="7"/>
  <c r="I605" i="7" s="1"/>
  <c r="M605" i="7" s="1"/>
  <c r="D529" i="7"/>
  <c r="I529" i="7" s="1"/>
  <c r="M529" i="7" s="1"/>
  <c r="D625" i="7"/>
  <c r="D613" i="7"/>
  <c r="I613" i="7" s="1"/>
  <c r="M613" i="7" s="1"/>
  <c r="D760" i="7"/>
  <c r="D767" i="7"/>
  <c r="D765" i="7"/>
  <c r="D763" i="7"/>
  <c r="D761" i="7"/>
  <c r="D759" i="7"/>
  <c r="D764" i="7"/>
  <c r="D766" i="7"/>
  <c r="D762" i="7"/>
  <c r="D672" i="7"/>
  <c r="I672" i="7" s="1"/>
  <c r="M672" i="7" s="1"/>
  <c r="D673" i="7"/>
  <c r="I673" i="7" s="1"/>
  <c r="M673" i="7" s="1"/>
  <c r="N4245" i="7"/>
  <c r="D38" i="6" s="1"/>
  <c r="E38" i="6" s="1"/>
  <c r="D4245" i="7"/>
  <c r="I4245" i="7" s="1"/>
  <c r="M4245" i="7" s="1"/>
  <c r="P4245" i="7"/>
  <c r="F38" i="6" s="1"/>
  <c r="G38" i="6" s="1"/>
  <c r="D974" i="7"/>
  <c r="I974" i="7" s="1"/>
  <c r="M974" i="7" s="1"/>
  <c r="G960" i="7"/>
  <c r="G958" i="7"/>
  <c r="G956" i="7"/>
  <c r="G954" i="7"/>
  <c r="G957" i="7"/>
  <c r="G953" i="7"/>
  <c r="G959" i="7"/>
  <c r="G955" i="7"/>
  <c r="M1400" i="7"/>
  <c r="D1580" i="7"/>
  <c r="I1580" i="7" s="1"/>
  <c r="M1580" i="7" s="1"/>
  <c r="D1549" i="7"/>
  <c r="I1549" i="7" s="1"/>
  <c r="M1549" i="7" s="1"/>
  <c r="D1581" i="7"/>
  <c r="I1581" i="7" s="1"/>
  <c r="M1581" i="7" s="1"/>
  <c r="D1582" i="7"/>
  <c r="I1582" i="7" s="1"/>
  <c r="M1582" i="7" s="1"/>
  <c r="N1794" i="7"/>
  <c r="D1791" i="7"/>
  <c r="I1791" i="7" s="1"/>
  <c r="M1791" i="7" s="1"/>
  <c r="D1788" i="7"/>
  <c r="N1784" i="7"/>
  <c r="N1778" i="7"/>
  <c r="N1772" i="7"/>
  <c r="N1767" i="7"/>
  <c r="N1760" i="7"/>
  <c r="D1757" i="7"/>
  <c r="I1757" i="7" s="1"/>
  <c r="M1757" i="7" s="1"/>
  <c r="N1753" i="7"/>
  <c r="N1747" i="7"/>
  <c r="N1741" i="7"/>
  <c r="N1740" i="7"/>
  <c r="N1739" i="7"/>
  <c r="N1738" i="7"/>
  <c r="N1737" i="7"/>
  <c r="N1736" i="7"/>
  <c r="N1735" i="7"/>
  <c r="N1734" i="7"/>
  <c r="N1733" i="7"/>
  <c r="N1722" i="7"/>
  <c r="N1715" i="7"/>
  <c r="N1707" i="7"/>
  <c r="N1700" i="7"/>
  <c r="D1697" i="7"/>
  <c r="I1697" i="7" s="1"/>
  <c r="M1697" i="7" s="1"/>
  <c r="N1693" i="7"/>
  <c r="N1686" i="7"/>
  <c r="D1684" i="7"/>
  <c r="N1680" i="7"/>
  <c r="D1677" i="7"/>
  <c r="I1677" i="7" s="1"/>
  <c r="M1677" i="7" s="1"/>
  <c r="N1672" i="7"/>
  <c r="D1670" i="7"/>
  <c r="N1665" i="7"/>
  <c r="D1662" i="7"/>
  <c r="I1662" i="7" s="1"/>
  <c r="M1662" i="7" s="1"/>
  <c r="N1657" i="7"/>
  <c r="D1654" i="7"/>
  <c r="I1654" i="7" s="1"/>
  <c r="M1654" i="7" s="1"/>
  <c r="N1650" i="7"/>
  <c r="D1648" i="7"/>
  <c r="N1644" i="7"/>
  <c r="D1641" i="7"/>
  <c r="I1641" i="7" s="1"/>
  <c r="M1641" i="7" s="1"/>
  <c r="N1636" i="7"/>
  <c r="D1633" i="7"/>
  <c r="I1633" i="7" s="1"/>
  <c r="M1633" i="7" s="1"/>
  <c r="N1629" i="7"/>
  <c r="D1626" i="7"/>
  <c r="I1626" i="7" s="1"/>
  <c r="M1626" i="7" s="1"/>
  <c r="N1622" i="7"/>
  <c r="D1619" i="7"/>
  <c r="I1619" i="7" s="1"/>
  <c r="M1619" i="7" s="1"/>
  <c r="N1615" i="7"/>
  <c r="N1608" i="7"/>
  <c r="D1607" i="7"/>
  <c r="D1798" i="7"/>
  <c r="I1798" i="7" s="1"/>
  <c r="M1798" i="7" s="1"/>
  <c r="D1792" i="7"/>
  <c r="I1792" i="7" s="1"/>
  <c r="M1792" i="7" s="1"/>
  <c r="N1785" i="7"/>
  <c r="N1779" i="7"/>
  <c r="D1777" i="7"/>
  <c r="I1777" i="7" s="1"/>
  <c r="M1777" i="7" s="1"/>
  <c r="N1773" i="7"/>
  <c r="D1758" i="7"/>
  <c r="I1758" i="7" s="1"/>
  <c r="M1758" i="7" s="1"/>
  <c r="N1754" i="7"/>
  <c r="D1752" i="7"/>
  <c r="I1752" i="7" s="1"/>
  <c r="M1752" i="7" s="1"/>
  <c r="N1748" i="7"/>
  <c r="N1742" i="7"/>
  <c r="N1716" i="7"/>
  <c r="N1708" i="7"/>
  <c r="D1698" i="7"/>
  <c r="I1698" i="7" s="1"/>
  <c r="M1698" i="7" s="1"/>
  <c r="N1694" i="7"/>
  <c r="D1691" i="7"/>
  <c r="I1691" i="7" s="1"/>
  <c r="M1691" i="7" s="1"/>
  <c r="N1687" i="7"/>
  <c r="N1681" i="7"/>
  <c r="D1678" i="7"/>
  <c r="I1678" i="7" s="1"/>
  <c r="M1678" i="7" s="1"/>
  <c r="N1673" i="7"/>
  <c r="N1666" i="7"/>
  <c r="D1663" i="7"/>
  <c r="I1663" i="7" s="1"/>
  <c r="M1663" i="7" s="1"/>
  <c r="N1658" i="7"/>
  <c r="D1655" i="7"/>
  <c r="I1655" i="7" s="1"/>
  <c r="M1655" i="7" s="1"/>
  <c r="D1642" i="7"/>
  <c r="I1642" i="7" s="1"/>
  <c r="M1642" i="7" s="1"/>
  <c r="N1637" i="7"/>
  <c r="D1634" i="7"/>
  <c r="I1634" i="7" s="1"/>
  <c r="M1634" i="7" s="1"/>
  <c r="N1630" i="7"/>
  <c r="D1627" i="7"/>
  <c r="I1627" i="7" s="1"/>
  <c r="M1627" i="7" s="1"/>
  <c r="N1623" i="7"/>
  <c r="D1620" i="7"/>
  <c r="I1620" i="7" s="1"/>
  <c r="M1620" i="7" s="1"/>
  <c r="N1616" i="7"/>
  <c r="D1613" i="7"/>
  <c r="I1613" i="7" s="1"/>
  <c r="M1613" i="7" s="1"/>
  <c r="N1609" i="7"/>
  <c r="N1795" i="7"/>
  <c r="D1793" i="7"/>
  <c r="I1793" i="7" s="1"/>
  <c r="M1793" i="7" s="1"/>
  <c r="N1789" i="7"/>
  <c r="O1789" i="7" s="1"/>
  <c r="D1784" i="7"/>
  <c r="D1778" i="7"/>
  <c r="N1774" i="7"/>
  <c r="D1772" i="7"/>
  <c r="N1768" i="7"/>
  <c r="N1761" i="7"/>
  <c r="D1759" i="7"/>
  <c r="I1759" i="7" s="1"/>
  <c r="M1759" i="7" s="1"/>
  <c r="D1753" i="7"/>
  <c r="N1749" i="7"/>
  <c r="D1747" i="7"/>
  <c r="N1743" i="7"/>
  <c r="N1723" i="7"/>
  <c r="N1717" i="7"/>
  <c r="N1709" i="7"/>
  <c r="N1701" i="7"/>
  <c r="D1699" i="7"/>
  <c r="I1699" i="7" s="1"/>
  <c r="M1699" i="7" s="1"/>
  <c r="N1695" i="7"/>
  <c r="D1692" i="7"/>
  <c r="I1692" i="7" s="1"/>
  <c r="M1692" i="7" s="1"/>
  <c r="N1688" i="7"/>
  <c r="D1679" i="7"/>
  <c r="I1679" i="7" s="1"/>
  <c r="M1679" i="7" s="1"/>
  <c r="N1674" i="7"/>
  <c r="D1671" i="7"/>
  <c r="I1671" i="7" s="1"/>
  <c r="M1671" i="7" s="1"/>
  <c r="N1667" i="7"/>
  <c r="D1664" i="7"/>
  <c r="I1664" i="7" s="1"/>
  <c r="M1664" i="7" s="1"/>
  <c r="N1659" i="7"/>
  <c r="D1656" i="7"/>
  <c r="I1656" i="7" s="1"/>
  <c r="M1656" i="7" s="1"/>
  <c r="N1651" i="7"/>
  <c r="D1649" i="7"/>
  <c r="I1649" i="7" s="1"/>
  <c r="M1649" i="7" s="1"/>
  <c r="N1645" i="7"/>
  <c r="D1643" i="7"/>
  <c r="I1643" i="7" s="1"/>
  <c r="M1643" i="7" s="1"/>
  <c r="N1638" i="7"/>
  <c r="D1635" i="7"/>
  <c r="I1635" i="7" s="1"/>
  <c r="M1635" i="7" s="1"/>
  <c r="N1631" i="7"/>
  <c r="D1629" i="7"/>
  <c r="N1624" i="7"/>
  <c r="D1621" i="7"/>
  <c r="I1621" i="7" s="1"/>
  <c r="M1621" i="7" s="1"/>
  <c r="N1617" i="7"/>
  <c r="D1614" i="7"/>
  <c r="I1614" i="7" s="1"/>
  <c r="M1614" i="7" s="1"/>
  <c r="N1610" i="7"/>
  <c r="D1608" i="7"/>
  <c r="D1797" i="7"/>
  <c r="N1793" i="7"/>
  <c r="N1788" i="7"/>
  <c r="O1788" i="7" s="1"/>
  <c r="D1776" i="7"/>
  <c r="D1770" i="7"/>
  <c r="N1766" i="7"/>
  <c r="N1759" i="7"/>
  <c r="D1756" i="7"/>
  <c r="I1756" i="7" s="1"/>
  <c r="M1756" i="7" s="1"/>
  <c r="D1751" i="7"/>
  <c r="D1745" i="7"/>
  <c r="N1721" i="7"/>
  <c r="O1721" i="7" s="1"/>
  <c r="N1714" i="7"/>
  <c r="N1706" i="7"/>
  <c r="N1699" i="7"/>
  <c r="N1692" i="7"/>
  <c r="D1690" i="7"/>
  <c r="N1685" i="7"/>
  <c r="D1683" i="7"/>
  <c r="I1683" i="7" s="1"/>
  <c r="M1683" i="7" s="1"/>
  <c r="N1679" i="7"/>
  <c r="D1676" i="7"/>
  <c r="I1676" i="7" s="1"/>
  <c r="M1676" i="7" s="1"/>
  <c r="N1671" i="7"/>
  <c r="D1669" i="7"/>
  <c r="I1669" i="7" s="1"/>
  <c r="M1669" i="7" s="1"/>
  <c r="N1664" i="7"/>
  <c r="D1661" i="7"/>
  <c r="I1661" i="7" s="1"/>
  <c r="M1661" i="7" s="1"/>
  <c r="N1656" i="7"/>
  <c r="D1653" i="7"/>
  <c r="I1653" i="7" s="1"/>
  <c r="M1653" i="7" s="1"/>
  <c r="N1649" i="7"/>
  <c r="D1647" i="7"/>
  <c r="I1647" i="7" s="1"/>
  <c r="M1647" i="7" s="1"/>
  <c r="N1643" i="7"/>
  <c r="D1640" i="7"/>
  <c r="I1640" i="7" s="1"/>
  <c r="M1640" i="7" s="1"/>
  <c r="N1635" i="7"/>
  <c r="N1621" i="7"/>
  <c r="N1614" i="7"/>
  <c r="D1612" i="7"/>
  <c r="D1795" i="7"/>
  <c r="N1790" i="7"/>
  <c r="N1787" i="7"/>
  <c r="O1787" i="7" s="1"/>
  <c r="D1785" i="7"/>
  <c r="I1785" i="7" s="1"/>
  <c r="M1785" i="7" s="1"/>
  <c r="D1768" i="7"/>
  <c r="N1763" i="7"/>
  <c r="D1761" i="7"/>
  <c r="N1756" i="7"/>
  <c r="D1754" i="7"/>
  <c r="I1754" i="7" s="1"/>
  <c r="M1754" i="7" s="1"/>
  <c r="D1723" i="7"/>
  <c r="N1718" i="7"/>
  <c r="D1716" i="7"/>
  <c r="I1716" i="7" s="1"/>
  <c r="M1716" i="7" s="1"/>
  <c r="N1711" i="7"/>
  <c r="N1683" i="7"/>
  <c r="D1681" i="7"/>
  <c r="I1681" i="7" s="1"/>
  <c r="M1681" i="7" s="1"/>
  <c r="N1676" i="7"/>
  <c r="N1669" i="7"/>
  <c r="D1658" i="7"/>
  <c r="I1658" i="7" s="1"/>
  <c r="M1658" i="7" s="1"/>
  <c r="N1653" i="7"/>
  <c r="D1651" i="7"/>
  <c r="N1632" i="7"/>
  <c r="D1630" i="7"/>
  <c r="I1630" i="7" s="1"/>
  <c r="M1630" i="7" s="1"/>
  <c r="N1625" i="7"/>
  <c r="D1623" i="7"/>
  <c r="I1623" i="7" s="1"/>
  <c r="M1623" i="7" s="1"/>
  <c r="N1618" i="7"/>
  <c r="D1616" i="7"/>
  <c r="I1616" i="7" s="1"/>
  <c r="M1616" i="7" s="1"/>
  <c r="D1609" i="7"/>
  <c r="I1609" i="7" s="1"/>
  <c r="M1609" i="7" s="1"/>
  <c r="N1606" i="7"/>
  <c r="D20" i="6" s="1"/>
  <c r="N1797" i="7"/>
  <c r="N1782" i="7"/>
  <c r="D1780" i="7"/>
  <c r="N1770" i="7"/>
  <c r="N1751" i="7"/>
  <c r="D1749" i="7"/>
  <c r="I1749" i="7" s="1"/>
  <c r="M1749" i="7" s="1"/>
  <c r="N1731" i="7"/>
  <c r="N1729" i="7"/>
  <c r="N1727" i="7"/>
  <c r="N1725" i="7"/>
  <c r="N1704" i="7"/>
  <c r="N1697" i="7"/>
  <c r="D1695" i="7"/>
  <c r="I1695" i="7" s="1"/>
  <c r="M1695" i="7" s="1"/>
  <c r="N1690" i="7"/>
  <c r="D1674" i="7"/>
  <c r="I1674" i="7" s="1"/>
  <c r="M1674" i="7" s="1"/>
  <c r="D1667" i="7"/>
  <c r="I1667" i="7" s="1"/>
  <c r="M1667" i="7" s="1"/>
  <c r="N1662" i="7"/>
  <c r="N1641" i="7"/>
  <c r="N1792" i="7"/>
  <c r="D1790" i="7"/>
  <c r="N1777" i="7"/>
  <c r="N1765" i="7"/>
  <c r="N1758" i="7"/>
  <c r="N1746" i="7"/>
  <c r="D1744" i="7"/>
  <c r="I1744" i="7" s="1"/>
  <c r="M1744" i="7" s="1"/>
  <c r="N1720" i="7"/>
  <c r="D1718" i="7"/>
  <c r="N1713" i="7"/>
  <c r="N1678" i="7"/>
  <c r="D1660" i="7"/>
  <c r="I1660" i="7" s="1"/>
  <c r="M1660" i="7" s="1"/>
  <c r="N1655" i="7"/>
  <c r="N1648" i="7"/>
  <c r="D1646" i="7"/>
  <c r="I1646" i="7" s="1"/>
  <c r="M1646" i="7" s="1"/>
  <c r="D1639" i="7"/>
  <c r="I1639" i="7" s="1"/>
  <c r="M1639" i="7" s="1"/>
  <c r="N1634" i="7"/>
  <c r="D1632" i="7"/>
  <c r="N1627" i="7"/>
  <c r="D1625" i="7"/>
  <c r="N1620" i="7"/>
  <c r="D1618" i="7"/>
  <c r="N1613" i="7"/>
  <c r="D1611" i="7"/>
  <c r="I1611" i="7" s="1"/>
  <c r="M1611" i="7" s="1"/>
  <c r="D1606" i="7"/>
  <c r="N1780" i="7"/>
  <c r="N1775" i="7"/>
  <c r="N1744" i="7"/>
  <c r="N1702" i="7"/>
  <c r="D1700" i="7"/>
  <c r="I1700" i="7" s="1"/>
  <c r="M1700" i="7" s="1"/>
  <c r="D1693" i="7"/>
  <c r="I1693" i="7" s="1"/>
  <c r="M1693" i="7" s="1"/>
  <c r="D1672" i="7"/>
  <c r="I1672" i="7" s="1"/>
  <c r="M1672" i="7" s="1"/>
  <c r="D1665" i="7"/>
  <c r="I1665" i="7" s="1"/>
  <c r="M1665" i="7" s="1"/>
  <c r="N1660" i="7"/>
  <c r="N1646" i="7"/>
  <c r="D1644" i="7"/>
  <c r="I1644" i="7" s="1"/>
  <c r="M1644" i="7" s="1"/>
  <c r="N1639" i="7"/>
  <c r="N1611" i="7"/>
  <c r="N1764" i="7"/>
  <c r="D1755" i="7"/>
  <c r="N1745" i="7"/>
  <c r="N1732" i="7"/>
  <c r="N1728" i="7"/>
  <c r="N1724" i="7"/>
  <c r="N1719" i="7"/>
  <c r="D1682" i="7"/>
  <c r="N1677" i="7"/>
  <c r="D1659" i="7"/>
  <c r="I1659" i="7" s="1"/>
  <c r="M1659" i="7" s="1"/>
  <c r="N1654" i="7"/>
  <c r="D1631" i="7"/>
  <c r="I1631" i="7" s="1"/>
  <c r="M1631" i="7" s="1"/>
  <c r="N1626" i="7"/>
  <c r="D1617" i="7"/>
  <c r="I1617" i="7" s="1"/>
  <c r="M1617" i="7" s="1"/>
  <c r="N1612" i="7"/>
  <c r="N1798" i="7"/>
  <c r="N1783" i="7"/>
  <c r="D1750" i="7"/>
  <c r="I1750" i="7" s="1"/>
  <c r="M1750" i="7" s="1"/>
  <c r="N1705" i="7"/>
  <c r="D1696" i="7"/>
  <c r="N1691" i="7"/>
  <c r="N1663" i="7"/>
  <c r="N1607" i="7"/>
  <c r="N1796" i="7"/>
  <c r="N1786" i="7"/>
  <c r="N1762" i="7"/>
  <c r="N1689" i="7"/>
  <c r="D1680" i="7"/>
  <c r="I1680" i="7" s="1"/>
  <c r="M1680" i="7" s="1"/>
  <c r="N1675" i="7"/>
  <c r="D1657" i="7"/>
  <c r="I1657" i="7" s="1"/>
  <c r="M1657" i="7" s="1"/>
  <c r="N1652" i="7"/>
  <c r="D1615" i="7"/>
  <c r="I1615" i="7" s="1"/>
  <c r="M1615" i="7" s="1"/>
  <c r="D1779" i="7"/>
  <c r="I1779" i="7" s="1"/>
  <c r="M1779" i="7" s="1"/>
  <c r="D1701" i="7"/>
  <c r="N1696" i="7"/>
  <c r="D1673" i="7"/>
  <c r="I1673" i="7" s="1"/>
  <c r="M1673" i="7" s="1"/>
  <c r="D1645" i="7"/>
  <c r="N1640" i="7"/>
  <c r="D1789" i="7"/>
  <c r="N1769" i="7"/>
  <c r="D1760" i="7"/>
  <c r="I1760" i="7" s="1"/>
  <c r="M1760" i="7" s="1"/>
  <c r="N1750" i="7"/>
  <c r="N1668" i="7"/>
  <c r="O1668" i="7" s="1"/>
  <c r="D1652" i="7"/>
  <c r="I1652" i="7" s="1"/>
  <c r="M1652" i="7" s="1"/>
  <c r="N1642" i="7"/>
  <c r="D1748" i="7"/>
  <c r="I1748" i="7" s="1"/>
  <c r="M1748" i="7" s="1"/>
  <c r="N1703" i="7"/>
  <c r="D1694" i="7"/>
  <c r="I1694" i="7" s="1"/>
  <c r="M1694" i="7" s="1"/>
  <c r="D1650" i="7"/>
  <c r="I1650" i="7" s="1"/>
  <c r="M1650" i="7" s="1"/>
  <c r="D1622" i="7"/>
  <c r="I1622" i="7" s="1"/>
  <c r="M1622" i="7" s="1"/>
  <c r="D1786" i="7"/>
  <c r="N1776" i="7"/>
  <c r="N1757" i="7"/>
  <c r="N1730" i="7"/>
  <c r="N1712" i="7"/>
  <c r="D1666" i="7"/>
  <c r="I1666" i="7" s="1"/>
  <c r="M1666" i="7" s="1"/>
  <c r="N1647" i="7"/>
  <c r="N1771" i="7"/>
  <c r="N1752" i="7"/>
  <c r="N1698" i="7"/>
  <c r="N1670" i="7"/>
  <c r="N1633" i="7"/>
  <c r="D1624" i="7"/>
  <c r="I1624" i="7" s="1"/>
  <c r="M1624" i="7" s="1"/>
  <c r="N1791" i="7"/>
  <c r="D1717" i="7"/>
  <c r="I1717" i="7" s="1"/>
  <c r="M1717" i="7" s="1"/>
  <c r="D1675" i="7"/>
  <c r="I1675" i="7" s="1"/>
  <c r="M1675" i="7" s="1"/>
  <c r="N1661" i="7"/>
  <c r="N1710" i="7"/>
  <c r="N1619" i="7"/>
  <c r="N1781" i="7"/>
  <c r="N1726" i="7"/>
  <c r="D1636" i="7"/>
  <c r="I1636" i="7" s="1"/>
  <c r="M1636" i="7" s="1"/>
  <c r="D1796" i="7"/>
  <c r="I1796" i="7" s="1"/>
  <c r="M1796" i="7" s="1"/>
  <c r="N1684" i="7"/>
  <c r="D1794" i="7"/>
  <c r="I1794" i="7" s="1"/>
  <c r="M1794" i="7" s="1"/>
  <c r="N1755" i="7"/>
  <c r="N1682" i="7"/>
  <c r="D1610" i="7"/>
  <c r="I1610" i="7" s="1"/>
  <c r="M1610" i="7" s="1"/>
  <c r="N1628" i="7"/>
  <c r="I1628" i="7" s="1"/>
  <c r="D1740" i="7"/>
  <c r="D1738" i="7"/>
  <c r="D1736" i="7"/>
  <c r="D1734" i="7"/>
  <c r="D1741" i="7"/>
  <c r="D1737" i="7"/>
  <c r="D1739" i="7"/>
  <c r="D1735" i="7"/>
  <c r="G1933" i="7"/>
  <c r="G1931" i="7"/>
  <c r="G1929" i="7"/>
  <c r="G1932" i="7"/>
  <c r="G1928" i="7"/>
  <c r="G1934" i="7"/>
  <c r="G1930" i="7"/>
  <c r="G1927" i="7"/>
  <c r="D2132" i="7"/>
  <c r="I2132" i="7" s="1"/>
  <c r="M2132" i="7" s="1"/>
  <c r="G2118" i="7"/>
  <c r="G2117" i="7"/>
  <c r="G2116" i="7"/>
  <c r="G2115" i="7"/>
  <c r="G2114" i="7"/>
  <c r="G2113" i="7"/>
  <c r="G2112" i="7"/>
  <c r="G2111" i="7"/>
  <c r="D2320" i="7"/>
  <c r="D2319" i="7"/>
  <c r="D2318" i="7"/>
  <c r="D2317" i="7"/>
  <c r="D2316" i="7"/>
  <c r="D2315" i="7"/>
  <c r="D2314" i="7"/>
  <c r="D2313" i="7"/>
  <c r="CC79" i="4"/>
  <c r="I3049" i="7"/>
  <c r="D3050" i="7"/>
  <c r="D3078" i="7"/>
  <c r="I3078" i="7" s="1"/>
  <c r="M3078" i="7" s="1"/>
  <c r="I3077" i="7"/>
  <c r="M3436" i="7"/>
  <c r="G3501" i="7"/>
  <c r="I89" i="4"/>
  <c r="G3726" i="7"/>
  <c r="C464" i="11" s="1"/>
  <c r="I3998" i="7"/>
  <c r="D3999" i="7"/>
  <c r="I4026" i="7"/>
  <c r="D4027" i="7"/>
  <c r="G3954" i="7"/>
  <c r="C535" i="11" s="1"/>
  <c r="J96" i="4"/>
  <c r="AK96" i="4"/>
  <c r="BA96" i="4"/>
  <c r="BY96" i="4"/>
  <c r="D270" i="5"/>
  <c r="H13" i="6"/>
  <c r="H17" i="6"/>
  <c r="D101" i="7"/>
  <c r="I101" i="7" s="1"/>
  <c r="M101" i="7" s="1"/>
  <c r="D128" i="7"/>
  <c r="D140" i="7"/>
  <c r="I140" i="7" s="1"/>
  <c r="M140" i="7" s="1"/>
  <c r="N158" i="7"/>
  <c r="N482" i="7"/>
  <c r="G573" i="7"/>
  <c r="D667" i="7"/>
  <c r="N1004" i="7"/>
  <c r="D3336" i="7"/>
  <c r="I3336" i="7" s="1"/>
  <c r="M3336" i="7" s="1"/>
  <c r="I3335" i="7"/>
  <c r="M3335" i="7" s="1"/>
  <c r="D9" i="4"/>
  <c r="AF9" i="4"/>
  <c r="AF11" i="4" s="1"/>
  <c r="D418" i="7"/>
  <c r="I418" i="7" s="1"/>
  <c r="M418" i="7" s="1"/>
  <c r="D411" i="7"/>
  <c r="I411" i="7" s="1"/>
  <c r="M411" i="7" s="1"/>
  <c r="D338" i="7"/>
  <c r="I338" i="7" s="1"/>
  <c r="M338" i="7" s="1"/>
  <c r="D430" i="7"/>
  <c r="I430" i="7" s="1"/>
  <c r="M430" i="7" s="1"/>
  <c r="D412" i="7"/>
  <c r="I412" i="7" s="1"/>
  <c r="M412" i="7" s="1"/>
  <c r="D431" i="7"/>
  <c r="I431" i="7" s="1"/>
  <c r="M431" i="7" s="1"/>
  <c r="D413" i="7"/>
  <c r="I413" i="7" s="1"/>
  <c r="M413" i="7" s="1"/>
  <c r="D368" i="7"/>
  <c r="I368" i="7" s="1"/>
  <c r="M368" i="7" s="1"/>
  <c r="D392" i="7"/>
  <c r="I392" i="7" s="1"/>
  <c r="M392" i="7" s="1"/>
  <c r="D337" i="7"/>
  <c r="I337" i="7" s="1"/>
  <c r="M337" i="7" s="1"/>
  <c r="D414" i="7"/>
  <c r="I414" i="7" s="1"/>
  <c r="M414" i="7" s="1"/>
  <c r="D369" i="7"/>
  <c r="I369" i="7" s="1"/>
  <c r="M369" i="7" s="1"/>
  <c r="D334" i="7"/>
  <c r="I334" i="7" s="1"/>
  <c r="M334" i="7" s="1"/>
  <c r="D416" i="7"/>
  <c r="I416" i="7" s="1"/>
  <c r="M416" i="7" s="1"/>
  <c r="D371" i="7"/>
  <c r="I371" i="7" s="1"/>
  <c r="M371" i="7" s="1"/>
  <c r="D335" i="7"/>
  <c r="I335" i="7" s="1"/>
  <c r="M335" i="7" s="1"/>
  <c r="D420" i="7"/>
  <c r="I420" i="7" s="1"/>
  <c r="M420" i="7" s="1"/>
  <c r="D415" i="7"/>
  <c r="I415" i="7" s="1"/>
  <c r="M415" i="7" s="1"/>
  <c r="D336" i="7"/>
  <c r="I336" i="7" s="1"/>
  <c r="M336" i="7" s="1"/>
  <c r="D479" i="7"/>
  <c r="I479" i="7" s="1"/>
  <c r="M479" i="7" s="1"/>
  <c r="D480" i="7"/>
  <c r="I480" i="7" s="1"/>
  <c r="M480" i="7" s="1"/>
  <c r="P4244" i="7"/>
  <c r="F37" i="6" s="1"/>
  <c r="D4244" i="7"/>
  <c r="I4244" i="7" s="1"/>
  <c r="M4244" i="7" s="1"/>
  <c r="N4244" i="7"/>
  <c r="D37" i="6" s="1"/>
  <c r="D781" i="7"/>
  <c r="I781" i="7" s="1"/>
  <c r="M781" i="7" s="1"/>
  <c r="G767" i="7"/>
  <c r="G765" i="7"/>
  <c r="G763" i="7"/>
  <c r="G761" i="7"/>
  <c r="I761" i="7" s="1"/>
  <c r="M761" i="7" s="1"/>
  <c r="G760" i="7"/>
  <c r="G766" i="7"/>
  <c r="I766" i="7" s="1"/>
  <c r="M766" i="7" s="1"/>
  <c r="G762" i="7"/>
  <c r="G764" i="7"/>
  <c r="M1207" i="7"/>
  <c r="D1356" i="7"/>
  <c r="I1356" i="7" s="1"/>
  <c r="M1356" i="7" s="1"/>
  <c r="D1389" i="7"/>
  <c r="I1389" i="7" s="1"/>
  <c r="M1389" i="7" s="1"/>
  <c r="D1388" i="7"/>
  <c r="I1388" i="7" s="1"/>
  <c r="M1388" i="7" s="1"/>
  <c r="D1387" i="7"/>
  <c r="I1387" i="7" s="1"/>
  <c r="M1387" i="7" s="1"/>
  <c r="D1602" i="7"/>
  <c r="N1597" i="7"/>
  <c r="N1594" i="7"/>
  <c r="D1592" i="7"/>
  <c r="I1592" i="7" s="1"/>
  <c r="M1592" i="7" s="1"/>
  <c r="N1588" i="7"/>
  <c r="D1586" i="7"/>
  <c r="I1586" i="7" s="1"/>
  <c r="M1586" i="7" s="1"/>
  <c r="D1575" i="7"/>
  <c r="N1570" i="7"/>
  <c r="D1568" i="7"/>
  <c r="N1563" i="7"/>
  <c r="D1561" i="7"/>
  <c r="I1561" i="7" s="1"/>
  <c r="M1561" i="7" s="1"/>
  <c r="D1555" i="7"/>
  <c r="I1555" i="7" s="1"/>
  <c r="M1555" i="7" s="1"/>
  <c r="D1530" i="7"/>
  <c r="N1525" i="7"/>
  <c r="D1523" i="7"/>
  <c r="I1523" i="7" s="1"/>
  <c r="M1523" i="7" s="1"/>
  <c r="N1518" i="7"/>
  <c r="N1510" i="7"/>
  <c r="D1508" i="7"/>
  <c r="N1503" i="7"/>
  <c r="D1501" i="7"/>
  <c r="I1501" i="7" s="1"/>
  <c r="M1501" i="7" s="1"/>
  <c r="N1490" i="7"/>
  <c r="D1488" i="7"/>
  <c r="I1488" i="7" s="1"/>
  <c r="M1488" i="7" s="1"/>
  <c r="N1483" i="7"/>
  <c r="D1480" i="7"/>
  <c r="I1480" i="7" s="1"/>
  <c r="M1480" i="7" s="1"/>
  <c r="N1476" i="7"/>
  <c r="D1473" i="7"/>
  <c r="I1473" i="7" s="1"/>
  <c r="M1473" i="7" s="1"/>
  <c r="N1468" i="7"/>
  <c r="D1465" i="7"/>
  <c r="I1465" i="7" s="1"/>
  <c r="M1465" i="7" s="1"/>
  <c r="N1460" i="7"/>
  <c r="D1458" i="7"/>
  <c r="N1454" i="7"/>
  <c r="D1452" i="7"/>
  <c r="N1447" i="7"/>
  <c r="N1439" i="7"/>
  <c r="D1437" i="7"/>
  <c r="I1437" i="7" s="1"/>
  <c r="M1437" i="7" s="1"/>
  <c r="N1432" i="7"/>
  <c r="D1430" i="7"/>
  <c r="I1430" i="7" s="1"/>
  <c r="M1430" i="7" s="1"/>
  <c r="N1425" i="7"/>
  <c r="D1423" i="7"/>
  <c r="I1423" i="7" s="1"/>
  <c r="M1423" i="7" s="1"/>
  <c r="D1416" i="7"/>
  <c r="I1416" i="7" s="1"/>
  <c r="M1416" i="7" s="1"/>
  <c r="N1413" i="7"/>
  <c r="D19" i="6" s="1"/>
  <c r="N1604" i="7"/>
  <c r="N1598" i="7"/>
  <c r="D1593" i="7"/>
  <c r="N1589" i="7"/>
  <c r="D1587" i="7"/>
  <c r="N1583" i="7"/>
  <c r="N1577" i="7"/>
  <c r="N1571" i="7"/>
  <c r="N1564" i="7"/>
  <c r="D1562" i="7"/>
  <c r="N1558" i="7"/>
  <c r="D1556" i="7"/>
  <c r="I1556" i="7" s="1"/>
  <c r="M1556" i="7" s="1"/>
  <c r="N1552" i="7"/>
  <c r="N1539" i="7"/>
  <c r="N1538" i="7"/>
  <c r="N1537" i="7"/>
  <c r="N1536" i="7"/>
  <c r="N1535" i="7"/>
  <c r="N1534" i="7"/>
  <c r="N1533" i="7"/>
  <c r="N1532" i="7"/>
  <c r="N1531" i="7"/>
  <c r="N1526" i="7"/>
  <c r="D1524" i="7"/>
  <c r="I1524" i="7" s="1"/>
  <c r="M1524" i="7" s="1"/>
  <c r="N1519" i="7"/>
  <c r="N1511" i="7"/>
  <c r="N1504" i="7"/>
  <c r="D1502" i="7"/>
  <c r="I1502" i="7" s="1"/>
  <c r="M1502" i="7" s="1"/>
  <c r="N1497" i="7"/>
  <c r="N1605" i="7"/>
  <c r="D1603" i="7"/>
  <c r="I1603" i="7" s="1"/>
  <c r="M1603" i="7" s="1"/>
  <c r="N1599" i="7"/>
  <c r="D1597" i="7"/>
  <c r="N1590" i="7"/>
  <c r="N1584" i="7"/>
  <c r="N1578" i="7"/>
  <c r="N1572" i="7"/>
  <c r="N1565" i="7"/>
  <c r="N1559" i="7"/>
  <c r="D1557" i="7"/>
  <c r="I1557" i="7" s="1"/>
  <c r="M1557" i="7" s="1"/>
  <c r="N1553" i="7"/>
  <c r="D1551" i="7"/>
  <c r="I1551" i="7" s="1"/>
  <c r="M1551" i="7" s="1"/>
  <c r="N1527" i="7"/>
  <c r="D1525" i="7"/>
  <c r="N1520" i="7"/>
  <c r="N1512" i="7"/>
  <c r="N1505" i="7"/>
  <c r="D1503" i="7"/>
  <c r="N1498" i="7"/>
  <c r="N1491" i="7"/>
  <c r="N1603" i="7"/>
  <c r="D1601" i="7"/>
  <c r="I1601" i="7" s="1"/>
  <c r="M1601" i="7" s="1"/>
  <c r="D1596" i="7"/>
  <c r="N1593" i="7"/>
  <c r="N1587" i="7"/>
  <c r="N1582" i="7"/>
  <c r="N1576" i="7"/>
  <c r="N1569" i="7"/>
  <c r="D1567" i="7"/>
  <c r="I1567" i="7" s="1"/>
  <c r="M1567" i="7" s="1"/>
  <c r="N1562" i="7"/>
  <c r="N1557" i="7"/>
  <c r="N1551" i="7"/>
  <c r="N1517" i="7"/>
  <c r="N1509" i="7"/>
  <c r="D1507" i="7"/>
  <c r="I1507" i="7" s="1"/>
  <c r="M1507" i="7" s="1"/>
  <c r="D1500" i="7"/>
  <c r="I1500" i="7" s="1"/>
  <c r="M1500" i="7" s="1"/>
  <c r="N1496" i="7"/>
  <c r="N1601" i="7"/>
  <c r="N1591" i="7"/>
  <c r="N1579" i="7"/>
  <c r="N1574" i="7"/>
  <c r="N1567" i="7"/>
  <c r="N1560" i="7"/>
  <c r="N1548" i="7"/>
  <c r="N1546" i="7"/>
  <c r="N1544" i="7"/>
  <c r="N1542" i="7"/>
  <c r="N1540" i="7"/>
  <c r="N1529" i="7"/>
  <c r="N1522" i="7"/>
  <c r="D1504" i="7"/>
  <c r="I1504" i="7" s="1"/>
  <c r="M1504" i="7" s="1"/>
  <c r="N1487" i="7"/>
  <c r="D1469" i="7"/>
  <c r="I1469" i="7" s="1"/>
  <c r="M1469" i="7" s="1"/>
  <c r="N1466" i="7"/>
  <c r="N1462" i="7"/>
  <c r="D1453" i="7"/>
  <c r="I1453" i="7" s="1"/>
  <c r="M1453" i="7" s="1"/>
  <c r="D1449" i="7"/>
  <c r="I1449" i="7" s="1"/>
  <c r="M1449" i="7" s="1"/>
  <c r="N1446" i="7"/>
  <c r="N1442" i="7"/>
  <c r="N1438" i="7"/>
  <c r="N1434" i="7"/>
  <c r="N1430" i="7"/>
  <c r="N1426" i="7"/>
  <c r="D1425" i="7"/>
  <c r="N1422" i="7"/>
  <c r="N1418" i="7"/>
  <c r="D1417" i="7"/>
  <c r="I1417" i="7" s="1"/>
  <c r="M1417" i="7" s="1"/>
  <c r="D1599" i="7"/>
  <c r="I1599" i="7" s="1"/>
  <c r="M1599" i="7" s="1"/>
  <c r="N1586" i="7"/>
  <c r="D1584" i="7"/>
  <c r="I1584" i="7" s="1"/>
  <c r="M1584" i="7" s="1"/>
  <c r="D1565" i="7"/>
  <c r="I1565" i="7" s="1"/>
  <c r="M1565" i="7" s="1"/>
  <c r="N1555" i="7"/>
  <c r="N1515" i="7"/>
  <c r="N1501" i="7"/>
  <c r="N1494" i="7"/>
  <c r="D1490" i="7"/>
  <c r="I1490" i="7" s="1"/>
  <c r="M1490" i="7" s="1"/>
  <c r="D1486" i="7"/>
  <c r="I1486" i="7" s="1"/>
  <c r="M1486" i="7" s="1"/>
  <c r="D1482" i="7"/>
  <c r="I1482" i="7" s="1"/>
  <c r="M1482" i="7" s="1"/>
  <c r="N1479" i="7"/>
  <c r="N1475" i="7"/>
  <c r="D1474" i="7"/>
  <c r="I1474" i="7" s="1"/>
  <c r="M1474" i="7" s="1"/>
  <c r="N1471" i="7"/>
  <c r="D1461" i="7"/>
  <c r="I1461" i="7" s="1"/>
  <c r="M1461" i="7" s="1"/>
  <c r="N1458" i="7"/>
  <c r="D1457" i="7"/>
  <c r="I1457" i="7" s="1"/>
  <c r="M1457" i="7" s="1"/>
  <c r="N1451" i="7"/>
  <c r="D1441" i="7"/>
  <c r="I1441" i="7" s="1"/>
  <c r="M1441" i="7" s="1"/>
  <c r="N1435" i="7"/>
  <c r="I1435" i="7" s="1"/>
  <c r="D1433" i="7"/>
  <c r="I1433" i="7" s="1"/>
  <c r="M1433" i="7" s="1"/>
  <c r="D1429" i="7"/>
  <c r="I1429" i="7" s="1"/>
  <c r="M1429" i="7" s="1"/>
  <c r="D1421" i="7"/>
  <c r="I1421" i="7" s="1"/>
  <c r="M1421" i="7" s="1"/>
  <c r="D1414" i="7"/>
  <c r="N1596" i="7"/>
  <c r="O1596" i="7" s="1"/>
  <c r="D1591" i="7"/>
  <c r="N1581" i="7"/>
  <c r="D1579" i="7"/>
  <c r="D1560" i="7"/>
  <c r="N1550" i="7"/>
  <c r="N1524" i="7"/>
  <c r="N1508" i="7"/>
  <c r="D1506" i="7"/>
  <c r="I1506" i="7" s="1"/>
  <c r="M1506" i="7" s="1"/>
  <c r="D1499" i="7"/>
  <c r="I1499" i="7" s="1"/>
  <c r="M1499" i="7" s="1"/>
  <c r="N1488" i="7"/>
  <c r="N1484" i="7"/>
  <c r="D1478" i="7"/>
  <c r="I1478" i="7" s="1"/>
  <c r="M1478" i="7" s="1"/>
  <c r="D1470" i="7"/>
  <c r="I1470" i="7" s="1"/>
  <c r="M1470" i="7" s="1"/>
  <c r="N1467" i="7"/>
  <c r="D1466" i="7"/>
  <c r="I1466" i="7" s="1"/>
  <c r="M1466" i="7" s="1"/>
  <c r="N1463" i="7"/>
  <c r="N1455" i="7"/>
  <c r="D1454" i="7"/>
  <c r="I1454" i="7" s="1"/>
  <c r="M1454" i="7" s="1"/>
  <c r="D1450" i="7"/>
  <c r="I1450" i="7" s="1"/>
  <c r="M1450" i="7" s="1"/>
  <c r="D1446" i="7"/>
  <c r="I1446" i="7" s="1"/>
  <c r="M1446" i="7" s="1"/>
  <c r="N1443" i="7"/>
  <c r="D1438" i="7"/>
  <c r="I1438" i="7" s="1"/>
  <c r="M1438" i="7" s="1"/>
  <c r="N1431" i="7"/>
  <c r="N1427" i="7"/>
  <c r="N1423" i="7"/>
  <c r="N1419" i="7"/>
  <c r="D1418" i="7"/>
  <c r="I1418" i="7" s="1"/>
  <c r="M1418" i="7" s="1"/>
  <c r="N1415" i="7"/>
  <c r="D1604" i="7"/>
  <c r="D1577" i="7"/>
  <c r="D1563" i="7"/>
  <c r="I1563" i="7" s="1"/>
  <c r="M1563" i="7" s="1"/>
  <c r="D1558" i="7"/>
  <c r="N1513" i="7"/>
  <c r="N1506" i="7"/>
  <c r="N1499" i="7"/>
  <c r="D1497" i="7"/>
  <c r="N1492" i="7"/>
  <c r="D1485" i="7"/>
  <c r="I1485" i="7" s="1"/>
  <c r="M1485" i="7" s="1"/>
  <c r="N1482" i="7"/>
  <c r="D1481" i="7"/>
  <c r="I1481" i="7" s="1"/>
  <c r="M1481" i="7" s="1"/>
  <c r="N1478" i="7"/>
  <c r="D1477" i="7"/>
  <c r="N1474" i="7"/>
  <c r="N1470" i="7"/>
  <c r="D1464" i="7"/>
  <c r="I1464" i="7" s="1"/>
  <c r="M1464" i="7" s="1"/>
  <c r="D1460" i="7"/>
  <c r="I1460" i="7" s="1"/>
  <c r="M1460" i="7" s="1"/>
  <c r="D1456" i="7"/>
  <c r="I1456" i="7" s="1"/>
  <c r="M1456" i="7" s="1"/>
  <c r="N1450" i="7"/>
  <c r="D1440" i="7"/>
  <c r="I1440" i="7" s="1"/>
  <c r="M1440" i="7" s="1"/>
  <c r="D1428" i="7"/>
  <c r="I1428" i="7" s="1"/>
  <c r="M1428" i="7" s="1"/>
  <c r="D1420" i="7"/>
  <c r="I1420" i="7" s="1"/>
  <c r="M1420" i="7" s="1"/>
  <c r="N1414" i="7"/>
  <c r="N1592" i="7"/>
  <c r="D1559" i="7"/>
  <c r="I1559" i="7" s="1"/>
  <c r="M1559" i="7" s="1"/>
  <c r="N1549" i="7"/>
  <c r="N1523" i="7"/>
  <c r="D1505" i="7"/>
  <c r="I1505" i="7" s="1"/>
  <c r="M1505" i="7" s="1"/>
  <c r="N1477" i="7"/>
  <c r="N1469" i="7"/>
  <c r="D1459" i="7"/>
  <c r="I1459" i="7" s="1"/>
  <c r="M1459" i="7" s="1"/>
  <c r="D1443" i="7"/>
  <c r="I1443" i="7" s="1"/>
  <c r="M1443" i="7" s="1"/>
  <c r="D1427" i="7"/>
  <c r="I1427" i="7" s="1"/>
  <c r="M1427" i="7" s="1"/>
  <c r="N1602" i="7"/>
  <c r="N1568" i="7"/>
  <c r="D1554" i="7"/>
  <c r="N1495" i="7"/>
  <c r="D1472" i="7"/>
  <c r="I1472" i="7" s="1"/>
  <c r="M1472" i="7" s="1"/>
  <c r="N1461" i="7"/>
  <c r="N1453" i="7"/>
  <c r="D1448" i="7"/>
  <c r="I1448" i="7" s="1"/>
  <c r="M1448" i="7" s="1"/>
  <c r="N1445" i="7"/>
  <c r="N1437" i="7"/>
  <c r="D1432" i="7"/>
  <c r="N1429" i="7"/>
  <c r="D1424" i="7"/>
  <c r="I1424" i="7" s="1"/>
  <c r="M1424" i="7" s="1"/>
  <c r="N1421" i="7"/>
  <c r="D1413" i="7"/>
  <c r="N1600" i="7"/>
  <c r="N1595" i="7"/>
  <c r="O1595" i="7" s="1"/>
  <c r="N1566" i="7"/>
  <c r="D1552" i="7"/>
  <c r="N1521" i="7"/>
  <c r="D1487" i="7"/>
  <c r="I1487" i="7" s="1"/>
  <c r="M1487" i="7" s="1"/>
  <c r="D1442" i="7"/>
  <c r="I1442" i="7" s="1"/>
  <c r="M1442" i="7" s="1"/>
  <c r="D1434" i="7"/>
  <c r="I1434" i="7" s="1"/>
  <c r="M1434" i="7" s="1"/>
  <c r="D1426" i="7"/>
  <c r="I1426" i="7" s="1"/>
  <c r="M1426" i="7" s="1"/>
  <c r="D1598" i="7"/>
  <c r="I1598" i="7" s="1"/>
  <c r="M1598" i="7" s="1"/>
  <c r="D1564" i="7"/>
  <c r="I1564" i="7" s="1"/>
  <c r="M1564" i="7" s="1"/>
  <c r="N1554" i="7"/>
  <c r="N1545" i="7"/>
  <c r="N1541" i="7"/>
  <c r="N1514" i="7"/>
  <c r="N1500" i="7"/>
  <c r="D1491" i="7"/>
  <c r="N1485" i="7"/>
  <c r="D1467" i="7"/>
  <c r="I1467" i="7" s="1"/>
  <c r="M1467" i="7" s="1"/>
  <c r="N1464" i="7"/>
  <c r="N1456" i="7"/>
  <c r="D1451" i="7"/>
  <c r="I1451" i="7" s="1"/>
  <c r="M1451" i="7" s="1"/>
  <c r="N1440" i="7"/>
  <c r="N1424" i="7"/>
  <c r="D1419" i="7"/>
  <c r="N1416" i="7"/>
  <c r="D1585" i="7"/>
  <c r="N1575" i="7"/>
  <c r="D1566" i="7"/>
  <c r="I1566" i="7" s="1"/>
  <c r="M1566" i="7" s="1"/>
  <c r="N1556" i="7"/>
  <c r="N1530" i="7"/>
  <c r="N1502" i="7"/>
  <c r="N1486" i="7"/>
  <c r="N1465" i="7"/>
  <c r="N1433" i="7"/>
  <c r="N1417" i="7"/>
  <c r="D1583" i="7"/>
  <c r="N1573" i="7"/>
  <c r="N1528" i="7"/>
  <c r="O1528" i="7" s="1"/>
  <c r="N1480" i="7"/>
  <c r="N1459" i="7"/>
  <c r="N1448" i="7"/>
  <c r="D1422" i="7"/>
  <c r="I1422" i="7" s="1"/>
  <c r="M1422" i="7" s="1"/>
  <c r="N1543" i="7"/>
  <c r="N1507" i="7"/>
  <c r="D1479" i="7"/>
  <c r="I1479" i="7" s="1"/>
  <c r="M1479" i="7" s="1"/>
  <c r="N1452" i="7"/>
  <c r="D1447" i="7"/>
  <c r="I1447" i="7" s="1"/>
  <c r="M1447" i="7" s="1"/>
  <c r="N1436" i="7"/>
  <c r="D1431" i="7"/>
  <c r="I1431" i="7" s="1"/>
  <c r="M1431" i="7" s="1"/>
  <c r="N1420" i="7"/>
  <c r="D1415" i="7"/>
  <c r="D1605" i="7"/>
  <c r="I1605" i="7" s="1"/>
  <c r="M1605" i="7" s="1"/>
  <c r="N1481" i="7"/>
  <c r="D1476" i="7"/>
  <c r="I1476" i="7" s="1"/>
  <c r="M1476" i="7" s="1"/>
  <c r="N1449" i="7"/>
  <c r="D1483" i="7"/>
  <c r="I1483" i="7" s="1"/>
  <c r="M1483" i="7" s="1"/>
  <c r="N1441" i="7"/>
  <c r="N1585" i="7"/>
  <c r="N1547" i="7"/>
  <c r="N1493" i="7"/>
  <c r="N1472" i="7"/>
  <c r="D1462" i="7"/>
  <c r="I1462" i="7" s="1"/>
  <c r="M1462" i="7" s="1"/>
  <c r="N1580" i="7"/>
  <c r="N1561" i="7"/>
  <c r="N1489" i="7"/>
  <c r="D1471" i="7"/>
  <c r="I1471" i="7" s="1"/>
  <c r="M1471" i="7" s="1"/>
  <c r="D1439" i="7"/>
  <c r="N1428" i="7"/>
  <c r="D1600" i="7"/>
  <c r="I1600" i="7" s="1"/>
  <c r="M1600" i="7" s="1"/>
  <c r="D1489" i="7"/>
  <c r="D1468" i="7"/>
  <c r="I1468" i="7" s="1"/>
  <c r="M1468" i="7" s="1"/>
  <c r="N1457" i="7"/>
  <c r="D1436" i="7"/>
  <c r="D1595" i="7"/>
  <c r="D1498" i="7"/>
  <c r="I1498" i="7" s="1"/>
  <c r="M1498" i="7" s="1"/>
  <c r="D1484" i="7"/>
  <c r="I1484" i="7" s="1"/>
  <c r="M1484" i="7" s="1"/>
  <c r="D1455" i="7"/>
  <c r="N1444" i="7"/>
  <c r="N1516" i="7"/>
  <c r="N1473" i="7"/>
  <c r="D1463" i="7"/>
  <c r="I1463" i="7" s="1"/>
  <c r="M1463" i="7" s="1"/>
  <c r="G1740" i="7"/>
  <c r="G1738" i="7"/>
  <c r="G1736" i="7"/>
  <c r="I1736" i="7" s="1"/>
  <c r="M1736" i="7" s="1"/>
  <c r="G1734" i="7"/>
  <c r="G1739" i="7"/>
  <c r="G1735" i="7"/>
  <c r="G1741" i="7"/>
  <c r="G1737" i="7"/>
  <c r="D1936" i="7"/>
  <c r="I1936" i="7" s="1"/>
  <c r="M1936" i="7" s="1"/>
  <c r="D1881" i="7"/>
  <c r="I1881" i="7" s="1"/>
  <c r="M1881" i="7" s="1"/>
  <c r="D1962" i="7"/>
  <c r="I1962" i="7" s="1"/>
  <c r="M1962" i="7" s="1"/>
  <c r="D1955" i="7"/>
  <c r="I1955" i="7" s="1"/>
  <c r="M1955" i="7" s="1"/>
  <c r="D1974" i="7"/>
  <c r="I1974" i="7" s="1"/>
  <c r="M1974" i="7" s="1"/>
  <c r="D1956" i="7"/>
  <c r="I1956" i="7" s="1"/>
  <c r="M1956" i="7" s="1"/>
  <c r="D1959" i="7"/>
  <c r="I1959" i="7" s="1"/>
  <c r="M1959" i="7" s="1"/>
  <c r="D1878" i="7"/>
  <c r="I1878" i="7" s="1"/>
  <c r="M1878" i="7" s="1"/>
  <c r="D1915" i="7"/>
  <c r="I1915" i="7" s="1"/>
  <c r="M1915" i="7" s="1"/>
  <c r="D1975" i="7"/>
  <c r="I1975" i="7" s="1"/>
  <c r="M1975" i="7" s="1"/>
  <c r="D1879" i="7"/>
  <c r="I1879" i="7" s="1"/>
  <c r="M1879" i="7" s="1"/>
  <c r="D1976" i="7"/>
  <c r="I1976" i="7" s="1"/>
  <c r="M1976" i="7" s="1"/>
  <c r="D1964" i="7"/>
  <c r="I1964" i="7" s="1"/>
  <c r="M1964" i="7" s="1"/>
  <c r="D1882" i="7"/>
  <c r="I1882" i="7" s="1"/>
  <c r="M1882" i="7" s="1"/>
  <c r="D1960" i="7"/>
  <c r="I1960" i="7" s="1"/>
  <c r="M1960" i="7" s="1"/>
  <c r="D1913" i="7"/>
  <c r="I1913" i="7" s="1"/>
  <c r="M1913" i="7" s="1"/>
  <c r="D1958" i="7"/>
  <c r="I1958" i="7" s="1"/>
  <c r="M1958" i="7" s="1"/>
  <c r="D1957" i="7"/>
  <c r="I1957" i="7" s="1"/>
  <c r="M1957" i="7" s="1"/>
  <c r="D1912" i="7"/>
  <c r="I1912" i="7" s="1"/>
  <c r="M1912" i="7" s="1"/>
  <c r="D1880" i="7"/>
  <c r="I1880" i="7" s="1"/>
  <c r="M1880" i="7" s="1"/>
  <c r="G2320" i="7"/>
  <c r="G2318" i="7"/>
  <c r="G2316" i="7"/>
  <c r="G2314" i="7"/>
  <c r="G2317" i="7"/>
  <c r="G2313" i="7"/>
  <c r="G2319" i="7"/>
  <c r="I2319" i="7" s="1"/>
  <c r="M2319" i="7" s="1"/>
  <c r="G2315" i="7"/>
  <c r="T66" i="4"/>
  <c r="E69" i="4"/>
  <c r="O69" i="4"/>
  <c r="I75" i="4"/>
  <c r="R12" i="4" s="1"/>
  <c r="M2711" i="7"/>
  <c r="D3054" i="7"/>
  <c r="I3053" i="7"/>
  <c r="I3041" i="7"/>
  <c r="D3042" i="7"/>
  <c r="CB81" i="4"/>
  <c r="CC81" i="4" s="1"/>
  <c r="D305" i="5" s="1"/>
  <c r="G3192" i="7" s="1"/>
  <c r="G3193" i="7" s="1"/>
  <c r="C84" i="4"/>
  <c r="G3306" i="7" s="1"/>
  <c r="I3337" i="7"/>
  <c r="M3337" i="7" s="1"/>
  <c r="D3338" i="7"/>
  <c r="I3338" i="7" s="1"/>
  <c r="M3338" i="7" s="1"/>
  <c r="Q87" i="4"/>
  <c r="G3724" i="7"/>
  <c r="I4054" i="7"/>
  <c r="M4054" i="7" s="1"/>
  <c r="D4055" i="7"/>
  <c r="I4055" i="7" s="1"/>
  <c r="M4055" i="7" s="1"/>
  <c r="D3991" i="7"/>
  <c r="I3990" i="7"/>
  <c r="G3955" i="7"/>
  <c r="AD96" i="4"/>
  <c r="AL96" i="4"/>
  <c r="BB96" i="4"/>
  <c r="BR96" i="4"/>
  <c r="CH96" i="4"/>
  <c r="D313" i="5"/>
  <c r="D331" i="5"/>
  <c r="H36" i="6"/>
  <c r="I36" i="6" s="1"/>
  <c r="BE4" i="9"/>
  <c r="G102" i="7"/>
  <c r="N105" i="7"/>
  <c r="N141" i="7"/>
  <c r="N194" i="7"/>
  <c r="O194" i="7" s="1"/>
  <c r="AB194" i="7" s="1"/>
  <c r="N224" i="7"/>
  <c r="O224" i="7" s="1"/>
  <c r="AB224" i="7" s="1"/>
  <c r="D299" i="7"/>
  <c r="I299" i="7" s="1"/>
  <c r="M299" i="7" s="1"/>
  <c r="D487" i="7"/>
  <c r="P610" i="7"/>
  <c r="D4003" i="7"/>
  <c r="I4002" i="7"/>
  <c r="I4030" i="7"/>
  <c r="D4031" i="7"/>
  <c r="I4031" i="7" s="1"/>
  <c r="M4031" i="7" s="1"/>
  <c r="AE96" i="4"/>
  <c r="BS96" i="4"/>
  <c r="D18" i="5"/>
  <c r="I151" i="7" s="1"/>
  <c r="M151" i="7" s="1"/>
  <c r="D275" i="5"/>
  <c r="H16" i="6"/>
  <c r="H18" i="6"/>
  <c r="H21" i="6"/>
  <c r="D97" i="7"/>
  <c r="I97" i="7" s="1"/>
  <c r="M97" i="7" s="1"/>
  <c r="D112" i="7"/>
  <c r="N123" i="7"/>
  <c r="N135" i="7"/>
  <c r="N186" i="7"/>
  <c r="O186" i="7" s="1"/>
  <c r="AB186" i="7" s="1"/>
  <c r="N237" i="7"/>
  <c r="N330" i="7"/>
  <c r="N403" i="7"/>
  <c r="N459" i="7"/>
  <c r="P516" i="7"/>
  <c r="P533" i="7"/>
  <c r="G577" i="7"/>
  <c r="D380" i="7"/>
  <c r="D378" i="7"/>
  <c r="D376" i="7"/>
  <c r="D374" i="7"/>
  <c r="D379" i="7"/>
  <c r="D375" i="7"/>
  <c r="M1014" i="7"/>
  <c r="D1196" i="7"/>
  <c r="I1196" i="7" s="1"/>
  <c r="M1196" i="7" s="1"/>
  <c r="D1194" i="7"/>
  <c r="I1194" i="7" s="1"/>
  <c r="M1194" i="7" s="1"/>
  <c r="D1163" i="7"/>
  <c r="I1163" i="7" s="1"/>
  <c r="M1163" i="7" s="1"/>
  <c r="D1195" i="7"/>
  <c r="I1195" i="7" s="1"/>
  <c r="M1195" i="7" s="1"/>
  <c r="N1408" i="7"/>
  <c r="D1405" i="7"/>
  <c r="I1405" i="7" s="1"/>
  <c r="M1405" i="7" s="1"/>
  <c r="D1402" i="7"/>
  <c r="N1398" i="7"/>
  <c r="N1392" i="7"/>
  <c r="N1386" i="7"/>
  <c r="N1381" i="7"/>
  <c r="N1374" i="7"/>
  <c r="D1371" i="7"/>
  <c r="I1371" i="7" s="1"/>
  <c r="M1371" i="7" s="1"/>
  <c r="N1367" i="7"/>
  <c r="N1411" i="7"/>
  <c r="D1410" i="7"/>
  <c r="I1410" i="7" s="1"/>
  <c r="M1410" i="7" s="1"/>
  <c r="N1394" i="7"/>
  <c r="D1393" i="7"/>
  <c r="I1393" i="7" s="1"/>
  <c r="M1393" i="7" s="1"/>
  <c r="N1387" i="7"/>
  <c r="D1386" i="7"/>
  <c r="D1370" i="7"/>
  <c r="I1370" i="7" s="1"/>
  <c r="M1370" i="7" s="1"/>
  <c r="N1368" i="7"/>
  <c r="D1367" i="7"/>
  <c r="N1364" i="7"/>
  <c r="N1358" i="7"/>
  <c r="N1324" i="7"/>
  <c r="N1316" i="7"/>
  <c r="D1314" i="7"/>
  <c r="I1314" i="7" s="1"/>
  <c r="M1314" i="7" s="1"/>
  <c r="D1307" i="7"/>
  <c r="I1307" i="7" s="1"/>
  <c r="M1307" i="7" s="1"/>
  <c r="N1303" i="7"/>
  <c r="N1296" i="7"/>
  <c r="D1294" i="7"/>
  <c r="I1294" i="7" s="1"/>
  <c r="M1294" i="7" s="1"/>
  <c r="N1289" i="7"/>
  <c r="D1286" i="7"/>
  <c r="I1286" i="7" s="1"/>
  <c r="M1286" i="7" s="1"/>
  <c r="N1282" i="7"/>
  <c r="D1279" i="7"/>
  <c r="I1279" i="7" s="1"/>
  <c r="M1279" i="7" s="1"/>
  <c r="N1274" i="7"/>
  <c r="D1271" i="7"/>
  <c r="I1271" i="7" s="1"/>
  <c r="M1271" i="7" s="1"/>
  <c r="N1266" i="7"/>
  <c r="D1264" i="7"/>
  <c r="I1264" i="7" s="1"/>
  <c r="M1264" i="7" s="1"/>
  <c r="N1260" i="7"/>
  <c r="D1258" i="7"/>
  <c r="I1258" i="7" s="1"/>
  <c r="M1258" i="7" s="1"/>
  <c r="N1253" i="7"/>
  <c r="D1250" i="7"/>
  <c r="I1250" i="7" s="1"/>
  <c r="M1250" i="7" s="1"/>
  <c r="D1236" i="7"/>
  <c r="I1236" i="7" s="1"/>
  <c r="M1236" i="7" s="1"/>
  <c r="D1229" i="7"/>
  <c r="I1229" i="7" s="1"/>
  <c r="M1229" i="7" s="1"/>
  <c r="N1225" i="7"/>
  <c r="D1407" i="7"/>
  <c r="I1407" i="7" s="1"/>
  <c r="M1407" i="7" s="1"/>
  <c r="N1404" i="7"/>
  <c r="N1391" i="7"/>
  <c r="D1390" i="7"/>
  <c r="N1380" i="7"/>
  <c r="N1376" i="7"/>
  <c r="D1375" i="7"/>
  <c r="N1372" i="7"/>
  <c r="D1362" i="7"/>
  <c r="I1362" i="7" s="1"/>
  <c r="M1362" i="7" s="1"/>
  <c r="D1337" i="7"/>
  <c r="N1332" i="7"/>
  <c r="D1330" i="7"/>
  <c r="I1330" i="7" s="1"/>
  <c r="M1330" i="7" s="1"/>
  <c r="N1325" i="7"/>
  <c r="N1317" i="7"/>
  <c r="D1315" i="7"/>
  <c r="N1310" i="7"/>
  <c r="D1308" i="7"/>
  <c r="I1308" i="7" s="1"/>
  <c r="M1308" i="7" s="1"/>
  <c r="N1297" i="7"/>
  <c r="D1295" i="7"/>
  <c r="I1295" i="7" s="1"/>
  <c r="M1295" i="7" s="1"/>
  <c r="N1290" i="7"/>
  <c r="D1287" i="7"/>
  <c r="I1287" i="7" s="1"/>
  <c r="M1287" i="7" s="1"/>
  <c r="N1283" i="7"/>
  <c r="D1280" i="7"/>
  <c r="I1280" i="7" s="1"/>
  <c r="M1280" i="7" s="1"/>
  <c r="N1275" i="7"/>
  <c r="D1272" i="7"/>
  <c r="I1272" i="7" s="1"/>
  <c r="M1272" i="7" s="1"/>
  <c r="N1267" i="7"/>
  <c r="D1265" i="7"/>
  <c r="N1261" i="7"/>
  <c r="D1259" i="7"/>
  <c r="N1254" i="7"/>
  <c r="N1246" i="7"/>
  <c r="D1244" i="7"/>
  <c r="I1244" i="7" s="1"/>
  <c r="M1244" i="7" s="1"/>
  <c r="N1239" i="7"/>
  <c r="D1237" i="7"/>
  <c r="I1237" i="7" s="1"/>
  <c r="M1237" i="7" s="1"/>
  <c r="N1232" i="7"/>
  <c r="D1230" i="7"/>
  <c r="I1230" i="7" s="1"/>
  <c r="M1230" i="7" s="1"/>
  <c r="D1223" i="7"/>
  <c r="I1223" i="7" s="1"/>
  <c r="M1223" i="7" s="1"/>
  <c r="N1220" i="7"/>
  <c r="D18" i="6" s="1"/>
  <c r="N1412" i="7"/>
  <c r="D1411" i="7"/>
  <c r="N1399" i="7"/>
  <c r="D1398" i="7"/>
  <c r="N1395" i="7"/>
  <c r="D1394" i="7"/>
  <c r="N1388" i="7"/>
  <c r="N1384" i="7"/>
  <c r="N1365" i="7"/>
  <c r="D1363" i="7"/>
  <c r="I1363" i="7" s="1"/>
  <c r="M1363" i="7" s="1"/>
  <c r="N1359" i="7"/>
  <c r="N1346" i="7"/>
  <c r="N1345" i="7"/>
  <c r="N1344" i="7"/>
  <c r="N1343" i="7"/>
  <c r="N1342" i="7"/>
  <c r="N1341" i="7"/>
  <c r="N1340" i="7"/>
  <c r="N1339" i="7"/>
  <c r="N1338" i="7"/>
  <c r="N1333" i="7"/>
  <c r="D1331" i="7"/>
  <c r="I1331" i="7" s="1"/>
  <c r="M1331" i="7" s="1"/>
  <c r="N1326" i="7"/>
  <c r="N1318" i="7"/>
  <c r="N1311" i="7"/>
  <c r="D1309" i="7"/>
  <c r="I1309" i="7" s="1"/>
  <c r="M1309" i="7" s="1"/>
  <c r="N1304" i="7"/>
  <c r="D1296" i="7"/>
  <c r="N1291" i="7"/>
  <c r="D1288" i="7"/>
  <c r="I1288" i="7" s="1"/>
  <c r="M1288" i="7" s="1"/>
  <c r="D1281" i="7"/>
  <c r="I1281" i="7" s="1"/>
  <c r="M1281" i="7" s="1"/>
  <c r="N1276" i="7"/>
  <c r="D1273" i="7"/>
  <c r="I1273" i="7" s="1"/>
  <c r="M1273" i="7" s="1"/>
  <c r="N1268" i="7"/>
  <c r="N1255" i="7"/>
  <c r="N1247" i="7"/>
  <c r="D1245" i="7"/>
  <c r="I1245" i="7" s="1"/>
  <c r="M1245" i="7" s="1"/>
  <c r="N1240" i="7"/>
  <c r="D1238" i="7"/>
  <c r="I1238" i="7" s="1"/>
  <c r="M1238" i="7" s="1"/>
  <c r="N1233" i="7"/>
  <c r="D1231" i="7"/>
  <c r="I1231" i="7" s="1"/>
  <c r="M1231" i="7" s="1"/>
  <c r="N1226" i="7"/>
  <c r="D1224" i="7"/>
  <c r="I1224" i="7" s="1"/>
  <c r="M1224" i="7" s="1"/>
  <c r="N1407" i="7"/>
  <c r="D1406" i="7"/>
  <c r="I1406" i="7" s="1"/>
  <c r="M1406" i="7" s="1"/>
  <c r="D1403" i="7"/>
  <c r="N1401" i="7"/>
  <c r="O1401" i="7" s="1"/>
  <c r="D1400" i="7"/>
  <c r="N1390" i="7"/>
  <c r="N1383" i="7"/>
  <c r="D1382" i="7"/>
  <c r="N1379" i="7"/>
  <c r="N1375" i="7"/>
  <c r="D1374" i="7"/>
  <c r="I1374" i="7" s="1"/>
  <c r="M1374" i="7" s="1"/>
  <c r="N1371" i="7"/>
  <c r="N1363" i="7"/>
  <c r="D1361" i="7"/>
  <c r="N1357" i="7"/>
  <c r="N1337" i="7"/>
  <c r="N1331" i="7"/>
  <c r="N1323" i="7"/>
  <c r="N1315" i="7"/>
  <c r="D1313" i="7"/>
  <c r="I1313" i="7" s="1"/>
  <c r="M1313" i="7" s="1"/>
  <c r="N1309" i="7"/>
  <c r="D1306" i="7"/>
  <c r="I1306" i="7" s="1"/>
  <c r="M1306" i="7" s="1"/>
  <c r="N1302" i="7"/>
  <c r="D1293" i="7"/>
  <c r="I1293" i="7" s="1"/>
  <c r="M1293" i="7" s="1"/>
  <c r="N1288" i="7"/>
  <c r="D1285" i="7"/>
  <c r="I1285" i="7" s="1"/>
  <c r="M1285" i="7" s="1"/>
  <c r="N1281" i="7"/>
  <c r="D1278" i="7"/>
  <c r="I1278" i="7" s="1"/>
  <c r="M1278" i="7" s="1"/>
  <c r="N1273" i="7"/>
  <c r="D1270" i="7"/>
  <c r="I1270" i="7" s="1"/>
  <c r="M1270" i="7" s="1"/>
  <c r="N1265" i="7"/>
  <c r="D1263" i="7"/>
  <c r="I1263" i="7" s="1"/>
  <c r="M1263" i="7" s="1"/>
  <c r="N1259" i="7"/>
  <c r="D1257" i="7"/>
  <c r="I1257" i="7" s="1"/>
  <c r="M1257" i="7" s="1"/>
  <c r="N1252" i="7"/>
  <c r="D1249" i="7"/>
  <c r="I1249" i="7" s="1"/>
  <c r="M1249" i="7" s="1"/>
  <c r="N1245" i="7"/>
  <c r="D1243" i="7"/>
  <c r="N1238" i="7"/>
  <c r="D1235" i="7"/>
  <c r="I1235" i="7" s="1"/>
  <c r="M1235" i="7" s="1"/>
  <c r="N1231" i="7"/>
  <c r="D1228" i="7"/>
  <c r="I1228" i="7" s="1"/>
  <c r="M1228" i="7" s="1"/>
  <c r="N1224" i="7"/>
  <c r="D1222" i="7"/>
  <c r="N1410" i="7"/>
  <c r="D1399" i="7"/>
  <c r="I1399" i="7" s="1"/>
  <c r="M1399" i="7" s="1"/>
  <c r="N1393" i="7"/>
  <c r="N1382" i="7"/>
  <c r="D1369" i="7"/>
  <c r="N1361" i="7"/>
  <c r="N1354" i="7"/>
  <c r="N1352" i="7"/>
  <c r="N1350" i="7"/>
  <c r="N1348" i="7"/>
  <c r="N1321" i="7"/>
  <c r="N1314" i="7"/>
  <c r="N1307" i="7"/>
  <c r="N1300" i="7"/>
  <c r="D1298" i="7"/>
  <c r="D1291" i="7"/>
  <c r="I1291" i="7" s="1"/>
  <c r="M1291" i="7" s="1"/>
  <c r="N1286" i="7"/>
  <c r="D1284" i="7"/>
  <c r="N1279" i="7"/>
  <c r="D1268" i="7"/>
  <c r="I1268" i="7" s="1"/>
  <c r="M1268" i="7" s="1"/>
  <c r="N1258" i="7"/>
  <c r="D1247" i="7"/>
  <c r="I1247" i="7" s="1"/>
  <c r="M1247" i="7" s="1"/>
  <c r="D1240" i="7"/>
  <c r="I1240" i="7" s="1"/>
  <c r="M1240" i="7" s="1"/>
  <c r="D1233" i="7"/>
  <c r="I1233" i="7" s="1"/>
  <c r="M1233" i="7" s="1"/>
  <c r="D1221" i="7"/>
  <c r="D1366" i="7"/>
  <c r="I1366" i="7" s="1"/>
  <c r="M1366" i="7" s="1"/>
  <c r="N1356" i="7"/>
  <c r="N1330" i="7"/>
  <c r="D1312" i="7"/>
  <c r="I1312" i="7" s="1"/>
  <c r="M1312" i="7" s="1"/>
  <c r="D1305" i="7"/>
  <c r="I1305" i="7" s="1"/>
  <c r="M1305" i="7" s="1"/>
  <c r="N1295" i="7"/>
  <c r="D1277" i="7"/>
  <c r="I1277" i="7" s="1"/>
  <c r="M1277" i="7" s="1"/>
  <c r="N1272" i="7"/>
  <c r="D1256" i="7"/>
  <c r="I1256" i="7" s="1"/>
  <c r="M1256" i="7" s="1"/>
  <c r="N1251" i="7"/>
  <c r="N1244" i="7"/>
  <c r="N1237" i="7"/>
  <c r="N1230" i="7"/>
  <c r="N1223" i="7"/>
  <c r="N1409" i="7"/>
  <c r="D1404" i="7"/>
  <c r="N1373" i="7"/>
  <c r="D1368" i="7"/>
  <c r="I1368" i="7" s="1"/>
  <c r="M1368" i="7" s="1"/>
  <c r="N1360" i="7"/>
  <c r="D1358" i="7"/>
  <c r="I1358" i="7" s="1"/>
  <c r="M1358" i="7" s="1"/>
  <c r="N1334" i="7"/>
  <c r="D1332" i="7"/>
  <c r="N1327" i="7"/>
  <c r="N1292" i="7"/>
  <c r="D1274" i="7"/>
  <c r="I1274" i="7" s="1"/>
  <c r="M1274" i="7" s="1"/>
  <c r="N1269" i="7"/>
  <c r="N1262" i="7"/>
  <c r="D1260" i="7"/>
  <c r="I1260" i="7" s="1"/>
  <c r="M1260" i="7" s="1"/>
  <c r="D1253" i="7"/>
  <c r="I1253" i="7" s="1"/>
  <c r="M1253" i="7" s="1"/>
  <c r="N1248" i="7"/>
  <c r="D1246" i="7"/>
  <c r="N1241" i="7"/>
  <c r="D1239" i="7"/>
  <c r="N1234" i="7"/>
  <c r="D1232" i="7"/>
  <c r="N1227" i="7"/>
  <c r="D1225" i="7"/>
  <c r="I1225" i="7" s="1"/>
  <c r="M1225" i="7" s="1"/>
  <c r="D1220" i="7"/>
  <c r="N1396" i="7"/>
  <c r="N1385" i="7"/>
  <c r="N1366" i="7"/>
  <c r="D1359" i="7"/>
  <c r="N1335" i="7"/>
  <c r="O1335" i="7" s="1"/>
  <c r="N1328" i="7"/>
  <c r="N1293" i="7"/>
  <c r="D1275" i="7"/>
  <c r="I1275" i="7" s="1"/>
  <c r="M1275" i="7" s="1"/>
  <c r="N1270" i="7"/>
  <c r="N1263" i="7"/>
  <c r="D1261" i="7"/>
  <c r="I1261" i="7" s="1"/>
  <c r="M1261" i="7" s="1"/>
  <c r="D1254" i="7"/>
  <c r="I1254" i="7" s="1"/>
  <c r="M1254" i="7" s="1"/>
  <c r="N1249" i="7"/>
  <c r="N1235" i="7"/>
  <c r="N1228" i="7"/>
  <c r="D1226" i="7"/>
  <c r="N1362" i="7"/>
  <c r="N1322" i="7"/>
  <c r="N1308" i="7"/>
  <c r="N1280" i="7"/>
  <c r="D1248" i="7"/>
  <c r="I1248" i="7" s="1"/>
  <c r="M1248" i="7" s="1"/>
  <c r="D1234" i="7"/>
  <c r="I1234" i="7" s="1"/>
  <c r="M1234" i="7" s="1"/>
  <c r="N1405" i="7"/>
  <c r="N1377" i="7"/>
  <c r="D1372" i="7"/>
  <c r="I1372" i="7" s="1"/>
  <c r="M1372" i="7" s="1"/>
  <c r="N1312" i="7"/>
  <c r="N1298" i="7"/>
  <c r="D1289" i="7"/>
  <c r="I1289" i="7" s="1"/>
  <c r="M1289" i="7" s="1"/>
  <c r="N1284" i="7"/>
  <c r="D1266" i="7"/>
  <c r="I1266" i="7" s="1"/>
  <c r="M1266" i="7" s="1"/>
  <c r="N1256" i="7"/>
  <c r="N1242" i="7"/>
  <c r="I1242" i="7" s="1"/>
  <c r="D1365" i="7"/>
  <c r="N1320" i="7"/>
  <c r="N1306" i="7"/>
  <c r="D1297" i="7"/>
  <c r="I1297" i="7" s="1"/>
  <c r="M1297" i="7" s="1"/>
  <c r="D1283" i="7"/>
  <c r="I1283" i="7" s="1"/>
  <c r="M1283" i="7" s="1"/>
  <c r="N1278" i="7"/>
  <c r="N1406" i="7"/>
  <c r="N1400" i="7"/>
  <c r="N1378" i="7"/>
  <c r="D1373" i="7"/>
  <c r="I1373" i="7" s="1"/>
  <c r="M1373" i="7" s="1"/>
  <c r="N1353" i="7"/>
  <c r="N1349" i="7"/>
  <c r="N1336" i="7"/>
  <c r="N1294" i="7"/>
  <c r="D1276" i="7"/>
  <c r="I1276" i="7" s="1"/>
  <c r="M1276" i="7" s="1"/>
  <c r="N1271" i="7"/>
  <c r="D1262" i="7"/>
  <c r="N1243" i="7"/>
  <c r="N1229" i="7"/>
  <c r="N1397" i="7"/>
  <c r="N1301" i="7"/>
  <c r="D1292" i="7"/>
  <c r="I1292" i="7" s="1"/>
  <c r="M1292" i="7" s="1"/>
  <c r="D1227" i="7"/>
  <c r="I1227" i="7" s="1"/>
  <c r="M1227" i="7" s="1"/>
  <c r="D1408" i="7"/>
  <c r="I1408" i="7" s="1"/>
  <c r="M1408" i="7" s="1"/>
  <c r="D1364" i="7"/>
  <c r="I1364" i="7" s="1"/>
  <c r="M1364" i="7" s="1"/>
  <c r="N1319" i="7"/>
  <c r="D1310" i="7"/>
  <c r="D1384" i="7"/>
  <c r="N1299" i="7"/>
  <c r="D1290" i="7"/>
  <c r="I1290" i="7" s="1"/>
  <c r="M1290" i="7" s="1"/>
  <c r="D1392" i="7"/>
  <c r="N1370" i="7"/>
  <c r="N1351" i="7"/>
  <c r="N1250" i="7"/>
  <c r="N1222" i="7"/>
  <c r="N1403" i="7"/>
  <c r="O1403" i="7" s="1"/>
  <c r="N1287" i="7"/>
  <c r="D1269" i="7"/>
  <c r="I1269" i="7" s="1"/>
  <c r="M1269" i="7" s="1"/>
  <c r="D1241" i="7"/>
  <c r="I1241" i="7" s="1"/>
  <c r="M1241" i="7" s="1"/>
  <c r="N1402" i="7"/>
  <c r="O1402" i="7" s="1"/>
  <c r="D1391" i="7"/>
  <c r="I1391" i="7" s="1"/>
  <c r="M1391" i="7" s="1"/>
  <c r="N1369" i="7"/>
  <c r="N1305" i="7"/>
  <c r="N1277" i="7"/>
  <c r="N1221" i="7"/>
  <c r="D1412" i="7"/>
  <c r="I1412" i="7" s="1"/>
  <c r="M1412" i="7" s="1"/>
  <c r="N1389" i="7"/>
  <c r="N1313" i="7"/>
  <c r="D1304" i="7"/>
  <c r="N1285" i="7"/>
  <c r="D1267" i="7"/>
  <c r="I1267" i="7" s="1"/>
  <c r="M1267" i="7" s="1"/>
  <c r="N1257" i="7"/>
  <c r="D1409" i="7"/>
  <c r="N1355" i="7"/>
  <c r="N1347" i="7"/>
  <c r="N1329" i="7"/>
  <c r="D1311" i="7"/>
  <c r="I1311" i="7" s="1"/>
  <c r="M1311" i="7" s="1"/>
  <c r="N1264" i="7"/>
  <c r="D1255" i="7"/>
  <c r="I1255" i="7" s="1"/>
  <c r="M1255" i="7" s="1"/>
  <c r="N1236" i="7"/>
  <c r="D1355" i="7"/>
  <c r="D1354" i="7"/>
  <c r="D1353" i="7"/>
  <c r="D1352" i="7"/>
  <c r="D1351" i="7"/>
  <c r="D1350" i="7"/>
  <c r="D1349" i="7"/>
  <c r="D1348" i="7"/>
  <c r="G1548" i="7"/>
  <c r="I1548" i="7" s="1"/>
  <c r="M1548" i="7" s="1"/>
  <c r="G1547" i="7"/>
  <c r="G1546" i="7"/>
  <c r="G1545" i="7"/>
  <c r="G1544" i="7"/>
  <c r="G1543" i="7"/>
  <c r="I1543" i="7" s="1"/>
  <c r="M1543" i="7" s="1"/>
  <c r="G1542" i="7"/>
  <c r="I1542" i="7" s="1"/>
  <c r="M1542" i="7" s="1"/>
  <c r="G1541" i="7"/>
  <c r="D1782" i="7"/>
  <c r="I1782" i="7" s="1"/>
  <c r="M1782" i="7" s="1"/>
  <c r="D1764" i="7"/>
  <c r="I1764" i="7" s="1"/>
  <c r="M1764" i="7" s="1"/>
  <c r="D1719" i="7"/>
  <c r="I1719" i="7" s="1"/>
  <c r="M1719" i="7" s="1"/>
  <c r="D1783" i="7"/>
  <c r="I1783" i="7" s="1"/>
  <c r="M1783" i="7" s="1"/>
  <c r="D1771" i="7"/>
  <c r="I1771" i="7" s="1"/>
  <c r="M1771" i="7" s="1"/>
  <c r="D1765" i="7"/>
  <c r="I1765" i="7" s="1"/>
  <c r="M1765" i="7" s="1"/>
  <c r="D1720" i="7"/>
  <c r="I1720" i="7" s="1"/>
  <c r="M1720" i="7" s="1"/>
  <c r="D1766" i="7"/>
  <c r="I1766" i="7" s="1"/>
  <c r="M1766" i="7" s="1"/>
  <c r="D1685" i="7"/>
  <c r="I1685" i="7" s="1"/>
  <c r="M1685" i="7" s="1"/>
  <c r="D1781" i="7"/>
  <c r="I1781" i="7" s="1"/>
  <c r="M1781" i="7" s="1"/>
  <c r="D1763" i="7"/>
  <c r="I1763" i="7" s="1"/>
  <c r="M1763" i="7" s="1"/>
  <c r="D1688" i="7"/>
  <c r="I1688" i="7" s="1"/>
  <c r="M1688" i="7" s="1"/>
  <c r="D1686" i="7"/>
  <c r="I1686" i="7" s="1"/>
  <c r="M1686" i="7" s="1"/>
  <c r="D1769" i="7"/>
  <c r="I1769" i="7" s="1"/>
  <c r="M1769" i="7" s="1"/>
  <c r="D1767" i="7"/>
  <c r="I1767" i="7" s="1"/>
  <c r="M1767" i="7" s="1"/>
  <c r="D1722" i="7"/>
  <c r="I1722" i="7" s="1"/>
  <c r="M1722" i="7" s="1"/>
  <c r="D1687" i="7"/>
  <c r="I1687" i="7" s="1"/>
  <c r="M1687" i="7" s="1"/>
  <c r="D1762" i="7"/>
  <c r="I1762" i="7" s="1"/>
  <c r="M1762" i="7" s="1"/>
  <c r="D1689" i="7"/>
  <c r="I1689" i="7" s="1"/>
  <c r="M1689" i="7" s="1"/>
  <c r="D1743" i="7"/>
  <c r="I1743" i="7" s="1"/>
  <c r="M1743" i="7" s="1"/>
  <c r="D1925" i="7"/>
  <c r="D1918" i="7"/>
  <c r="D1919" i="7"/>
  <c r="D1924" i="7"/>
  <c r="D1921" i="7"/>
  <c r="D1923" i="7"/>
  <c r="D1922" i="7"/>
  <c r="D1920" i="7"/>
  <c r="D1831" i="7"/>
  <c r="I1831" i="7" s="1"/>
  <c r="M1831" i="7" s="1"/>
  <c r="D1830" i="7"/>
  <c r="I1830" i="7" s="1"/>
  <c r="M1830" i="7" s="1"/>
  <c r="P2182" i="7"/>
  <c r="P2172" i="7"/>
  <c r="P2166" i="7"/>
  <c r="P2161" i="7"/>
  <c r="P2155" i="7"/>
  <c r="P2148" i="7"/>
  <c r="P2141" i="7"/>
  <c r="P2136" i="7"/>
  <c r="P2130" i="7"/>
  <c r="P2096" i="7"/>
  <c r="P2088" i="7"/>
  <c r="P2075" i="7"/>
  <c r="P2068" i="7"/>
  <c r="P2061" i="7"/>
  <c r="P2054" i="7"/>
  <c r="Q2054" i="7" s="1"/>
  <c r="P2046" i="7"/>
  <c r="P2038" i="7"/>
  <c r="P2032" i="7"/>
  <c r="P2025" i="7"/>
  <c r="P1997" i="7"/>
  <c r="P2176" i="7"/>
  <c r="P2173" i="7"/>
  <c r="Q2173" i="7" s="1"/>
  <c r="P2167" i="7"/>
  <c r="P2149" i="7"/>
  <c r="P2142" i="7"/>
  <c r="P2104" i="7"/>
  <c r="P2097" i="7"/>
  <c r="P2089" i="7"/>
  <c r="P2082" i="7"/>
  <c r="P2069" i="7"/>
  <c r="P2062" i="7"/>
  <c r="P2055" i="7"/>
  <c r="P2047" i="7"/>
  <c r="P2039" i="7"/>
  <c r="P2033" i="7"/>
  <c r="P2026" i="7"/>
  <c r="P2018" i="7"/>
  <c r="P2011" i="7"/>
  <c r="P2004" i="7"/>
  <c r="P1992" i="7"/>
  <c r="F22" i="6" s="1"/>
  <c r="P2183" i="7"/>
  <c r="P2177" i="7"/>
  <c r="P2168" i="7"/>
  <c r="P2162" i="7"/>
  <c r="P2156" i="7"/>
  <c r="P2150" i="7"/>
  <c r="P2143" i="7"/>
  <c r="P2137" i="7"/>
  <c r="P2131" i="7"/>
  <c r="P2118" i="7"/>
  <c r="P2117" i="7"/>
  <c r="P2116" i="7"/>
  <c r="P2115" i="7"/>
  <c r="P2114" i="7"/>
  <c r="P2113" i="7"/>
  <c r="P2112" i="7"/>
  <c r="P2111" i="7"/>
  <c r="P2110" i="7"/>
  <c r="P2105" i="7"/>
  <c r="P2098" i="7"/>
  <c r="P2090" i="7"/>
  <c r="P2083" i="7"/>
  <c r="P2076" i="7"/>
  <c r="P2063" i="7"/>
  <c r="P2048" i="7"/>
  <c r="P2040" i="7"/>
  <c r="P2027" i="7"/>
  <c r="P2019" i="7"/>
  <c r="P2012" i="7"/>
  <c r="P2005" i="7"/>
  <c r="P1998" i="7"/>
  <c r="P2181" i="7"/>
  <c r="P2175" i="7"/>
  <c r="Q2175" i="7" s="1"/>
  <c r="P2160" i="7"/>
  <c r="P2154" i="7"/>
  <c r="P2147" i="7"/>
  <c r="P2135" i="7"/>
  <c r="P2129" i="7"/>
  <c r="P2109" i="7"/>
  <c r="P2103" i="7"/>
  <c r="P2095" i="7"/>
  <c r="P2087" i="7"/>
  <c r="P2081" i="7"/>
  <c r="P2074" i="7"/>
  <c r="P2060" i="7"/>
  <c r="P2053" i="7"/>
  <c r="P2045" i="7"/>
  <c r="P2037" i="7"/>
  <c r="P2031" i="7"/>
  <c r="P2024" i="7"/>
  <c r="P2017" i="7"/>
  <c r="P2010" i="7"/>
  <c r="P2003" i="7"/>
  <c r="P1996" i="7"/>
  <c r="P2164" i="7"/>
  <c r="P2133" i="7"/>
  <c r="P2126" i="7"/>
  <c r="P2124" i="7"/>
  <c r="P2122" i="7"/>
  <c r="P2120" i="7"/>
  <c r="P2093" i="7"/>
  <c r="P2086" i="7"/>
  <c r="P2079" i="7"/>
  <c r="P2072" i="7"/>
  <c r="P2058" i="7"/>
  <c r="P2051" i="7"/>
  <c r="P2030" i="7"/>
  <c r="P2171" i="7"/>
  <c r="P2159" i="7"/>
  <c r="P2140" i="7"/>
  <c r="P2128" i="7"/>
  <c r="P2102" i="7"/>
  <c r="P2067" i="7"/>
  <c r="P2044" i="7"/>
  <c r="P2023" i="7"/>
  <c r="P2016" i="7"/>
  <c r="P2009" i="7"/>
  <c r="P2002" i="7"/>
  <c r="P1995" i="7"/>
  <c r="P2178" i="7"/>
  <c r="P2163" i="7"/>
  <c r="P2151" i="7"/>
  <c r="P2144" i="7"/>
  <c r="P2132" i="7"/>
  <c r="P2106" i="7"/>
  <c r="P2099" i="7"/>
  <c r="P2064" i="7"/>
  <c r="P2041" i="7"/>
  <c r="P2034" i="7"/>
  <c r="P2020" i="7"/>
  <c r="P2013" i="7"/>
  <c r="P2006" i="7"/>
  <c r="P1999" i="7"/>
  <c r="P2179" i="7"/>
  <c r="P2174" i="7"/>
  <c r="Q2174" i="7" s="1"/>
  <c r="P2152" i="7"/>
  <c r="P2145" i="7"/>
  <c r="P2107" i="7"/>
  <c r="Q2107" i="7" s="1"/>
  <c r="P2100" i="7"/>
  <c r="P2065" i="7"/>
  <c r="P2042" i="7"/>
  <c r="P2035" i="7"/>
  <c r="P2021" i="7"/>
  <c r="P2007" i="7"/>
  <c r="P2000" i="7"/>
  <c r="P2184" i="7"/>
  <c r="P2169" i="7"/>
  <c r="P2091" i="7"/>
  <c r="P2077" i="7"/>
  <c r="P2036" i="7"/>
  <c r="P2022" i="7"/>
  <c r="P2008" i="7"/>
  <c r="P1994" i="7"/>
  <c r="P2085" i="7"/>
  <c r="P2071" i="7"/>
  <c r="P2057" i="7"/>
  <c r="P2158" i="7"/>
  <c r="P2153" i="7"/>
  <c r="P2139" i="7"/>
  <c r="P2125" i="7"/>
  <c r="P2121" i="7"/>
  <c r="P2108" i="7"/>
  <c r="P2066" i="7"/>
  <c r="P2049" i="7"/>
  <c r="P1993" i="7"/>
  <c r="P2165" i="7"/>
  <c r="P2073" i="7"/>
  <c r="P2059" i="7"/>
  <c r="P2050" i="7"/>
  <c r="P2070" i="7"/>
  <c r="P2078" i="7"/>
  <c r="P2028" i="7"/>
  <c r="P2180" i="7"/>
  <c r="P2170" i="7"/>
  <c r="P2123" i="7"/>
  <c r="P2094" i="7"/>
  <c r="P2043" i="7"/>
  <c r="P2015" i="7"/>
  <c r="P2157" i="7"/>
  <c r="P2138" i="7"/>
  <c r="P2084" i="7"/>
  <c r="P2056" i="7"/>
  <c r="P2052" i="7"/>
  <c r="P2092" i="7"/>
  <c r="P2014" i="7"/>
  <c r="P2146" i="7"/>
  <c r="P2127" i="7"/>
  <c r="P2119" i="7"/>
  <c r="P2101" i="7"/>
  <c r="P2029" i="7"/>
  <c r="P2134" i="7"/>
  <c r="P2080" i="7"/>
  <c r="P2001" i="7"/>
  <c r="D2322" i="7"/>
  <c r="I2322" i="7" s="1"/>
  <c r="M2322" i="7" s="1"/>
  <c r="D2267" i="7"/>
  <c r="I2267" i="7" s="1"/>
  <c r="M2267" i="7" s="1"/>
  <c r="D2348" i="7"/>
  <c r="I2348" i="7" s="1"/>
  <c r="D2341" i="7"/>
  <c r="I2341" i="7" s="1"/>
  <c r="M2341" i="7" s="1"/>
  <c r="D2268" i="7"/>
  <c r="I2268" i="7" s="1"/>
  <c r="M2268" i="7" s="1"/>
  <c r="D2360" i="7"/>
  <c r="I2360" i="7" s="1"/>
  <c r="M2360" i="7" s="1"/>
  <c r="D2342" i="7"/>
  <c r="I2342" i="7" s="1"/>
  <c r="M2342" i="7" s="1"/>
  <c r="D2361" i="7"/>
  <c r="I2361" i="7" s="1"/>
  <c r="M2361" i="7" s="1"/>
  <c r="D2362" i="7"/>
  <c r="I2362" i="7" s="1"/>
  <c r="M2362" i="7" s="1"/>
  <c r="D2266" i="7"/>
  <c r="I2266" i="7" s="1"/>
  <c r="M2266" i="7" s="1"/>
  <c r="D2346" i="7"/>
  <c r="I2346" i="7" s="1"/>
  <c r="M2346" i="7" s="1"/>
  <c r="D2301" i="7"/>
  <c r="I2301" i="7" s="1"/>
  <c r="M2301" i="7" s="1"/>
  <c r="D2343" i="7"/>
  <c r="I2343" i="7" s="1"/>
  <c r="M2343" i="7" s="1"/>
  <c r="D2298" i="7"/>
  <c r="I2298" i="7" s="1"/>
  <c r="M2298" i="7" s="1"/>
  <c r="D2350" i="7"/>
  <c r="I2350" i="7" s="1"/>
  <c r="M2350" i="7" s="1"/>
  <c r="D2264" i="7"/>
  <c r="I2264" i="7" s="1"/>
  <c r="M2264" i="7" s="1"/>
  <c r="D2345" i="7"/>
  <c r="I2345" i="7" s="1"/>
  <c r="M2345" i="7" s="1"/>
  <c r="D2265" i="7"/>
  <c r="I2265" i="7" s="1"/>
  <c r="M2265" i="7" s="1"/>
  <c r="D2344" i="7"/>
  <c r="I2344" i="7" s="1"/>
  <c r="M2344" i="7" s="1"/>
  <c r="D2299" i="7"/>
  <c r="I2299" i="7" s="1"/>
  <c r="M2299" i="7" s="1"/>
  <c r="M2474" i="7"/>
  <c r="Q2475" i="7"/>
  <c r="O2475" i="7"/>
  <c r="D2610" i="7"/>
  <c r="I2610" i="7" s="1"/>
  <c r="M2610" i="7" s="1"/>
  <c r="I2609" i="7"/>
  <c r="M2609" i="7" s="1"/>
  <c r="D3018" i="7"/>
  <c r="I3339" i="7"/>
  <c r="M3339" i="7" s="1"/>
  <c r="D3340" i="7"/>
  <c r="I3340" i="7" s="1"/>
  <c r="M3340" i="7" s="1"/>
  <c r="G3280" i="7"/>
  <c r="C332" i="11" s="1"/>
  <c r="D243" i="7"/>
  <c r="D242" i="7"/>
  <c r="D4242" i="7"/>
  <c r="I4242" i="7" s="1"/>
  <c r="M4242" i="7" s="1"/>
  <c r="P4242" i="7"/>
  <c r="F35" i="6" s="1"/>
  <c r="G35" i="6" s="1"/>
  <c r="N4242" i="7"/>
  <c r="D35" i="6" s="1"/>
  <c r="E35" i="6" s="1"/>
  <c r="G381" i="7"/>
  <c r="G380" i="7"/>
  <c r="G379" i="7"/>
  <c r="G378" i="7"/>
  <c r="G377" i="7"/>
  <c r="G376" i="7"/>
  <c r="I376" i="7" s="1"/>
  <c r="M376" i="7" s="1"/>
  <c r="G375" i="7"/>
  <c r="I375" i="7" s="1"/>
  <c r="M375" i="7" s="1"/>
  <c r="G374" i="7"/>
  <c r="D395" i="7"/>
  <c r="I395" i="7" s="1"/>
  <c r="M395" i="7" s="1"/>
  <c r="AE36" i="4"/>
  <c r="DP4" i="9" s="1"/>
  <c r="P828" i="7"/>
  <c r="P823" i="7"/>
  <c r="Q823" i="7" s="1"/>
  <c r="P812" i="7"/>
  <c r="P798" i="7"/>
  <c r="P790" i="7"/>
  <c r="P785" i="7"/>
  <c r="P779" i="7"/>
  <c r="P777" i="7"/>
  <c r="P768" i="7"/>
  <c r="P751" i="7"/>
  <c r="P748" i="7"/>
  <c r="P747" i="7"/>
  <c r="P742" i="7"/>
  <c r="P741" i="7"/>
  <c r="P738" i="7"/>
  <c r="P737" i="7"/>
  <c r="P726" i="7"/>
  <c r="P709" i="7"/>
  <c r="P702" i="7"/>
  <c r="P694" i="7"/>
  <c r="P686" i="7"/>
  <c r="P680" i="7"/>
  <c r="P673" i="7"/>
  <c r="P666" i="7"/>
  <c r="P659" i="7"/>
  <c r="P651" i="7"/>
  <c r="P641" i="7"/>
  <c r="F15" i="6" s="1"/>
  <c r="P829" i="7"/>
  <c r="P819" i="7"/>
  <c r="P805" i="7"/>
  <c r="P799" i="7"/>
  <c r="P791" i="7"/>
  <c r="P778" i="7"/>
  <c r="P755" i="7"/>
  <c r="P752" i="7"/>
  <c r="P746" i="7"/>
  <c r="P744" i="7"/>
  <c r="P743" i="7"/>
  <c r="P736" i="7"/>
  <c r="P727" i="7"/>
  <c r="P725" i="7"/>
  <c r="P717" i="7"/>
  <c r="P710" i="7"/>
  <c r="P703" i="7"/>
  <c r="Q703" i="7" s="1"/>
  <c r="P695" i="7"/>
  <c r="P687" i="7"/>
  <c r="P681" i="7"/>
  <c r="P674" i="7"/>
  <c r="P652" i="7"/>
  <c r="P820" i="7"/>
  <c r="P813" i="7"/>
  <c r="P806" i="7"/>
  <c r="P800" i="7"/>
  <c r="P792" i="7"/>
  <c r="P786" i="7"/>
  <c r="P780" i="7"/>
  <c r="P756" i="7"/>
  <c r="Q756" i="7" s="1"/>
  <c r="P754" i="7"/>
  <c r="P745" i="7"/>
  <c r="P728" i="7"/>
  <c r="P718" i="7"/>
  <c r="P711" i="7"/>
  <c r="P704" i="7"/>
  <c r="P696" i="7"/>
  <c r="P688" i="7"/>
  <c r="P682" i="7"/>
  <c r="P675" i="7"/>
  <c r="P667" i="7"/>
  <c r="P660" i="7"/>
  <c r="P642" i="7"/>
  <c r="P827" i="7"/>
  <c r="P818" i="7"/>
  <c r="P817" i="7"/>
  <c r="P811" i="7"/>
  <c r="P804" i="7"/>
  <c r="P797" i="7"/>
  <c r="P796" i="7"/>
  <c r="P784" i="7"/>
  <c r="P776" i="7"/>
  <c r="P775" i="7"/>
  <c r="P774" i="7"/>
  <c r="P773" i="7"/>
  <c r="P772" i="7"/>
  <c r="P771" i="7"/>
  <c r="P770" i="7"/>
  <c r="P769" i="7"/>
  <c r="P759" i="7"/>
  <c r="P750" i="7"/>
  <c r="P749" i="7"/>
  <c r="P740" i="7"/>
  <c r="P739" i="7"/>
  <c r="P735" i="7"/>
  <c r="P724" i="7"/>
  <c r="P716" i="7"/>
  <c r="P708" i="7"/>
  <c r="P701" i="7"/>
  <c r="P693" i="7"/>
  <c r="P672" i="7"/>
  <c r="P665" i="7"/>
  <c r="P658" i="7"/>
  <c r="P650" i="7"/>
  <c r="P649" i="7"/>
  <c r="P648" i="7"/>
  <c r="P647" i="7"/>
  <c r="P831" i="7"/>
  <c r="P821" i="7"/>
  <c r="P809" i="7"/>
  <c r="P803" i="7"/>
  <c r="P789" i="7"/>
  <c r="P767" i="7"/>
  <c r="P765" i="7"/>
  <c r="P763" i="7"/>
  <c r="P761" i="7"/>
  <c r="P753" i="7"/>
  <c r="P697" i="7"/>
  <c r="P676" i="7"/>
  <c r="P643" i="7"/>
  <c r="P833" i="7"/>
  <c r="P793" i="7"/>
  <c r="P781" i="7"/>
  <c r="P731" i="7"/>
  <c r="P713" i="7"/>
  <c r="P690" i="7"/>
  <c r="P683" i="7"/>
  <c r="P669" i="7"/>
  <c r="P662" i="7"/>
  <c r="P655" i="7"/>
  <c r="P653" i="7"/>
  <c r="P826" i="7"/>
  <c r="P816" i="7"/>
  <c r="P807" i="7"/>
  <c r="P802" i="7"/>
  <c r="P722" i="7"/>
  <c r="P720" i="7"/>
  <c r="P706" i="7"/>
  <c r="P699" i="7"/>
  <c r="P678" i="7"/>
  <c r="P824" i="7"/>
  <c r="Q824" i="7" s="1"/>
  <c r="P814" i="7"/>
  <c r="P782" i="7"/>
  <c r="P733" i="7"/>
  <c r="P707" i="7"/>
  <c r="P700" i="7"/>
  <c r="P679" i="7"/>
  <c r="P788" i="7"/>
  <c r="P732" i="7"/>
  <c r="P698" i="7"/>
  <c r="P644" i="7"/>
  <c r="P825" i="7"/>
  <c r="P815" i="7"/>
  <c r="P810" i="7"/>
  <c r="P783" i="7"/>
  <c r="P715" i="7"/>
  <c r="P684" i="7"/>
  <c r="P670" i="7"/>
  <c r="P656" i="7"/>
  <c r="P801" i="7"/>
  <c r="P787" i="7"/>
  <c r="P766" i="7"/>
  <c r="P762" i="7"/>
  <c r="P758" i="7"/>
  <c r="P723" i="7"/>
  <c r="P692" i="7"/>
  <c r="P664" i="7"/>
  <c r="P719" i="7"/>
  <c r="P705" i="7"/>
  <c r="P668" i="7"/>
  <c r="P646" i="7"/>
  <c r="P795" i="7"/>
  <c r="P757" i="7"/>
  <c r="P730" i="7"/>
  <c r="P714" i="7"/>
  <c r="P677" i="7"/>
  <c r="P663" i="7"/>
  <c r="P822" i="7"/>
  <c r="Q822" i="7" s="1"/>
  <c r="P808" i="7"/>
  <c r="P734" i="7"/>
  <c r="P691" i="7"/>
  <c r="P654" i="7"/>
  <c r="P830" i="7"/>
  <c r="P794" i="7"/>
  <c r="P729" i="7"/>
  <c r="P689" i="7"/>
  <c r="P661" i="7"/>
  <c r="P657" i="7"/>
  <c r="P712" i="7"/>
  <c r="P832" i="7"/>
  <c r="P685" i="7"/>
  <c r="P671" i="7"/>
  <c r="P760" i="7"/>
  <c r="M821" i="7"/>
  <c r="D1001" i="7"/>
  <c r="I1001" i="7" s="1"/>
  <c r="M1001" i="7" s="1"/>
  <c r="D1002" i="7"/>
  <c r="I1002" i="7" s="1"/>
  <c r="M1002" i="7" s="1"/>
  <c r="D1003" i="7"/>
  <c r="I1003" i="7" s="1"/>
  <c r="M1003" i="7" s="1"/>
  <c r="D970" i="7"/>
  <c r="I970" i="7" s="1"/>
  <c r="M970" i="7" s="1"/>
  <c r="D1218" i="7"/>
  <c r="N1214" i="7"/>
  <c r="N1209" i="7"/>
  <c r="O1209" i="7" s="1"/>
  <c r="D1197" i="7"/>
  <c r="D1191" i="7"/>
  <c r="N1187" i="7"/>
  <c r="N1180" i="7"/>
  <c r="D1177" i="7"/>
  <c r="I1177" i="7" s="1"/>
  <c r="M1177" i="7" s="1"/>
  <c r="D1172" i="7"/>
  <c r="D1166" i="7"/>
  <c r="N1142" i="7"/>
  <c r="O1142" i="7" s="1"/>
  <c r="N1135" i="7"/>
  <c r="N1127" i="7"/>
  <c r="N1120" i="7"/>
  <c r="N1113" i="7"/>
  <c r="D1111" i="7"/>
  <c r="N1106" i="7"/>
  <c r="D1104" i="7"/>
  <c r="I1104" i="7" s="1"/>
  <c r="M1104" i="7" s="1"/>
  <c r="N1100" i="7"/>
  <c r="D1097" i="7"/>
  <c r="I1097" i="7" s="1"/>
  <c r="M1097" i="7" s="1"/>
  <c r="N1092" i="7"/>
  <c r="D1090" i="7"/>
  <c r="I1090" i="7" s="1"/>
  <c r="M1090" i="7" s="1"/>
  <c r="N1085" i="7"/>
  <c r="D1082" i="7"/>
  <c r="I1082" i="7" s="1"/>
  <c r="M1082" i="7" s="1"/>
  <c r="N1077" i="7"/>
  <c r="D1074" i="7"/>
  <c r="I1074" i="7" s="1"/>
  <c r="M1074" i="7" s="1"/>
  <c r="N1070" i="7"/>
  <c r="D1068" i="7"/>
  <c r="I1068" i="7" s="1"/>
  <c r="M1068" i="7" s="1"/>
  <c r="N1064" i="7"/>
  <c r="D1061" i="7"/>
  <c r="I1061" i="7" s="1"/>
  <c r="M1061" i="7" s="1"/>
  <c r="N1056" i="7"/>
  <c r="N1042" i="7"/>
  <c r="N1035" i="7"/>
  <c r="D1033" i="7"/>
  <c r="N1215" i="7"/>
  <c r="D1212" i="7"/>
  <c r="I1212" i="7" s="1"/>
  <c r="M1212" i="7" s="1"/>
  <c r="D1209" i="7"/>
  <c r="N1205" i="7"/>
  <c r="N1199" i="7"/>
  <c r="N1193" i="7"/>
  <c r="N1188" i="7"/>
  <c r="N1181" i="7"/>
  <c r="D1178" i="7"/>
  <c r="I1178" i="7" s="1"/>
  <c r="M1178" i="7" s="1"/>
  <c r="N1174" i="7"/>
  <c r="N1168" i="7"/>
  <c r="N1162" i="7"/>
  <c r="N1161" i="7"/>
  <c r="N1160" i="7"/>
  <c r="N1159" i="7"/>
  <c r="N1158" i="7"/>
  <c r="N1157" i="7"/>
  <c r="N1156" i="7"/>
  <c r="N1155" i="7"/>
  <c r="N1154" i="7"/>
  <c r="N1143" i="7"/>
  <c r="N1136" i="7"/>
  <c r="N1128" i="7"/>
  <c r="N1121" i="7"/>
  <c r="D1118" i="7"/>
  <c r="I1118" i="7" s="1"/>
  <c r="M1118" i="7" s="1"/>
  <c r="N1114" i="7"/>
  <c r="N1107" i="7"/>
  <c r="D1105" i="7"/>
  <c r="N1101" i="7"/>
  <c r="D1098" i="7"/>
  <c r="I1098" i="7" s="1"/>
  <c r="M1098" i="7" s="1"/>
  <c r="N1093" i="7"/>
  <c r="D1091" i="7"/>
  <c r="N1086" i="7"/>
  <c r="D1083" i="7"/>
  <c r="I1083" i="7" s="1"/>
  <c r="M1083" i="7" s="1"/>
  <c r="N1078" i="7"/>
  <c r="D1075" i="7"/>
  <c r="I1075" i="7" s="1"/>
  <c r="M1075" i="7" s="1"/>
  <c r="N1071" i="7"/>
  <c r="D1219" i="7"/>
  <c r="I1219" i="7" s="1"/>
  <c r="M1219" i="7" s="1"/>
  <c r="D1213" i="7"/>
  <c r="I1213" i="7" s="1"/>
  <c r="M1213" i="7" s="1"/>
  <c r="N1206" i="7"/>
  <c r="N1200" i="7"/>
  <c r="D1198" i="7"/>
  <c r="I1198" i="7" s="1"/>
  <c r="M1198" i="7" s="1"/>
  <c r="N1194" i="7"/>
  <c r="D1179" i="7"/>
  <c r="I1179" i="7" s="1"/>
  <c r="M1179" i="7" s="1"/>
  <c r="N1175" i="7"/>
  <c r="D1173" i="7"/>
  <c r="I1173" i="7" s="1"/>
  <c r="M1173" i="7" s="1"/>
  <c r="N1169" i="7"/>
  <c r="N1163" i="7"/>
  <c r="N1137" i="7"/>
  <c r="N1129" i="7"/>
  <c r="D1119" i="7"/>
  <c r="I1119" i="7" s="1"/>
  <c r="M1119" i="7" s="1"/>
  <c r="N1115" i="7"/>
  <c r="D1112" i="7"/>
  <c r="I1112" i="7" s="1"/>
  <c r="M1112" i="7" s="1"/>
  <c r="N1108" i="7"/>
  <c r="N1102" i="7"/>
  <c r="D1099" i="7"/>
  <c r="I1099" i="7" s="1"/>
  <c r="M1099" i="7" s="1"/>
  <c r="N1094" i="7"/>
  <c r="N1087" i="7"/>
  <c r="D1084" i="7"/>
  <c r="I1084" i="7" s="1"/>
  <c r="M1084" i="7" s="1"/>
  <c r="N1079" i="7"/>
  <c r="D1076" i="7"/>
  <c r="I1076" i="7" s="1"/>
  <c r="M1076" i="7" s="1"/>
  <c r="D1063" i="7"/>
  <c r="I1063" i="7" s="1"/>
  <c r="M1063" i="7" s="1"/>
  <c r="N1058" i="7"/>
  <c r="D1055" i="7"/>
  <c r="I1055" i="7" s="1"/>
  <c r="M1055" i="7" s="1"/>
  <c r="N1051" i="7"/>
  <c r="D1048" i="7"/>
  <c r="I1048" i="7" s="1"/>
  <c r="M1048" i="7" s="1"/>
  <c r="N1044" i="7"/>
  <c r="D1041" i="7"/>
  <c r="I1041" i="7" s="1"/>
  <c r="M1041" i="7" s="1"/>
  <c r="N1037" i="7"/>
  <c r="D1034" i="7"/>
  <c r="I1034" i="7" s="1"/>
  <c r="M1034" i="7" s="1"/>
  <c r="N1030" i="7"/>
  <c r="N1219" i="7"/>
  <c r="D1217" i="7"/>
  <c r="I1217" i="7" s="1"/>
  <c r="M1217" i="7" s="1"/>
  <c r="N1213" i="7"/>
  <c r="D1211" i="7"/>
  <c r="N1204" i="7"/>
  <c r="N1198" i="7"/>
  <c r="N1192" i="7"/>
  <c r="N1186" i="7"/>
  <c r="N1179" i="7"/>
  <c r="N1173" i="7"/>
  <c r="D1171" i="7"/>
  <c r="I1171" i="7" s="1"/>
  <c r="M1171" i="7" s="1"/>
  <c r="N1167" i="7"/>
  <c r="D1165" i="7"/>
  <c r="I1165" i="7" s="1"/>
  <c r="M1165" i="7" s="1"/>
  <c r="N1141" i="7"/>
  <c r="D1139" i="7"/>
  <c r="N1134" i="7"/>
  <c r="N1126" i="7"/>
  <c r="N1119" i="7"/>
  <c r="D1117" i="7"/>
  <c r="N1112" i="7"/>
  <c r="N1105" i="7"/>
  <c r="N1099" i="7"/>
  <c r="D1096" i="7"/>
  <c r="I1096" i="7" s="1"/>
  <c r="M1096" i="7" s="1"/>
  <c r="N1091" i="7"/>
  <c r="N1084" i="7"/>
  <c r="D1081" i="7"/>
  <c r="I1081" i="7" s="1"/>
  <c r="M1081" i="7" s="1"/>
  <c r="N1076" i="7"/>
  <c r="D1073" i="7"/>
  <c r="I1073" i="7" s="1"/>
  <c r="M1073" i="7" s="1"/>
  <c r="N1069" i="7"/>
  <c r="D1216" i="7"/>
  <c r="N1211" i="7"/>
  <c r="N1208" i="7"/>
  <c r="O1208" i="7" s="1"/>
  <c r="D1206" i="7"/>
  <c r="I1206" i="7" s="1"/>
  <c r="M1206" i="7" s="1"/>
  <c r="D1189" i="7"/>
  <c r="N1184" i="7"/>
  <c r="D1182" i="7"/>
  <c r="N1177" i="7"/>
  <c r="D1175" i="7"/>
  <c r="I1175" i="7" s="1"/>
  <c r="M1175" i="7" s="1"/>
  <c r="D1144" i="7"/>
  <c r="N1139" i="7"/>
  <c r="D1137" i="7"/>
  <c r="I1137" i="7" s="1"/>
  <c r="M1137" i="7" s="1"/>
  <c r="N1132" i="7"/>
  <c r="N1104" i="7"/>
  <c r="D1102" i="7"/>
  <c r="I1102" i="7" s="1"/>
  <c r="M1102" i="7" s="1"/>
  <c r="N1097" i="7"/>
  <c r="N1090" i="7"/>
  <c r="D1086" i="7"/>
  <c r="I1086" i="7" s="1"/>
  <c r="M1086" i="7" s="1"/>
  <c r="N1081" i="7"/>
  <c r="D1057" i="7"/>
  <c r="I1057" i="7" s="1"/>
  <c r="M1057" i="7" s="1"/>
  <c r="D1054" i="7"/>
  <c r="I1054" i="7" s="1"/>
  <c r="M1054" i="7" s="1"/>
  <c r="D1043" i="7"/>
  <c r="I1043" i="7" s="1"/>
  <c r="M1043" i="7" s="1"/>
  <c r="D1040" i="7"/>
  <c r="I1040" i="7" s="1"/>
  <c r="M1040" i="7" s="1"/>
  <c r="N1218" i="7"/>
  <c r="N1203" i="7"/>
  <c r="D1201" i="7"/>
  <c r="N1191" i="7"/>
  <c r="N1172" i="7"/>
  <c r="D1170" i="7"/>
  <c r="I1170" i="7" s="1"/>
  <c r="M1170" i="7" s="1"/>
  <c r="N1152" i="7"/>
  <c r="N1150" i="7"/>
  <c r="N1148" i="7"/>
  <c r="N1146" i="7"/>
  <c r="N1125" i="7"/>
  <c r="N1118" i="7"/>
  <c r="D1116" i="7"/>
  <c r="I1116" i="7" s="1"/>
  <c r="M1116" i="7" s="1"/>
  <c r="N1111" i="7"/>
  <c r="D1095" i="7"/>
  <c r="I1095" i="7" s="1"/>
  <c r="M1095" i="7" s="1"/>
  <c r="D1079" i="7"/>
  <c r="I1079" i="7" s="1"/>
  <c r="M1079" i="7" s="1"/>
  <c r="N1074" i="7"/>
  <c r="D1072" i="7"/>
  <c r="D1066" i="7"/>
  <c r="N1061" i="7"/>
  <c r="D1060" i="7"/>
  <c r="I1060" i="7" s="1"/>
  <c r="M1060" i="7" s="1"/>
  <c r="N1055" i="7"/>
  <c r="D1046" i="7"/>
  <c r="N1041" i="7"/>
  <c r="D1035" i="7"/>
  <c r="I1035" i="7" s="1"/>
  <c r="M1035" i="7" s="1"/>
  <c r="D1032" i="7"/>
  <c r="I1032" i="7" s="1"/>
  <c r="M1032" i="7" s="1"/>
  <c r="D1027" i="7"/>
  <c r="N1210" i="7"/>
  <c r="O1210" i="7" s="1"/>
  <c r="D1205" i="7"/>
  <c r="N1195" i="7"/>
  <c r="D1193" i="7"/>
  <c r="D1174" i="7"/>
  <c r="N1164" i="7"/>
  <c r="N1138" i="7"/>
  <c r="N1122" i="7"/>
  <c r="D1120" i="7"/>
  <c r="I1120" i="7" s="1"/>
  <c r="M1120" i="7" s="1"/>
  <c r="D1113" i="7"/>
  <c r="I1113" i="7" s="1"/>
  <c r="M1113" i="7" s="1"/>
  <c r="D1092" i="7"/>
  <c r="I1092" i="7" s="1"/>
  <c r="M1092" i="7" s="1"/>
  <c r="D1088" i="7"/>
  <c r="I1088" i="7" s="1"/>
  <c r="M1088" i="7" s="1"/>
  <c r="N1083" i="7"/>
  <c r="N1067" i="7"/>
  <c r="D1052" i="7"/>
  <c r="I1052" i="7" s="1"/>
  <c r="M1052" i="7" s="1"/>
  <c r="N1050" i="7"/>
  <c r="N1047" i="7"/>
  <c r="D1038" i="7"/>
  <c r="I1038" i="7" s="1"/>
  <c r="M1038" i="7" s="1"/>
  <c r="N1036" i="7"/>
  <c r="N1033" i="7"/>
  <c r="N1201" i="7"/>
  <c r="N1196" i="7"/>
  <c r="N1165" i="7"/>
  <c r="N1123" i="7"/>
  <c r="D1121" i="7"/>
  <c r="I1121" i="7" s="1"/>
  <c r="M1121" i="7" s="1"/>
  <c r="D1114" i="7"/>
  <c r="I1114" i="7" s="1"/>
  <c r="M1114" i="7" s="1"/>
  <c r="D1093" i="7"/>
  <c r="I1093" i="7" s="1"/>
  <c r="M1093" i="7" s="1"/>
  <c r="N1088" i="7"/>
  <c r="D1077" i="7"/>
  <c r="I1077" i="7" s="1"/>
  <c r="M1077" i="7" s="1"/>
  <c r="N1072" i="7"/>
  <c r="D1070" i="7"/>
  <c r="I1070" i="7" s="1"/>
  <c r="M1070" i="7" s="1"/>
  <c r="N1066" i="7"/>
  <c r="N1063" i="7"/>
  <c r="N1052" i="7"/>
  <c r="D1051" i="7"/>
  <c r="I1051" i="7" s="1"/>
  <c r="M1051" i="7" s="1"/>
  <c r="N1049" i="7"/>
  <c r="I1049" i="7" s="1"/>
  <c r="N1046" i="7"/>
  <c r="N1038" i="7"/>
  <c r="D1037" i="7"/>
  <c r="I1037" i="7" s="1"/>
  <c r="M1037" i="7" s="1"/>
  <c r="D1029" i="7"/>
  <c r="N1027" i="7"/>
  <c r="D17" i="6" s="1"/>
  <c r="N1185" i="7"/>
  <c r="D1176" i="7"/>
  <c r="N1166" i="7"/>
  <c r="N1153" i="7"/>
  <c r="N1149" i="7"/>
  <c r="N1145" i="7"/>
  <c r="N1140" i="7"/>
  <c r="D1103" i="7"/>
  <c r="N1098" i="7"/>
  <c r="D1067" i="7"/>
  <c r="I1067" i="7" s="1"/>
  <c r="M1067" i="7" s="1"/>
  <c r="N1048" i="7"/>
  <c r="D1042" i="7"/>
  <c r="I1042" i="7" s="1"/>
  <c r="M1042" i="7" s="1"/>
  <c r="D1039" i="7"/>
  <c r="D1214" i="7"/>
  <c r="I1214" i="7" s="1"/>
  <c r="M1214" i="7" s="1"/>
  <c r="D1199" i="7"/>
  <c r="N1189" i="7"/>
  <c r="D1180" i="7"/>
  <c r="I1180" i="7" s="1"/>
  <c r="M1180" i="7" s="1"/>
  <c r="N1170" i="7"/>
  <c r="N1144" i="7"/>
  <c r="N1130" i="7"/>
  <c r="N1116" i="7"/>
  <c r="D1080" i="7"/>
  <c r="I1080" i="7" s="1"/>
  <c r="M1080" i="7" s="1"/>
  <c r="N1075" i="7"/>
  <c r="N1060" i="7"/>
  <c r="N1057" i="7"/>
  <c r="N1054" i="7"/>
  <c r="D1045" i="7"/>
  <c r="I1045" i="7" s="1"/>
  <c r="M1045" i="7" s="1"/>
  <c r="N1032" i="7"/>
  <c r="N1029" i="7"/>
  <c r="N1217" i="7"/>
  <c r="N1207" i="7"/>
  <c r="N1183" i="7"/>
  <c r="N1110" i="7"/>
  <c r="D1101" i="7"/>
  <c r="I1101" i="7" s="1"/>
  <c r="M1101" i="7" s="1"/>
  <c r="N1096" i="7"/>
  <c r="D1069" i="7"/>
  <c r="N1059" i="7"/>
  <c r="N1053" i="7"/>
  <c r="D1050" i="7"/>
  <c r="D1044" i="7"/>
  <c r="I1044" i="7" s="1"/>
  <c r="M1044" i="7" s="1"/>
  <c r="N1031" i="7"/>
  <c r="N1028" i="7"/>
  <c r="D1200" i="7"/>
  <c r="I1200" i="7" s="1"/>
  <c r="M1200" i="7" s="1"/>
  <c r="D1122" i="7"/>
  <c r="N1117" i="7"/>
  <c r="D1094" i="7"/>
  <c r="I1094" i="7" s="1"/>
  <c r="M1094" i="7" s="1"/>
  <c r="D1071" i="7"/>
  <c r="I1071" i="7" s="1"/>
  <c r="M1071" i="7" s="1"/>
  <c r="D1036" i="7"/>
  <c r="I1036" i="7" s="1"/>
  <c r="M1036" i="7" s="1"/>
  <c r="D1207" i="7"/>
  <c r="N1197" i="7"/>
  <c r="N1178" i="7"/>
  <c r="N1151" i="7"/>
  <c r="N1133" i="7"/>
  <c r="D1065" i="7"/>
  <c r="I1065" i="7" s="1"/>
  <c r="M1065" i="7" s="1"/>
  <c r="N1040" i="7"/>
  <c r="N1216" i="7"/>
  <c r="D1168" i="7"/>
  <c r="N1095" i="7"/>
  <c r="N1080" i="7"/>
  <c r="D1064" i="7"/>
  <c r="I1064" i="7" s="1"/>
  <c r="M1064" i="7" s="1"/>
  <c r="N1045" i="7"/>
  <c r="N1039" i="7"/>
  <c r="D1215" i="7"/>
  <c r="I1215" i="7" s="1"/>
  <c r="M1215" i="7" s="1"/>
  <c r="N1176" i="7"/>
  <c r="N1131" i="7"/>
  <c r="N1103" i="7"/>
  <c r="D1078" i="7"/>
  <c r="I1078" i="7" s="1"/>
  <c r="M1078" i="7" s="1"/>
  <c r="N1062" i="7"/>
  <c r="N1202" i="7"/>
  <c r="D1087" i="7"/>
  <c r="I1087" i="7" s="1"/>
  <c r="M1087" i="7" s="1"/>
  <c r="D1056" i="7"/>
  <c r="I1056" i="7" s="1"/>
  <c r="M1056" i="7" s="1"/>
  <c r="N1212" i="7"/>
  <c r="N1147" i="7"/>
  <c r="D1138" i="7"/>
  <c r="I1138" i="7" s="1"/>
  <c r="M1138" i="7" s="1"/>
  <c r="N1068" i="7"/>
  <c r="D1062" i="7"/>
  <c r="I1062" i="7" s="1"/>
  <c r="M1062" i="7" s="1"/>
  <c r="N1043" i="7"/>
  <c r="D1031" i="7"/>
  <c r="I1031" i="7" s="1"/>
  <c r="M1031" i="7" s="1"/>
  <c r="N1182" i="7"/>
  <c r="N1109" i="7"/>
  <c r="D1100" i="7"/>
  <c r="I1100" i="7" s="1"/>
  <c r="M1100" i="7" s="1"/>
  <c r="D1085" i="7"/>
  <c r="I1085" i="7" s="1"/>
  <c r="M1085" i="7" s="1"/>
  <c r="D1030" i="7"/>
  <c r="I1030" i="7" s="1"/>
  <c r="M1030" i="7" s="1"/>
  <c r="D1210" i="7"/>
  <c r="N1190" i="7"/>
  <c r="D1181" i="7"/>
  <c r="I1181" i="7" s="1"/>
  <c r="M1181" i="7" s="1"/>
  <c r="N1171" i="7"/>
  <c r="N1089" i="7"/>
  <c r="O1089" i="7" s="1"/>
  <c r="N1073" i="7"/>
  <c r="N1065" i="7"/>
  <c r="D1169" i="7"/>
  <c r="I1169" i="7" s="1"/>
  <c r="M1169" i="7" s="1"/>
  <c r="N1124" i="7"/>
  <c r="D1115" i="7"/>
  <c r="I1115" i="7" s="1"/>
  <c r="M1115" i="7" s="1"/>
  <c r="N1082" i="7"/>
  <c r="D1053" i="7"/>
  <c r="N1034" i="7"/>
  <c r="D1028" i="7"/>
  <c r="D1047" i="7"/>
  <c r="I1047" i="7" s="1"/>
  <c r="M1047" i="7" s="1"/>
  <c r="K48" i="4"/>
  <c r="G1355" i="7"/>
  <c r="G1354" i="7"/>
  <c r="I1354" i="7" s="1"/>
  <c r="M1354" i="7" s="1"/>
  <c r="G1353" i="7"/>
  <c r="I1353" i="7" s="1"/>
  <c r="M1353" i="7" s="1"/>
  <c r="G1352" i="7"/>
  <c r="G1351" i="7"/>
  <c r="G1350" i="7"/>
  <c r="G1349" i="7"/>
  <c r="G1348" i="7"/>
  <c r="D1494" i="7"/>
  <c r="I1494" i="7" s="1"/>
  <c r="M1494" i="7" s="1"/>
  <c r="D1550" i="7"/>
  <c r="I1550" i="7" s="1"/>
  <c r="M1550" i="7" s="1"/>
  <c r="D1495" i="7"/>
  <c r="I1495" i="7" s="1"/>
  <c r="M1495" i="7" s="1"/>
  <c r="D1576" i="7"/>
  <c r="I1576" i="7" s="1"/>
  <c r="M1576" i="7" s="1"/>
  <c r="D1569" i="7"/>
  <c r="I1569" i="7" s="1"/>
  <c r="M1569" i="7" s="1"/>
  <c r="D1496" i="7"/>
  <c r="I1496" i="7" s="1"/>
  <c r="M1496" i="7" s="1"/>
  <c r="D1574" i="7"/>
  <c r="I1574" i="7" s="1"/>
  <c r="M1574" i="7" s="1"/>
  <c r="D1529" i="7"/>
  <c r="I1529" i="7" s="1"/>
  <c r="M1529" i="7" s="1"/>
  <c r="D1493" i="7"/>
  <c r="I1493" i="7" s="1"/>
  <c r="M1493" i="7" s="1"/>
  <c r="D1589" i="7"/>
  <c r="I1589" i="7" s="1"/>
  <c r="M1589" i="7" s="1"/>
  <c r="D1572" i="7"/>
  <c r="I1572" i="7" s="1"/>
  <c r="M1572" i="7" s="1"/>
  <c r="D1527" i="7"/>
  <c r="I1527" i="7" s="1"/>
  <c r="M1527" i="7" s="1"/>
  <c r="D1492" i="7"/>
  <c r="I1492" i="7" s="1"/>
  <c r="M1492" i="7" s="1"/>
  <c r="D1570" i="7"/>
  <c r="I1570" i="7" s="1"/>
  <c r="M1570" i="7" s="1"/>
  <c r="D1578" i="7"/>
  <c r="I1578" i="7" s="1"/>
  <c r="M1578" i="7" s="1"/>
  <c r="D1573" i="7"/>
  <c r="I1573" i="7" s="1"/>
  <c r="M1573" i="7" s="1"/>
  <c r="D1571" i="7"/>
  <c r="I1571" i="7" s="1"/>
  <c r="M1571" i="7" s="1"/>
  <c r="D1526" i="7"/>
  <c r="I1526" i="7" s="1"/>
  <c r="M1526" i="7" s="1"/>
  <c r="D1588" i="7"/>
  <c r="I1588" i="7" s="1"/>
  <c r="M1588" i="7" s="1"/>
  <c r="D1590" i="7"/>
  <c r="I1590" i="7" s="1"/>
  <c r="M1590" i="7" s="1"/>
  <c r="N57" i="4"/>
  <c r="D1637" i="7"/>
  <c r="I1637" i="7" s="1"/>
  <c r="M1637" i="7" s="1"/>
  <c r="D1638" i="7"/>
  <c r="I1638" i="7" s="1"/>
  <c r="M1638" i="7" s="1"/>
  <c r="D4250" i="7"/>
  <c r="I4250" i="7" s="1"/>
  <c r="M4250" i="7" s="1"/>
  <c r="P4250" i="7"/>
  <c r="F43" i="6" s="1"/>
  <c r="G43" i="6" s="1"/>
  <c r="N4250" i="7"/>
  <c r="D43" i="6" s="1"/>
  <c r="E43" i="6" s="1"/>
  <c r="G1918" i="7"/>
  <c r="G1919" i="7"/>
  <c r="G1920" i="7"/>
  <c r="G1925" i="7"/>
  <c r="G1923" i="7"/>
  <c r="I1923" i="7" s="1"/>
  <c r="M1923" i="7" s="1"/>
  <c r="G1921" i="7"/>
  <c r="D1939" i="7"/>
  <c r="I1939" i="7" s="1"/>
  <c r="M1939" i="7" s="1"/>
  <c r="G1924" i="7"/>
  <c r="G1922" i="7"/>
  <c r="W60" i="4"/>
  <c r="AE60" i="4"/>
  <c r="GR4" i="9" s="1"/>
  <c r="D2159" i="7"/>
  <c r="I2159" i="7" s="1"/>
  <c r="M2159" i="7" s="1"/>
  <c r="D2128" i="7"/>
  <c r="I2128" i="7" s="1"/>
  <c r="M2128" i="7" s="1"/>
  <c r="D2160" i="7"/>
  <c r="I2160" i="7" s="1"/>
  <c r="M2160" i="7" s="1"/>
  <c r="D2161" i="7"/>
  <c r="I2161" i="7" s="1"/>
  <c r="M2161" i="7" s="1"/>
  <c r="D2374" i="7"/>
  <c r="N2369" i="7"/>
  <c r="N2373" i="7"/>
  <c r="D2365" i="7"/>
  <c r="N2361" i="7"/>
  <c r="D2359" i="7"/>
  <c r="N2355" i="7"/>
  <c r="N2349" i="7"/>
  <c r="N2343" i="7"/>
  <c r="N2336" i="7"/>
  <c r="D2334" i="7"/>
  <c r="N2330" i="7"/>
  <c r="D2328" i="7"/>
  <c r="I2328" i="7" s="1"/>
  <c r="M2328" i="7" s="1"/>
  <c r="N2324" i="7"/>
  <c r="N2311" i="7"/>
  <c r="N2310" i="7"/>
  <c r="N2309" i="7"/>
  <c r="N2308" i="7"/>
  <c r="N2307" i="7"/>
  <c r="N2306" i="7"/>
  <c r="N2305" i="7"/>
  <c r="N2304" i="7"/>
  <c r="N2303" i="7"/>
  <c r="N2298" i="7"/>
  <c r="D2296" i="7"/>
  <c r="I2296" i="7" s="1"/>
  <c r="M2296" i="7" s="1"/>
  <c r="N2291" i="7"/>
  <c r="N2283" i="7"/>
  <c r="N2276" i="7"/>
  <c r="D2274" i="7"/>
  <c r="I2274" i="7" s="1"/>
  <c r="M2274" i="7" s="1"/>
  <c r="N2269" i="7"/>
  <c r="D2261" i="7"/>
  <c r="N2256" i="7"/>
  <c r="D2253" i="7"/>
  <c r="I2253" i="7" s="1"/>
  <c r="M2253" i="7" s="1"/>
  <c r="D2246" i="7"/>
  <c r="I2246" i="7" s="1"/>
  <c r="M2246" i="7" s="1"/>
  <c r="N2241" i="7"/>
  <c r="D2238" i="7"/>
  <c r="I2238" i="7" s="1"/>
  <c r="M2238" i="7" s="1"/>
  <c r="N2233" i="7"/>
  <c r="N2220" i="7"/>
  <c r="N2212" i="7"/>
  <c r="D2210" i="7"/>
  <c r="I2210" i="7" s="1"/>
  <c r="M2210" i="7" s="1"/>
  <c r="N2205" i="7"/>
  <c r="D2203" i="7"/>
  <c r="I2203" i="7" s="1"/>
  <c r="M2203" i="7" s="1"/>
  <c r="N2198" i="7"/>
  <c r="D2196" i="7"/>
  <c r="I2196" i="7" s="1"/>
  <c r="M2196" i="7" s="1"/>
  <c r="N2191" i="7"/>
  <c r="D2189" i="7"/>
  <c r="I2189" i="7" s="1"/>
  <c r="M2189" i="7" s="1"/>
  <c r="N2377" i="7"/>
  <c r="D2376" i="7"/>
  <c r="D2372" i="7"/>
  <c r="I2372" i="7" s="1"/>
  <c r="M2372" i="7" s="1"/>
  <c r="N2362" i="7"/>
  <c r="N2356" i="7"/>
  <c r="N2350" i="7"/>
  <c r="N2344" i="7"/>
  <c r="N2337" i="7"/>
  <c r="N2331" i="7"/>
  <c r="D2329" i="7"/>
  <c r="I2329" i="7" s="1"/>
  <c r="M2329" i="7" s="1"/>
  <c r="N2325" i="7"/>
  <c r="D2323" i="7"/>
  <c r="I2323" i="7" s="1"/>
  <c r="M2323" i="7" s="1"/>
  <c r="N2299" i="7"/>
  <c r="D2297" i="7"/>
  <c r="N2292" i="7"/>
  <c r="N2284" i="7"/>
  <c r="N2277" i="7"/>
  <c r="D2275" i="7"/>
  <c r="N2270" i="7"/>
  <c r="N2263" i="7"/>
  <c r="N2257" i="7"/>
  <c r="D2254" i="7"/>
  <c r="I2254" i="7" s="1"/>
  <c r="M2254" i="7" s="1"/>
  <c r="N2249" i="7"/>
  <c r="N2242" i="7"/>
  <c r="D2239" i="7"/>
  <c r="I2239" i="7" s="1"/>
  <c r="M2239" i="7" s="1"/>
  <c r="N2234" i="7"/>
  <c r="D2231" i="7"/>
  <c r="I2231" i="7" s="1"/>
  <c r="M2231" i="7" s="1"/>
  <c r="N2227" i="7"/>
  <c r="D2225" i="7"/>
  <c r="I2225" i="7" s="1"/>
  <c r="M2225" i="7" s="1"/>
  <c r="N2221" i="7"/>
  <c r="D2218" i="7"/>
  <c r="I2218" i="7" s="1"/>
  <c r="M2218" i="7" s="1"/>
  <c r="N2213" i="7"/>
  <c r="D2211" i="7"/>
  <c r="N2207" i="7"/>
  <c r="I2207" i="7" s="1"/>
  <c r="N2206" i="7"/>
  <c r="D2204" i="7"/>
  <c r="N2199" i="7"/>
  <c r="D2197" i="7"/>
  <c r="N2192" i="7"/>
  <c r="D2190" i="7"/>
  <c r="I2190" i="7" s="1"/>
  <c r="M2190" i="7" s="1"/>
  <c r="N2186" i="7"/>
  <c r="D2185" i="7"/>
  <c r="N2370" i="7"/>
  <c r="D2369" i="7"/>
  <c r="N2367" i="7"/>
  <c r="O2367" i="7" s="1"/>
  <c r="D2355" i="7"/>
  <c r="D2349" i="7"/>
  <c r="N2345" i="7"/>
  <c r="N2338" i="7"/>
  <c r="D2335" i="7"/>
  <c r="I2335" i="7" s="1"/>
  <c r="M2335" i="7" s="1"/>
  <c r="D2330" i="7"/>
  <c r="D2324" i="7"/>
  <c r="N2300" i="7"/>
  <c r="O2300" i="7" s="1"/>
  <c r="N2293" i="7"/>
  <c r="N2285" i="7"/>
  <c r="N2278" i="7"/>
  <c r="N2271" i="7"/>
  <c r="D2269" i="7"/>
  <c r="N2264" i="7"/>
  <c r="D2262" i="7"/>
  <c r="I2262" i="7" s="1"/>
  <c r="M2262" i="7" s="1"/>
  <c r="N2258" i="7"/>
  <c r="D2255" i="7"/>
  <c r="I2255" i="7" s="1"/>
  <c r="M2255" i="7" s="1"/>
  <c r="N2250" i="7"/>
  <c r="D2248" i="7"/>
  <c r="I2248" i="7" s="1"/>
  <c r="M2248" i="7" s="1"/>
  <c r="N2243" i="7"/>
  <c r="D2240" i="7"/>
  <c r="I2240" i="7" s="1"/>
  <c r="M2240" i="7" s="1"/>
  <c r="N2235" i="7"/>
  <c r="D2232" i="7"/>
  <c r="I2232" i="7" s="1"/>
  <c r="M2232" i="7" s="1"/>
  <c r="N2228" i="7"/>
  <c r="D2226" i="7"/>
  <c r="I2226" i="7" s="1"/>
  <c r="M2226" i="7" s="1"/>
  <c r="N2222" i="7"/>
  <c r="D2219" i="7"/>
  <c r="I2219" i="7" s="1"/>
  <c r="M2219" i="7" s="1"/>
  <c r="N2214" i="7"/>
  <c r="N2200" i="7"/>
  <c r="N2193" i="7"/>
  <c r="D2191" i="7"/>
  <c r="N2374" i="7"/>
  <c r="D2373" i="7"/>
  <c r="I2373" i="7" s="1"/>
  <c r="M2373" i="7" s="1"/>
  <c r="D2367" i="7"/>
  <c r="N2363" i="7"/>
  <c r="N2357" i="7"/>
  <c r="D2377" i="7"/>
  <c r="I2377" i="7" s="1"/>
  <c r="M2377" i="7" s="1"/>
  <c r="N2371" i="7"/>
  <c r="N2364" i="7"/>
  <c r="N2358" i="7"/>
  <c r="D2356" i="7"/>
  <c r="I2356" i="7" s="1"/>
  <c r="M2356" i="7" s="1"/>
  <c r="N2376" i="7"/>
  <c r="D2375" i="7"/>
  <c r="I2375" i="7" s="1"/>
  <c r="M2375" i="7" s="1"/>
  <c r="D2371" i="7"/>
  <c r="I2371" i="7" s="1"/>
  <c r="M2371" i="7" s="1"/>
  <c r="D2368" i="7"/>
  <c r="N2366" i="7"/>
  <c r="O2366" i="7" s="1"/>
  <c r="D2364" i="7"/>
  <c r="I2364" i="7" s="1"/>
  <c r="M2364" i="7" s="1"/>
  <c r="N2360" i="7"/>
  <c r="D2358" i="7"/>
  <c r="I2358" i="7" s="1"/>
  <c r="M2358" i="7" s="1"/>
  <c r="D2347" i="7"/>
  <c r="K2348" i="7" s="1"/>
  <c r="N2342" i="7"/>
  <c r="D2340" i="7"/>
  <c r="N2335" i="7"/>
  <c r="D2333" i="7"/>
  <c r="I2333" i="7" s="1"/>
  <c r="M2333" i="7" s="1"/>
  <c r="D2327" i="7"/>
  <c r="I2327" i="7" s="1"/>
  <c r="M2327" i="7" s="1"/>
  <c r="D2302" i="7"/>
  <c r="N2297" i="7"/>
  <c r="D2295" i="7"/>
  <c r="I2295" i="7" s="1"/>
  <c r="M2295" i="7" s="1"/>
  <c r="N2290" i="7"/>
  <c r="N2282" i="7"/>
  <c r="D2280" i="7"/>
  <c r="N2275" i="7"/>
  <c r="D2273" i="7"/>
  <c r="I2273" i="7" s="1"/>
  <c r="M2273" i="7" s="1"/>
  <c r="N2262" i="7"/>
  <c r="D2260" i="7"/>
  <c r="I2260" i="7" s="1"/>
  <c r="M2260" i="7" s="1"/>
  <c r="N2255" i="7"/>
  <c r="D2252" i="7"/>
  <c r="I2252" i="7" s="1"/>
  <c r="M2252" i="7" s="1"/>
  <c r="N2248" i="7"/>
  <c r="D2245" i="7"/>
  <c r="I2245" i="7" s="1"/>
  <c r="M2245" i="7" s="1"/>
  <c r="N2240" i="7"/>
  <c r="D2237" i="7"/>
  <c r="I2237" i="7" s="1"/>
  <c r="M2237" i="7" s="1"/>
  <c r="N2232" i="7"/>
  <c r="D2230" i="7"/>
  <c r="N2226" i="7"/>
  <c r="D2224" i="7"/>
  <c r="N2219" i="7"/>
  <c r="N2211" i="7"/>
  <c r="D2209" i="7"/>
  <c r="I2209" i="7" s="1"/>
  <c r="M2209" i="7" s="1"/>
  <c r="N2204" i="7"/>
  <c r="D2202" i="7"/>
  <c r="I2202" i="7" s="1"/>
  <c r="M2202" i="7" s="1"/>
  <c r="N2197" i="7"/>
  <c r="D2195" i="7"/>
  <c r="I2195" i="7" s="1"/>
  <c r="M2195" i="7" s="1"/>
  <c r="D2188" i="7"/>
  <c r="I2188" i="7" s="1"/>
  <c r="M2188" i="7" s="1"/>
  <c r="N2185" i="7"/>
  <c r="D23" i="6" s="1"/>
  <c r="D2363" i="7"/>
  <c r="N2353" i="7"/>
  <c r="N2348" i="7"/>
  <c r="N2341" i="7"/>
  <c r="D2339" i="7"/>
  <c r="I2339" i="7" s="1"/>
  <c r="M2339" i="7" s="1"/>
  <c r="N2334" i="7"/>
  <c r="N2329" i="7"/>
  <c r="N2289" i="7"/>
  <c r="N2268" i="7"/>
  <c r="N2261" i="7"/>
  <c r="D2259" i="7"/>
  <c r="I2259" i="7" s="1"/>
  <c r="M2259" i="7" s="1"/>
  <c r="N2254" i="7"/>
  <c r="N2247" i="7"/>
  <c r="O2247" i="7" s="1"/>
  <c r="D2243" i="7"/>
  <c r="I2243" i="7" s="1"/>
  <c r="M2243" i="7" s="1"/>
  <c r="N2238" i="7"/>
  <c r="N2224" i="7"/>
  <c r="D2222" i="7"/>
  <c r="I2222" i="7" s="1"/>
  <c r="M2222" i="7" s="1"/>
  <c r="N2217" i="7"/>
  <c r="N2210" i="7"/>
  <c r="D2208" i="7"/>
  <c r="N2203" i="7"/>
  <c r="N2196" i="7"/>
  <c r="N2189" i="7"/>
  <c r="D2187" i="7"/>
  <c r="N2368" i="7"/>
  <c r="O2368" i="7" s="1"/>
  <c r="D2336" i="7"/>
  <c r="I2336" i="7" s="1"/>
  <c r="M2336" i="7" s="1"/>
  <c r="N2326" i="7"/>
  <c r="N2319" i="7"/>
  <c r="N2317" i="7"/>
  <c r="N2315" i="7"/>
  <c r="N2313" i="7"/>
  <c r="N2286" i="7"/>
  <c r="N2279" i="7"/>
  <c r="N2272" i="7"/>
  <c r="N2265" i="7"/>
  <c r="D2263" i="7"/>
  <c r="D2256" i="7"/>
  <c r="I2256" i="7" s="1"/>
  <c r="M2256" i="7" s="1"/>
  <c r="N2251" i="7"/>
  <c r="D2249" i="7"/>
  <c r="D2236" i="7"/>
  <c r="I2236" i="7" s="1"/>
  <c r="M2236" i="7" s="1"/>
  <c r="N2231" i="7"/>
  <c r="D2229" i="7"/>
  <c r="I2229" i="7" s="1"/>
  <c r="M2229" i="7" s="1"/>
  <c r="D2215" i="7"/>
  <c r="I2215" i="7" s="1"/>
  <c r="M2215" i="7" s="1"/>
  <c r="D2201" i="7"/>
  <c r="I2201" i="7" s="1"/>
  <c r="M2201" i="7" s="1"/>
  <c r="D2194" i="7"/>
  <c r="I2194" i="7" s="1"/>
  <c r="M2194" i="7" s="1"/>
  <c r="D2357" i="7"/>
  <c r="N2352" i="7"/>
  <c r="N2333" i="7"/>
  <c r="D2331" i="7"/>
  <c r="I2331" i="7" s="1"/>
  <c r="M2331" i="7" s="1"/>
  <c r="N2321" i="7"/>
  <c r="N2295" i="7"/>
  <c r="D2277" i="7"/>
  <c r="I2277" i="7" s="1"/>
  <c r="M2277" i="7" s="1"/>
  <c r="D2270" i="7"/>
  <c r="I2270" i="7" s="1"/>
  <c r="M2270" i="7" s="1"/>
  <c r="N2260" i="7"/>
  <c r="N2244" i="7"/>
  <c r="D2233" i="7"/>
  <c r="I2233" i="7" s="1"/>
  <c r="M2233" i="7" s="1"/>
  <c r="N2223" i="7"/>
  <c r="D2212" i="7"/>
  <c r="I2212" i="7" s="1"/>
  <c r="M2212" i="7" s="1"/>
  <c r="D2205" i="7"/>
  <c r="I2205" i="7" s="1"/>
  <c r="M2205" i="7" s="1"/>
  <c r="D2198" i="7"/>
  <c r="I2198" i="7" s="1"/>
  <c r="M2198" i="7" s="1"/>
  <c r="D2186" i="7"/>
  <c r="N2359" i="7"/>
  <c r="N2354" i="7"/>
  <c r="D2351" i="7"/>
  <c r="D2332" i="7"/>
  <c r="N2322" i="7"/>
  <c r="N2296" i="7"/>
  <c r="N2280" i="7"/>
  <c r="D2278" i="7"/>
  <c r="I2278" i="7" s="1"/>
  <c r="M2278" i="7" s="1"/>
  <c r="D2271" i="7"/>
  <c r="I2271" i="7" s="1"/>
  <c r="M2271" i="7" s="1"/>
  <c r="D2250" i="7"/>
  <c r="I2250" i="7" s="1"/>
  <c r="M2250" i="7" s="1"/>
  <c r="N2245" i="7"/>
  <c r="D2234" i="7"/>
  <c r="I2234" i="7" s="1"/>
  <c r="M2234" i="7" s="1"/>
  <c r="D2213" i="7"/>
  <c r="I2213" i="7" s="1"/>
  <c r="M2213" i="7" s="1"/>
  <c r="D2206" i="7"/>
  <c r="I2206" i="7" s="1"/>
  <c r="M2206" i="7" s="1"/>
  <c r="D2199" i="7"/>
  <c r="I2199" i="7" s="1"/>
  <c r="M2199" i="7" s="1"/>
  <c r="D2192" i="7"/>
  <c r="I2192" i="7" s="1"/>
  <c r="M2192" i="7" s="1"/>
  <c r="N2340" i="7"/>
  <c r="D2326" i="7"/>
  <c r="N2267" i="7"/>
  <c r="D2258" i="7"/>
  <c r="I2258" i="7" s="1"/>
  <c r="M2258" i="7" s="1"/>
  <c r="N2253" i="7"/>
  <c r="D2241" i="7"/>
  <c r="I2241" i="7" s="1"/>
  <c r="M2241" i="7" s="1"/>
  <c r="N2236" i="7"/>
  <c r="D2227" i="7"/>
  <c r="N2208" i="7"/>
  <c r="N2194" i="7"/>
  <c r="N2281" i="7"/>
  <c r="D2272" i="7"/>
  <c r="I2272" i="7" s="1"/>
  <c r="M2272" i="7" s="1"/>
  <c r="D2221" i="7"/>
  <c r="I2221" i="7" s="1"/>
  <c r="M2221" i="7" s="1"/>
  <c r="N2216" i="7"/>
  <c r="N2202" i="7"/>
  <c r="N2188" i="7"/>
  <c r="N2365" i="7"/>
  <c r="N2339" i="7"/>
  <c r="N2320" i="7"/>
  <c r="N2316" i="7"/>
  <c r="N2312" i="7"/>
  <c r="N2294" i="7"/>
  <c r="D2276" i="7"/>
  <c r="I2276" i="7" s="1"/>
  <c r="M2276" i="7" s="1"/>
  <c r="D2235" i="7"/>
  <c r="I2235" i="7" s="1"/>
  <c r="M2235" i="7" s="1"/>
  <c r="N2230" i="7"/>
  <c r="D2193" i="7"/>
  <c r="I2193" i="7" s="1"/>
  <c r="M2193" i="7" s="1"/>
  <c r="D2370" i="7"/>
  <c r="I2370" i="7" s="1"/>
  <c r="M2370" i="7" s="1"/>
  <c r="D2337" i="7"/>
  <c r="I2337" i="7" s="1"/>
  <c r="M2337" i="7" s="1"/>
  <c r="N2327" i="7"/>
  <c r="N2287" i="7"/>
  <c r="N2273" i="7"/>
  <c r="D2223" i="7"/>
  <c r="I2223" i="7" s="1"/>
  <c r="M2223" i="7" s="1"/>
  <c r="N2218" i="7"/>
  <c r="N2190" i="7"/>
  <c r="N2347" i="7"/>
  <c r="D2338" i="7"/>
  <c r="I2338" i="7" s="1"/>
  <c r="M2338" i="7" s="1"/>
  <c r="N2328" i="7"/>
  <c r="N2302" i="7"/>
  <c r="N2274" i="7"/>
  <c r="N2229" i="7"/>
  <c r="D2220" i="7"/>
  <c r="I2220" i="7" s="1"/>
  <c r="M2220" i="7" s="1"/>
  <c r="N2201" i="7"/>
  <c r="N2237" i="7"/>
  <c r="N2209" i="7"/>
  <c r="N2346" i="7"/>
  <c r="N2318" i="7"/>
  <c r="N2301" i="7"/>
  <c r="N2246" i="7"/>
  <c r="D2228" i="7"/>
  <c r="I2228" i="7" s="1"/>
  <c r="M2228" i="7" s="1"/>
  <c r="D2200" i="7"/>
  <c r="I2200" i="7" s="1"/>
  <c r="M2200" i="7" s="1"/>
  <c r="N2375" i="7"/>
  <c r="N2252" i="7"/>
  <c r="D2244" i="7"/>
  <c r="I2244" i="7" s="1"/>
  <c r="M2244" i="7" s="1"/>
  <c r="N2225" i="7"/>
  <c r="N2372" i="7"/>
  <c r="N2288" i="7"/>
  <c r="N2215" i="7"/>
  <c r="N2187" i="7"/>
  <c r="N2323" i="7"/>
  <c r="D2279" i="7"/>
  <c r="I2279" i="7" s="1"/>
  <c r="M2279" i="7" s="1"/>
  <c r="D2251" i="7"/>
  <c r="I2251" i="7" s="1"/>
  <c r="M2251" i="7" s="1"/>
  <c r="D2242" i="7"/>
  <c r="I2242" i="7" s="1"/>
  <c r="M2242" i="7" s="1"/>
  <c r="N2195" i="7"/>
  <c r="N2351" i="7"/>
  <c r="N2332" i="7"/>
  <c r="N2314" i="7"/>
  <c r="N2259" i="7"/>
  <c r="D2214" i="7"/>
  <c r="I2214" i="7" s="1"/>
  <c r="M2214" i="7" s="1"/>
  <c r="N2266" i="7"/>
  <c r="D2257" i="7"/>
  <c r="I2257" i="7" s="1"/>
  <c r="M2257" i="7" s="1"/>
  <c r="N2239" i="7"/>
  <c r="N66" i="4"/>
  <c r="D2217" i="7"/>
  <c r="I2217" i="7" s="1"/>
  <c r="M2217" i="7" s="1"/>
  <c r="D2216" i="7"/>
  <c r="I2216" i="7" s="1"/>
  <c r="M2216" i="7" s="1"/>
  <c r="G69" i="4"/>
  <c r="AC69" i="4"/>
  <c r="K9" i="4" s="1"/>
  <c r="AK69" i="4"/>
  <c r="D2708" i="7"/>
  <c r="G2708" i="7" s="1"/>
  <c r="N2704" i="7"/>
  <c r="P2704" i="7" s="1"/>
  <c r="N2695" i="7"/>
  <c r="P2695" i="7" s="1"/>
  <c r="N2688" i="7"/>
  <c r="P2688" i="7" s="1"/>
  <c r="N2684" i="7"/>
  <c r="P2684" i="7" s="1"/>
  <c r="D2682" i="7"/>
  <c r="I2682" i="7" s="1"/>
  <c r="M2682" i="7" s="1"/>
  <c r="N2677" i="7"/>
  <c r="P2677" i="7" s="1"/>
  <c r="D2675" i="7"/>
  <c r="I2675" i="7" s="1"/>
  <c r="M2675" i="7" s="1"/>
  <c r="N2664" i="7"/>
  <c r="P2664" i="7" s="1"/>
  <c r="D2661" i="7"/>
  <c r="I2661" i="7" s="1"/>
  <c r="M2661" i="7" s="1"/>
  <c r="N2657" i="7"/>
  <c r="P2657" i="7" s="1"/>
  <c r="D2655" i="7"/>
  <c r="N2650" i="7"/>
  <c r="P2650" i="7" s="1"/>
  <c r="N2649" i="7"/>
  <c r="P2649" i="7" s="1"/>
  <c r="N2648" i="7"/>
  <c r="P2648" i="7" s="1"/>
  <c r="N2647" i="7"/>
  <c r="P2647" i="7" s="1"/>
  <c r="N2646" i="7"/>
  <c r="P2646" i="7" s="1"/>
  <c r="N2645" i="7"/>
  <c r="P2645" i="7" s="1"/>
  <c r="N2644" i="7"/>
  <c r="P2644" i="7" s="1"/>
  <c r="N2643" i="7"/>
  <c r="P2643" i="7" s="1"/>
  <c r="N2642" i="7"/>
  <c r="D2638" i="7"/>
  <c r="G2638" i="7" s="1"/>
  <c r="N2633" i="7"/>
  <c r="P2633" i="7" s="1"/>
  <c r="D2630" i="7"/>
  <c r="I2630" i="7" s="1"/>
  <c r="M2630" i="7" s="1"/>
  <c r="N2625" i="7"/>
  <c r="P2625" i="7" s="1"/>
  <c r="D2623" i="7"/>
  <c r="N2618" i="7"/>
  <c r="P2618" i="7" s="1"/>
  <c r="D2616" i="7"/>
  <c r="N2607" i="7"/>
  <c r="N2599" i="7"/>
  <c r="P2599" i="7" s="1"/>
  <c r="D2596" i="7"/>
  <c r="D2595" i="7"/>
  <c r="G2595" i="7" s="1"/>
  <c r="D2589" i="7"/>
  <c r="I2589" i="7" s="1"/>
  <c r="M2589" i="7" s="1"/>
  <c r="D2712" i="7"/>
  <c r="I2712" i="7" s="1"/>
  <c r="M2712" i="7" s="1"/>
  <c r="D2711" i="7"/>
  <c r="G2711" i="7" s="1"/>
  <c r="D2710" i="7"/>
  <c r="N2705" i="7"/>
  <c r="P2705" i="7" s="1"/>
  <c r="D2704" i="7"/>
  <c r="I2704" i="7" s="1"/>
  <c r="M2704" i="7" s="1"/>
  <c r="N2702" i="7"/>
  <c r="N2697" i="7"/>
  <c r="P2697" i="7" s="1"/>
  <c r="N2689" i="7"/>
  <c r="P2689" i="7" s="1"/>
  <c r="D2686" i="7"/>
  <c r="G2686" i="7" s="1"/>
  <c r="D2685" i="7"/>
  <c r="D2681" i="7"/>
  <c r="I2681" i="7" s="1"/>
  <c r="M2681" i="7" s="1"/>
  <c r="D2677" i="7"/>
  <c r="I2677" i="7" s="1"/>
  <c r="M2677" i="7" s="1"/>
  <c r="D2673" i="7"/>
  <c r="I2673" i="7" s="1"/>
  <c r="M2673" i="7" s="1"/>
  <c r="N2667" i="7"/>
  <c r="P2667" i="7" s="1"/>
  <c r="D2654" i="7"/>
  <c r="N2651" i="7"/>
  <c r="P2651" i="7" s="1"/>
  <c r="D2648" i="7"/>
  <c r="D2641" i="7"/>
  <c r="N2638" i="7"/>
  <c r="D2637" i="7"/>
  <c r="N2634" i="7"/>
  <c r="P2634" i="7" s="1"/>
  <c r="D2628" i="7"/>
  <c r="I2628" i="7" s="1"/>
  <c r="M2628" i="7" s="1"/>
  <c r="D2624" i="7"/>
  <c r="I2624" i="7" s="1"/>
  <c r="M2624" i="7" s="1"/>
  <c r="D2620" i="7"/>
  <c r="I2620" i="7" s="1"/>
  <c r="M2620" i="7" s="1"/>
  <c r="N2617" i="7"/>
  <c r="P2617" i="7" s="1"/>
  <c r="N2614" i="7"/>
  <c r="P2614" i="7" s="1"/>
  <c r="N2603" i="7"/>
  <c r="N2598" i="7"/>
  <c r="N2593" i="7"/>
  <c r="P2593" i="7" s="1"/>
  <c r="N2590" i="7"/>
  <c r="D2588" i="7"/>
  <c r="G2588" i="7" s="1"/>
  <c r="D2584" i="7"/>
  <c r="N2580" i="7"/>
  <c r="P2580" i="7" s="1"/>
  <c r="D2576" i="7"/>
  <c r="G2576" i="7" s="1"/>
  <c r="D2575" i="7"/>
  <c r="D2574" i="7"/>
  <c r="D2568" i="7"/>
  <c r="N2564" i="7"/>
  <c r="N2563" i="7"/>
  <c r="P2563" i="7" s="1"/>
  <c r="N2545" i="7"/>
  <c r="P2545" i="7" s="1"/>
  <c r="D2541" i="7"/>
  <c r="N2532" i="7"/>
  <c r="P2532" i="7" s="1"/>
  <c r="N2525" i="7"/>
  <c r="N2524" i="7"/>
  <c r="D2521" i="7"/>
  <c r="G2521" i="7" s="1"/>
  <c r="D2514" i="7"/>
  <c r="D2506" i="7"/>
  <c r="I2506" i="7" s="1"/>
  <c r="M2506" i="7" s="1"/>
  <c r="N2502" i="7"/>
  <c r="P2502" i="7" s="1"/>
  <c r="N2501" i="7"/>
  <c r="P2501" i="7" s="1"/>
  <c r="N2499" i="7"/>
  <c r="P2499" i="7" s="1"/>
  <c r="N2496" i="7"/>
  <c r="P2496" i="7" s="1"/>
  <c r="N2495" i="7"/>
  <c r="P2495" i="7" s="1"/>
  <c r="N2494" i="7"/>
  <c r="P2494" i="7" s="1"/>
  <c r="N2493" i="7"/>
  <c r="P2493" i="7" s="1"/>
  <c r="N2490" i="7"/>
  <c r="P2490" i="7" s="1"/>
  <c r="N2487" i="7"/>
  <c r="P2487" i="7" s="1"/>
  <c r="D2486" i="7"/>
  <c r="N2711" i="7"/>
  <c r="P2711" i="7" s="1"/>
  <c r="D2696" i="7"/>
  <c r="I2696" i="7" s="1"/>
  <c r="M2696" i="7" s="1"/>
  <c r="N2693" i="7"/>
  <c r="P2693" i="7" s="1"/>
  <c r="D2692" i="7"/>
  <c r="D2688" i="7"/>
  <c r="I2688" i="7" s="1"/>
  <c r="M2688" i="7" s="1"/>
  <c r="N2683" i="7"/>
  <c r="P2683" i="7" s="1"/>
  <c r="N2679" i="7"/>
  <c r="P2679" i="7" s="1"/>
  <c r="N2675" i="7"/>
  <c r="P2675" i="7" s="1"/>
  <c r="N2671" i="7"/>
  <c r="P2671" i="7" s="1"/>
  <c r="D2670" i="7"/>
  <c r="I2670" i="7" s="1"/>
  <c r="M2670" i="7" s="1"/>
  <c r="N2663" i="7"/>
  <c r="P2663" i="7" s="1"/>
  <c r="D2662" i="7"/>
  <c r="I2662" i="7" s="1"/>
  <c r="M2662" i="7" s="1"/>
  <c r="N2659" i="7"/>
  <c r="P2659" i="7" s="1"/>
  <c r="D2658" i="7"/>
  <c r="N2655" i="7"/>
  <c r="P2655" i="7" s="1"/>
  <c r="D2649" i="7"/>
  <c r="D2633" i="7"/>
  <c r="I2633" i="7" s="1"/>
  <c r="M2633" i="7" s="1"/>
  <c r="N2630" i="7"/>
  <c r="P2630" i="7" s="1"/>
  <c r="N2626" i="7"/>
  <c r="P2626" i="7" s="1"/>
  <c r="N2622" i="7"/>
  <c r="P2622" i="7" s="1"/>
  <c r="D2606" i="7"/>
  <c r="G2606" i="7" s="1"/>
  <c r="D2602" i="7"/>
  <c r="G2602" i="7" s="1"/>
  <c r="D2601" i="7"/>
  <c r="N2586" i="7"/>
  <c r="P2586" i="7" s="1"/>
  <c r="N2581" i="7"/>
  <c r="P2581" i="7" s="1"/>
  <c r="N2579" i="7"/>
  <c r="P2579" i="7" s="1"/>
  <c r="D2577" i="7"/>
  <c r="I2577" i="7" s="1"/>
  <c r="M2577" i="7" s="1"/>
  <c r="D2573" i="7"/>
  <c r="N2570" i="7"/>
  <c r="P2570" i="7" s="1"/>
  <c r="D2551" i="7"/>
  <c r="N2548" i="7"/>
  <c r="N2547" i="7"/>
  <c r="P2547" i="7" s="1"/>
  <c r="N2546" i="7"/>
  <c r="P2546" i="7" s="1"/>
  <c r="D2540" i="7"/>
  <c r="D2537" i="7"/>
  <c r="N2533" i="7"/>
  <c r="P2533" i="7" s="1"/>
  <c r="Q2533" i="7" s="1"/>
  <c r="D2530" i="7"/>
  <c r="G2530" i="7" s="1"/>
  <c r="D2523" i="7"/>
  <c r="D2522" i="7"/>
  <c r="G2522" i="7" s="1"/>
  <c r="N2517" i="7"/>
  <c r="P2517" i="7" s="1"/>
  <c r="N2510" i="7"/>
  <c r="P2510" i="7" s="1"/>
  <c r="D2507" i="7"/>
  <c r="I2507" i="7" s="1"/>
  <c r="M2507" i="7" s="1"/>
  <c r="N2498" i="7"/>
  <c r="P2498" i="7" s="1"/>
  <c r="N2492" i="7"/>
  <c r="P2492" i="7" s="1"/>
  <c r="N2489" i="7"/>
  <c r="P2489" i="7" s="1"/>
  <c r="N2708" i="7"/>
  <c r="P2708" i="7" s="1"/>
  <c r="Q2708" i="7" s="1"/>
  <c r="D2707" i="7"/>
  <c r="G2707" i="7" s="1"/>
  <c r="N2690" i="7"/>
  <c r="P2690" i="7" s="1"/>
  <c r="D2678" i="7"/>
  <c r="I2678" i="7" s="1"/>
  <c r="M2678" i="7" s="1"/>
  <c r="D2674" i="7"/>
  <c r="I2674" i="7" s="1"/>
  <c r="M2674" i="7" s="1"/>
  <c r="D2667" i="7"/>
  <c r="N2652" i="7"/>
  <c r="P2652" i="7" s="1"/>
  <c r="D2650" i="7"/>
  <c r="N2639" i="7"/>
  <c r="P2639" i="7" s="1"/>
  <c r="N2635" i="7"/>
  <c r="P2635" i="7" s="1"/>
  <c r="D2629" i="7"/>
  <c r="I2629" i="7" s="1"/>
  <c r="M2629" i="7" s="1"/>
  <c r="D2625" i="7"/>
  <c r="I2625" i="7" s="1"/>
  <c r="M2625" i="7" s="1"/>
  <c r="D2621" i="7"/>
  <c r="I2621" i="7" s="1"/>
  <c r="M2621" i="7" s="1"/>
  <c r="D2617" i="7"/>
  <c r="I2617" i="7" s="1"/>
  <c r="M2617" i="7" s="1"/>
  <c r="N2608" i="7"/>
  <c r="P2608" i="7" s="1"/>
  <c r="D2607" i="7"/>
  <c r="G2607" i="7" s="1"/>
  <c r="D2597" i="7"/>
  <c r="G2597" i="7" s="1"/>
  <c r="N2594" i="7"/>
  <c r="P2594" i="7" s="1"/>
  <c r="Q2594" i="7" s="1"/>
  <c r="D2593" i="7"/>
  <c r="N2582" i="7"/>
  <c r="P2582" i="7" s="1"/>
  <c r="N2565" i="7"/>
  <c r="P2565" i="7" s="1"/>
  <c r="N2534" i="7"/>
  <c r="P2534" i="7" s="1"/>
  <c r="D2532" i="7"/>
  <c r="D2531" i="7"/>
  <c r="G2531" i="7" s="1"/>
  <c r="N2526" i="7"/>
  <c r="P2526" i="7" s="1"/>
  <c r="N2519" i="7"/>
  <c r="P2519" i="7" s="1"/>
  <c r="Q2519" i="7" s="1"/>
  <c r="N2518" i="7"/>
  <c r="P2518" i="7" s="1"/>
  <c r="Q2518" i="7" s="1"/>
  <c r="D2508" i="7"/>
  <c r="I2508" i="7" s="1"/>
  <c r="M2508" i="7" s="1"/>
  <c r="N2503" i="7"/>
  <c r="P2503" i="7" s="1"/>
  <c r="N2497" i="7"/>
  <c r="P2497" i="7" s="1"/>
  <c r="N2488" i="7"/>
  <c r="P2488" i="7" s="1"/>
  <c r="D2487" i="7"/>
  <c r="D2705" i="7"/>
  <c r="N2712" i="7"/>
  <c r="P2712" i="7" s="1"/>
  <c r="N2706" i="7"/>
  <c r="P2706" i="7" s="1"/>
  <c r="Q2706" i="7" s="1"/>
  <c r="N2703" i="7"/>
  <c r="P2703" i="7" s="1"/>
  <c r="N2709" i="7"/>
  <c r="P2709" i="7" s="1"/>
  <c r="Q2709" i="7" s="1"/>
  <c r="N2710" i="7"/>
  <c r="P2710" i="7" s="1"/>
  <c r="D2709" i="7"/>
  <c r="G2709" i="7" s="1"/>
  <c r="N2707" i="7"/>
  <c r="D2706" i="7"/>
  <c r="G2706" i="7" s="1"/>
  <c r="D2695" i="7"/>
  <c r="I2695" i="7" s="1"/>
  <c r="M2695" i="7" s="1"/>
  <c r="N2692" i="7"/>
  <c r="P2692" i="7" s="1"/>
  <c r="D2691" i="7"/>
  <c r="I2691" i="7" s="1"/>
  <c r="M2691" i="7" s="1"/>
  <c r="D2687" i="7"/>
  <c r="I2687" i="7" s="1"/>
  <c r="M2687" i="7" s="1"/>
  <c r="N2682" i="7"/>
  <c r="P2682" i="7" s="1"/>
  <c r="N2678" i="7"/>
  <c r="P2678" i="7" s="1"/>
  <c r="N2674" i="7"/>
  <c r="P2674" i="7" s="1"/>
  <c r="N2670" i="7"/>
  <c r="P2670" i="7" s="1"/>
  <c r="D2669" i="7"/>
  <c r="I2669" i="7" s="1"/>
  <c r="M2669" i="7" s="1"/>
  <c r="D2665" i="7"/>
  <c r="I2665" i="7" s="1"/>
  <c r="M2665" i="7" s="1"/>
  <c r="N2662" i="7"/>
  <c r="P2662" i="7" s="1"/>
  <c r="N2658" i="7"/>
  <c r="P2658" i="7" s="1"/>
  <c r="D2657" i="7"/>
  <c r="I2657" i="7" s="1"/>
  <c r="M2657" i="7" s="1"/>
  <c r="D2647" i="7"/>
  <c r="D2632" i="7"/>
  <c r="I2632" i="7" s="1"/>
  <c r="M2632" i="7" s="1"/>
  <c r="N2629" i="7"/>
  <c r="P2629" i="7" s="1"/>
  <c r="N2621" i="7"/>
  <c r="P2621" i="7" s="1"/>
  <c r="N2613" i="7"/>
  <c r="P2613" i="7" s="1"/>
  <c r="D2605" i="7"/>
  <c r="G2605" i="7" s="1"/>
  <c r="N2597" i="7"/>
  <c r="D2592" i="7"/>
  <c r="N2589" i="7"/>
  <c r="P2589" i="7" s="1"/>
  <c r="N2585" i="7"/>
  <c r="P2585" i="7" s="1"/>
  <c r="N2578" i="7"/>
  <c r="P2578" i="7" s="1"/>
  <c r="Q2578" i="7" s="1"/>
  <c r="D2572" i="7"/>
  <c r="N2569" i="7"/>
  <c r="P2569" i="7" s="1"/>
  <c r="N2562" i="7"/>
  <c r="D2557" i="7"/>
  <c r="N2551" i="7"/>
  <c r="P2551" i="7" s="1"/>
  <c r="D2550" i="7"/>
  <c r="N2544" i="7"/>
  <c r="P2544" i="7" s="1"/>
  <c r="N2537" i="7"/>
  <c r="P2537" i="7" s="1"/>
  <c r="D2536" i="7"/>
  <c r="D2529" i="7"/>
  <c r="D2528" i="7"/>
  <c r="N2523" i="7"/>
  <c r="P2523" i="7" s="1"/>
  <c r="Q2523" i="7" s="1"/>
  <c r="N2516" i="7"/>
  <c r="P2516" i="7" s="1"/>
  <c r="N2515" i="7"/>
  <c r="N2509" i="7"/>
  <c r="N2508" i="7"/>
  <c r="P2508" i="7" s="1"/>
  <c r="N2500" i="7"/>
  <c r="P2500" i="7" s="1"/>
  <c r="N2491" i="7"/>
  <c r="P2491" i="7" s="1"/>
  <c r="N2700" i="7"/>
  <c r="P2700" i="7" s="1"/>
  <c r="N2685" i="7"/>
  <c r="P2685" i="7" s="1"/>
  <c r="D2659" i="7"/>
  <c r="I2659" i="7" s="1"/>
  <c r="M2659" i="7" s="1"/>
  <c r="D2644" i="7"/>
  <c r="D2622" i="7"/>
  <c r="I2622" i="7" s="1"/>
  <c r="M2622" i="7" s="1"/>
  <c r="N2612" i="7"/>
  <c r="P2612" i="7" s="1"/>
  <c r="N2610" i="7"/>
  <c r="P2610" i="7" s="1"/>
  <c r="D2608" i="7"/>
  <c r="N2601" i="7"/>
  <c r="P2601" i="7" s="1"/>
  <c r="N2540" i="7"/>
  <c r="P2540" i="7" s="1"/>
  <c r="D2504" i="7"/>
  <c r="I2504" i="7" s="1"/>
  <c r="M2504" i="7" s="1"/>
  <c r="D2496" i="7"/>
  <c r="I2496" i="7" s="1"/>
  <c r="M2496" i="7" s="1"/>
  <c r="D2494" i="7"/>
  <c r="I2494" i="7" s="1"/>
  <c r="M2494" i="7" s="1"/>
  <c r="D2492" i="7"/>
  <c r="D2703" i="7"/>
  <c r="D2698" i="7"/>
  <c r="D2690" i="7"/>
  <c r="I2690" i="7" s="1"/>
  <c r="M2690" i="7" s="1"/>
  <c r="N2687" i="7"/>
  <c r="P2687" i="7" s="1"/>
  <c r="N2669" i="7"/>
  <c r="P2669" i="7" s="1"/>
  <c r="N2666" i="7"/>
  <c r="D2664" i="7"/>
  <c r="I2664" i="7" s="1"/>
  <c r="M2664" i="7" s="1"/>
  <c r="N2661" i="7"/>
  <c r="P2661" i="7" s="1"/>
  <c r="D2656" i="7"/>
  <c r="I2656" i="7" s="1"/>
  <c r="M2656" i="7" s="1"/>
  <c r="D2640" i="7"/>
  <c r="I2640" i="7" s="1"/>
  <c r="M2640" i="7" s="1"/>
  <c r="D2635" i="7"/>
  <c r="I2635" i="7" s="1"/>
  <c r="M2635" i="7" s="1"/>
  <c r="N2632" i="7"/>
  <c r="P2632" i="7" s="1"/>
  <c r="D2599" i="7"/>
  <c r="I2599" i="7" s="1"/>
  <c r="M2599" i="7" s="1"/>
  <c r="N2592" i="7"/>
  <c r="P2592" i="7" s="1"/>
  <c r="N2571" i="7"/>
  <c r="P2571" i="7" s="1"/>
  <c r="N2566" i="7"/>
  <c r="P2566" i="7" s="1"/>
  <c r="N2560" i="7"/>
  <c r="P2560" i="7" s="1"/>
  <c r="N2558" i="7"/>
  <c r="P2558" i="7" s="1"/>
  <c r="N2556" i="7"/>
  <c r="P2556" i="7" s="1"/>
  <c r="D2549" i="7"/>
  <c r="D2547" i="7"/>
  <c r="I2547" i="7" s="1"/>
  <c r="M2547" i="7" s="1"/>
  <c r="N2542" i="7"/>
  <c r="P2542" i="7" s="1"/>
  <c r="D2533" i="7"/>
  <c r="G2533" i="7" s="1"/>
  <c r="N2529" i="7"/>
  <c r="P2529" i="7" s="1"/>
  <c r="Q2529" i="7" s="1"/>
  <c r="N2521" i="7"/>
  <c r="P2521" i="7" s="1"/>
  <c r="Q2521" i="7" s="1"/>
  <c r="D2510" i="7"/>
  <c r="N2486" i="7"/>
  <c r="P2486" i="7" s="1"/>
  <c r="D2680" i="7"/>
  <c r="I2680" i="7" s="1"/>
  <c r="M2680" i="7" s="1"/>
  <c r="D2672" i="7"/>
  <c r="I2672" i="7" s="1"/>
  <c r="M2672" i="7" s="1"/>
  <c r="D2646" i="7"/>
  <c r="D2642" i="7"/>
  <c r="N2637" i="7"/>
  <c r="P2637" i="7" s="1"/>
  <c r="D2627" i="7"/>
  <c r="I2627" i="7" s="1"/>
  <c r="M2627" i="7" s="1"/>
  <c r="N2624" i="7"/>
  <c r="P2624" i="7" s="1"/>
  <c r="D2619" i="7"/>
  <c r="I2619" i="7" s="1"/>
  <c r="M2619" i="7" s="1"/>
  <c r="N2616" i="7"/>
  <c r="P2616" i="7" s="1"/>
  <c r="D2603" i="7"/>
  <c r="G2603" i="7" s="1"/>
  <c r="D2582" i="7"/>
  <c r="N2575" i="7"/>
  <c r="P2575" i="7" s="1"/>
  <c r="N2573" i="7"/>
  <c r="P2573" i="7" s="1"/>
  <c r="N2554" i="7"/>
  <c r="P2554" i="7" s="1"/>
  <c r="D2535" i="7"/>
  <c r="G2535" i="7" s="1"/>
  <c r="D2527" i="7"/>
  <c r="G2527" i="7" s="1"/>
  <c r="D2525" i="7"/>
  <c r="G2525" i="7" s="1"/>
  <c r="N2512" i="7"/>
  <c r="P2512" i="7" s="1"/>
  <c r="N2505" i="7"/>
  <c r="P2505" i="7" s="1"/>
  <c r="D2503" i="7"/>
  <c r="N2699" i="7"/>
  <c r="P2699" i="7" s="1"/>
  <c r="D2697" i="7"/>
  <c r="I2697" i="7" s="1"/>
  <c r="M2697" i="7" s="1"/>
  <c r="N2694" i="7"/>
  <c r="P2694" i="7" s="1"/>
  <c r="D2689" i="7"/>
  <c r="I2689" i="7" s="1"/>
  <c r="M2689" i="7" s="1"/>
  <c r="N2686" i="7"/>
  <c r="P2686" i="7" s="1"/>
  <c r="D2671" i="7"/>
  <c r="N2668" i="7"/>
  <c r="P2668" i="7" s="1"/>
  <c r="D2663" i="7"/>
  <c r="I2663" i="7" s="1"/>
  <c r="M2663" i="7" s="1"/>
  <c r="N2660" i="7"/>
  <c r="P2660" i="7" s="1"/>
  <c r="D2643" i="7"/>
  <c r="G2643" i="7" s="1"/>
  <c r="D2639" i="7"/>
  <c r="I2639" i="7" s="1"/>
  <c r="M2639" i="7" s="1"/>
  <c r="N2636" i="7"/>
  <c r="D2634" i="7"/>
  <c r="I2634" i="7" s="1"/>
  <c r="M2634" i="7" s="1"/>
  <c r="N2631" i="7"/>
  <c r="P2631" i="7" s="1"/>
  <c r="N2615" i="7"/>
  <c r="P2615" i="7" s="1"/>
  <c r="N2609" i="7"/>
  <c r="P2609" i="7" s="1"/>
  <c r="N2605" i="7"/>
  <c r="P2605" i="7" s="1"/>
  <c r="Q2605" i="7" s="1"/>
  <c r="N2591" i="7"/>
  <c r="P2591" i="7" s="1"/>
  <c r="N2584" i="7"/>
  <c r="P2584" i="7" s="1"/>
  <c r="D2580" i="7"/>
  <c r="D2571" i="7"/>
  <c r="N2528" i="7"/>
  <c r="P2528" i="7" s="1"/>
  <c r="D2488" i="7"/>
  <c r="N2485" i="7"/>
  <c r="N2691" i="7"/>
  <c r="P2691" i="7" s="1"/>
  <c r="D2679" i="7"/>
  <c r="I2679" i="7" s="1"/>
  <c r="M2679" i="7" s="1"/>
  <c r="N2676" i="7"/>
  <c r="P2676" i="7" s="1"/>
  <c r="N2665" i="7"/>
  <c r="P2665" i="7" s="1"/>
  <c r="D2626" i="7"/>
  <c r="I2626" i="7" s="1"/>
  <c r="M2626" i="7" s="1"/>
  <c r="N2623" i="7"/>
  <c r="P2623" i="7" s="1"/>
  <c r="D2618" i="7"/>
  <c r="I2618" i="7" s="1"/>
  <c r="M2618" i="7" s="1"/>
  <c r="N2611" i="7"/>
  <c r="P2611" i="7" s="1"/>
  <c r="D2591" i="7"/>
  <c r="N2577" i="7"/>
  <c r="P2577" i="7" s="1"/>
  <c r="N2568" i="7"/>
  <c r="P2568" i="7" s="1"/>
  <c r="N2559" i="7"/>
  <c r="P2559" i="7" s="1"/>
  <c r="D2546" i="7"/>
  <c r="I2546" i="7" s="1"/>
  <c r="M2546" i="7" s="1"/>
  <c r="N2541" i="7"/>
  <c r="P2541" i="7" s="1"/>
  <c r="N2538" i="7"/>
  <c r="P2538" i="7" s="1"/>
  <c r="D2526" i="7"/>
  <c r="N2522" i="7"/>
  <c r="P2522" i="7" s="1"/>
  <c r="Q2522" i="7" s="1"/>
  <c r="N2520" i="7"/>
  <c r="P2520" i="7" s="1"/>
  <c r="Q2520" i="7" s="1"/>
  <c r="N2514" i="7"/>
  <c r="N2507" i="7"/>
  <c r="P2507" i="7" s="1"/>
  <c r="D2497" i="7"/>
  <c r="D2495" i="7"/>
  <c r="I2495" i="7" s="1"/>
  <c r="M2495" i="7" s="1"/>
  <c r="N2701" i="7"/>
  <c r="D2694" i="7"/>
  <c r="I2694" i="7" s="1"/>
  <c r="M2694" i="7" s="1"/>
  <c r="D2684" i="7"/>
  <c r="N2681" i="7"/>
  <c r="P2681" i="7" s="1"/>
  <c r="D2676" i="7"/>
  <c r="N2673" i="7"/>
  <c r="P2673" i="7" s="1"/>
  <c r="D2668" i="7"/>
  <c r="D2652" i="7"/>
  <c r="I2652" i="7" s="1"/>
  <c r="M2652" i="7" s="1"/>
  <c r="D2645" i="7"/>
  <c r="N2641" i="7"/>
  <c r="P2641" i="7" s="1"/>
  <c r="D2631" i="7"/>
  <c r="I2631" i="7" s="1"/>
  <c r="M2631" i="7" s="1"/>
  <c r="N2628" i="7"/>
  <c r="P2628" i="7" s="1"/>
  <c r="N2620" i="7"/>
  <c r="P2620" i="7" s="1"/>
  <c r="D2615" i="7"/>
  <c r="N2604" i="7"/>
  <c r="P2604" i="7" s="1"/>
  <c r="N2602" i="7"/>
  <c r="N2600" i="7"/>
  <c r="P2600" i="7" s="1"/>
  <c r="Q2600" i="7" s="1"/>
  <c r="D2598" i="7"/>
  <c r="N2596" i="7"/>
  <c r="N2696" i="7"/>
  <c r="P2696" i="7" s="1"/>
  <c r="D2660" i="7"/>
  <c r="I2660" i="7" s="1"/>
  <c r="M2660" i="7" s="1"/>
  <c r="N2654" i="7"/>
  <c r="P2654" i="7" s="1"/>
  <c r="N2698" i="7"/>
  <c r="P2698" i="7" s="1"/>
  <c r="D2693" i="7"/>
  <c r="I2693" i="7" s="1"/>
  <c r="M2693" i="7" s="1"/>
  <c r="D2683" i="7"/>
  <c r="I2683" i="7" s="1"/>
  <c r="M2683" i="7" s="1"/>
  <c r="N2680" i="7"/>
  <c r="P2680" i="7" s="1"/>
  <c r="N2672" i="7"/>
  <c r="P2672" i="7" s="1"/>
  <c r="N2656" i="7"/>
  <c r="P2656" i="7" s="1"/>
  <c r="N2653" i="7"/>
  <c r="D2651" i="7"/>
  <c r="I2651" i="7" s="1"/>
  <c r="M2651" i="7" s="1"/>
  <c r="N2640" i="7"/>
  <c r="P2640" i="7" s="1"/>
  <c r="N2627" i="7"/>
  <c r="P2627" i="7" s="1"/>
  <c r="N2619" i="7"/>
  <c r="P2619" i="7" s="1"/>
  <c r="N2606" i="7"/>
  <c r="D2604" i="7"/>
  <c r="D2600" i="7"/>
  <c r="N2595" i="7"/>
  <c r="P2595" i="7" s="1"/>
  <c r="Q2595" i="7" s="1"/>
  <c r="N2587" i="7"/>
  <c r="P2587" i="7" s="1"/>
  <c r="Q2587" i="7" s="1"/>
  <c r="D2583" i="7"/>
  <c r="I2583" i="7" s="1"/>
  <c r="M2583" i="7" s="1"/>
  <c r="N2576" i="7"/>
  <c r="N2572" i="7"/>
  <c r="P2572" i="7" s="1"/>
  <c r="N2557" i="7"/>
  <c r="P2557" i="7" s="1"/>
  <c r="N2553" i="7"/>
  <c r="P2553" i="7" s="1"/>
  <c r="N2549" i="7"/>
  <c r="P2549" i="7" s="1"/>
  <c r="N2535" i="7"/>
  <c r="P2535" i="7" s="1"/>
  <c r="Q2535" i="7" s="1"/>
  <c r="N2531" i="7"/>
  <c r="N2527" i="7"/>
  <c r="P2527" i="7" s="1"/>
  <c r="Q2527" i="7" s="1"/>
  <c r="D2517" i="7"/>
  <c r="D2511" i="7"/>
  <c r="N2506" i="7"/>
  <c r="P2506" i="7" s="1"/>
  <c r="D2500" i="7"/>
  <c r="D2565" i="7"/>
  <c r="D2579" i="7"/>
  <c r="N2536" i="7"/>
  <c r="P2536" i="7" s="1"/>
  <c r="N2504" i="7"/>
  <c r="P2504" i="7" s="1"/>
  <c r="D2594" i="7"/>
  <c r="G2594" i="7" s="1"/>
  <c r="D2570" i="7"/>
  <c r="N2539" i="7"/>
  <c r="P2539" i="7" s="1"/>
  <c r="N2511" i="7"/>
  <c r="P2511" i="7" s="1"/>
  <c r="Q2511" i="7" s="1"/>
  <c r="N2583" i="7"/>
  <c r="P2583" i="7" s="1"/>
  <c r="N2561" i="7"/>
  <c r="N2530" i="7"/>
  <c r="D2520" i="7"/>
  <c r="N2552" i="7"/>
  <c r="P2552" i="7" s="1"/>
  <c r="D2534" i="7"/>
  <c r="G2534" i="7" s="1"/>
  <c r="D2581" i="7"/>
  <c r="N2567" i="7"/>
  <c r="P2567" i="7" s="1"/>
  <c r="N2555" i="7"/>
  <c r="P2555" i="7" s="1"/>
  <c r="N2588" i="7"/>
  <c r="P2588" i="7" s="1"/>
  <c r="Q2588" i="7" s="1"/>
  <c r="N2574" i="7"/>
  <c r="P2574" i="7" s="1"/>
  <c r="N2550" i="7"/>
  <c r="P2550" i="7" s="1"/>
  <c r="N2543" i="7"/>
  <c r="P2543" i="7" s="1"/>
  <c r="D2524" i="7"/>
  <c r="G2524" i="7" s="1"/>
  <c r="N2513" i="7"/>
  <c r="D2493" i="7"/>
  <c r="I2493" i="7" s="1"/>
  <c r="M2493" i="7" s="1"/>
  <c r="D2485" i="7"/>
  <c r="D2491" i="7"/>
  <c r="K75" i="4"/>
  <c r="R14" i="4" s="1"/>
  <c r="I2611" i="7"/>
  <c r="M2611" i="7" s="1"/>
  <c r="D2612" i="7"/>
  <c r="I2612" i="7" s="1"/>
  <c r="M2612" i="7" s="1"/>
  <c r="C21" i="11"/>
  <c r="N2938" i="7"/>
  <c r="P2938" i="7" s="1"/>
  <c r="Q2938" i="7" s="1"/>
  <c r="N2932" i="7"/>
  <c r="D2927" i="7"/>
  <c r="I2927" i="7" s="1"/>
  <c r="M2927" i="7" s="1"/>
  <c r="N2922" i="7"/>
  <c r="P2922" i="7" s="1"/>
  <c r="D2920" i="7"/>
  <c r="I2920" i="7" s="1"/>
  <c r="M2920" i="7" s="1"/>
  <c r="N2915" i="7"/>
  <c r="P2915" i="7" s="1"/>
  <c r="N2912" i="7"/>
  <c r="P2912" i="7" s="1"/>
  <c r="D2909" i="7"/>
  <c r="I2909" i="7" s="1"/>
  <c r="M2909" i="7" s="1"/>
  <c r="D2902" i="7"/>
  <c r="I2902" i="7" s="1"/>
  <c r="M2902" i="7" s="1"/>
  <c r="N2898" i="7"/>
  <c r="P2898" i="7" s="1"/>
  <c r="D2896" i="7"/>
  <c r="N2891" i="7"/>
  <c r="P2891" i="7" s="1"/>
  <c r="D2939" i="7"/>
  <c r="I2939" i="7" s="1"/>
  <c r="M2939" i="7" s="1"/>
  <c r="M2935" i="7" s="1"/>
  <c r="D2930" i="7"/>
  <c r="N2926" i="7"/>
  <c r="P2926" i="7" s="1"/>
  <c r="D2921" i="7"/>
  <c r="I2921" i="7" s="1"/>
  <c r="M2921" i="7" s="1"/>
  <c r="N2918" i="7"/>
  <c r="P2918" i="7" s="1"/>
  <c r="D2911" i="7"/>
  <c r="I2911" i="7" s="1"/>
  <c r="M2911" i="7" s="1"/>
  <c r="N2908" i="7"/>
  <c r="P2908" i="7" s="1"/>
  <c r="N2904" i="7"/>
  <c r="P2904" i="7" s="1"/>
  <c r="D2903" i="7"/>
  <c r="I2903" i="7" s="1"/>
  <c r="M2903" i="7" s="1"/>
  <c r="N2900" i="7"/>
  <c r="P2900" i="7" s="1"/>
  <c r="D2899" i="7"/>
  <c r="N2896" i="7"/>
  <c r="P2896" i="7" s="1"/>
  <c r="D2891" i="7"/>
  <c r="I2891" i="7" s="1"/>
  <c r="M2891" i="7" s="1"/>
  <c r="N2888" i="7"/>
  <c r="P2888" i="7" s="1"/>
  <c r="D2886" i="7"/>
  <c r="N2882" i="7"/>
  <c r="P2882" i="7" s="1"/>
  <c r="D2879" i="7"/>
  <c r="I2879" i="7" s="1"/>
  <c r="M2879" i="7" s="1"/>
  <c r="D2878" i="7"/>
  <c r="D2877" i="7"/>
  <c r="D2876" i="7"/>
  <c r="D2875" i="7"/>
  <c r="D2874" i="7"/>
  <c r="D2873" i="7"/>
  <c r="D2872" i="7"/>
  <c r="D2871" i="7"/>
  <c r="N2865" i="7"/>
  <c r="P2865" i="7" s="1"/>
  <c r="D2862" i="7"/>
  <c r="I2862" i="7" s="1"/>
  <c r="M2862" i="7" s="1"/>
  <c r="N2857" i="7"/>
  <c r="P2857" i="7" s="1"/>
  <c r="D2854" i="7"/>
  <c r="I2854" i="7" s="1"/>
  <c r="M2854" i="7" s="1"/>
  <c r="N2850" i="7"/>
  <c r="P2850" i="7" s="1"/>
  <c r="D2847" i="7"/>
  <c r="I2847" i="7" s="1"/>
  <c r="M2847" i="7" s="1"/>
  <c r="N2843" i="7"/>
  <c r="P2843" i="7" s="1"/>
  <c r="D2840" i="7"/>
  <c r="D2832" i="7"/>
  <c r="N2827" i="7"/>
  <c r="P2827" i="7" s="1"/>
  <c r="Q2827" i="7" s="1"/>
  <c r="N2826" i="7"/>
  <c r="P2826" i="7" s="1"/>
  <c r="Q2826" i="7" s="1"/>
  <c r="N2820" i="7"/>
  <c r="P2820" i="7" s="1"/>
  <c r="Q2820" i="7" s="1"/>
  <c r="N2809" i="7"/>
  <c r="P2809" i="7" s="1"/>
  <c r="D2801" i="7"/>
  <c r="D2786" i="7"/>
  <c r="N2782" i="7"/>
  <c r="N2781" i="7"/>
  <c r="P2781" i="7" s="1"/>
  <c r="D2776" i="7"/>
  <c r="D2775" i="7"/>
  <c r="N2770" i="7"/>
  <c r="P2770" i="7" s="1"/>
  <c r="D2769" i="7"/>
  <c r="N2763" i="7"/>
  <c r="P2763" i="7" s="1"/>
  <c r="N2752" i="7"/>
  <c r="P2752" i="7" s="1"/>
  <c r="N2745" i="7"/>
  <c r="P2745" i="7" s="1"/>
  <c r="Q2745" i="7" s="1"/>
  <c r="N2744" i="7"/>
  <c r="P2744" i="7" s="1"/>
  <c r="Q2744" i="7" s="1"/>
  <c r="D2741" i="7"/>
  <c r="G2741" i="7" s="1"/>
  <c r="D2734" i="7"/>
  <c r="I2734" i="7" s="1"/>
  <c r="M2734" i="7" s="1"/>
  <c r="N2728" i="7"/>
  <c r="P2728" i="7" s="1"/>
  <c r="N2727" i="7"/>
  <c r="P2727" i="7" s="1"/>
  <c r="N2725" i="7"/>
  <c r="P2725" i="7" s="1"/>
  <c r="N2936" i="7"/>
  <c r="P2936" i="7" s="1"/>
  <c r="Q2936" i="7" s="1"/>
  <c r="D2935" i="7"/>
  <c r="D2931" i="7"/>
  <c r="G2931" i="7" s="1"/>
  <c r="D2929" i="7"/>
  <c r="D2925" i="7"/>
  <c r="I2925" i="7" s="1"/>
  <c r="M2925" i="7" s="1"/>
  <c r="D2917" i="7"/>
  <c r="I2917" i="7" s="1"/>
  <c r="M2917" i="7" s="1"/>
  <c r="D2907" i="7"/>
  <c r="I2907" i="7" s="1"/>
  <c r="M2907" i="7" s="1"/>
  <c r="N2893" i="7"/>
  <c r="P2893" i="7" s="1"/>
  <c r="D2880" i="7"/>
  <c r="I2880" i="7" s="1"/>
  <c r="M2880" i="7" s="1"/>
  <c r="D2870" i="7"/>
  <c r="G2870" i="7" s="1"/>
  <c r="N2866" i="7"/>
  <c r="P2866" i="7" s="1"/>
  <c r="Q2866" i="7" s="1"/>
  <c r="D2863" i="7"/>
  <c r="I2863" i="7" s="1"/>
  <c r="M2863" i="7" s="1"/>
  <c r="N2858" i="7"/>
  <c r="P2858" i="7" s="1"/>
  <c r="D2855" i="7"/>
  <c r="I2855" i="7" s="1"/>
  <c r="M2855" i="7" s="1"/>
  <c r="D2848" i="7"/>
  <c r="I2848" i="7" s="1"/>
  <c r="M2848" i="7" s="1"/>
  <c r="N2836" i="7"/>
  <c r="P2836" i="7" s="1"/>
  <c r="D2834" i="7"/>
  <c r="G2834" i="7" s="1"/>
  <c r="D2825" i="7"/>
  <c r="N2822" i="7"/>
  <c r="N2821" i="7"/>
  <c r="P2821" i="7" s="1"/>
  <c r="N2812" i="7"/>
  <c r="P2812" i="7" s="1"/>
  <c r="D2805" i="7"/>
  <c r="N2788" i="7"/>
  <c r="P2788" i="7" s="1"/>
  <c r="D2779" i="7"/>
  <c r="G2779" i="7" s="1"/>
  <c r="D2778" i="7"/>
  <c r="D2774" i="7"/>
  <c r="I2774" i="7" s="1"/>
  <c r="M2774" i="7" s="1"/>
  <c r="N2764" i="7"/>
  <c r="P2764" i="7" s="1"/>
  <c r="D2761" i="7"/>
  <c r="I2761" i="7" s="1"/>
  <c r="M2761" i="7" s="1"/>
  <c r="D2760" i="7"/>
  <c r="D2757" i="7"/>
  <c r="N2753" i="7"/>
  <c r="P2753" i="7" s="1"/>
  <c r="Q2753" i="7" s="1"/>
  <c r="D2750" i="7"/>
  <c r="G2750" i="7" s="1"/>
  <c r="D2743" i="7"/>
  <c r="D2742" i="7"/>
  <c r="G2742" i="7" s="1"/>
  <c r="N2737" i="7"/>
  <c r="P2737" i="7" s="1"/>
  <c r="D2736" i="7"/>
  <c r="N2937" i="7"/>
  <c r="N2933" i="7"/>
  <c r="P2933" i="7" s="1"/>
  <c r="D2932" i="7"/>
  <c r="G2932" i="7" s="1"/>
  <c r="N2927" i="7"/>
  <c r="P2927" i="7" s="1"/>
  <c r="N2923" i="7"/>
  <c r="P2923" i="7" s="1"/>
  <c r="D2922" i="7"/>
  <c r="N2919" i="7"/>
  <c r="P2919" i="7" s="1"/>
  <c r="N2914" i="7"/>
  <c r="P2914" i="7" s="1"/>
  <c r="N2913" i="7"/>
  <c r="P2913" i="7" s="1"/>
  <c r="Q2913" i="7" s="1"/>
  <c r="D2912" i="7"/>
  <c r="I2912" i="7" s="1"/>
  <c r="M2912" i="7" s="1"/>
  <c r="N2909" i="7"/>
  <c r="P2909" i="7" s="1"/>
  <c r="N2905" i="7"/>
  <c r="P2905" i="7" s="1"/>
  <c r="D2904" i="7"/>
  <c r="I2904" i="7" s="1"/>
  <c r="M2904" i="7" s="1"/>
  <c r="N2901" i="7"/>
  <c r="P2901" i="7" s="1"/>
  <c r="N2897" i="7"/>
  <c r="P2897" i="7" s="1"/>
  <c r="N2894" i="7"/>
  <c r="D2892" i="7"/>
  <c r="I2892" i="7" s="1"/>
  <c r="M2892" i="7" s="1"/>
  <c r="N2889" i="7"/>
  <c r="P2889" i="7" s="1"/>
  <c r="D2887" i="7"/>
  <c r="I2887" i="7" s="1"/>
  <c r="M2887" i="7" s="1"/>
  <c r="N2883" i="7"/>
  <c r="P2883" i="7" s="1"/>
  <c r="D2882" i="7"/>
  <c r="N2867" i="7"/>
  <c r="P2867" i="7" s="1"/>
  <c r="D2865" i="7"/>
  <c r="N2859" i="7"/>
  <c r="P2859" i="7" s="1"/>
  <c r="D2856" i="7"/>
  <c r="I2856" i="7" s="1"/>
  <c r="M2856" i="7" s="1"/>
  <c r="N2851" i="7"/>
  <c r="P2851" i="7" s="1"/>
  <c r="D2849" i="7"/>
  <c r="I2849" i="7" s="1"/>
  <c r="M2849" i="7" s="1"/>
  <c r="N2844" i="7"/>
  <c r="P2844" i="7" s="1"/>
  <c r="D2843" i="7"/>
  <c r="N2837" i="7"/>
  <c r="P2837" i="7" s="1"/>
  <c r="D2835" i="7"/>
  <c r="G2835" i="7" s="1"/>
  <c r="D2833" i="7"/>
  <c r="G2833" i="7" s="1"/>
  <c r="N2828" i="7"/>
  <c r="P2828" i="7" s="1"/>
  <c r="N2815" i="7"/>
  <c r="P2815" i="7" s="1"/>
  <c r="N2814" i="7"/>
  <c r="P2814" i="7" s="1"/>
  <c r="Q2814" i="7" s="1"/>
  <c r="N2813" i="7"/>
  <c r="D2809" i="7"/>
  <c r="N2792" i="7"/>
  <c r="P2792" i="7" s="1"/>
  <c r="N2791" i="7"/>
  <c r="P2791" i="7" s="1"/>
  <c r="N2790" i="7"/>
  <c r="D2787" i="7"/>
  <c r="I2787" i="7" s="1"/>
  <c r="M2787" i="7" s="1"/>
  <c r="N2783" i="7"/>
  <c r="P2783" i="7" s="1"/>
  <c r="D2780" i="7"/>
  <c r="G2780" i="7" s="1"/>
  <c r="D2777" i="7"/>
  <c r="I2777" i="7" s="1"/>
  <c r="M2777" i="7" s="1"/>
  <c r="D2773" i="7"/>
  <c r="I2773" i="7" s="1"/>
  <c r="M2773" i="7" s="1"/>
  <c r="D2770" i="7"/>
  <c r="N2767" i="7"/>
  <c r="N2766" i="7"/>
  <c r="P2766" i="7" s="1"/>
  <c r="N2765" i="7"/>
  <c r="P2765" i="7" s="1"/>
  <c r="D2762" i="7"/>
  <c r="I2762" i="7" s="1"/>
  <c r="M2762" i="7" s="1"/>
  <c r="D2759" i="7"/>
  <c r="N2754" i="7"/>
  <c r="P2754" i="7" s="1"/>
  <c r="Q2754" i="7" s="1"/>
  <c r="D2752" i="7"/>
  <c r="D2751" i="7"/>
  <c r="G2751" i="7" s="1"/>
  <c r="N2746" i="7"/>
  <c r="P2746" i="7" s="1"/>
  <c r="Q2746" i="7" s="1"/>
  <c r="N2739" i="7"/>
  <c r="P2739" i="7" s="1"/>
  <c r="N2738" i="7"/>
  <c r="P2738" i="7" s="1"/>
  <c r="Q2738" i="7" s="1"/>
  <c r="N2729" i="7"/>
  <c r="P2729" i="7" s="1"/>
  <c r="D2723" i="7"/>
  <c r="I2723" i="7" s="1"/>
  <c r="M2723" i="7" s="1"/>
  <c r="D2722" i="7"/>
  <c r="I2722" i="7" s="1"/>
  <c r="M2722" i="7" s="1"/>
  <c r="D2721" i="7"/>
  <c r="I2721" i="7" s="1"/>
  <c r="M2721" i="7" s="1"/>
  <c r="D2718" i="7"/>
  <c r="I2718" i="7" s="1"/>
  <c r="M2718" i="7" s="1"/>
  <c r="N2935" i="7"/>
  <c r="P2935" i="7" s="1"/>
  <c r="D2934" i="7"/>
  <c r="I2934" i="7" s="1"/>
  <c r="M2934" i="7" s="1"/>
  <c r="D2924" i="7"/>
  <c r="I2924" i="7" s="1"/>
  <c r="M2924" i="7" s="1"/>
  <c r="D2916" i="7"/>
  <c r="I2916" i="7" s="1"/>
  <c r="M2916" i="7" s="1"/>
  <c r="D2915" i="7"/>
  <c r="G2915" i="7" s="1"/>
  <c r="D2914" i="7"/>
  <c r="G2914" i="7" s="1"/>
  <c r="D2906" i="7"/>
  <c r="I2906" i="7" s="1"/>
  <c r="M2906" i="7" s="1"/>
  <c r="D2895" i="7"/>
  <c r="N2892" i="7"/>
  <c r="P2892" i="7" s="1"/>
  <c r="N2887" i="7"/>
  <c r="P2887" i="7" s="1"/>
  <c r="D2885" i="7"/>
  <c r="I2885" i="7" s="1"/>
  <c r="M2885" i="7" s="1"/>
  <c r="D2869" i="7"/>
  <c r="D2861" i="7"/>
  <c r="I2861" i="7" s="1"/>
  <c r="M2861" i="7" s="1"/>
  <c r="N2856" i="7"/>
  <c r="P2856" i="7" s="1"/>
  <c r="D2853" i="7"/>
  <c r="I2853" i="7" s="1"/>
  <c r="M2853" i="7" s="1"/>
  <c r="N2849" i="7"/>
  <c r="P2849" i="7" s="1"/>
  <c r="D2846" i="7"/>
  <c r="I2846" i="7" s="1"/>
  <c r="M2846" i="7" s="1"/>
  <c r="D2839" i="7"/>
  <c r="G2839" i="7" s="1"/>
  <c r="N2835" i="7"/>
  <c r="D2831" i="7"/>
  <c r="I2831" i="7" s="1"/>
  <c r="M2831" i="7" s="1"/>
  <c r="D2830" i="7"/>
  <c r="G2830" i="7" s="1"/>
  <c r="N2825" i="7"/>
  <c r="P2825" i="7" s="1"/>
  <c r="Q2825" i="7" s="1"/>
  <c r="D2824" i="7"/>
  <c r="N2819" i="7"/>
  <c r="P2819" i="7" s="1"/>
  <c r="Q2819" i="7" s="1"/>
  <c r="N2811" i="7"/>
  <c r="P2811" i="7" s="1"/>
  <c r="N2810" i="7"/>
  <c r="N2805" i="7"/>
  <c r="P2805" i="7" s="1"/>
  <c r="D2797" i="7"/>
  <c r="N2787" i="7"/>
  <c r="P2787" i="7" s="1"/>
  <c r="D2785" i="7"/>
  <c r="I2785" i="7" s="1"/>
  <c r="M2785" i="7" s="1"/>
  <c r="N2780" i="7"/>
  <c r="N2771" i="7"/>
  <c r="P2771" i="7" s="1"/>
  <c r="N2762" i="7"/>
  <c r="P2762" i="7" s="1"/>
  <c r="N2757" i="7"/>
  <c r="P2757" i="7" s="1"/>
  <c r="D2756" i="7"/>
  <c r="D2749" i="7"/>
  <c r="D2748" i="7"/>
  <c r="G2748" i="7" s="1"/>
  <c r="N2743" i="7"/>
  <c r="N2736" i="7"/>
  <c r="P2736" i="7" s="1"/>
  <c r="D2733" i="7"/>
  <c r="I2733" i="7" s="1"/>
  <c r="M2733" i="7" s="1"/>
  <c r="D2732" i="7"/>
  <c r="I2732" i="7" s="1"/>
  <c r="M2732" i="7" s="1"/>
  <c r="D2731" i="7"/>
  <c r="I2731" i="7" s="1"/>
  <c r="M2731" i="7" s="1"/>
  <c r="N2726" i="7"/>
  <c r="P2726" i="7" s="1"/>
  <c r="N2723" i="7"/>
  <c r="P2723" i="7" s="1"/>
  <c r="N2719" i="7"/>
  <c r="P2719" i="7" s="1"/>
  <c r="N2929" i="7"/>
  <c r="P2929" i="7" s="1"/>
  <c r="N2924" i="7"/>
  <c r="P2924" i="7" s="1"/>
  <c r="N2916" i="7"/>
  <c r="P2916" i="7" s="1"/>
  <c r="N2906" i="7"/>
  <c r="P2906" i="7" s="1"/>
  <c r="D2893" i="7"/>
  <c r="I2893" i="7" s="1"/>
  <c r="M2893" i="7" s="1"/>
  <c r="N2890" i="7"/>
  <c r="P2890" i="7" s="1"/>
  <c r="N2885" i="7"/>
  <c r="P2885" i="7" s="1"/>
  <c r="D2883" i="7"/>
  <c r="N2878" i="7"/>
  <c r="P2878" i="7" s="1"/>
  <c r="N2876" i="7"/>
  <c r="P2876" i="7" s="1"/>
  <c r="N2874" i="7"/>
  <c r="P2874" i="7" s="1"/>
  <c r="N2872" i="7"/>
  <c r="P2872" i="7" s="1"/>
  <c r="N2870" i="7"/>
  <c r="P2870" i="7" s="1"/>
  <c r="Q2870" i="7" s="1"/>
  <c r="N2868" i="7"/>
  <c r="P2868" i="7" s="1"/>
  <c r="N2864" i="7"/>
  <c r="D2860" i="7"/>
  <c r="I2860" i="7" s="1"/>
  <c r="M2860" i="7" s="1"/>
  <c r="N2855" i="7"/>
  <c r="P2855" i="7" s="1"/>
  <c r="N2848" i="7"/>
  <c r="P2848" i="7" s="1"/>
  <c r="N2839" i="7"/>
  <c r="N2831" i="7"/>
  <c r="P2831" i="7" s="1"/>
  <c r="D2823" i="7"/>
  <c r="N2816" i="7"/>
  <c r="P2816" i="7" s="1"/>
  <c r="N2773" i="7"/>
  <c r="P2773" i="7" s="1"/>
  <c r="D2772" i="7"/>
  <c r="D2768" i="7"/>
  <c r="D2766" i="7"/>
  <c r="I2766" i="7" s="1"/>
  <c r="M2766" i="7" s="1"/>
  <c r="N2761" i="7"/>
  <c r="P2761" i="7" s="1"/>
  <c r="D2744" i="7"/>
  <c r="G2744" i="7" s="1"/>
  <c r="D2740" i="7"/>
  <c r="D2715" i="7"/>
  <c r="D2713" i="7"/>
  <c r="D2936" i="7"/>
  <c r="G2936" i="7" s="1"/>
  <c r="N2931" i="7"/>
  <c r="D2919" i="7"/>
  <c r="I2919" i="7" s="1"/>
  <c r="M2919" i="7" s="1"/>
  <c r="D2901" i="7"/>
  <c r="I2901" i="7" s="1"/>
  <c r="M2901" i="7" s="1"/>
  <c r="N2895" i="7"/>
  <c r="P2895" i="7" s="1"/>
  <c r="D2857" i="7"/>
  <c r="I2857" i="7" s="1"/>
  <c r="M2857" i="7" s="1"/>
  <c r="N2852" i="7"/>
  <c r="P2852" i="7" s="1"/>
  <c r="D2850" i="7"/>
  <c r="I2850" i="7" s="1"/>
  <c r="M2850" i="7" s="1"/>
  <c r="N2845" i="7"/>
  <c r="P2845" i="7" s="1"/>
  <c r="N2841" i="7"/>
  <c r="P2841" i="7" s="1"/>
  <c r="D2837" i="7"/>
  <c r="G2837" i="7" s="1"/>
  <c r="D2763" i="7"/>
  <c r="I2763" i="7" s="1"/>
  <c r="M2763" i="7" s="1"/>
  <c r="D2758" i="7"/>
  <c r="I2758" i="7" s="1"/>
  <c r="M2758" i="7" s="1"/>
  <c r="N2755" i="7"/>
  <c r="P2755" i="7" s="1"/>
  <c r="N2751" i="7"/>
  <c r="N2747" i="7"/>
  <c r="P2747" i="7" s="1"/>
  <c r="Q2747" i="7" s="1"/>
  <c r="D2737" i="7"/>
  <c r="N2732" i="7"/>
  <c r="P2732" i="7" s="1"/>
  <c r="N2730" i="7"/>
  <c r="P2730" i="7" s="1"/>
  <c r="N2717" i="7"/>
  <c r="P2717" i="7" s="1"/>
  <c r="D2933" i="7"/>
  <c r="N2921" i="7"/>
  <c r="P2921" i="7" s="1"/>
  <c r="N2911" i="7"/>
  <c r="P2911" i="7" s="1"/>
  <c r="N2903" i="7"/>
  <c r="P2903" i="7" s="1"/>
  <c r="D2898" i="7"/>
  <c r="I2898" i="7" s="1"/>
  <c r="M2898" i="7" s="1"/>
  <c r="D2890" i="7"/>
  <c r="I2890" i="7" s="1"/>
  <c r="M2890" i="7" s="1"/>
  <c r="N2880" i="7"/>
  <c r="P2880" i="7" s="1"/>
  <c r="D2866" i="7"/>
  <c r="G2866" i="7" s="1"/>
  <c r="N2861" i="7"/>
  <c r="P2861" i="7" s="1"/>
  <c r="D2829" i="7"/>
  <c r="G2829" i="7" s="1"/>
  <c r="D2827" i="7"/>
  <c r="G2827" i="7" s="1"/>
  <c r="N2818" i="7"/>
  <c r="P2818" i="7" s="1"/>
  <c r="D2816" i="7"/>
  <c r="D2814" i="7"/>
  <c r="G2814" i="7" s="1"/>
  <c r="N2795" i="7"/>
  <c r="P2795" i="7" s="1"/>
  <c r="N2789" i="7"/>
  <c r="P2789" i="7" s="1"/>
  <c r="N2784" i="7"/>
  <c r="P2784" i="7" s="1"/>
  <c r="N2778" i="7"/>
  <c r="P2778" i="7" s="1"/>
  <c r="D2728" i="7"/>
  <c r="I2728" i="7" s="1"/>
  <c r="M2728" i="7" s="1"/>
  <c r="D2725" i="7"/>
  <c r="I2725" i="7" s="1"/>
  <c r="M2725" i="7" s="1"/>
  <c r="N2721" i="7"/>
  <c r="P2721" i="7" s="1"/>
  <c r="N2718" i="7"/>
  <c r="P2718" i="7" s="1"/>
  <c r="N2716" i="7"/>
  <c r="P2716" i="7" s="1"/>
  <c r="N2714" i="7"/>
  <c r="P2714" i="7" s="1"/>
  <c r="D2938" i="7"/>
  <c r="G2938" i="7" s="1"/>
  <c r="D2926" i="7"/>
  <c r="I2926" i="7" s="1"/>
  <c r="M2926" i="7" s="1"/>
  <c r="D2918" i="7"/>
  <c r="I2918" i="7" s="1"/>
  <c r="M2918" i="7" s="1"/>
  <c r="D2908" i="7"/>
  <c r="I2908" i="7" s="1"/>
  <c r="M2908" i="7" s="1"/>
  <c r="D2900" i="7"/>
  <c r="I2900" i="7" s="1"/>
  <c r="M2900" i="7" s="1"/>
  <c r="N2884" i="7"/>
  <c r="P2884" i="7" s="1"/>
  <c r="D2868" i="7"/>
  <c r="I2868" i="7" s="1"/>
  <c r="M2868" i="7" s="1"/>
  <c r="D2859" i="7"/>
  <c r="I2859" i="7" s="1"/>
  <c r="M2859" i="7" s="1"/>
  <c r="N2854" i="7"/>
  <c r="P2854" i="7" s="1"/>
  <c r="N2847" i="7"/>
  <c r="P2847" i="7" s="1"/>
  <c r="N2838" i="7"/>
  <c r="P2838" i="7" s="1"/>
  <c r="Q2838" i="7" s="1"/>
  <c r="D2836" i="7"/>
  <c r="N2834" i="7"/>
  <c r="N2830" i="7"/>
  <c r="P2830" i="7" s="1"/>
  <c r="Q2830" i="7" s="1"/>
  <c r="D2820" i="7"/>
  <c r="G2820" i="7" s="1"/>
  <c r="N2807" i="7"/>
  <c r="P2807" i="7" s="1"/>
  <c r="N2803" i="7"/>
  <c r="P2803" i="7" s="1"/>
  <c r="N2799" i="7"/>
  <c r="P2799" i="7" s="1"/>
  <c r="N2793" i="7"/>
  <c r="P2793" i="7" s="1"/>
  <c r="N2774" i="7"/>
  <c r="P2774" i="7" s="1"/>
  <c r="D2765" i="7"/>
  <c r="I2765" i="7" s="1"/>
  <c r="M2765" i="7" s="1"/>
  <c r="N2760" i="7"/>
  <c r="P2760" i="7" s="1"/>
  <c r="D2753" i="7"/>
  <c r="G2753" i="7" s="1"/>
  <c r="N2749" i="7"/>
  <c r="P2749" i="7" s="1"/>
  <c r="N2741" i="7"/>
  <c r="P2741" i="7" s="1"/>
  <c r="N2734" i="7"/>
  <c r="P2734" i="7" s="1"/>
  <c r="D2726" i="7"/>
  <c r="I2726" i="7" s="1"/>
  <c r="M2726" i="7" s="1"/>
  <c r="D2720" i="7"/>
  <c r="I2720" i="7" s="1"/>
  <c r="M2720" i="7" s="1"/>
  <c r="D2716" i="7"/>
  <c r="N2920" i="7"/>
  <c r="P2920" i="7" s="1"/>
  <c r="D2913" i="7"/>
  <c r="N2910" i="7"/>
  <c r="P2910" i="7" s="1"/>
  <c r="D2905" i="7"/>
  <c r="N2902" i="7"/>
  <c r="P2902" i="7" s="1"/>
  <c r="D2897" i="7"/>
  <c r="I2897" i="7" s="1"/>
  <c r="M2897" i="7" s="1"/>
  <c r="D2889" i="7"/>
  <c r="I2889" i="7" s="1"/>
  <c r="M2889" i="7" s="1"/>
  <c r="N2877" i="7"/>
  <c r="P2877" i="7" s="1"/>
  <c r="N2875" i="7"/>
  <c r="P2875" i="7" s="1"/>
  <c r="N2873" i="7"/>
  <c r="P2873" i="7" s="1"/>
  <c r="N2871" i="7"/>
  <c r="P2871" i="7" s="1"/>
  <c r="N2863" i="7"/>
  <c r="P2863" i="7" s="1"/>
  <c r="D2852" i="7"/>
  <c r="I2852" i="7" s="1"/>
  <c r="M2852" i="7" s="1"/>
  <c r="D2845" i="7"/>
  <c r="I2845" i="7" s="1"/>
  <c r="M2845" i="7" s="1"/>
  <c r="N2842" i="7"/>
  <c r="P2842" i="7" s="1"/>
  <c r="D2828" i="7"/>
  <c r="N2824" i="7"/>
  <c r="P2824" i="7" s="1"/>
  <c r="N2797" i="7"/>
  <c r="P2797" i="7" s="1"/>
  <c r="D2789" i="7"/>
  <c r="N2769" i="7"/>
  <c r="P2769" i="7" s="1"/>
  <c r="D2755" i="7"/>
  <c r="G2755" i="7" s="1"/>
  <c r="D2747" i="7"/>
  <c r="G2747" i="7" s="1"/>
  <c r="D2745" i="7"/>
  <c r="G2745" i="7" s="1"/>
  <c r="D2739" i="7"/>
  <c r="G2739" i="7" s="1"/>
  <c r="D2730" i="7"/>
  <c r="I2730" i="7" s="1"/>
  <c r="M2730" i="7" s="1"/>
  <c r="N2724" i="7"/>
  <c r="P2724" i="7" s="1"/>
  <c r="D2714" i="7"/>
  <c r="N2930" i="7"/>
  <c r="P2930" i="7" s="1"/>
  <c r="N2928" i="7"/>
  <c r="P2928" i="7" s="1"/>
  <c r="D2923" i="7"/>
  <c r="I2923" i="7" s="1"/>
  <c r="M2923" i="7" s="1"/>
  <c r="N2879" i="7"/>
  <c r="P2879" i="7" s="1"/>
  <c r="N2860" i="7"/>
  <c r="P2860" i="7" s="1"/>
  <c r="N2817" i="7"/>
  <c r="P2817" i="7" s="1"/>
  <c r="D2813" i="7"/>
  <c r="G2813" i="7" s="1"/>
  <c r="N2801" i="7"/>
  <c r="P2801" i="7" s="1"/>
  <c r="D2793" i="7"/>
  <c r="N2786" i="7"/>
  <c r="P2786" i="7" s="1"/>
  <c r="D2784" i="7"/>
  <c r="I2784" i="7" s="1"/>
  <c r="M2784" i="7" s="1"/>
  <c r="N2776" i="7"/>
  <c r="P2776" i="7" s="1"/>
  <c r="N2748" i="7"/>
  <c r="P2748" i="7" s="1"/>
  <c r="Q2748" i="7" s="1"/>
  <c r="N2731" i="7"/>
  <c r="P2731" i="7" s="1"/>
  <c r="D2727" i="7"/>
  <c r="I2727" i="7" s="1"/>
  <c r="M2727" i="7" s="1"/>
  <c r="D2724" i="7"/>
  <c r="N2722" i="7"/>
  <c r="P2722" i="7" s="1"/>
  <c r="N2939" i="7"/>
  <c r="P2939" i="7" s="1"/>
  <c r="D2937" i="7"/>
  <c r="G2937" i="7" s="1"/>
  <c r="N2934" i="7"/>
  <c r="P2934" i="7" s="1"/>
  <c r="D2928" i="7"/>
  <c r="N2925" i="7"/>
  <c r="P2925" i="7" s="1"/>
  <c r="N2917" i="7"/>
  <c r="P2917" i="7" s="1"/>
  <c r="D2910" i="7"/>
  <c r="I2910" i="7" s="1"/>
  <c r="M2910" i="7" s="1"/>
  <c r="N2907" i="7"/>
  <c r="P2907" i="7" s="1"/>
  <c r="N2899" i="7"/>
  <c r="P2899" i="7" s="1"/>
  <c r="N2886" i="7"/>
  <c r="P2886" i="7" s="1"/>
  <c r="D2884" i="7"/>
  <c r="I2884" i="7" s="1"/>
  <c r="M2884" i="7" s="1"/>
  <c r="N2881" i="7"/>
  <c r="N2869" i="7"/>
  <c r="P2869" i="7" s="1"/>
  <c r="D2867" i="7"/>
  <c r="I2867" i="7" s="1"/>
  <c r="M2867" i="7" s="1"/>
  <c r="D2858" i="7"/>
  <c r="I2858" i="7" s="1"/>
  <c r="M2858" i="7" s="1"/>
  <c r="N2853" i="7"/>
  <c r="P2853" i="7" s="1"/>
  <c r="D2851" i="7"/>
  <c r="N2846" i="7"/>
  <c r="P2846" i="7" s="1"/>
  <c r="D2844" i="7"/>
  <c r="N2840" i="7"/>
  <c r="P2840" i="7" s="1"/>
  <c r="D2838" i="7"/>
  <c r="G2838" i="7" s="1"/>
  <c r="N2832" i="7"/>
  <c r="P2832" i="7" s="1"/>
  <c r="D2826" i="7"/>
  <c r="G2826" i="7" s="1"/>
  <c r="N2823" i="7"/>
  <c r="P2823" i="7" s="1"/>
  <c r="D2815" i="7"/>
  <c r="N2796" i="7"/>
  <c r="P2796" i="7" s="1"/>
  <c r="N2794" i="7"/>
  <c r="D2788" i="7"/>
  <c r="D2781" i="7"/>
  <c r="I2781" i="7" s="1"/>
  <c r="M2781" i="7" s="1"/>
  <c r="N2779" i="7"/>
  <c r="N2777" i="7"/>
  <c r="P2777" i="7" s="1"/>
  <c r="N2772" i="7"/>
  <c r="P2772" i="7" s="1"/>
  <c r="D2771" i="7"/>
  <c r="I2771" i="7" s="1"/>
  <c r="N2768" i="7"/>
  <c r="P2768" i="7" s="1"/>
  <c r="D2764" i="7"/>
  <c r="I2764" i="7" s="1"/>
  <c r="M2764" i="7" s="1"/>
  <c r="N2758" i="7"/>
  <c r="P2758" i="7" s="1"/>
  <c r="D2746" i="7"/>
  <c r="N2742" i="7"/>
  <c r="N2740" i="7"/>
  <c r="P2740" i="7" s="1"/>
  <c r="N2733" i="7"/>
  <c r="P2733" i="7" s="1"/>
  <c r="D2729" i="7"/>
  <c r="D2717" i="7"/>
  <c r="I2717" i="7" s="1"/>
  <c r="M2717" i="7" s="1"/>
  <c r="N2715" i="7"/>
  <c r="P2715" i="7" s="1"/>
  <c r="D2888" i="7"/>
  <c r="I2888" i="7" s="1"/>
  <c r="M2888" i="7" s="1"/>
  <c r="N2862" i="7"/>
  <c r="P2862" i="7" s="1"/>
  <c r="N2833" i="7"/>
  <c r="N2829" i="7"/>
  <c r="P2829" i="7" s="1"/>
  <c r="D2821" i="7"/>
  <c r="I2821" i="7" s="1"/>
  <c r="M2821" i="7" s="1"/>
  <c r="D2812" i="7"/>
  <c r="N2808" i="7"/>
  <c r="P2808" i="7" s="1"/>
  <c r="N2806" i="7"/>
  <c r="N2804" i="7"/>
  <c r="P2804" i="7" s="1"/>
  <c r="N2802" i="7"/>
  <c r="N2800" i="7"/>
  <c r="P2800" i="7" s="1"/>
  <c r="N2798" i="7"/>
  <c r="N2785" i="7"/>
  <c r="P2785" i="7" s="1"/>
  <c r="D2783" i="7"/>
  <c r="N2775" i="7"/>
  <c r="P2775" i="7" s="1"/>
  <c r="N2759" i="7"/>
  <c r="P2759" i="7" s="1"/>
  <c r="N2756" i="7"/>
  <c r="P2756" i="7" s="1"/>
  <c r="D2754" i="7"/>
  <c r="G2754" i="7" s="1"/>
  <c r="N2750" i="7"/>
  <c r="D2738" i="7"/>
  <c r="G2738" i="7" s="1"/>
  <c r="N2735" i="7"/>
  <c r="N2720" i="7"/>
  <c r="P2720" i="7" s="1"/>
  <c r="D2719" i="7"/>
  <c r="N2713" i="7"/>
  <c r="G2775" i="7"/>
  <c r="C22" i="11"/>
  <c r="D3210" i="7"/>
  <c r="I3210" i="7" s="1"/>
  <c r="M3210" i="7" s="1"/>
  <c r="N3204" i="7"/>
  <c r="P3204" i="7" s="1"/>
  <c r="Q3204" i="7" s="1"/>
  <c r="D3200" i="7"/>
  <c r="G3200" i="7" s="1"/>
  <c r="N3196" i="7"/>
  <c r="P3196" i="7" s="1"/>
  <c r="D3194" i="7"/>
  <c r="G3194" i="7" s="1"/>
  <c r="D3193" i="7"/>
  <c r="N3187" i="7"/>
  <c r="P3187" i="7" s="1"/>
  <c r="D3185" i="7"/>
  <c r="N3180" i="7"/>
  <c r="P3180" i="7" s="1"/>
  <c r="D3177" i="7"/>
  <c r="I3177" i="7" s="1"/>
  <c r="M3177" i="7" s="1"/>
  <c r="D3173" i="7"/>
  <c r="N3169" i="7"/>
  <c r="P3169" i="7" s="1"/>
  <c r="D3166" i="7"/>
  <c r="I3166" i="7" s="1"/>
  <c r="M3166" i="7" s="1"/>
  <c r="N3162" i="7"/>
  <c r="P3162" i="7" s="1"/>
  <c r="D3153" i="7"/>
  <c r="I3153" i="7" s="1"/>
  <c r="M3153" i="7" s="1"/>
  <c r="N3148" i="7"/>
  <c r="P3148" i="7" s="1"/>
  <c r="D3146" i="7"/>
  <c r="N3142" i="7"/>
  <c r="P3142" i="7" s="1"/>
  <c r="D3139" i="7"/>
  <c r="I3139" i="7" s="1"/>
  <c r="M3139" i="7" s="1"/>
  <c r="D3138" i="7"/>
  <c r="D3137" i="7"/>
  <c r="D3136" i="7"/>
  <c r="D3135" i="7"/>
  <c r="D3134" i="7"/>
  <c r="D3133" i="7"/>
  <c r="D3132" i="7"/>
  <c r="D3131" i="7"/>
  <c r="N3125" i="7"/>
  <c r="P3125" i="7" s="1"/>
  <c r="D3122" i="7"/>
  <c r="I3122" i="7" s="1"/>
  <c r="M3122" i="7" s="1"/>
  <c r="N3117" i="7"/>
  <c r="P3117" i="7" s="1"/>
  <c r="N3207" i="7"/>
  <c r="P3207" i="7" s="1"/>
  <c r="D3206" i="7"/>
  <c r="I3206" i="7" s="1"/>
  <c r="M3206" i="7" s="1"/>
  <c r="N3203" i="7"/>
  <c r="D3201" i="7"/>
  <c r="G3201" i="7" s="1"/>
  <c r="N3198" i="7"/>
  <c r="P3198" i="7" s="1"/>
  <c r="D3197" i="7"/>
  <c r="I3197" i="7" s="1"/>
  <c r="M3197" i="7" s="1"/>
  <c r="D3192" i="7"/>
  <c r="D3188" i="7"/>
  <c r="I3188" i="7" s="1"/>
  <c r="M3188" i="7" s="1"/>
  <c r="N3185" i="7"/>
  <c r="P3185" i="7" s="1"/>
  <c r="D3184" i="7"/>
  <c r="I3184" i="7" s="1"/>
  <c r="M3184" i="7" s="1"/>
  <c r="D3180" i="7"/>
  <c r="I3180" i="7" s="1"/>
  <c r="M3180" i="7" s="1"/>
  <c r="N3177" i="7"/>
  <c r="P3177" i="7" s="1"/>
  <c r="D3170" i="7"/>
  <c r="I3170" i="7" s="1"/>
  <c r="M3170" i="7" s="1"/>
  <c r="N3167" i="7"/>
  <c r="P3167" i="7" s="1"/>
  <c r="D3162" i="7"/>
  <c r="I3162" i="7" s="1"/>
  <c r="M3162" i="7" s="1"/>
  <c r="N3159" i="7"/>
  <c r="P3159" i="7" s="1"/>
  <c r="D3158" i="7"/>
  <c r="I3158" i="7" s="1"/>
  <c r="M3158" i="7" s="1"/>
  <c r="D3155" i="7"/>
  <c r="D3150" i="7"/>
  <c r="I3150" i="7" s="1"/>
  <c r="M3150" i="7" s="1"/>
  <c r="N3147" i="7"/>
  <c r="P3147" i="7" s="1"/>
  <c r="N3133" i="7"/>
  <c r="P3133" i="7" s="1"/>
  <c r="N3127" i="7"/>
  <c r="P3127" i="7" s="1"/>
  <c r="D3121" i="7"/>
  <c r="I3121" i="7" s="1"/>
  <c r="M3121" i="7" s="1"/>
  <c r="D3117" i="7"/>
  <c r="I3117" i="7" s="1"/>
  <c r="M3117" i="7" s="1"/>
  <c r="N3113" i="7"/>
  <c r="P3113" i="7" s="1"/>
  <c r="D3111" i="7"/>
  <c r="N3106" i="7"/>
  <c r="P3106" i="7" s="1"/>
  <c r="D3104" i="7"/>
  <c r="N3099" i="7"/>
  <c r="P3099" i="7" s="1"/>
  <c r="Q3099" i="7" s="1"/>
  <c r="N3091" i="7"/>
  <c r="P3091" i="7" s="1"/>
  <c r="D3088" i="7"/>
  <c r="D3087" i="7"/>
  <c r="D3081" i="7"/>
  <c r="I3081" i="7" s="1"/>
  <c r="M3081" i="7" s="1"/>
  <c r="N3076" i="7"/>
  <c r="P3076" i="7" s="1"/>
  <c r="N3070" i="7"/>
  <c r="P3070" i="7" s="1"/>
  <c r="D3068" i="7"/>
  <c r="N3057" i="7"/>
  <c r="P3057" i="7" s="1"/>
  <c r="N3051" i="7"/>
  <c r="P3051" i="7" s="1"/>
  <c r="N3044" i="7"/>
  <c r="P3044" i="7" s="1"/>
  <c r="D3040" i="7"/>
  <c r="N3031" i="7"/>
  <c r="P3031" i="7" s="1"/>
  <c r="N3030" i="7"/>
  <c r="P3030" i="7" s="1"/>
  <c r="N3029" i="7"/>
  <c r="P3029" i="7" s="1"/>
  <c r="N3024" i="7"/>
  <c r="P3024" i="7" s="1"/>
  <c r="D3016" i="7"/>
  <c r="N3005" i="7"/>
  <c r="P3005" i="7" s="1"/>
  <c r="N3004" i="7"/>
  <c r="P3004" i="7" s="1"/>
  <c r="N2998" i="7"/>
  <c r="P2998" i="7" s="1"/>
  <c r="N2989" i="7"/>
  <c r="P2989" i="7" s="1"/>
  <c r="N2984" i="7"/>
  <c r="P2984" i="7" s="1"/>
  <c r="D2983" i="7"/>
  <c r="D2976" i="7"/>
  <c r="D2975" i="7"/>
  <c r="G2975" i="7" s="1"/>
  <c r="N2970" i="7"/>
  <c r="P2970" i="7" s="1"/>
  <c r="N2963" i="7"/>
  <c r="P2963" i="7" s="1"/>
  <c r="D2960" i="7"/>
  <c r="I2960" i="7" s="1"/>
  <c r="M2960" i="7" s="1"/>
  <c r="D2959" i="7"/>
  <c r="I2959" i="7" s="1"/>
  <c r="M2959" i="7" s="1"/>
  <c r="D2958" i="7"/>
  <c r="I2958" i="7" s="1"/>
  <c r="M2958" i="7" s="1"/>
  <c r="N2953" i="7"/>
  <c r="P2953" i="7" s="1"/>
  <c r="N2950" i="7"/>
  <c r="P2950" i="7" s="1"/>
  <c r="N2949" i="7"/>
  <c r="P2949" i="7" s="1"/>
  <c r="N2948" i="7"/>
  <c r="P2948" i="7" s="1"/>
  <c r="N2947" i="7"/>
  <c r="P2947" i="7" s="1"/>
  <c r="N2944" i="7"/>
  <c r="P2944" i="7" s="1"/>
  <c r="N3208" i="7"/>
  <c r="P3208" i="7" s="1"/>
  <c r="N3195" i="7"/>
  <c r="P3195" i="7" s="1"/>
  <c r="Q3195" i="7" s="1"/>
  <c r="N3190" i="7"/>
  <c r="P3190" i="7" s="1"/>
  <c r="N3182" i="7"/>
  <c r="P3182" i="7" s="1"/>
  <c r="D3176" i="7"/>
  <c r="I3176" i="7" s="1"/>
  <c r="M3176" i="7" s="1"/>
  <c r="N3156" i="7"/>
  <c r="P3156" i="7" s="1"/>
  <c r="N3152" i="7"/>
  <c r="P3152" i="7" s="1"/>
  <c r="N3144" i="7"/>
  <c r="P3144" i="7" s="1"/>
  <c r="D3143" i="7"/>
  <c r="N3140" i="7"/>
  <c r="P3140" i="7" s="1"/>
  <c r="N3134" i="7"/>
  <c r="P3134" i="7" s="1"/>
  <c r="D3130" i="7"/>
  <c r="D3126" i="7"/>
  <c r="G3126" i="7" s="1"/>
  <c r="N3123" i="7"/>
  <c r="P3123" i="7" s="1"/>
  <c r="N3119" i="7"/>
  <c r="P3119" i="7" s="1"/>
  <c r="N3114" i="7"/>
  <c r="P3114" i="7" s="1"/>
  <c r="N3107" i="7"/>
  <c r="P3107" i="7" s="1"/>
  <c r="D3097" i="7"/>
  <c r="G3097" i="7" s="1"/>
  <c r="N3093" i="7"/>
  <c r="P3093" i="7" s="1"/>
  <c r="N3084" i="7"/>
  <c r="P3084" i="7" s="1"/>
  <c r="D3083" i="7"/>
  <c r="N3077" i="7"/>
  <c r="P3077" i="7" s="1"/>
  <c r="N3071" i="7"/>
  <c r="P3071" i="7" s="1"/>
  <c r="N3064" i="7"/>
  <c r="P3064" i="7" s="1"/>
  <c r="N3058" i="7"/>
  <c r="P3058" i="7" s="1"/>
  <c r="D3056" i="7"/>
  <c r="N3045" i="7"/>
  <c r="P3045" i="7" s="1"/>
  <c r="N3028" i="7"/>
  <c r="P3028" i="7" s="1"/>
  <c r="D3020" i="7"/>
  <c r="N3013" i="7"/>
  <c r="P3013" i="7" s="1"/>
  <c r="D3011" i="7"/>
  <c r="I3011" i="7" s="1"/>
  <c r="M3011" i="7" s="1"/>
  <c r="N3006" i="7"/>
  <c r="P3006" i="7" s="1"/>
  <c r="Q3006" i="7" s="1"/>
  <c r="D3003" i="7"/>
  <c r="D3002" i="7"/>
  <c r="N2997" i="7"/>
  <c r="P2997" i="7" s="1"/>
  <c r="D2996" i="7"/>
  <c r="N2990" i="7"/>
  <c r="P2990" i="7" s="1"/>
  <c r="N3209" i="7"/>
  <c r="P3209" i="7" s="1"/>
  <c r="D3207" i="7"/>
  <c r="D3202" i="7"/>
  <c r="N3199" i="7"/>
  <c r="P3199" i="7" s="1"/>
  <c r="Q3199" i="7" s="1"/>
  <c r="D3198" i="7"/>
  <c r="D3189" i="7"/>
  <c r="I3189" i="7" s="1"/>
  <c r="M3189" i="7" s="1"/>
  <c r="N3186" i="7"/>
  <c r="P3186" i="7" s="1"/>
  <c r="D3181" i="7"/>
  <c r="I3181" i="7" s="1"/>
  <c r="M3181" i="7" s="1"/>
  <c r="N3178" i="7"/>
  <c r="P3178" i="7" s="1"/>
  <c r="N3174" i="7"/>
  <c r="P3174" i="7" s="1"/>
  <c r="Q3174" i="7" s="1"/>
  <c r="N3173" i="7"/>
  <c r="P3173" i="7" s="1"/>
  <c r="Q3173" i="7" s="1"/>
  <c r="N3172" i="7"/>
  <c r="P3172" i="7" s="1"/>
  <c r="D3171" i="7"/>
  <c r="I3171" i="7" s="1"/>
  <c r="M3171" i="7" s="1"/>
  <c r="N3168" i="7"/>
  <c r="P3168" i="7" s="1"/>
  <c r="D3167" i="7"/>
  <c r="I3167" i="7" s="1"/>
  <c r="M3167" i="7" s="1"/>
  <c r="N3164" i="7"/>
  <c r="P3164" i="7" s="1"/>
  <c r="D3163" i="7"/>
  <c r="I3163" i="7" s="1"/>
  <c r="M3163" i="7" s="1"/>
  <c r="N3160" i="7"/>
  <c r="P3160" i="7" s="1"/>
  <c r="D3159" i="7"/>
  <c r="D3151" i="7"/>
  <c r="I3151" i="7" s="1"/>
  <c r="M3151" i="7" s="1"/>
  <c r="D3147" i="7"/>
  <c r="I3147" i="7" s="1"/>
  <c r="M3147" i="7" s="1"/>
  <c r="N3141" i="7"/>
  <c r="N3135" i="7"/>
  <c r="P3135" i="7" s="1"/>
  <c r="N3128" i="7"/>
  <c r="P3128" i="7" s="1"/>
  <c r="N3124" i="7"/>
  <c r="D3118" i="7"/>
  <c r="I3118" i="7" s="1"/>
  <c r="M3118" i="7" s="1"/>
  <c r="N3115" i="7"/>
  <c r="P3115" i="7" s="1"/>
  <c r="D3112" i="7"/>
  <c r="I3112" i="7" s="1"/>
  <c r="M3112" i="7" s="1"/>
  <c r="N3108" i="7"/>
  <c r="P3108" i="7" s="1"/>
  <c r="D3105" i="7"/>
  <c r="I3105" i="7" s="1"/>
  <c r="M3105" i="7" s="1"/>
  <c r="N3102" i="7"/>
  <c r="P3102" i="7" s="1"/>
  <c r="N3101" i="7"/>
  <c r="P3101" i="7" s="1"/>
  <c r="N3100" i="7"/>
  <c r="P3100" i="7" s="1"/>
  <c r="D3098" i="7"/>
  <c r="G3098" i="7" s="1"/>
  <c r="N3094" i="7"/>
  <c r="P3094" i="7" s="1"/>
  <c r="N3092" i="7"/>
  <c r="P3092" i="7" s="1"/>
  <c r="D3089" i="7"/>
  <c r="G3089" i="7" s="1"/>
  <c r="N3078" i="7"/>
  <c r="P3078" i="7" s="1"/>
  <c r="D3076" i="7"/>
  <c r="N3065" i="7"/>
  <c r="P3065" i="7" s="1"/>
  <c r="N3059" i="7"/>
  <c r="P3059" i="7" s="1"/>
  <c r="N3052" i="7"/>
  <c r="P3052" i="7" s="1"/>
  <c r="N3046" i="7"/>
  <c r="P3046" i="7" s="1"/>
  <c r="D3044" i="7"/>
  <c r="N3035" i="7"/>
  <c r="P3035" i="7" s="1"/>
  <c r="N3034" i="7"/>
  <c r="P3034" i="7" s="1"/>
  <c r="N3033" i="7"/>
  <c r="P3033" i="7" s="1"/>
  <c r="N3032" i="7"/>
  <c r="P3032" i="7" s="1"/>
  <c r="D3024" i="7"/>
  <c r="N3014" i="7"/>
  <c r="P3014" i="7" s="1"/>
  <c r="D3012" i="7"/>
  <c r="I3012" i="7" s="1"/>
  <c r="M3012" i="7" s="1"/>
  <c r="N3007" i="7"/>
  <c r="P3007" i="7" s="1"/>
  <c r="Q3007" i="7" s="1"/>
  <c r="N3202" i="7"/>
  <c r="P3202" i="7" s="1"/>
  <c r="N3194" i="7"/>
  <c r="N3189" i="7"/>
  <c r="P3189" i="7" s="1"/>
  <c r="N3181" i="7"/>
  <c r="P3181" i="7" s="1"/>
  <c r="D3175" i="7"/>
  <c r="I3175" i="7" s="1"/>
  <c r="M3175" i="7" s="1"/>
  <c r="D3174" i="7"/>
  <c r="G3174" i="7" s="1"/>
  <c r="N3171" i="7"/>
  <c r="P3171" i="7" s="1"/>
  <c r="D3165" i="7"/>
  <c r="I3165" i="7" s="1"/>
  <c r="M3165" i="7" s="1"/>
  <c r="N3163" i="7"/>
  <c r="P3163" i="7" s="1"/>
  <c r="N3155" i="7"/>
  <c r="P3155" i="7" s="1"/>
  <c r="N3151" i="7"/>
  <c r="P3151" i="7" s="1"/>
  <c r="N3143" i="7"/>
  <c r="P3143" i="7" s="1"/>
  <c r="N3139" i="7"/>
  <c r="P3139" i="7" s="1"/>
  <c r="N3132" i="7"/>
  <c r="P3132" i="7" s="1"/>
  <c r="D3129" i="7"/>
  <c r="N3122" i="7"/>
  <c r="P3122" i="7" s="1"/>
  <c r="N3118" i="7"/>
  <c r="P3118" i="7" s="1"/>
  <c r="N3112" i="7"/>
  <c r="P3112" i="7" s="1"/>
  <c r="D3110" i="7"/>
  <c r="I3110" i="7" s="1"/>
  <c r="M3110" i="7" s="1"/>
  <c r="N3105" i="7"/>
  <c r="P3105" i="7" s="1"/>
  <c r="N3098" i="7"/>
  <c r="D3096" i="7"/>
  <c r="N3090" i="7"/>
  <c r="P3090" i="7" s="1"/>
  <c r="Q3090" i="7" s="1"/>
  <c r="N3089" i="7"/>
  <c r="D3086" i="7"/>
  <c r="G3086" i="7" s="1"/>
  <c r="N3083" i="7"/>
  <c r="P3083" i="7" s="1"/>
  <c r="D3080" i="7"/>
  <c r="G3080" i="7" s="1"/>
  <c r="N3069" i="7"/>
  <c r="P3069" i="7" s="1"/>
  <c r="N3063" i="7"/>
  <c r="P3063" i="7" s="1"/>
  <c r="N3056" i="7"/>
  <c r="P3056" i="7" s="1"/>
  <c r="N3050" i="7"/>
  <c r="P3050" i="7" s="1"/>
  <c r="D3048" i="7"/>
  <c r="N3027" i="7"/>
  <c r="P3027" i="7" s="1"/>
  <c r="N3026" i="7"/>
  <c r="P3026" i="7" s="1"/>
  <c r="N3025" i="7"/>
  <c r="N3020" i="7"/>
  <c r="P3020" i="7" s="1"/>
  <c r="N3012" i="7"/>
  <c r="P3012" i="7" s="1"/>
  <c r="D3010" i="7"/>
  <c r="N3003" i="7"/>
  <c r="P3003" i="7" s="1"/>
  <c r="N2999" i="7"/>
  <c r="P2999" i="7" s="1"/>
  <c r="N2996" i="7"/>
  <c r="P2996" i="7" s="1"/>
  <c r="D2995" i="7"/>
  <c r="D2993" i="7"/>
  <c r="N2988" i="7"/>
  <c r="P2988" i="7" s="1"/>
  <c r="N2985" i="7"/>
  <c r="P2985" i="7" s="1"/>
  <c r="D2982" i="7"/>
  <c r="G2982" i="7" s="1"/>
  <c r="N2978" i="7"/>
  <c r="N2977" i="7"/>
  <c r="D2974" i="7"/>
  <c r="G2974" i="7" s="1"/>
  <c r="D2967" i="7"/>
  <c r="D2966" i="7"/>
  <c r="D2957" i="7"/>
  <c r="I2957" i="7" s="1"/>
  <c r="M2957" i="7" s="1"/>
  <c r="N3184" i="7"/>
  <c r="P3184" i="7" s="1"/>
  <c r="N3158" i="7"/>
  <c r="P3158" i="7" s="1"/>
  <c r="N3150" i="7"/>
  <c r="P3150" i="7" s="1"/>
  <c r="N3130" i="7"/>
  <c r="D3116" i="7"/>
  <c r="I3116" i="7" s="1"/>
  <c r="M3116" i="7" s="1"/>
  <c r="N3111" i="7"/>
  <c r="P3111" i="7" s="1"/>
  <c r="D3109" i="7"/>
  <c r="I3109" i="7" s="1"/>
  <c r="M3109" i="7" s="1"/>
  <c r="N3104" i="7"/>
  <c r="P3104" i="7" s="1"/>
  <c r="N3095" i="7"/>
  <c r="P3095" i="7" s="1"/>
  <c r="D3091" i="7"/>
  <c r="I3091" i="7" s="1"/>
  <c r="M3091" i="7" s="1"/>
  <c r="D3085" i="7"/>
  <c r="N3082" i="7"/>
  <c r="N3061" i="7"/>
  <c r="P3061" i="7" s="1"/>
  <c r="D3014" i="7"/>
  <c r="I3014" i="7" s="1"/>
  <c r="M3014" i="7" s="1"/>
  <c r="D3007" i="7"/>
  <c r="G3007" i="7" s="1"/>
  <c r="D3005" i="7"/>
  <c r="I3005" i="7" s="1"/>
  <c r="M3005" i="7" s="1"/>
  <c r="N3001" i="7"/>
  <c r="P3001" i="7" s="1"/>
  <c r="N2956" i="7"/>
  <c r="P2956" i="7" s="1"/>
  <c r="D2955" i="7"/>
  <c r="I2955" i="7" s="1"/>
  <c r="M2955" i="7" s="1"/>
  <c r="D2948" i="7"/>
  <c r="I2948" i="7" s="1"/>
  <c r="M2948" i="7" s="1"/>
  <c r="D2947" i="7"/>
  <c r="I2947" i="7" s="1"/>
  <c r="M2947" i="7" s="1"/>
  <c r="N2943" i="7"/>
  <c r="P2943" i="7" s="1"/>
  <c r="N2940" i="7"/>
  <c r="N3205" i="7"/>
  <c r="P3205" i="7" s="1"/>
  <c r="D3187" i="7"/>
  <c r="I3187" i="7" s="1"/>
  <c r="M3187" i="7" s="1"/>
  <c r="D3179" i="7"/>
  <c r="I3179" i="7" s="1"/>
  <c r="M3179" i="7" s="1"/>
  <c r="N3176" i="7"/>
  <c r="P3176" i="7" s="1"/>
  <c r="D3169" i="7"/>
  <c r="I3169" i="7" s="1"/>
  <c r="M3169" i="7" s="1"/>
  <c r="N3166" i="7"/>
  <c r="P3166" i="7" s="1"/>
  <c r="D3161" i="7"/>
  <c r="I3161" i="7" s="1"/>
  <c r="M3161" i="7" s="1"/>
  <c r="D3145" i="7"/>
  <c r="I3145" i="7" s="1"/>
  <c r="M3145" i="7" s="1"/>
  <c r="D3142" i="7"/>
  <c r="D3123" i="7"/>
  <c r="I3123" i="7" s="1"/>
  <c r="M3123" i="7" s="1"/>
  <c r="N3120" i="7"/>
  <c r="P3120" i="7" s="1"/>
  <c r="D3113" i="7"/>
  <c r="I3113" i="7" s="1"/>
  <c r="M3113" i="7" s="1"/>
  <c r="D3106" i="7"/>
  <c r="I3106" i="7" s="1"/>
  <c r="M3106" i="7" s="1"/>
  <c r="N3075" i="7"/>
  <c r="P3075" i="7" s="1"/>
  <c r="N3068" i="7"/>
  <c r="P3068" i="7" s="1"/>
  <c r="N3049" i="7"/>
  <c r="P3049" i="7" s="1"/>
  <c r="N3042" i="7"/>
  <c r="P3042" i="7" s="1"/>
  <c r="N3040" i="7"/>
  <c r="P3040" i="7" s="1"/>
  <c r="D3036" i="7"/>
  <c r="N3016" i="7"/>
  <c r="P3016" i="7" s="1"/>
  <c r="N3011" i="7"/>
  <c r="P3011" i="7" s="1"/>
  <c r="D2999" i="7"/>
  <c r="I2999" i="7" s="1"/>
  <c r="M2999" i="7" s="1"/>
  <c r="N2995" i="7"/>
  <c r="P2995" i="7" s="1"/>
  <c r="N2993" i="7"/>
  <c r="P2993" i="7" s="1"/>
  <c r="D2992" i="7"/>
  <c r="I2992" i="7" s="1"/>
  <c r="M2992" i="7" s="1"/>
  <c r="D2990" i="7"/>
  <c r="I2990" i="7" s="1"/>
  <c r="M2990" i="7" s="1"/>
  <c r="D2988" i="7"/>
  <c r="I2988" i="7" s="1"/>
  <c r="M2988" i="7" s="1"/>
  <c r="N2979" i="7"/>
  <c r="P2979" i="7" s="1"/>
  <c r="D2978" i="7"/>
  <c r="G2978" i="7" s="1"/>
  <c r="D2968" i="7"/>
  <c r="G2968" i="7" s="1"/>
  <c r="N2966" i="7"/>
  <c r="P2966" i="7" s="1"/>
  <c r="Q2966" i="7" s="1"/>
  <c r="N2960" i="7"/>
  <c r="P2960" i="7" s="1"/>
  <c r="N2952" i="7"/>
  <c r="P2952" i="7" s="1"/>
  <c r="N2951" i="7"/>
  <c r="P2951" i="7" s="1"/>
  <c r="D2949" i="7"/>
  <c r="I2949" i="7" s="1"/>
  <c r="M2949" i="7" s="1"/>
  <c r="N2945" i="7"/>
  <c r="P2945" i="7" s="1"/>
  <c r="N3210" i="7"/>
  <c r="P3210" i="7" s="1"/>
  <c r="N3201" i="7"/>
  <c r="D3199" i="7"/>
  <c r="G3199" i="7" s="1"/>
  <c r="D3196" i="7"/>
  <c r="N3183" i="7"/>
  <c r="P3183" i="7" s="1"/>
  <c r="N3157" i="7"/>
  <c r="P3157" i="7" s="1"/>
  <c r="N3149" i="7"/>
  <c r="P3149" i="7" s="1"/>
  <c r="N3136" i="7"/>
  <c r="P3136" i="7" s="1"/>
  <c r="D3128" i="7"/>
  <c r="I3128" i="7" s="1"/>
  <c r="M3128" i="7" s="1"/>
  <c r="N3110" i="7"/>
  <c r="P3110" i="7" s="1"/>
  <c r="N3103" i="7"/>
  <c r="P3103" i="7" s="1"/>
  <c r="D3099" i="7"/>
  <c r="G3099" i="7" s="1"/>
  <c r="N3097" i="7"/>
  <c r="D3084" i="7"/>
  <c r="N3079" i="7"/>
  <c r="P3079" i="7" s="1"/>
  <c r="Q3079" i="7" s="1"/>
  <c r="N3072" i="7"/>
  <c r="P3072" i="7" s="1"/>
  <c r="N3053" i="7"/>
  <c r="P3053" i="7" s="1"/>
  <c r="D3013" i="7"/>
  <c r="N3008" i="7"/>
  <c r="P3008" i="7" s="1"/>
  <c r="D3000" i="7"/>
  <c r="I3000" i="7" s="1"/>
  <c r="M3000" i="7" s="1"/>
  <c r="D2997" i="7"/>
  <c r="N2991" i="7"/>
  <c r="P2991" i="7" s="1"/>
  <c r="D2984" i="7"/>
  <c r="N2982" i="7"/>
  <c r="P2982" i="7" s="1"/>
  <c r="D2981" i="7"/>
  <c r="G2981" i="7" s="1"/>
  <c r="N2973" i="7"/>
  <c r="P2973" i="7" s="1"/>
  <c r="D2972" i="7"/>
  <c r="G2972" i="7" s="1"/>
  <c r="D2965" i="7"/>
  <c r="G2965" i="7" s="1"/>
  <c r="D2963" i="7"/>
  <c r="D2956" i="7"/>
  <c r="D2950" i="7"/>
  <c r="I2950" i="7" s="1"/>
  <c r="M2950" i="7" s="1"/>
  <c r="D2943" i="7"/>
  <c r="D2940" i="7"/>
  <c r="D3203" i="7"/>
  <c r="G3203" i="7" s="1"/>
  <c r="N3191" i="7"/>
  <c r="P3191" i="7" s="1"/>
  <c r="D3186" i="7"/>
  <c r="I3186" i="7" s="1"/>
  <c r="M3186" i="7" s="1"/>
  <c r="D3178" i="7"/>
  <c r="I3178" i="7" s="1"/>
  <c r="M3178" i="7" s="1"/>
  <c r="N3175" i="7"/>
  <c r="P3175" i="7" s="1"/>
  <c r="D3168" i="7"/>
  <c r="I3168" i="7" s="1"/>
  <c r="M3168" i="7" s="1"/>
  <c r="N3165" i="7"/>
  <c r="P3165" i="7" s="1"/>
  <c r="D3160" i="7"/>
  <c r="I3160" i="7" s="1"/>
  <c r="M3160" i="7" s="1"/>
  <c r="N3154" i="7"/>
  <c r="D3152" i="7"/>
  <c r="I3152" i="7" s="1"/>
  <c r="M3152" i="7" s="1"/>
  <c r="D3144" i="7"/>
  <c r="I3144" i="7" s="1"/>
  <c r="M3144" i="7" s="1"/>
  <c r="D3115" i="7"/>
  <c r="I3115" i="7" s="1"/>
  <c r="M3115" i="7" s="1"/>
  <c r="D3108" i="7"/>
  <c r="I3108" i="7" s="1"/>
  <c r="M3108" i="7" s="1"/>
  <c r="D3095" i="7"/>
  <c r="G3095" i="7" s="1"/>
  <c r="D3093" i="7"/>
  <c r="G3093" i="7" s="1"/>
  <c r="N3086" i="7"/>
  <c r="P3086" i="7" s="1"/>
  <c r="Q3086" i="7" s="1"/>
  <c r="N3067" i="7"/>
  <c r="P3067" i="7" s="1"/>
  <c r="N3060" i="7"/>
  <c r="P3060" i="7" s="1"/>
  <c r="N3039" i="7"/>
  <c r="P3039" i="7" s="1"/>
  <c r="N3037" i="7"/>
  <c r="P3037" i="7" s="1"/>
  <c r="N3023" i="7"/>
  <c r="P3023" i="7" s="1"/>
  <c r="N3021" i="7"/>
  <c r="N3019" i="7"/>
  <c r="P3019" i="7" s="1"/>
  <c r="N3017" i="7"/>
  <c r="N3015" i="7"/>
  <c r="P3015" i="7" s="1"/>
  <c r="N3002" i="7"/>
  <c r="P3002" i="7" s="1"/>
  <c r="D3001" i="7"/>
  <c r="N2986" i="7"/>
  <c r="P2986" i="7" s="1"/>
  <c r="D2979" i="7"/>
  <c r="N2976" i="7"/>
  <c r="P2976" i="7" s="1"/>
  <c r="Q2976" i="7" s="1"/>
  <c r="D2970" i="7"/>
  <c r="D2969" i="7"/>
  <c r="G2969" i="7" s="1"/>
  <c r="N2957" i="7"/>
  <c r="P2957" i="7" s="1"/>
  <c r="N2954" i="7"/>
  <c r="P2954" i="7" s="1"/>
  <c r="D3205" i="7"/>
  <c r="G3205" i="7" s="1"/>
  <c r="N3193" i="7"/>
  <c r="P3193" i="7" s="1"/>
  <c r="N3188" i="7"/>
  <c r="P3188" i="7" s="1"/>
  <c r="N3170" i="7"/>
  <c r="P3170" i="7" s="1"/>
  <c r="N3138" i="7"/>
  <c r="P3138" i="7" s="1"/>
  <c r="D3127" i="7"/>
  <c r="I3127" i="7" s="1"/>
  <c r="M3127" i="7" s="1"/>
  <c r="D3125" i="7"/>
  <c r="D3120" i="7"/>
  <c r="I3120" i="7" s="1"/>
  <c r="M3120" i="7" s="1"/>
  <c r="D3103" i="7"/>
  <c r="N3081" i="7"/>
  <c r="P3081" i="7" s="1"/>
  <c r="N3074" i="7"/>
  <c r="P3074" i="7" s="1"/>
  <c r="D3072" i="7"/>
  <c r="N3055" i="7"/>
  <c r="P3055" i="7" s="1"/>
  <c r="N3048" i="7"/>
  <c r="P3048" i="7" s="1"/>
  <c r="N3010" i="7"/>
  <c r="P3010" i="7" s="1"/>
  <c r="D3006" i="7"/>
  <c r="G3006" i="7" s="1"/>
  <c r="D3004" i="7"/>
  <c r="I3004" i="7" s="1"/>
  <c r="M3004" i="7" s="1"/>
  <c r="N2994" i="7"/>
  <c r="N2980" i="7"/>
  <c r="P2980" i="7" s="1"/>
  <c r="Q2980" i="7" s="1"/>
  <c r="D2973" i="7"/>
  <c r="N2971" i="7"/>
  <c r="P2971" i="7" s="1"/>
  <c r="N2964" i="7"/>
  <c r="P2964" i="7" s="1"/>
  <c r="N2961" i="7"/>
  <c r="P2961" i="7" s="1"/>
  <c r="N2958" i="7"/>
  <c r="P2958" i="7" s="1"/>
  <c r="N2955" i="7"/>
  <c r="P2955" i="7" s="1"/>
  <c r="N3200" i="7"/>
  <c r="P3200" i="7" s="1"/>
  <c r="Q3200" i="7" s="1"/>
  <c r="D3195" i="7"/>
  <c r="G3195" i="7" s="1"/>
  <c r="D3191" i="7"/>
  <c r="D3183" i="7"/>
  <c r="I3183" i="7" s="1"/>
  <c r="M3183" i="7" s="1"/>
  <c r="D3157" i="7"/>
  <c r="I3157" i="7" s="1"/>
  <c r="M3157" i="7" s="1"/>
  <c r="D3149" i="7"/>
  <c r="I3149" i="7" s="1"/>
  <c r="M3149" i="7" s="1"/>
  <c r="N3146" i="7"/>
  <c r="P3146" i="7" s="1"/>
  <c r="N3131" i="7"/>
  <c r="P3131" i="7" s="1"/>
  <c r="N3109" i="7"/>
  <c r="P3109" i="7" s="1"/>
  <c r="D3092" i="7"/>
  <c r="D3090" i="7"/>
  <c r="G3090" i="7" s="1"/>
  <c r="N3088" i="7"/>
  <c r="N3062" i="7"/>
  <c r="P3062" i="7" s="1"/>
  <c r="D3060" i="7"/>
  <c r="N3043" i="7"/>
  <c r="P3043" i="7" s="1"/>
  <c r="N3041" i="7"/>
  <c r="P3041" i="7" s="1"/>
  <c r="D3015" i="7"/>
  <c r="D3008" i="7"/>
  <c r="I3008" i="7" s="1"/>
  <c r="M3008" i="7" s="1"/>
  <c r="D2991" i="7"/>
  <c r="I2991" i="7" s="1"/>
  <c r="M2991" i="7" s="1"/>
  <c r="D2989" i="7"/>
  <c r="I2989" i="7" s="1"/>
  <c r="M2989" i="7" s="1"/>
  <c r="N2987" i="7"/>
  <c r="P2987" i="7" s="1"/>
  <c r="N2974" i="7"/>
  <c r="P2974" i="7" s="1"/>
  <c r="Q2974" i="7" s="1"/>
  <c r="N2967" i="7"/>
  <c r="P2967" i="7" s="1"/>
  <c r="Q2967" i="7" s="1"/>
  <c r="N3197" i="7"/>
  <c r="P3197" i="7" s="1"/>
  <c r="D3156" i="7"/>
  <c r="N3153" i="7"/>
  <c r="P3153" i="7" s="1"/>
  <c r="N3145" i="7"/>
  <c r="P3145" i="7" s="1"/>
  <c r="D3140" i="7"/>
  <c r="I3140" i="7" s="1"/>
  <c r="M3140" i="7" s="1"/>
  <c r="N3129" i="7"/>
  <c r="P3129" i="7" s="1"/>
  <c r="D3119" i="7"/>
  <c r="I3119" i="7" s="1"/>
  <c r="M3119" i="7" s="1"/>
  <c r="N3116" i="7"/>
  <c r="P3116" i="7" s="1"/>
  <c r="D3114" i="7"/>
  <c r="I3114" i="7" s="1"/>
  <c r="M3114" i="7" s="1"/>
  <c r="D3107" i="7"/>
  <c r="I3107" i="7" s="1"/>
  <c r="M3107" i="7" s="1"/>
  <c r="D3100" i="7"/>
  <c r="N3096" i="7"/>
  <c r="D3094" i="7"/>
  <c r="G3094" i="7" s="1"/>
  <c r="N3085" i="7"/>
  <c r="P3085" i="7" s="1"/>
  <c r="N3066" i="7"/>
  <c r="P3066" i="7" s="1"/>
  <c r="D3064" i="7"/>
  <c r="N3047" i="7"/>
  <c r="P3047" i="7" s="1"/>
  <c r="N3009" i="7"/>
  <c r="N2992" i="7"/>
  <c r="P2992" i="7" s="1"/>
  <c r="D2985" i="7"/>
  <c r="I2985" i="7" s="1"/>
  <c r="M2985" i="7" s="1"/>
  <c r="N2983" i="7"/>
  <c r="P2983" i="7" s="1"/>
  <c r="N2972" i="7"/>
  <c r="P2972" i="7" s="1"/>
  <c r="Q2972" i="7" s="1"/>
  <c r="D2964" i="7"/>
  <c r="N2962" i="7"/>
  <c r="N2959" i="7"/>
  <c r="P2959" i="7" s="1"/>
  <c r="D2954" i="7"/>
  <c r="I2954" i="7" s="1"/>
  <c r="M2954" i="7" s="1"/>
  <c r="D2953" i="7"/>
  <c r="D2952" i="7"/>
  <c r="I2952" i="7" s="1"/>
  <c r="M2952" i="7" s="1"/>
  <c r="N3206" i="7"/>
  <c r="P3206" i="7" s="1"/>
  <c r="D3204" i="7"/>
  <c r="G3204" i="7" s="1"/>
  <c r="N3192" i="7"/>
  <c r="P3192" i="7" s="1"/>
  <c r="D3190" i="7"/>
  <c r="I3190" i="7" s="1"/>
  <c r="M3190" i="7" s="1"/>
  <c r="D3182" i="7"/>
  <c r="I3182" i="7" s="1"/>
  <c r="M3182" i="7" s="1"/>
  <c r="N3179" i="7"/>
  <c r="P3179" i="7" s="1"/>
  <c r="D3172" i="7"/>
  <c r="D3164" i="7"/>
  <c r="N3161" i="7"/>
  <c r="P3161" i="7" s="1"/>
  <c r="D3148" i="7"/>
  <c r="I3148" i="7" s="1"/>
  <c r="M3148" i="7" s="1"/>
  <c r="N3137" i="7"/>
  <c r="P3137" i="7" s="1"/>
  <c r="N3126" i="7"/>
  <c r="P3126" i="7" s="1"/>
  <c r="Q3126" i="7" s="1"/>
  <c r="N3121" i="7"/>
  <c r="P3121" i="7" s="1"/>
  <c r="N3087" i="7"/>
  <c r="P3087" i="7" s="1"/>
  <c r="N3080" i="7"/>
  <c r="N3073" i="7"/>
  <c r="P3073" i="7" s="1"/>
  <c r="N3054" i="7"/>
  <c r="P3054" i="7" s="1"/>
  <c r="D3052" i="7"/>
  <c r="N3038" i="7"/>
  <c r="P3038" i="7" s="1"/>
  <c r="N3036" i="7"/>
  <c r="P3036" i="7" s="1"/>
  <c r="D3032" i="7"/>
  <c r="D3028" i="7"/>
  <c r="N3022" i="7"/>
  <c r="P3022" i="7" s="1"/>
  <c r="N3018" i="7"/>
  <c r="P3018" i="7" s="1"/>
  <c r="N3000" i="7"/>
  <c r="P3000" i="7" s="1"/>
  <c r="D2998" i="7"/>
  <c r="I2998" i="7" s="1"/>
  <c r="M2998" i="7" s="1"/>
  <c r="D2987" i="7"/>
  <c r="D2986" i="7"/>
  <c r="N2981" i="7"/>
  <c r="D2980" i="7"/>
  <c r="G2980" i="7" s="1"/>
  <c r="D2977" i="7"/>
  <c r="G2977" i="7" s="1"/>
  <c r="N2975" i="7"/>
  <c r="P2975" i="7" s="1"/>
  <c r="D2971" i="7"/>
  <c r="G2971" i="7" s="1"/>
  <c r="N2969" i="7"/>
  <c r="N2968" i="7"/>
  <c r="N2965" i="7"/>
  <c r="D2942" i="7"/>
  <c r="D2946" i="7"/>
  <c r="N2941" i="7"/>
  <c r="P2941" i="7" s="1"/>
  <c r="D2944" i="7"/>
  <c r="I2944" i="7" s="1"/>
  <c r="M2944" i="7" s="1"/>
  <c r="D2941" i="7"/>
  <c r="D2951" i="7"/>
  <c r="D2945" i="7"/>
  <c r="I2945" i="7" s="1"/>
  <c r="M2945" i="7" s="1"/>
  <c r="N2946" i="7"/>
  <c r="P2946" i="7" s="1"/>
  <c r="D2961" i="7"/>
  <c r="I2961" i="7" s="1"/>
  <c r="M2961" i="7" s="1"/>
  <c r="N2942" i="7"/>
  <c r="P2942" i="7" s="1"/>
  <c r="D3062" i="7"/>
  <c r="I3061" i="7"/>
  <c r="I3029" i="7"/>
  <c r="D3030" i="7"/>
  <c r="D3224" i="7"/>
  <c r="I3224" i="7" s="1"/>
  <c r="I3215" i="7"/>
  <c r="D3264" i="7"/>
  <c r="I3264" i="7" s="1"/>
  <c r="D3241" i="7"/>
  <c r="G3241" i="7" s="1"/>
  <c r="D3239" i="7"/>
  <c r="G3239" i="7" s="1"/>
  <c r="D3238" i="7"/>
  <c r="G3238" i="7" s="1"/>
  <c r="D3242" i="7"/>
  <c r="G3242" i="7" s="1"/>
  <c r="G3278" i="7"/>
  <c r="CC85" i="4"/>
  <c r="I3567" i="7"/>
  <c r="M3567" i="7" s="1"/>
  <c r="D3568" i="7"/>
  <c r="I3568" i="7" s="1"/>
  <c r="M3568" i="7" s="1"/>
  <c r="G3728" i="7"/>
  <c r="I92" i="4"/>
  <c r="D4007" i="7"/>
  <c r="I4006" i="7"/>
  <c r="D3995" i="7"/>
  <c r="I3994" i="7"/>
  <c r="AF96" i="4"/>
  <c r="AN96" i="4"/>
  <c r="BT96" i="4"/>
  <c r="D19" i="5"/>
  <c r="I242" i="7" s="1"/>
  <c r="D194" i="5"/>
  <c r="G2554" i="7" s="1"/>
  <c r="C109" i="11" s="1"/>
  <c r="D215" i="5"/>
  <c r="D277" i="5"/>
  <c r="M30" i="7"/>
  <c r="M48" i="7"/>
  <c r="BD4" i="9"/>
  <c r="G98" i="7"/>
  <c r="I118" i="7"/>
  <c r="M118" i="7" s="1"/>
  <c r="N130" i="7"/>
  <c r="D149" i="7"/>
  <c r="I149" i="7" s="1"/>
  <c r="M149" i="7" s="1"/>
  <c r="D271" i="7"/>
  <c r="I271" i="7" s="1"/>
  <c r="M271" i="7" s="1"/>
  <c r="D447" i="7"/>
  <c r="I447" i="7" s="1"/>
  <c r="M447" i="7" s="1"/>
  <c r="D539" i="7"/>
  <c r="P581" i="7"/>
  <c r="P645" i="7"/>
  <c r="D3425" i="7"/>
  <c r="I3425" i="7" s="1"/>
  <c r="M3425" i="7" s="1"/>
  <c r="D3292" i="7"/>
  <c r="I3292" i="7" s="1"/>
  <c r="M3292" i="7" s="1"/>
  <c r="D3426" i="7"/>
  <c r="I3426" i="7" s="1"/>
  <c r="M3426" i="7" s="1"/>
  <c r="D3293" i="7"/>
  <c r="I3293" i="7" s="1"/>
  <c r="M3293" i="7" s="1"/>
  <c r="D3284" i="7"/>
  <c r="I3284" i="7" s="1"/>
  <c r="M3284" i="7" s="1"/>
  <c r="D3427" i="7"/>
  <c r="G3427" i="7" s="1"/>
  <c r="D3286" i="7"/>
  <c r="G3286" i="7" s="1"/>
  <c r="D3285" i="7"/>
  <c r="I3285" i="7" s="1"/>
  <c r="M3285" i="7" s="1"/>
  <c r="D3282" i="7"/>
  <c r="D3281" i="7"/>
  <c r="D3280" i="7"/>
  <c r="D3279" i="7"/>
  <c r="D3278" i="7"/>
  <c r="D3271" i="7"/>
  <c r="I3271" i="7" s="1"/>
  <c r="M3271" i="7" s="1"/>
  <c r="D3270" i="7"/>
  <c r="I3270" i="7" s="1"/>
  <c r="M3270" i="7" s="1"/>
  <c r="D3244" i="7"/>
  <c r="G3244" i="7" s="1"/>
  <c r="D3295" i="7"/>
  <c r="I3295" i="7" s="1"/>
  <c r="M3295" i="7" s="1"/>
  <c r="D3265" i="7"/>
  <c r="I3265" i="7" s="1"/>
  <c r="M3265" i="7" s="1"/>
  <c r="D3228" i="7"/>
  <c r="I3228" i="7" s="1"/>
  <c r="M3228" i="7" s="1"/>
  <c r="D3288" i="7"/>
  <c r="G3288" i="7" s="1"/>
  <c r="D3269" i="7"/>
  <c r="I3269" i="7" s="1"/>
  <c r="M3269" i="7" s="1"/>
  <c r="D3289" i="7"/>
  <c r="I3289" i="7" s="1"/>
  <c r="M3289" i="7" s="1"/>
  <c r="D3287" i="7"/>
  <c r="G3287" i="7" s="1"/>
  <c r="D3268" i="7"/>
  <c r="I3268" i="7" s="1"/>
  <c r="M3268" i="7" s="1"/>
  <c r="D3428" i="7"/>
  <c r="G3428" i="7" s="1"/>
  <c r="D3231" i="7"/>
  <c r="I3231" i="7" s="1"/>
  <c r="M3231" i="7" s="1"/>
  <c r="D3227" i="7"/>
  <c r="I3227" i="7" s="1"/>
  <c r="M3227" i="7" s="1"/>
  <c r="I3216" i="7"/>
  <c r="M3216" i="7" s="1"/>
  <c r="D3245" i="7"/>
  <c r="G3245" i="7" s="1"/>
  <c r="D3225" i="7"/>
  <c r="I3225" i="7" s="1"/>
  <c r="M3225" i="7" s="1"/>
  <c r="Q629" i="7"/>
  <c r="M628" i="7"/>
  <c r="D810" i="7"/>
  <c r="I810" i="7" s="1"/>
  <c r="M810" i="7" s="1"/>
  <c r="D809" i="7"/>
  <c r="I809" i="7" s="1"/>
  <c r="M809" i="7" s="1"/>
  <c r="D808" i="7"/>
  <c r="I808" i="7" s="1"/>
  <c r="M808" i="7" s="1"/>
  <c r="D777" i="7"/>
  <c r="I777" i="7" s="1"/>
  <c r="M777" i="7" s="1"/>
  <c r="N1023" i="7"/>
  <c r="D1021" i="7"/>
  <c r="I1021" i="7" s="1"/>
  <c r="M1021" i="7" s="1"/>
  <c r="N1017" i="7"/>
  <c r="O1017" i="7" s="1"/>
  <c r="D1012" i="7"/>
  <c r="N1007" i="7"/>
  <c r="D1005" i="7"/>
  <c r="I1005" i="7" s="1"/>
  <c r="M1005" i="7" s="1"/>
  <c r="D998" i="7"/>
  <c r="N994" i="7"/>
  <c r="D1023" i="7"/>
  <c r="N1018" i="7"/>
  <c r="N1015" i="7"/>
  <c r="O1015" i="7" s="1"/>
  <c r="D1013" i="7"/>
  <c r="I1013" i="7" s="1"/>
  <c r="M1013" i="7" s="1"/>
  <c r="N1008" i="7"/>
  <c r="D1024" i="7"/>
  <c r="I1024" i="7" s="1"/>
  <c r="M1024" i="7" s="1"/>
  <c r="N1022" i="7"/>
  <c r="N1012" i="7"/>
  <c r="N1006" i="7"/>
  <c r="N1003" i="7"/>
  <c r="N998" i="7"/>
  <c r="N995" i="7"/>
  <c r="D986" i="7"/>
  <c r="I986" i="7" s="1"/>
  <c r="M986" i="7" s="1"/>
  <c r="N982" i="7"/>
  <c r="D980" i="7"/>
  <c r="I980" i="7" s="1"/>
  <c r="M980" i="7" s="1"/>
  <c r="N976" i="7"/>
  <c r="N960" i="7"/>
  <c r="N959" i="7"/>
  <c r="N958" i="7"/>
  <c r="N957" i="7"/>
  <c r="N956" i="7"/>
  <c r="N955" i="7"/>
  <c r="N954" i="7"/>
  <c r="N953" i="7"/>
  <c r="N927" i="7"/>
  <c r="N924" i="7"/>
  <c r="D922" i="7"/>
  <c r="I922" i="7" s="1"/>
  <c r="M922" i="7" s="1"/>
  <c r="N916" i="7"/>
  <c r="N915" i="7"/>
  <c r="D912" i="7"/>
  <c r="N908" i="7"/>
  <c r="D905" i="7"/>
  <c r="I905" i="7" s="1"/>
  <c r="M905" i="7" s="1"/>
  <c r="N900" i="7"/>
  <c r="D898" i="7"/>
  <c r="N893" i="7"/>
  <c r="D890" i="7"/>
  <c r="I890" i="7" s="1"/>
  <c r="M890" i="7" s="1"/>
  <c r="N885" i="7"/>
  <c r="D882" i="7"/>
  <c r="I882" i="7" s="1"/>
  <c r="M882" i="7" s="1"/>
  <c r="N878" i="7"/>
  <c r="D876" i="7"/>
  <c r="N872" i="7"/>
  <c r="D869" i="7"/>
  <c r="I869" i="7" s="1"/>
  <c r="M869" i="7" s="1"/>
  <c r="N864" i="7"/>
  <c r="D861" i="7"/>
  <c r="I861" i="7" s="1"/>
  <c r="M861" i="7" s="1"/>
  <c r="N857" i="7"/>
  <c r="D854" i="7"/>
  <c r="I854" i="7" s="1"/>
  <c r="M854" i="7" s="1"/>
  <c r="N850" i="7"/>
  <c r="D836" i="7"/>
  <c r="N1025" i="7"/>
  <c r="D1006" i="7"/>
  <c r="N990" i="7"/>
  <c r="N989" i="7"/>
  <c r="D987" i="7"/>
  <c r="I987" i="7" s="1"/>
  <c r="M987" i="7" s="1"/>
  <c r="D981" i="7"/>
  <c r="N977" i="7"/>
  <c r="D975" i="7"/>
  <c r="N969" i="7"/>
  <c r="N968" i="7"/>
  <c r="N967" i="7"/>
  <c r="N966" i="7"/>
  <c r="N965" i="7"/>
  <c r="N964" i="7"/>
  <c r="N963" i="7"/>
  <c r="N962" i="7"/>
  <c r="N952" i="7"/>
  <c r="D951" i="7"/>
  <c r="N943" i="7"/>
  <c r="N942" i="7"/>
  <c r="N933" i="7"/>
  <c r="N932" i="7"/>
  <c r="N928" i="7"/>
  <c r="D923" i="7"/>
  <c r="I923" i="7" s="1"/>
  <c r="M923" i="7" s="1"/>
  <c r="N917" i="7"/>
  <c r="N909" i="7"/>
  <c r="D906" i="7"/>
  <c r="I906" i="7" s="1"/>
  <c r="M906" i="7" s="1"/>
  <c r="N901" i="7"/>
  <c r="N894" i="7"/>
  <c r="D891" i="7"/>
  <c r="I891" i="7" s="1"/>
  <c r="M891" i="7" s="1"/>
  <c r="N886" i="7"/>
  <c r="D883" i="7"/>
  <c r="I883" i="7" s="1"/>
  <c r="M883" i="7" s="1"/>
  <c r="D870" i="7"/>
  <c r="I870" i="7" s="1"/>
  <c r="M870" i="7" s="1"/>
  <c r="N865" i="7"/>
  <c r="D862" i="7"/>
  <c r="I862" i="7" s="1"/>
  <c r="M862" i="7" s="1"/>
  <c r="N858" i="7"/>
  <c r="D855" i="7"/>
  <c r="I855" i="7" s="1"/>
  <c r="M855" i="7" s="1"/>
  <c r="N851" i="7"/>
  <c r="D847" i="7"/>
  <c r="I847" i="7" s="1"/>
  <c r="M847" i="7" s="1"/>
  <c r="N843" i="7"/>
  <c r="N842" i="7"/>
  <c r="N841" i="7"/>
  <c r="N840" i="7"/>
  <c r="D1022" i="7"/>
  <c r="I1022" i="7" s="1"/>
  <c r="M1022" i="7" s="1"/>
  <c r="N1020" i="7"/>
  <c r="D1019" i="7"/>
  <c r="I1019" i="7" s="1"/>
  <c r="M1019" i="7" s="1"/>
  <c r="D1017" i="7"/>
  <c r="N1010" i="7"/>
  <c r="N999" i="7"/>
  <c r="N991" i="7"/>
  <c r="D988" i="7"/>
  <c r="I988" i="7" s="1"/>
  <c r="M988" i="7" s="1"/>
  <c r="N983" i="7"/>
  <c r="N978" i="7"/>
  <c r="N972" i="7"/>
  <c r="N970" i="7"/>
  <c r="N961" i="7"/>
  <c r="N944" i="7"/>
  <c r="N941" i="7"/>
  <c r="N940" i="7"/>
  <c r="N935" i="7"/>
  <c r="N934" i="7"/>
  <c r="N931" i="7"/>
  <c r="N930" i="7"/>
  <c r="D924" i="7"/>
  <c r="N919" i="7"/>
  <c r="D907" i="7"/>
  <c r="I907" i="7" s="1"/>
  <c r="M907" i="7" s="1"/>
  <c r="N902" i="7"/>
  <c r="D899" i="7"/>
  <c r="I899" i="7" s="1"/>
  <c r="M899" i="7" s="1"/>
  <c r="N895" i="7"/>
  <c r="D892" i="7"/>
  <c r="I892" i="7" s="1"/>
  <c r="M892" i="7" s="1"/>
  <c r="N887" i="7"/>
  <c r="D884" i="7"/>
  <c r="I884" i="7" s="1"/>
  <c r="M884" i="7" s="1"/>
  <c r="N879" i="7"/>
  <c r="D877" i="7"/>
  <c r="I877" i="7" s="1"/>
  <c r="M877" i="7" s="1"/>
  <c r="N873" i="7"/>
  <c r="D871" i="7"/>
  <c r="I871" i="7" s="1"/>
  <c r="M871" i="7" s="1"/>
  <c r="N866" i="7"/>
  <c r="D863" i="7"/>
  <c r="I863" i="7" s="1"/>
  <c r="M863" i="7" s="1"/>
  <c r="N859" i="7"/>
  <c r="D857" i="7"/>
  <c r="N852" i="7"/>
  <c r="D849" i="7"/>
  <c r="I849" i="7" s="1"/>
  <c r="M849" i="7" s="1"/>
  <c r="D848" i="7"/>
  <c r="I848" i="7" s="1"/>
  <c r="M848" i="7" s="1"/>
  <c r="N844" i="7"/>
  <c r="D839" i="7"/>
  <c r="I839" i="7" s="1"/>
  <c r="M839" i="7" s="1"/>
  <c r="D838" i="7"/>
  <c r="I838" i="7" s="1"/>
  <c r="M838" i="7" s="1"/>
  <c r="D837" i="7"/>
  <c r="I837" i="7" s="1"/>
  <c r="M837" i="7" s="1"/>
  <c r="N834" i="7"/>
  <c r="D16" i="6" s="1"/>
  <c r="D1026" i="7"/>
  <c r="I1026" i="7" s="1"/>
  <c r="M1026" i="7" s="1"/>
  <c r="N1019" i="7"/>
  <c r="D1014" i="7"/>
  <c r="N1009" i="7"/>
  <c r="N988" i="7"/>
  <c r="D985" i="7"/>
  <c r="I985" i="7" s="1"/>
  <c r="M985" i="7" s="1"/>
  <c r="N981" i="7"/>
  <c r="N975" i="7"/>
  <c r="D972" i="7"/>
  <c r="N951" i="7"/>
  <c r="D946" i="7"/>
  <c r="N926" i="7"/>
  <c r="N925" i="7"/>
  <c r="D921" i="7"/>
  <c r="I921" i="7" s="1"/>
  <c r="M921" i="7" s="1"/>
  <c r="D919" i="7"/>
  <c r="I919" i="7" s="1"/>
  <c r="M919" i="7" s="1"/>
  <c r="N914" i="7"/>
  <c r="N913" i="7"/>
  <c r="D911" i="7"/>
  <c r="I911" i="7" s="1"/>
  <c r="M911" i="7" s="1"/>
  <c r="N907" i="7"/>
  <c r="D904" i="7"/>
  <c r="I904" i="7" s="1"/>
  <c r="M904" i="7" s="1"/>
  <c r="N899" i="7"/>
  <c r="D897" i="7"/>
  <c r="I897" i="7" s="1"/>
  <c r="M897" i="7" s="1"/>
  <c r="N892" i="7"/>
  <c r="D889" i="7"/>
  <c r="I889" i="7" s="1"/>
  <c r="M889" i="7" s="1"/>
  <c r="N884" i="7"/>
  <c r="D881" i="7"/>
  <c r="I881" i="7" s="1"/>
  <c r="M881" i="7" s="1"/>
  <c r="N877" i="7"/>
  <c r="D875" i="7"/>
  <c r="I875" i="7" s="1"/>
  <c r="M875" i="7" s="1"/>
  <c r="N871" i="7"/>
  <c r="D868" i="7"/>
  <c r="I868" i="7" s="1"/>
  <c r="M868" i="7" s="1"/>
  <c r="N863" i="7"/>
  <c r="N849" i="7"/>
  <c r="D846" i="7"/>
  <c r="N839" i="7"/>
  <c r="D1020" i="7"/>
  <c r="I1020" i="7" s="1"/>
  <c r="M1020" i="7" s="1"/>
  <c r="N1016" i="7"/>
  <c r="O1016" i="7" s="1"/>
  <c r="D1004" i="7"/>
  <c r="N996" i="7"/>
  <c r="D989" i="7"/>
  <c r="N984" i="7"/>
  <c r="D982" i="7"/>
  <c r="I982" i="7" s="1"/>
  <c r="M982" i="7" s="1"/>
  <c r="N936" i="7"/>
  <c r="D926" i="7"/>
  <c r="D920" i="7"/>
  <c r="I920" i="7" s="1"/>
  <c r="M920" i="7" s="1"/>
  <c r="N911" i="7"/>
  <c r="D909" i="7"/>
  <c r="I909" i="7" s="1"/>
  <c r="M909" i="7" s="1"/>
  <c r="N904" i="7"/>
  <c r="N897" i="7"/>
  <c r="D886" i="7"/>
  <c r="I886" i="7" s="1"/>
  <c r="M886" i="7" s="1"/>
  <c r="N881" i="7"/>
  <c r="D879" i="7"/>
  <c r="N860" i="7"/>
  <c r="D858" i="7"/>
  <c r="I858" i="7" s="1"/>
  <c r="M858" i="7" s="1"/>
  <c r="N853" i="7"/>
  <c r="D851" i="7"/>
  <c r="I851" i="7" s="1"/>
  <c r="M851" i="7" s="1"/>
  <c r="D840" i="7"/>
  <c r="D1016" i="7"/>
  <c r="N1001" i="7"/>
  <c r="N979" i="7"/>
  <c r="D977" i="7"/>
  <c r="I977" i="7" s="1"/>
  <c r="M977" i="7" s="1"/>
  <c r="N946" i="7"/>
  <c r="D944" i="7"/>
  <c r="I944" i="7" s="1"/>
  <c r="M944" i="7" s="1"/>
  <c r="N938" i="7"/>
  <c r="D928" i="7"/>
  <c r="I928" i="7" s="1"/>
  <c r="M928" i="7" s="1"/>
  <c r="D902" i="7"/>
  <c r="I902" i="7" s="1"/>
  <c r="M902" i="7" s="1"/>
  <c r="D895" i="7"/>
  <c r="I895" i="7" s="1"/>
  <c r="M895" i="7" s="1"/>
  <c r="N890" i="7"/>
  <c r="N869" i="7"/>
  <c r="N836" i="7"/>
  <c r="D1025" i="7"/>
  <c r="D996" i="7"/>
  <c r="N993" i="7"/>
  <c r="N986" i="7"/>
  <c r="N974" i="7"/>
  <c r="N949" i="7"/>
  <c r="N921" i="7"/>
  <c r="N906" i="7"/>
  <c r="D888" i="7"/>
  <c r="I888" i="7" s="1"/>
  <c r="M888" i="7" s="1"/>
  <c r="N883" i="7"/>
  <c r="N876" i="7"/>
  <c r="D874" i="7"/>
  <c r="I874" i="7" s="1"/>
  <c r="M874" i="7" s="1"/>
  <c r="D867" i="7"/>
  <c r="I867" i="7" s="1"/>
  <c r="M867" i="7" s="1"/>
  <c r="N862" i="7"/>
  <c r="D860" i="7"/>
  <c r="N855" i="7"/>
  <c r="D853" i="7"/>
  <c r="N848" i="7"/>
  <c r="N846" i="7"/>
  <c r="D844" i="7"/>
  <c r="I844" i="7" s="1"/>
  <c r="M844" i="7" s="1"/>
  <c r="D842" i="7"/>
  <c r="I842" i="7" s="1"/>
  <c r="M842" i="7" s="1"/>
  <c r="D1007" i="7"/>
  <c r="I1007" i="7" s="1"/>
  <c r="M1007" i="7" s="1"/>
  <c r="D1000" i="7"/>
  <c r="N987" i="7"/>
  <c r="D973" i="7"/>
  <c r="N950" i="7"/>
  <c r="N922" i="7"/>
  <c r="D918" i="7"/>
  <c r="D900" i="7"/>
  <c r="I900" i="7" s="1"/>
  <c r="M900" i="7" s="1"/>
  <c r="D893" i="7"/>
  <c r="I893" i="7" s="1"/>
  <c r="M893" i="7" s="1"/>
  <c r="N888" i="7"/>
  <c r="N874" i="7"/>
  <c r="D872" i="7"/>
  <c r="I872" i="7" s="1"/>
  <c r="M872" i="7" s="1"/>
  <c r="N867" i="7"/>
  <c r="N847" i="7"/>
  <c r="D845" i="7"/>
  <c r="I845" i="7" s="1"/>
  <c r="M845" i="7" s="1"/>
  <c r="N838" i="7"/>
  <c r="D834" i="7"/>
  <c r="N1021" i="7"/>
  <c r="N992" i="7"/>
  <c r="N937" i="7"/>
  <c r="D927" i="7"/>
  <c r="I927" i="7" s="1"/>
  <c r="M927" i="7" s="1"/>
  <c r="N923" i="7"/>
  <c r="N910" i="7"/>
  <c r="N896" i="7"/>
  <c r="D878" i="7"/>
  <c r="I878" i="7" s="1"/>
  <c r="M878" i="7" s="1"/>
  <c r="D864" i="7"/>
  <c r="I864" i="7" s="1"/>
  <c r="M864" i="7" s="1"/>
  <c r="D850" i="7"/>
  <c r="I850" i="7" s="1"/>
  <c r="M850" i="7" s="1"/>
  <c r="D835" i="7"/>
  <c r="N1026" i="7"/>
  <c r="N1014" i="7"/>
  <c r="D1008" i="7"/>
  <c r="N1002" i="7"/>
  <c r="D983" i="7"/>
  <c r="N973" i="7"/>
  <c r="D901" i="7"/>
  <c r="I901" i="7" s="1"/>
  <c r="M901" i="7" s="1"/>
  <c r="D873" i="7"/>
  <c r="N868" i="7"/>
  <c r="N845" i="7"/>
  <c r="N1013" i="7"/>
  <c r="N997" i="7"/>
  <c r="D978" i="7"/>
  <c r="I978" i="7" s="1"/>
  <c r="M978" i="7" s="1"/>
  <c r="N948" i="7"/>
  <c r="N945" i="7"/>
  <c r="N939" i="7"/>
  <c r="N918" i="7"/>
  <c r="D910" i="7"/>
  <c r="N905" i="7"/>
  <c r="D887" i="7"/>
  <c r="I887" i="7" s="1"/>
  <c r="M887" i="7" s="1"/>
  <c r="N882" i="7"/>
  <c r="D859" i="7"/>
  <c r="I859" i="7" s="1"/>
  <c r="M859" i="7" s="1"/>
  <c r="N854" i="7"/>
  <c r="N1011" i="7"/>
  <c r="N891" i="7"/>
  <c r="N837" i="7"/>
  <c r="N1005" i="7"/>
  <c r="D976" i="7"/>
  <c r="I976" i="7" s="1"/>
  <c r="M976" i="7" s="1"/>
  <c r="N971" i="7"/>
  <c r="N929" i="7"/>
  <c r="D908" i="7"/>
  <c r="I908" i="7" s="1"/>
  <c r="M908" i="7" s="1"/>
  <c r="N903" i="7"/>
  <c r="D885" i="7"/>
  <c r="I885" i="7" s="1"/>
  <c r="M885" i="7" s="1"/>
  <c r="N880" i="7"/>
  <c r="D841" i="7"/>
  <c r="I841" i="7" s="1"/>
  <c r="M841" i="7" s="1"/>
  <c r="N1024" i="7"/>
  <c r="D1018" i="7"/>
  <c r="N1000" i="7"/>
  <c r="N985" i="7"/>
  <c r="D945" i="7"/>
  <c r="I945" i="7" s="1"/>
  <c r="M945" i="7" s="1"/>
  <c r="N920" i="7"/>
  <c r="D894" i="7"/>
  <c r="I894" i="7" s="1"/>
  <c r="M894" i="7" s="1"/>
  <c r="N889" i="7"/>
  <c r="N875" i="7"/>
  <c r="D984" i="7"/>
  <c r="I984" i="7" s="1"/>
  <c r="M984" i="7" s="1"/>
  <c r="D979" i="7"/>
  <c r="N912" i="7"/>
  <c r="D903" i="7"/>
  <c r="I903" i="7" s="1"/>
  <c r="M903" i="7" s="1"/>
  <c r="N898" i="7"/>
  <c r="D880" i="7"/>
  <c r="I880" i="7" s="1"/>
  <c r="M880" i="7" s="1"/>
  <c r="N870" i="7"/>
  <c r="N856" i="7"/>
  <c r="I856" i="7" s="1"/>
  <c r="D843" i="7"/>
  <c r="I843" i="7" s="1"/>
  <c r="M843" i="7" s="1"/>
  <c r="N835" i="7"/>
  <c r="N947" i="7"/>
  <c r="D925" i="7"/>
  <c r="I925" i="7" s="1"/>
  <c r="M925" i="7" s="1"/>
  <c r="N861" i="7"/>
  <c r="D929" i="7"/>
  <c r="D1538" i="7"/>
  <c r="D1536" i="7"/>
  <c r="D1534" i="7"/>
  <c r="D1532" i="7"/>
  <c r="D1537" i="7"/>
  <c r="D1533" i="7"/>
  <c r="D1539" i="7"/>
  <c r="D1535" i="7"/>
  <c r="G3281" i="7"/>
  <c r="C334" i="11" s="1"/>
  <c r="I87" i="4"/>
  <c r="D3521" i="7"/>
  <c r="D3524" i="7"/>
  <c r="D3544" i="7"/>
  <c r="I3544" i="7" s="1"/>
  <c r="M3544" i="7" s="1"/>
  <c r="I3543" i="7"/>
  <c r="CC92" i="4"/>
  <c r="D3978" i="7"/>
  <c r="D3975" i="7"/>
  <c r="I4010" i="7"/>
  <c r="D4011" i="7"/>
  <c r="D4162" i="7"/>
  <c r="I4162" i="7" s="1"/>
  <c r="M4162" i="7" s="1"/>
  <c r="I4161" i="7"/>
  <c r="M4161" i="7" s="1"/>
  <c r="D96" i="4"/>
  <c r="BE96" i="4"/>
  <c r="BM96" i="4"/>
  <c r="D29" i="5"/>
  <c r="D196" i="5"/>
  <c r="G2552" i="7" s="1"/>
  <c r="D218" i="5"/>
  <c r="H15" i="6"/>
  <c r="H19" i="6"/>
  <c r="H22" i="6"/>
  <c r="D125" i="7"/>
  <c r="I125" i="7" s="1"/>
  <c r="M125" i="7" s="1"/>
  <c r="D211" i="7"/>
  <c r="I211" i="7" s="1"/>
  <c r="M211" i="7" s="1"/>
  <c r="M229" i="7"/>
  <c r="D340" i="7"/>
  <c r="I340" i="7" s="1"/>
  <c r="M340" i="7" s="1"/>
  <c r="D377" i="7"/>
  <c r="N502" i="7"/>
  <c r="N527" i="7"/>
  <c r="P616" i="7"/>
  <c r="N980" i="7"/>
  <c r="I3202" i="7"/>
  <c r="D3065" i="7"/>
  <c r="G968" i="7"/>
  <c r="G966" i="7"/>
  <c r="G964" i="7"/>
  <c r="G962" i="7"/>
  <c r="G969" i="7"/>
  <c r="I969" i="7" s="1"/>
  <c r="M969" i="7" s="1"/>
  <c r="G965" i="7"/>
  <c r="I965" i="7" s="1"/>
  <c r="M965" i="7" s="1"/>
  <c r="G967" i="7"/>
  <c r="I967" i="7" s="1"/>
  <c r="M967" i="7" s="1"/>
  <c r="G963" i="7"/>
  <c r="D1202" i="7"/>
  <c r="I1202" i="7" s="1"/>
  <c r="M1202" i="7" s="1"/>
  <c r="D1184" i="7"/>
  <c r="I1184" i="7" s="1"/>
  <c r="M1184" i="7" s="1"/>
  <c r="D1203" i="7"/>
  <c r="I1203" i="7" s="1"/>
  <c r="M1203" i="7" s="1"/>
  <c r="D1185" i="7"/>
  <c r="I1185" i="7" s="1"/>
  <c r="M1185" i="7" s="1"/>
  <c r="D1140" i="7"/>
  <c r="I1140" i="7" s="1"/>
  <c r="M1140" i="7" s="1"/>
  <c r="D1204" i="7"/>
  <c r="I1204" i="7" s="1"/>
  <c r="M1204" i="7" s="1"/>
  <c r="D1192" i="7"/>
  <c r="I1192" i="7" s="1"/>
  <c r="M1192" i="7" s="1"/>
  <c r="D1186" i="7"/>
  <c r="I1186" i="7" s="1"/>
  <c r="M1186" i="7" s="1"/>
  <c r="D1141" i="7"/>
  <c r="I1141" i="7" s="1"/>
  <c r="M1141" i="7" s="1"/>
  <c r="D1190" i="7"/>
  <c r="I1190" i="7" s="1"/>
  <c r="M1190" i="7" s="1"/>
  <c r="D1183" i="7"/>
  <c r="I1183" i="7" s="1"/>
  <c r="M1183" i="7" s="1"/>
  <c r="D1110" i="7"/>
  <c r="I1110" i="7" s="1"/>
  <c r="M1110" i="7" s="1"/>
  <c r="D1109" i="7"/>
  <c r="I1109" i="7" s="1"/>
  <c r="M1109" i="7" s="1"/>
  <c r="D1106" i="7"/>
  <c r="I1106" i="7" s="1"/>
  <c r="M1106" i="7" s="1"/>
  <c r="D1107" i="7"/>
  <c r="I1107" i="7" s="1"/>
  <c r="M1107" i="7" s="1"/>
  <c r="D1188" i="7"/>
  <c r="I1188" i="7" s="1"/>
  <c r="M1188" i="7" s="1"/>
  <c r="D1143" i="7"/>
  <c r="I1143" i="7" s="1"/>
  <c r="M1143" i="7" s="1"/>
  <c r="D1108" i="7"/>
  <c r="I1108" i="7" s="1"/>
  <c r="M1108" i="7" s="1"/>
  <c r="D1187" i="7"/>
  <c r="I1187" i="7" s="1"/>
  <c r="M1187" i="7" s="1"/>
  <c r="D1164" i="7"/>
  <c r="I1164" i="7" s="1"/>
  <c r="M1164" i="7" s="1"/>
  <c r="D1346" i="7"/>
  <c r="D1344" i="7"/>
  <c r="D1342" i="7"/>
  <c r="D1340" i="7"/>
  <c r="D1345" i="7"/>
  <c r="D1341" i="7"/>
  <c r="D1339" i="7"/>
  <c r="D1343" i="7"/>
  <c r="D1251" i="7"/>
  <c r="I1251" i="7" s="1"/>
  <c r="M1251" i="7" s="1"/>
  <c r="D1252" i="7"/>
  <c r="I1252" i="7" s="1"/>
  <c r="M1252" i="7" s="1"/>
  <c r="P4248" i="7"/>
  <c r="F41" i="6" s="1"/>
  <c r="G41" i="6" s="1"/>
  <c r="N4248" i="7"/>
  <c r="D41" i="6" s="1"/>
  <c r="E41" i="6" s="1"/>
  <c r="D4248" i="7"/>
  <c r="I4248" i="7" s="1"/>
  <c r="M4248" i="7" s="1"/>
  <c r="G1538" i="7"/>
  <c r="G1536" i="7"/>
  <c r="G1534" i="7"/>
  <c r="I1534" i="7" s="1"/>
  <c r="M1534" i="7" s="1"/>
  <c r="G1532" i="7"/>
  <c r="D1553" i="7"/>
  <c r="I1553" i="7" s="1"/>
  <c r="M1553" i="7" s="1"/>
  <c r="G1537" i="7"/>
  <c r="G1533" i="7"/>
  <c r="G1535" i="7"/>
  <c r="G1539" i="7"/>
  <c r="R78" i="4"/>
  <c r="Y16" i="4" s="1"/>
  <c r="I3069" i="7"/>
  <c r="D3070" i="7"/>
  <c r="D3034" i="7"/>
  <c r="I3033" i="7"/>
  <c r="G3282" i="7"/>
  <c r="I86" i="4"/>
  <c r="G3499" i="7"/>
  <c r="C395" i="11" s="1"/>
  <c r="P4163" i="7"/>
  <c r="N4160" i="7"/>
  <c r="D4158" i="7"/>
  <c r="G4158" i="7" s="1"/>
  <c r="P4155" i="7"/>
  <c r="Q4155" i="7" s="1"/>
  <c r="N4153" i="7"/>
  <c r="O4153" i="7" s="1"/>
  <c r="N4163" i="7"/>
  <c r="D4160" i="7"/>
  <c r="P4157" i="7"/>
  <c r="Q4157" i="7" s="1"/>
  <c r="N4156" i="7"/>
  <c r="O4156" i="7" s="1"/>
  <c r="N4151" i="7"/>
  <c r="P4147" i="7"/>
  <c r="D4141" i="7"/>
  <c r="I4141" i="7" s="1"/>
  <c r="M4141" i="7" s="1"/>
  <c r="P4138" i="7"/>
  <c r="N4137" i="7"/>
  <c r="D4134" i="7"/>
  <c r="I4134" i="7" s="1"/>
  <c r="M4134" i="7" s="1"/>
  <c r="P4131" i="7"/>
  <c r="N4129" i="7"/>
  <c r="D4126" i="7"/>
  <c r="G4126" i="7" s="1"/>
  <c r="P4124" i="7"/>
  <c r="N4122" i="7"/>
  <c r="D4119" i="7"/>
  <c r="I4119" i="7" s="1"/>
  <c r="M4119" i="7" s="1"/>
  <c r="N4115" i="7"/>
  <c r="P4110" i="7"/>
  <c r="D4106" i="7"/>
  <c r="I4106" i="7" s="1"/>
  <c r="M4106" i="7" s="1"/>
  <c r="P4103" i="7"/>
  <c r="N4101" i="7"/>
  <c r="D4099" i="7"/>
  <c r="P4096" i="7"/>
  <c r="N4095" i="7"/>
  <c r="D4092" i="7"/>
  <c r="I4092" i="7" s="1"/>
  <c r="M4092" i="7" s="1"/>
  <c r="D4091" i="7"/>
  <c r="D4090" i="7"/>
  <c r="D4089" i="7"/>
  <c r="D4088" i="7"/>
  <c r="D4087" i="7"/>
  <c r="D4086" i="7"/>
  <c r="D4085" i="7"/>
  <c r="G4085" i="7" s="1"/>
  <c r="D4084" i="7"/>
  <c r="G4084" i="7" s="1"/>
  <c r="N4080" i="7"/>
  <c r="D4078" i="7"/>
  <c r="P4074" i="7"/>
  <c r="N4072" i="7"/>
  <c r="D4069" i="7"/>
  <c r="I4069" i="7" s="1"/>
  <c r="M4069" i="7" s="1"/>
  <c r="P4066" i="7"/>
  <c r="N4064" i="7"/>
  <c r="D4062" i="7"/>
  <c r="I4062" i="7" s="1"/>
  <c r="M4062" i="7" s="1"/>
  <c r="P4059" i="7"/>
  <c r="N4057" i="7"/>
  <c r="D4056" i="7"/>
  <c r="P4053" i="7"/>
  <c r="N4052" i="7"/>
  <c r="P4160" i="7"/>
  <c r="D4159" i="7"/>
  <c r="I4159" i="7" s="1"/>
  <c r="M4159" i="7" s="1"/>
  <c r="D4155" i="7"/>
  <c r="G4155" i="7" s="1"/>
  <c r="P4153" i="7"/>
  <c r="Q4153" i="7" s="1"/>
  <c r="N4152" i="7"/>
  <c r="O4152" i="7" s="1"/>
  <c r="D4150" i="7"/>
  <c r="I4150" i="7" s="1"/>
  <c r="M4150" i="7" s="1"/>
  <c r="P4148" i="7"/>
  <c r="Q4148" i="7" s="1"/>
  <c r="N4146" i="7"/>
  <c r="N4145" i="7"/>
  <c r="N4144" i="7"/>
  <c r="D4142" i="7"/>
  <c r="I4142" i="7" s="1"/>
  <c r="M4142" i="7" s="1"/>
  <c r="P4139" i="7"/>
  <c r="D4135" i="7"/>
  <c r="I4135" i="7" s="1"/>
  <c r="M4135" i="7" s="1"/>
  <c r="P4132" i="7"/>
  <c r="N4130" i="7"/>
  <c r="D4127" i="7"/>
  <c r="G4127" i="7" s="1"/>
  <c r="N4123" i="7"/>
  <c r="D4120" i="7"/>
  <c r="I4120" i="7" s="1"/>
  <c r="M4120" i="7" s="1"/>
  <c r="P4117" i="7"/>
  <c r="N4116" i="7"/>
  <c r="D4113" i="7"/>
  <c r="I4113" i="7" s="1"/>
  <c r="M4113" i="7" s="1"/>
  <c r="P4111" i="7"/>
  <c r="N4109" i="7"/>
  <c r="D4108" i="7"/>
  <c r="P4104" i="7"/>
  <c r="N4102" i="7"/>
  <c r="P4097" i="7"/>
  <c r="D4093" i="7"/>
  <c r="I4093" i="7" s="1"/>
  <c r="M4093" i="7" s="1"/>
  <c r="P4082" i="7"/>
  <c r="N4081" i="7"/>
  <c r="P4075" i="7"/>
  <c r="P4158" i="7"/>
  <c r="N4157" i="7"/>
  <c r="O4157" i="7" s="1"/>
  <c r="D4151" i="7"/>
  <c r="N4147" i="7"/>
  <c r="O4147" i="7" s="1"/>
  <c r="D4143" i="7"/>
  <c r="I4143" i="7" s="1"/>
  <c r="M4143" i="7" s="1"/>
  <c r="P4140" i="7"/>
  <c r="N4138" i="7"/>
  <c r="D4136" i="7"/>
  <c r="I4136" i="7" s="1"/>
  <c r="M4136" i="7" s="1"/>
  <c r="P4133" i="7"/>
  <c r="N4131" i="7"/>
  <c r="D4128" i="7"/>
  <c r="I4128" i="7" s="1"/>
  <c r="M4128" i="7" s="1"/>
  <c r="P4125" i="7"/>
  <c r="Q4125" i="7" s="1"/>
  <c r="N4124" i="7"/>
  <c r="D4121" i="7"/>
  <c r="I4121" i="7" s="1"/>
  <c r="M4121" i="7" s="1"/>
  <c r="P4118" i="7"/>
  <c r="D4114" i="7"/>
  <c r="I4114" i="7" s="1"/>
  <c r="M4114" i="7" s="1"/>
  <c r="N4110" i="7"/>
  <c r="P4105" i="7"/>
  <c r="N4103" i="7"/>
  <c r="D4100" i="7"/>
  <c r="I4100" i="7" s="1"/>
  <c r="M4100" i="7" s="1"/>
  <c r="P4098" i="7"/>
  <c r="N4096" i="7"/>
  <c r="D4095" i="7"/>
  <c r="P4091" i="7"/>
  <c r="P4090" i="7"/>
  <c r="P4089" i="7"/>
  <c r="P4088" i="7"/>
  <c r="P4087" i="7"/>
  <c r="P4086" i="7"/>
  <c r="P4085" i="7"/>
  <c r="P4084" i="7"/>
  <c r="P4083" i="7"/>
  <c r="Q4083" i="7" s="1"/>
  <c r="D4079" i="7"/>
  <c r="G4079" i="7" s="1"/>
  <c r="P4077" i="7"/>
  <c r="P4076" i="7"/>
  <c r="N4074" i="7"/>
  <c r="D4071" i="7"/>
  <c r="I4071" i="7" s="1"/>
  <c r="M4071" i="7" s="1"/>
  <c r="P4068" i="7"/>
  <c r="N4066" i="7"/>
  <c r="D4064" i="7"/>
  <c r="N4162" i="7"/>
  <c r="N4159" i="7"/>
  <c r="D4154" i="7"/>
  <c r="G4154" i="7" s="1"/>
  <c r="P4152" i="7"/>
  <c r="Q4152" i="7" s="1"/>
  <c r="D4149" i="7"/>
  <c r="P4146" i="7"/>
  <c r="P4145" i="7"/>
  <c r="P4144" i="7"/>
  <c r="N4143" i="7"/>
  <c r="D4140" i="7"/>
  <c r="I4140" i="7" s="1"/>
  <c r="M4140" i="7" s="1"/>
  <c r="N4136" i="7"/>
  <c r="D4133" i="7"/>
  <c r="I4133" i="7" s="1"/>
  <c r="M4133" i="7" s="1"/>
  <c r="P4130" i="7"/>
  <c r="N4128" i="7"/>
  <c r="P4123" i="7"/>
  <c r="N4121" i="7"/>
  <c r="D4118" i="7"/>
  <c r="I4118" i="7" s="1"/>
  <c r="M4118" i="7" s="1"/>
  <c r="P4116" i="7"/>
  <c r="N4114" i="7"/>
  <c r="D4112" i="7"/>
  <c r="P4161" i="7"/>
  <c r="N4158" i="7"/>
  <c r="O4158" i="7" s="1"/>
  <c r="D4156" i="7"/>
  <c r="G4156" i="7" s="1"/>
  <c r="N4149" i="7"/>
  <c r="D4147" i="7"/>
  <c r="G4147" i="7" s="1"/>
  <c r="D4145" i="7"/>
  <c r="I4145" i="7" s="1"/>
  <c r="M4145" i="7" s="1"/>
  <c r="D4131" i="7"/>
  <c r="I4131" i="7" s="1"/>
  <c r="M4131" i="7" s="1"/>
  <c r="P4128" i="7"/>
  <c r="D4105" i="7"/>
  <c r="I4105" i="7" s="1"/>
  <c r="M4105" i="7" s="1"/>
  <c r="D4103" i="7"/>
  <c r="I4103" i="7" s="1"/>
  <c r="M4103" i="7" s="1"/>
  <c r="D4101" i="7"/>
  <c r="I4101" i="7" s="1"/>
  <c r="M4101" i="7" s="1"/>
  <c r="N4099" i="7"/>
  <c r="N4088" i="7"/>
  <c r="N4078" i="7"/>
  <c r="N4076" i="7"/>
  <c r="P4071" i="7"/>
  <c r="P4065" i="7"/>
  <c r="N4062" i="7"/>
  <c r="N4058" i="7"/>
  <c r="D4057" i="7"/>
  <c r="N4050" i="7"/>
  <c r="O4050" i="7" s="1"/>
  <c r="D4049" i="7"/>
  <c r="P4046" i="7"/>
  <c r="Q4046" i="7" s="1"/>
  <c r="P4038" i="7"/>
  <c r="N4037" i="7"/>
  <c r="D4036" i="7"/>
  <c r="P4032" i="7"/>
  <c r="Q4032" i="7" s="1"/>
  <c r="N4030" i="7"/>
  <c r="P4025" i="7"/>
  <c r="N4024" i="7"/>
  <c r="P4019" i="7"/>
  <c r="N4017" i="7"/>
  <c r="N4011" i="7"/>
  <c r="D4009" i="7"/>
  <c r="P4006" i="7"/>
  <c r="P4000" i="7"/>
  <c r="N3998" i="7"/>
  <c r="D3967" i="7"/>
  <c r="I3967" i="7" s="1"/>
  <c r="M3967" i="7" s="1"/>
  <c r="P3965" i="7"/>
  <c r="N3963" i="7"/>
  <c r="D3960" i="7"/>
  <c r="G3960" i="7" s="1"/>
  <c r="P3956" i="7"/>
  <c r="N3955" i="7"/>
  <c r="N3954" i="7"/>
  <c r="N3953" i="7"/>
  <c r="N3952" i="7"/>
  <c r="N3951" i="7"/>
  <c r="N3950" i="7"/>
  <c r="D3949" i="7"/>
  <c r="N4161" i="7"/>
  <c r="P4151" i="7"/>
  <c r="N4142" i="7"/>
  <c r="P4137" i="7"/>
  <c r="N4135" i="7"/>
  <c r="N4126" i="7"/>
  <c r="O4126" i="7" s="1"/>
  <c r="D4124" i="7"/>
  <c r="I4124" i="7" s="1"/>
  <c r="M4124" i="7" s="1"/>
  <c r="P4121" i="7"/>
  <c r="N4119" i="7"/>
  <c r="D4117" i="7"/>
  <c r="P4114" i="7"/>
  <c r="N4112" i="7"/>
  <c r="N4108" i="7"/>
  <c r="N4106" i="7"/>
  <c r="N4104" i="7"/>
  <c r="N4093" i="7"/>
  <c r="N4091" i="7"/>
  <c r="N4083" i="7"/>
  <c r="P4081" i="7"/>
  <c r="P4079" i="7"/>
  <c r="Q4079" i="7" s="1"/>
  <c r="D4073" i="7"/>
  <c r="I4073" i="7" s="1"/>
  <c r="M4073" i="7" s="1"/>
  <c r="D4070" i="7"/>
  <c r="I4070" i="7" s="1"/>
  <c r="M4070" i="7" s="1"/>
  <c r="N4068" i="7"/>
  <c r="D4067" i="7"/>
  <c r="I4067" i="7" s="1"/>
  <c r="M4067" i="7" s="1"/>
  <c r="N4065" i="7"/>
  <c r="P4063" i="7"/>
  <c r="D4061" i="7"/>
  <c r="I4061" i="7" s="1"/>
  <c r="M4061" i="7" s="1"/>
  <c r="N4055" i="7"/>
  <c r="P4052" i="7"/>
  <c r="N4051" i="7"/>
  <c r="O4051" i="7" s="1"/>
  <c r="P4047" i="7"/>
  <c r="Q4047" i="7" s="1"/>
  <c r="N4045" i="7"/>
  <c r="D4042" i="7"/>
  <c r="G4042" i="7" s="1"/>
  <c r="P4040" i="7"/>
  <c r="P4039" i="7"/>
  <c r="Q4039" i="7" s="1"/>
  <c r="P4033" i="7"/>
  <c r="N4031" i="7"/>
  <c r="D4029" i="7"/>
  <c r="P4026" i="7"/>
  <c r="P4020" i="7"/>
  <c r="N4018" i="7"/>
  <c r="P4013" i="7"/>
  <c r="N4012" i="7"/>
  <c r="P4007" i="7"/>
  <c r="N4005" i="7"/>
  <c r="N3999" i="7"/>
  <c r="D3997" i="7"/>
  <c r="P3992" i="7"/>
  <c r="P3991" i="7"/>
  <c r="P3990" i="7"/>
  <c r="P3989" i="7"/>
  <c r="N3988" i="7"/>
  <c r="N3987" i="7"/>
  <c r="N3986" i="7"/>
  <c r="N3985" i="7"/>
  <c r="D3981" i="7"/>
  <c r="P3976" i="7"/>
  <c r="P3975" i="7"/>
  <c r="P3974" i="7"/>
  <c r="P3973" i="7"/>
  <c r="N3972" i="7"/>
  <c r="N3971" i="7"/>
  <c r="N3970" i="7"/>
  <c r="G3970" i="7" s="1"/>
  <c r="G3971" i="7" s="1"/>
  <c r="G3972" i="7" s="1"/>
  <c r="N3969" i="7"/>
  <c r="D3968" i="7"/>
  <c r="N3964" i="7"/>
  <c r="D3961" i="7"/>
  <c r="I3961" i="7" s="1"/>
  <c r="M3961" i="7" s="1"/>
  <c r="P3958" i="7"/>
  <c r="N4148" i="7"/>
  <c r="D4144" i="7"/>
  <c r="P4141" i="7"/>
  <c r="N4139" i="7"/>
  <c r="D4137" i="7"/>
  <c r="I4137" i="7" s="1"/>
  <c r="M4137" i="7" s="1"/>
  <c r="P4134" i="7"/>
  <c r="N4132" i="7"/>
  <c r="D4110" i="7"/>
  <c r="I4110" i="7" s="1"/>
  <c r="M4110" i="7" s="1"/>
  <c r="P4107" i="7"/>
  <c r="P4102" i="7"/>
  <c r="P4100" i="7"/>
  <c r="D4097" i="7"/>
  <c r="I4097" i="7" s="1"/>
  <c r="M4097" i="7" s="1"/>
  <c r="P4094" i="7"/>
  <c r="N4086" i="7"/>
  <c r="N4071" i="7"/>
  <c r="P4069" i="7"/>
  <c r="P4060" i="7"/>
  <c r="N4059" i="7"/>
  <c r="P4056" i="7"/>
  <c r="D4050" i="7"/>
  <c r="G4050" i="7" s="1"/>
  <c r="P4048" i="7"/>
  <c r="Q4048" i="7" s="1"/>
  <c r="N4046" i="7"/>
  <c r="D4044" i="7"/>
  <c r="I4044" i="7" s="1"/>
  <c r="M4044" i="7" s="1"/>
  <c r="D4043" i="7"/>
  <c r="G4043" i="7" s="1"/>
  <c r="N4038" i="7"/>
  <c r="D4037" i="7"/>
  <c r="P4035" i="7"/>
  <c r="P4034" i="7"/>
  <c r="N4032" i="7"/>
  <c r="O4032" i="7" s="1"/>
  <c r="P4027" i="7"/>
  <c r="N4025" i="7"/>
  <c r="N4019" i="7"/>
  <c r="D4017" i="7"/>
  <c r="P4014" i="7"/>
  <c r="P4008" i="7"/>
  <c r="N4006" i="7"/>
  <c r="P4001" i="7"/>
  <c r="N4000" i="7"/>
  <c r="D4152" i="7"/>
  <c r="G4152" i="7" s="1"/>
  <c r="N4141" i="7"/>
  <c r="D4138" i="7"/>
  <c r="D4130" i="7"/>
  <c r="I4130" i="7" s="1"/>
  <c r="M4130" i="7" s="1"/>
  <c r="N4120" i="7"/>
  <c r="D4116" i="7"/>
  <c r="I4116" i="7" s="1"/>
  <c r="M4116" i="7" s="1"/>
  <c r="P4112" i="7"/>
  <c r="D4109" i="7"/>
  <c r="N4100" i="7"/>
  <c r="N4097" i="7"/>
  <c r="P4072" i="7"/>
  <c r="D4068" i="7"/>
  <c r="I4068" i="7" s="1"/>
  <c r="M4068" i="7" s="1"/>
  <c r="D4063" i="7"/>
  <c r="I4063" i="7" s="1"/>
  <c r="M4063" i="7" s="1"/>
  <c r="N4056" i="7"/>
  <c r="N4054" i="7"/>
  <c r="D4052" i="7"/>
  <c r="G4052" i="7" s="1"/>
  <c r="N4048" i="7"/>
  <c r="O4048" i="7" s="1"/>
  <c r="P4044" i="7"/>
  <c r="N4041" i="7"/>
  <c r="N4039" i="7"/>
  <c r="O4039" i="7" s="1"/>
  <c r="P4037" i="7"/>
  <c r="N4035" i="7"/>
  <c r="I4035" i="7" s="1"/>
  <c r="D4034" i="7"/>
  <c r="I4034" i="7" s="1"/>
  <c r="M4034" i="7" s="1"/>
  <c r="N4020" i="7"/>
  <c r="P4016" i="7"/>
  <c r="D4013" i="7"/>
  <c r="N4009" i="7"/>
  <c r="P4005" i="7"/>
  <c r="N3994" i="7"/>
  <c r="N3992" i="7"/>
  <c r="P3987" i="7"/>
  <c r="N3977" i="7"/>
  <c r="N3975" i="7"/>
  <c r="P3970" i="7"/>
  <c r="P3968" i="7"/>
  <c r="P3966" i="7"/>
  <c r="P3963" i="7"/>
  <c r="P3957" i="7"/>
  <c r="N3956" i="7"/>
  <c r="D3954" i="7"/>
  <c r="I3954" i="7" s="1"/>
  <c r="M3954" i="7" s="1"/>
  <c r="P3951" i="7"/>
  <c r="N3944" i="7"/>
  <c r="D3941" i="7"/>
  <c r="I3941" i="7" s="1"/>
  <c r="M3941" i="7" s="1"/>
  <c r="D3940" i="7"/>
  <c r="I3940" i="7" s="1"/>
  <c r="M3940" i="7" s="1"/>
  <c r="D3939" i="7"/>
  <c r="I3939" i="7" s="1"/>
  <c r="M3939" i="7" s="1"/>
  <c r="D3933" i="7"/>
  <c r="G3933" i="7" s="1"/>
  <c r="P3931" i="7"/>
  <c r="Q3931" i="7" s="1"/>
  <c r="P3930" i="7"/>
  <c r="D3926" i="7"/>
  <c r="D3925" i="7"/>
  <c r="N3920" i="7"/>
  <c r="N3913" i="7"/>
  <c r="D3909" i="7"/>
  <c r="D3908" i="7"/>
  <c r="I3908" i="7" s="1"/>
  <c r="M3908" i="7" s="1"/>
  <c r="P3904" i="7"/>
  <c r="N3903" i="7"/>
  <c r="N3902" i="7"/>
  <c r="N3901" i="7"/>
  <c r="N3900" i="7"/>
  <c r="D3897" i="7"/>
  <c r="I3897" i="7" s="1"/>
  <c r="M3897" i="7" s="1"/>
  <c r="P3895" i="7"/>
  <c r="N3894" i="7"/>
  <c r="D3893" i="7"/>
  <c r="P4159" i="7"/>
  <c r="N4155" i="7"/>
  <c r="O4155" i="7" s="1"/>
  <c r="P4126" i="7"/>
  <c r="D4123" i="7"/>
  <c r="I4123" i="7" s="1"/>
  <c r="M4123" i="7" s="1"/>
  <c r="P4119" i="7"/>
  <c r="N4111" i="7"/>
  <c r="P4080" i="7"/>
  <c r="N4077" i="7"/>
  <c r="I4077" i="7" s="1"/>
  <c r="N4070" i="7"/>
  <c r="P4067" i="7"/>
  <c r="D4065" i="7"/>
  <c r="I4065" i="7" s="1"/>
  <c r="M4065" i="7" s="1"/>
  <c r="P4062" i="7"/>
  <c r="N4060" i="7"/>
  <c r="P4058" i="7"/>
  <c r="N4033" i="7"/>
  <c r="O4033" i="7" s="1"/>
  <c r="N4022" i="7"/>
  <c r="P4018" i="7"/>
  <c r="D4005" i="7"/>
  <c r="N4003" i="7"/>
  <c r="N4001" i="7"/>
  <c r="P3999" i="7"/>
  <c r="P3997" i="7"/>
  <c r="P3995" i="7"/>
  <c r="D3989" i="7"/>
  <c r="N3982" i="7"/>
  <c r="N3980" i="7"/>
  <c r="P3978" i="7"/>
  <c r="D3965" i="7"/>
  <c r="I3965" i="7" s="1"/>
  <c r="M3965" i="7" s="1"/>
  <c r="N3960" i="7"/>
  <c r="O3960" i="7" s="1"/>
  <c r="D3959" i="7"/>
  <c r="G3959" i="7" s="1"/>
  <c r="D3955" i="7"/>
  <c r="P3952" i="7"/>
  <c r="P3948" i="7"/>
  <c r="N3947" i="7"/>
  <c r="I3947" i="7" s="1"/>
  <c r="N3946" i="7"/>
  <c r="N3945" i="7"/>
  <c r="D3942" i="7"/>
  <c r="I3942" i="7" s="1"/>
  <c r="M3942" i="7" s="1"/>
  <c r="P3937" i="7"/>
  <c r="N3936" i="7"/>
  <c r="D3934" i="7"/>
  <c r="G3934" i="7" s="1"/>
  <c r="N3929" i="7"/>
  <c r="P3923" i="7"/>
  <c r="Q3923" i="7" s="1"/>
  <c r="N3922" i="7"/>
  <c r="N3921" i="7"/>
  <c r="O3921" i="7" s="1"/>
  <c r="D3918" i="7"/>
  <c r="G3918" i="7" s="1"/>
  <c r="P3916" i="7"/>
  <c r="N3915" i="7"/>
  <c r="I3915" i="7" s="1"/>
  <c r="N3914" i="7"/>
  <c r="P3906" i="7"/>
  <c r="P3905" i="7"/>
  <c r="D3899" i="7"/>
  <c r="D3898" i="7"/>
  <c r="I3898" i="7" s="1"/>
  <c r="M3898" i="7" s="1"/>
  <c r="D4148" i="7"/>
  <c r="G4148" i="7" s="1"/>
  <c r="P4136" i="7"/>
  <c r="N4133" i="7"/>
  <c r="P4129" i="7"/>
  <c r="P4115" i="7"/>
  <c r="P4108" i="7"/>
  <c r="N4105" i="7"/>
  <c r="P4099" i="7"/>
  <c r="P4093" i="7"/>
  <c r="D4075" i="7"/>
  <c r="I4075" i="7" s="1"/>
  <c r="M4075" i="7" s="1"/>
  <c r="N4067" i="7"/>
  <c r="D4058" i="7"/>
  <c r="I4058" i="7" s="1"/>
  <c r="M4058" i="7" s="1"/>
  <c r="P4051" i="7"/>
  <c r="Q4051" i="7" s="1"/>
  <c r="N4044" i="7"/>
  <c r="P4042" i="7"/>
  <c r="D4041" i="7"/>
  <c r="P4031" i="7"/>
  <c r="P4029" i="7"/>
  <c r="N4016" i="7"/>
  <c r="N4014" i="7"/>
  <c r="P4012" i="7"/>
  <c r="P4010" i="7"/>
  <c r="N3990" i="7"/>
  <c r="P3985" i="7"/>
  <c r="P3983" i="7"/>
  <c r="D3977" i="7"/>
  <c r="N3973" i="7"/>
  <c r="N3968" i="7"/>
  <c r="N3966" i="7"/>
  <c r="D3963" i="7"/>
  <c r="P3961" i="7"/>
  <c r="N3957" i="7"/>
  <c r="D3956" i="7"/>
  <c r="P3953" i="7"/>
  <c r="D3950" i="7"/>
  <c r="D3943" i="7"/>
  <c r="I3943" i="7" s="1"/>
  <c r="M3943" i="7" s="1"/>
  <c r="P3940" i="7"/>
  <c r="P3939" i="7"/>
  <c r="P3938" i="7"/>
  <c r="D3935" i="7"/>
  <c r="G3935" i="7" s="1"/>
  <c r="P3932" i="7"/>
  <c r="Q3932" i="7" s="1"/>
  <c r="N3931" i="7"/>
  <c r="O3931" i="7" s="1"/>
  <c r="N3930" i="7"/>
  <c r="O3930" i="7" s="1"/>
  <c r="D3927" i="7"/>
  <c r="G3927" i="7" s="1"/>
  <c r="P3925" i="7"/>
  <c r="P3924" i="7"/>
  <c r="Q3924" i="7" s="1"/>
  <c r="D3920" i="7"/>
  <c r="D3919" i="7"/>
  <c r="G3919" i="7" s="1"/>
  <c r="D3910" i="7"/>
  <c r="I3910" i="7" s="1"/>
  <c r="M3910" i="7" s="1"/>
  <c r="P3908" i="7"/>
  <c r="P3907" i="7"/>
  <c r="N3904" i="7"/>
  <c r="P3896" i="7"/>
  <c r="F31" i="6" s="1"/>
  <c r="N3895" i="7"/>
  <c r="D3894" i="7"/>
  <c r="P4156" i="7"/>
  <c r="Q4156" i="7" s="1"/>
  <c r="D4153" i="7"/>
  <c r="G4153" i="7" s="1"/>
  <c r="N4134" i="7"/>
  <c r="N4127" i="7"/>
  <c r="O4127" i="7" s="1"/>
  <c r="N4113" i="7"/>
  <c r="P4109" i="7"/>
  <c r="P4106" i="7"/>
  <c r="D4098" i="7"/>
  <c r="I4098" i="7" s="1"/>
  <c r="M4098" i="7" s="1"/>
  <c r="N4094" i="7"/>
  <c r="I4094" i="7" s="1"/>
  <c r="D4081" i="7"/>
  <c r="I4081" i="7" s="1"/>
  <c r="M4081" i="7" s="1"/>
  <c r="P4078" i="7"/>
  <c r="N4075" i="7"/>
  <c r="N4073" i="7"/>
  <c r="P4070" i="7"/>
  <c r="D4066" i="7"/>
  <c r="I4066" i="7" s="1"/>
  <c r="M4066" i="7" s="1"/>
  <c r="D4059" i="7"/>
  <c r="I4059" i="7" s="1"/>
  <c r="M4059" i="7" s="1"/>
  <c r="P4050" i="7"/>
  <c r="Q4050" i="7" s="1"/>
  <c r="D4047" i="7"/>
  <c r="G4047" i="7" s="1"/>
  <c r="D4040" i="7"/>
  <c r="G4040" i="7" s="1"/>
  <c r="N4028" i="7"/>
  <c r="N4026" i="7"/>
  <c r="P4024" i="7"/>
  <c r="P4022" i="7"/>
  <c r="D4021" i="7"/>
  <c r="N4007" i="7"/>
  <c r="P4003" i="7"/>
  <c r="D3993" i="7"/>
  <c r="N3989" i="7"/>
  <c r="N3984" i="7"/>
  <c r="P3982" i="7"/>
  <c r="P3980" i="7"/>
  <c r="P3960" i="7"/>
  <c r="Q3960" i="7" s="1"/>
  <c r="D3958" i="7"/>
  <c r="I3958" i="7" s="1"/>
  <c r="M3958" i="7" s="1"/>
  <c r="D3953" i="7"/>
  <c r="P3950" i="7"/>
  <c r="P3947" i="7"/>
  <c r="P3946" i="7"/>
  <c r="P3945" i="7"/>
  <c r="N3943" i="7"/>
  <c r="D3938" i="7"/>
  <c r="I3938" i="7" s="1"/>
  <c r="M3938" i="7" s="1"/>
  <c r="P3936" i="7"/>
  <c r="N3935" i="7"/>
  <c r="O3935" i="7" s="1"/>
  <c r="P3929" i="7"/>
  <c r="N3928" i="7"/>
  <c r="O3928" i="7" s="1"/>
  <c r="N3927" i="7"/>
  <c r="O3927" i="7" s="1"/>
  <c r="D3924" i="7"/>
  <c r="G3924" i="7" s="1"/>
  <c r="P3922" i="7"/>
  <c r="P3921" i="7"/>
  <c r="Q3921" i="7" s="1"/>
  <c r="D3917" i="7"/>
  <c r="P3915" i="7"/>
  <c r="P3914" i="7"/>
  <c r="N3912" i="7"/>
  <c r="N3911" i="7"/>
  <c r="N3910" i="7"/>
  <c r="P4120" i="7"/>
  <c r="N4079" i="7"/>
  <c r="O4079" i="7" s="1"/>
  <c r="D4074" i="7"/>
  <c r="I4074" i="7" s="1"/>
  <c r="M4074" i="7" s="1"/>
  <c r="D4060" i="7"/>
  <c r="I4060" i="7" s="1"/>
  <c r="M4060" i="7" s="1"/>
  <c r="P4045" i="7"/>
  <c r="P4028" i="7"/>
  <c r="D4025" i="7"/>
  <c r="N4021" i="7"/>
  <c r="P4017" i="7"/>
  <c r="N4002" i="7"/>
  <c r="P3998" i="7"/>
  <c r="N3991" i="7"/>
  <c r="P3984" i="7"/>
  <c r="N3974" i="7"/>
  <c r="G3974" i="7" s="1"/>
  <c r="G3975" i="7" s="1"/>
  <c r="G3976" i="7" s="1"/>
  <c r="N3967" i="7"/>
  <c r="N3958" i="7"/>
  <c r="N3948" i="7"/>
  <c r="D3944" i="7"/>
  <c r="I3944" i="7" s="1"/>
  <c r="M3944" i="7" s="1"/>
  <c r="P3941" i="7"/>
  <c r="P3910" i="7"/>
  <c r="N3906" i="7"/>
  <c r="D3905" i="7"/>
  <c r="I3905" i="7" s="1"/>
  <c r="M3905" i="7" s="1"/>
  <c r="D3903" i="7"/>
  <c r="I3903" i="7" s="1"/>
  <c r="M3903" i="7" s="1"/>
  <c r="P3899" i="7"/>
  <c r="D4132" i="7"/>
  <c r="I4132" i="7" s="1"/>
  <c r="M4132" i="7" s="1"/>
  <c r="N4118" i="7"/>
  <c r="P4092" i="7"/>
  <c r="D4051" i="7"/>
  <c r="G4051" i="7" s="1"/>
  <c r="D4048" i="7"/>
  <c r="G4048" i="7" s="1"/>
  <c r="D4045" i="7"/>
  <c r="N4042" i="7"/>
  <c r="O4042" i="7" s="1"/>
  <c r="D4039" i="7"/>
  <c r="G4039" i="7" s="1"/>
  <c r="N4013" i="7"/>
  <c r="P4009" i="7"/>
  <c r="P3994" i="7"/>
  <c r="N3981" i="7"/>
  <c r="P3977" i="7"/>
  <c r="D3964" i="7"/>
  <c r="I3964" i="7" s="1"/>
  <c r="M3964" i="7" s="1"/>
  <c r="P3955" i="7"/>
  <c r="N3939" i="7"/>
  <c r="N3937" i="7"/>
  <c r="N3933" i="7"/>
  <c r="O3933" i="7" s="1"/>
  <c r="P3928" i="7"/>
  <c r="Q3928" i="7" s="1"/>
  <c r="P3920" i="7"/>
  <c r="P3918" i="7"/>
  <c r="Q3918" i="7" s="1"/>
  <c r="N3916" i="7"/>
  <c r="D3912" i="7"/>
  <c r="I3912" i="7" s="1"/>
  <c r="M3912" i="7" s="1"/>
  <c r="P3897" i="7"/>
  <c r="D3896" i="7"/>
  <c r="P3893" i="7"/>
  <c r="D4157" i="7"/>
  <c r="G4157" i="7" s="1"/>
  <c r="P4150" i="7"/>
  <c r="D4146" i="7"/>
  <c r="I4146" i="7" s="1"/>
  <c r="M4146" i="7" s="1"/>
  <c r="D4139" i="7"/>
  <c r="I4139" i="7" s="1"/>
  <c r="M4139" i="7" s="1"/>
  <c r="N4125" i="7"/>
  <c r="O4125" i="7" s="1"/>
  <c r="D4111" i="7"/>
  <c r="I4111" i="7" s="1"/>
  <c r="M4111" i="7" s="1"/>
  <c r="N4098" i="7"/>
  <c r="N4087" i="7"/>
  <c r="P4073" i="7"/>
  <c r="N4063" i="7"/>
  <c r="P4054" i="7"/>
  <c r="N4047" i="7"/>
  <c r="O4047" i="7" s="1"/>
  <c r="N4027" i="7"/>
  <c r="P4023" i="7"/>
  <c r="N4008" i="7"/>
  <c r="P4004" i="7"/>
  <c r="D4001" i="7"/>
  <c r="N3997" i="7"/>
  <c r="P3993" i="7"/>
  <c r="N3976" i="7"/>
  <c r="D3951" i="7"/>
  <c r="D3948" i="7"/>
  <c r="D3946" i="7"/>
  <c r="I3946" i="7" s="1"/>
  <c r="M3946" i="7" s="1"/>
  <c r="P3943" i="7"/>
  <c r="N3941" i="7"/>
  <c r="D3931" i="7"/>
  <c r="G3931" i="7" s="1"/>
  <c r="P3926" i="7"/>
  <c r="N3924" i="7"/>
  <c r="O3924" i="7" s="1"/>
  <c r="D3914" i="7"/>
  <c r="I3914" i="7" s="1"/>
  <c r="M3914" i="7" s="1"/>
  <c r="P3902" i="7"/>
  <c r="D3901" i="7"/>
  <c r="I3901" i="7" s="1"/>
  <c r="M3901" i="7" s="1"/>
  <c r="N3899" i="7"/>
  <c r="N4140" i="7"/>
  <c r="P4113" i="7"/>
  <c r="P4101" i="7"/>
  <c r="P4095" i="7"/>
  <c r="N4089" i="7"/>
  <c r="N4084" i="7"/>
  <c r="O4084" i="7" s="1"/>
  <c r="D4080" i="7"/>
  <c r="I4080" i="7" s="1"/>
  <c r="M4080" i="7" s="1"/>
  <c r="N4069" i="7"/>
  <c r="P4064" i="7"/>
  <c r="P4055" i="7"/>
  <c r="N4036" i="7"/>
  <c r="D4033" i="7"/>
  <c r="G4033" i="7" s="1"/>
  <c r="N4029" i="7"/>
  <c r="N4010" i="7"/>
  <c r="P3981" i="7"/>
  <c r="N3961" i="7"/>
  <c r="D3952" i="7"/>
  <c r="N3949" i="7"/>
  <c r="P3944" i="7"/>
  <c r="N3942" i="7"/>
  <c r="P3935" i="7"/>
  <c r="Q3935" i="7" s="1"/>
  <c r="P3933" i="7"/>
  <c r="D3929" i="7"/>
  <c r="D3923" i="7"/>
  <c r="D3921" i="7"/>
  <c r="G3921" i="7" s="1"/>
  <c r="N3917" i="7"/>
  <c r="O3917" i="7" s="1"/>
  <c r="P3912" i="7"/>
  <c r="N3908" i="7"/>
  <c r="D3907" i="7"/>
  <c r="I3907" i="7" s="1"/>
  <c r="M3907" i="7" s="1"/>
  <c r="P3901" i="7"/>
  <c r="N3896" i="7"/>
  <c r="N4154" i="7"/>
  <c r="D4125" i="7"/>
  <c r="P4061" i="7"/>
  <c r="P4015" i="7"/>
  <c r="P3979" i="7"/>
  <c r="D3973" i="7"/>
  <c r="D3966" i="7"/>
  <c r="P3934" i="7"/>
  <c r="Q3934" i="7" s="1"/>
  <c r="D3932" i="7"/>
  <c r="D3928" i="7"/>
  <c r="G3928" i="7" s="1"/>
  <c r="N3918" i="7"/>
  <c r="O3918" i="7" s="1"/>
  <c r="D3911" i="7"/>
  <c r="I3911" i="7" s="1"/>
  <c r="M3911" i="7" s="1"/>
  <c r="P3903" i="7"/>
  <c r="P3900" i="7"/>
  <c r="N3897" i="7"/>
  <c r="N3893" i="7"/>
  <c r="D31" i="6" s="1"/>
  <c r="P4162" i="7"/>
  <c r="P4143" i="7"/>
  <c r="D4129" i="7"/>
  <c r="I4129" i="7" s="1"/>
  <c r="M4129" i="7" s="1"/>
  <c r="P4122" i="7"/>
  <c r="D4096" i="7"/>
  <c r="N4085" i="7"/>
  <c r="D4082" i="7"/>
  <c r="D4053" i="7"/>
  <c r="D4038" i="7"/>
  <c r="N4023" i="7"/>
  <c r="N3993" i="7"/>
  <c r="P3986" i="7"/>
  <c r="D3957" i="7"/>
  <c r="I3957" i="7" s="1"/>
  <c r="M3957" i="7" s="1"/>
  <c r="P3942" i="7"/>
  <c r="P3909" i="7"/>
  <c r="D4122" i="7"/>
  <c r="I4122" i="7" s="1"/>
  <c r="M4122" i="7" s="1"/>
  <c r="N4107" i="7"/>
  <c r="I4107" i="7" s="1"/>
  <c r="N4061" i="7"/>
  <c r="P4036" i="7"/>
  <c r="P4030" i="7"/>
  <c r="N4015" i="7"/>
  <c r="N3979" i="7"/>
  <c r="P3972" i="7"/>
  <c r="N3965" i="7"/>
  <c r="P3959" i="7"/>
  <c r="N3938" i="7"/>
  <c r="N3934" i="7"/>
  <c r="O3934" i="7" s="1"/>
  <c r="P3927" i="7"/>
  <c r="Q3927" i="7" s="1"/>
  <c r="P3917" i="7"/>
  <c r="Q3917" i="7" s="1"/>
  <c r="P3913" i="7"/>
  <c r="D3900" i="7"/>
  <c r="I3900" i="7" s="1"/>
  <c r="M3900" i="7" s="1"/>
  <c r="D4163" i="7"/>
  <c r="I4163" i="7" s="1"/>
  <c r="M4163" i="7" s="1"/>
  <c r="P4154" i="7"/>
  <c r="P4135" i="7"/>
  <c r="N4082" i="7"/>
  <c r="D4072" i="7"/>
  <c r="I4072" i="7" s="1"/>
  <c r="M4072" i="7" s="1"/>
  <c r="N4053" i="7"/>
  <c r="N4049" i="7"/>
  <c r="N4043" i="7"/>
  <c r="O4043" i="7" s="1"/>
  <c r="P4002" i="7"/>
  <c r="N3995" i="7"/>
  <c r="P3988" i="7"/>
  <c r="P3967" i="7"/>
  <c r="N3925" i="7"/>
  <c r="O3925" i="7" s="1"/>
  <c r="D3922" i="7"/>
  <c r="G3922" i="7" s="1"/>
  <c r="N3907" i="7"/>
  <c r="P3894" i="7"/>
  <c r="D4104" i="7"/>
  <c r="I4104" i="7" s="1"/>
  <c r="M4104" i="7" s="1"/>
  <c r="D4046" i="7"/>
  <c r="G4046" i="7" s="1"/>
  <c r="P3996" i="7"/>
  <c r="N3983" i="7"/>
  <c r="D3936" i="7"/>
  <c r="N3905" i="7"/>
  <c r="D4102" i="7"/>
  <c r="I4102" i="7" s="1"/>
  <c r="M4102" i="7" s="1"/>
  <c r="P4043" i="7"/>
  <c r="Q4043" i="7" s="1"/>
  <c r="P3969" i="7"/>
  <c r="N3959" i="7"/>
  <c r="O3959" i="7" s="1"/>
  <c r="P3949" i="7"/>
  <c r="N3926" i="7"/>
  <c r="N3898" i="7"/>
  <c r="D4083" i="7"/>
  <c r="G4083" i="7" s="1"/>
  <c r="P4011" i="7"/>
  <c r="N3996" i="7"/>
  <c r="D3969" i="7"/>
  <c r="N3909" i="7"/>
  <c r="D3904" i="7"/>
  <c r="P4142" i="7"/>
  <c r="N4092" i="7"/>
  <c r="P4049" i="7"/>
  <c r="P4021" i="7"/>
  <c r="N3978" i="7"/>
  <c r="P3964" i="7"/>
  <c r="N3940" i="7"/>
  <c r="P3919" i="7"/>
  <c r="Q3919" i="7" s="1"/>
  <c r="D3916" i="7"/>
  <c r="N4117" i="7"/>
  <c r="N4034" i="7"/>
  <c r="P3962" i="7"/>
  <c r="P3954" i="7"/>
  <c r="D3930" i="7"/>
  <c r="G3930" i="7" s="1"/>
  <c r="D3902" i="7"/>
  <c r="I3902" i="7" s="1"/>
  <c r="M3902" i="7" s="1"/>
  <c r="D4115" i="7"/>
  <c r="I4115" i="7" s="1"/>
  <c r="M4115" i="7" s="1"/>
  <c r="N4090" i="7"/>
  <c r="P4057" i="7"/>
  <c r="N4004" i="7"/>
  <c r="N3919" i="7"/>
  <c r="O3919" i="7" s="1"/>
  <c r="D3913" i="7"/>
  <c r="I3913" i="7" s="1"/>
  <c r="M3913" i="7" s="1"/>
  <c r="N4150" i="7"/>
  <c r="P4127" i="7"/>
  <c r="Q4127" i="7" s="1"/>
  <c r="P4041" i="7"/>
  <c r="N3962" i="7"/>
  <c r="I3962" i="7" s="1"/>
  <c r="D3937" i="7"/>
  <c r="N3932" i="7"/>
  <c r="O3932" i="7" s="1"/>
  <c r="C523" i="11" s="1"/>
  <c r="D3895" i="7"/>
  <c r="P4149" i="7"/>
  <c r="D4076" i="7"/>
  <c r="I4076" i="7" s="1"/>
  <c r="M4076" i="7" s="1"/>
  <c r="N4040" i="7"/>
  <c r="D3985" i="7"/>
  <c r="P3971" i="7"/>
  <c r="D3945" i="7"/>
  <c r="I3945" i="7" s="1"/>
  <c r="M3945" i="7" s="1"/>
  <c r="N3923" i="7"/>
  <c r="O3923" i="7" s="1"/>
  <c r="P3911" i="7"/>
  <c r="D3906" i="7"/>
  <c r="I3906" i="7" s="1"/>
  <c r="M3906" i="7" s="1"/>
  <c r="P3898" i="7"/>
  <c r="D4015" i="7"/>
  <c r="I4014" i="7"/>
  <c r="I3982" i="7"/>
  <c r="M3982" i="7" s="1"/>
  <c r="D3983" i="7"/>
  <c r="P96" i="4"/>
  <c r="AX96" i="4"/>
  <c r="BF96" i="4"/>
  <c r="BN96" i="4"/>
  <c r="BV96" i="4"/>
  <c r="CD96" i="4"/>
  <c r="D19" i="4" s="1"/>
  <c r="D221" i="5"/>
  <c r="I23" i="6"/>
  <c r="M76" i="7"/>
  <c r="D103" i="7"/>
  <c r="I103" i="7" s="1"/>
  <c r="M103" i="7" s="1"/>
  <c r="N114" i="7"/>
  <c r="N144" i="7"/>
  <c r="D171" i="7"/>
  <c r="D381" i="7"/>
  <c r="P507" i="7"/>
  <c r="I547" i="7"/>
  <c r="M547" i="7" s="1"/>
  <c r="P564" i="7"/>
  <c r="P721" i="7"/>
  <c r="I3311" i="7"/>
  <c r="D3312" i="7"/>
  <c r="I3312" i="7" s="1"/>
  <c r="M3312" i="7" s="1"/>
  <c r="M435" i="7"/>
  <c r="D617" i="7"/>
  <c r="I617" i="7" s="1"/>
  <c r="M617" i="7" s="1"/>
  <c r="D616" i="7"/>
  <c r="I616" i="7" s="1"/>
  <c r="M616" i="7" s="1"/>
  <c r="D615" i="7"/>
  <c r="I615" i="7" s="1"/>
  <c r="M615" i="7" s="1"/>
  <c r="D584" i="7"/>
  <c r="I584" i="7" s="1"/>
  <c r="M584" i="7" s="1"/>
  <c r="N833" i="7"/>
  <c r="N832" i="7"/>
  <c r="N826" i="7"/>
  <c r="D821" i="7"/>
  <c r="N816" i="7"/>
  <c r="D814" i="7"/>
  <c r="I814" i="7" s="1"/>
  <c r="M814" i="7" s="1"/>
  <c r="D807" i="7"/>
  <c r="N803" i="7"/>
  <c r="D793" i="7"/>
  <c r="I793" i="7" s="1"/>
  <c r="M793" i="7" s="1"/>
  <c r="N789" i="7"/>
  <c r="D787" i="7"/>
  <c r="I787" i="7" s="1"/>
  <c r="M787" i="7" s="1"/>
  <c r="N783" i="7"/>
  <c r="N767" i="7"/>
  <c r="N766" i="7"/>
  <c r="N765" i="7"/>
  <c r="N764" i="7"/>
  <c r="N763" i="7"/>
  <c r="N762" i="7"/>
  <c r="N761" i="7"/>
  <c r="N760" i="7"/>
  <c r="N734" i="7"/>
  <c r="N731" i="7"/>
  <c r="D729" i="7"/>
  <c r="I729" i="7" s="1"/>
  <c r="M729" i="7" s="1"/>
  <c r="N723" i="7"/>
  <c r="N722" i="7"/>
  <c r="D719" i="7"/>
  <c r="N715" i="7"/>
  <c r="D712" i="7"/>
  <c r="I712" i="7" s="1"/>
  <c r="M712" i="7" s="1"/>
  <c r="N707" i="7"/>
  <c r="D705" i="7"/>
  <c r="N700" i="7"/>
  <c r="D697" i="7"/>
  <c r="I697" i="7" s="1"/>
  <c r="M697" i="7" s="1"/>
  <c r="N692" i="7"/>
  <c r="D689" i="7"/>
  <c r="I689" i="7" s="1"/>
  <c r="M689" i="7" s="1"/>
  <c r="N685" i="7"/>
  <c r="D683" i="7"/>
  <c r="N679" i="7"/>
  <c r="D676" i="7"/>
  <c r="I676" i="7" s="1"/>
  <c r="M676" i="7" s="1"/>
  <c r="N671" i="7"/>
  <c r="D668" i="7"/>
  <c r="I668" i="7" s="1"/>
  <c r="M668" i="7" s="1"/>
  <c r="N664" i="7"/>
  <c r="D661" i="7"/>
  <c r="I661" i="7" s="1"/>
  <c r="M661" i="7" s="1"/>
  <c r="N657" i="7"/>
  <c r="D643" i="7"/>
  <c r="D831" i="7"/>
  <c r="I831" i="7" s="1"/>
  <c r="M831" i="7" s="1"/>
  <c r="N827" i="7"/>
  <c r="D825" i="7"/>
  <c r="N818" i="7"/>
  <c r="N817" i="7"/>
  <c r="D815" i="7"/>
  <c r="N811" i="7"/>
  <c r="N804" i="7"/>
  <c r="N797" i="7"/>
  <c r="N796" i="7"/>
  <c r="D794" i="7"/>
  <c r="I794" i="7" s="1"/>
  <c r="M794" i="7" s="1"/>
  <c r="D788" i="7"/>
  <c r="N784" i="7"/>
  <c r="D782" i="7"/>
  <c r="N776" i="7"/>
  <c r="N775" i="7"/>
  <c r="N774" i="7"/>
  <c r="N773" i="7"/>
  <c r="N772" i="7"/>
  <c r="N771" i="7"/>
  <c r="N770" i="7"/>
  <c r="N769" i="7"/>
  <c r="N759" i="7"/>
  <c r="D758" i="7"/>
  <c r="N750" i="7"/>
  <c r="N749" i="7"/>
  <c r="N740" i="7"/>
  <c r="N739" i="7"/>
  <c r="N735" i="7"/>
  <c r="D730" i="7"/>
  <c r="I730" i="7" s="1"/>
  <c r="M730" i="7" s="1"/>
  <c r="N724" i="7"/>
  <c r="N716" i="7"/>
  <c r="D713" i="7"/>
  <c r="I713" i="7" s="1"/>
  <c r="M713" i="7" s="1"/>
  <c r="N708" i="7"/>
  <c r="N701" i="7"/>
  <c r="D698" i="7"/>
  <c r="I698" i="7" s="1"/>
  <c r="M698" i="7" s="1"/>
  <c r="N693" i="7"/>
  <c r="D690" i="7"/>
  <c r="I690" i="7" s="1"/>
  <c r="M690" i="7" s="1"/>
  <c r="D677" i="7"/>
  <c r="I677" i="7" s="1"/>
  <c r="M677" i="7" s="1"/>
  <c r="N672" i="7"/>
  <c r="D669" i="7"/>
  <c r="I669" i="7" s="1"/>
  <c r="M669" i="7" s="1"/>
  <c r="N665" i="7"/>
  <c r="D662" i="7"/>
  <c r="I662" i="7" s="1"/>
  <c r="M662" i="7" s="1"/>
  <c r="N658" i="7"/>
  <c r="D654" i="7"/>
  <c r="I654" i="7" s="1"/>
  <c r="M654" i="7" s="1"/>
  <c r="N650" i="7"/>
  <c r="N649" i="7"/>
  <c r="N648" i="7"/>
  <c r="N647" i="7"/>
  <c r="D832" i="7"/>
  <c r="N828" i="7"/>
  <c r="N823" i="7"/>
  <c r="O823" i="7" s="1"/>
  <c r="N812" i="7"/>
  <c r="D803" i="7"/>
  <c r="N798" i="7"/>
  <c r="D795" i="7"/>
  <c r="I795" i="7" s="1"/>
  <c r="M795" i="7" s="1"/>
  <c r="N790" i="7"/>
  <c r="N785" i="7"/>
  <c r="N779" i="7"/>
  <c r="N777" i="7"/>
  <c r="N768" i="7"/>
  <c r="N751" i="7"/>
  <c r="N748" i="7"/>
  <c r="N747" i="7"/>
  <c r="N742" i="7"/>
  <c r="N741" i="7"/>
  <c r="N738" i="7"/>
  <c r="N737" i="7"/>
  <c r="D731" i="7"/>
  <c r="N726" i="7"/>
  <c r="D714" i="7"/>
  <c r="I714" i="7" s="1"/>
  <c r="M714" i="7" s="1"/>
  <c r="N709" i="7"/>
  <c r="D706" i="7"/>
  <c r="I706" i="7" s="1"/>
  <c r="M706" i="7" s="1"/>
  <c r="N702" i="7"/>
  <c r="D699" i="7"/>
  <c r="I699" i="7" s="1"/>
  <c r="M699" i="7" s="1"/>
  <c r="N694" i="7"/>
  <c r="D691" i="7"/>
  <c r="I691" i="7" s="1"/>
  <c r="M691" i="7" s="1"/>
  <c r="N686" i="7"/>
  <c r="D684" i="7"/>
  <c r="I684" i="7" s="1"/>
  <c r="M684" i="7" s="1"/>
  <c r="N680" i="7"/>
  <c r="D678" i="7"/>
  <c r="I678" i="7" s="1"/>
  <c r="M678" i="7" s="1"/>
  <c r="N673" i="7"/>
  <c r="D670" i="7"/>
  <c r="I670" i="7" s="1"/>
  <c r="M670" i="7" s="1"/>
  <c r="N666" i="7"/>
  <c r="D664" i="7"/>
  <c r="N659" i="7"/>
  <c r="D656" i="7"/>
  <c r="I656" i="7" s="1"/>
  <c r="M656" i="7" s="1"/>
  <c r="D655" i="7"/>
  <c r="I655" i="7" s="1"/>
  <c r="N651" i="7"/>
  <c r="D646" i="7"/>
  <c r="I646" i="7" s="1"/>
  <c r="M646" i="7" s="1"/>
  <c r="D645" i="7"/>
  <c r="I645" i="7" s="1"/>
  <c r="M645" i="7" s="1"/>
  <c r="D644" i="7"/>
  <c r="I644" i="7" s="1"/>
  <c r="M644" i="7" s="1"/>
  <c r="N641" i="7"/>
  <c r="D15" i="6" s="1"/>
  <c r="D830" i="7"/>
  <c r="N825" i="7"/>
  <c r="N822" i="7"/>
  <c r="O822" i="7" s="1"/>
  <c r="D820" i="7"/>
  <c r="I820" i="7" s="1"/>
  <c r="M820" i="7" s="1"/>
  <c r="N815" i="7"/>
  <c r="N810" i="7"/>
  <c r="N795" i="7"/>
  <c r="D792" i="7"/>
  <c r="I792" i="7" s="1"/>
  <c r="M792" i="7" s="1"/>
  <c r="N788" i="7"/>
  <c r="N782" i="7"/>
  <c r="D779" i="7"/>
  <c r="N758" i="7"/>
  <c r="D753" i="7"/>
  <c r="N733" i="7"/>
  <c r="N732" i="7"/>
  <c r="D728" i="7"/>
  <c r="I728" i="7" s="1"/>
  <c r="M728" i="7" s="1"/>
  <c r="D726" i="7"/>
  <c r="N721" i="7"/>
  <c r="N720" i="7"/>
  <c r="D718" i="7"/>
  <c r="I718" i="7" s="1"/>
  <c r="M718" i="7" s="1"/>
  <c r="N714" i="7"/>
  <c r="D711" i="7"/>
  <c r="I711" i="7" s="1"/>
  <c r="M711" i="7" s="1"/>
  <c r="N706" i="7"/>
  <c r="D704" i="7"/>
  <c r="I704" i="7" s="1"/>
  <c r="M704" i="7" s="1"/>
  <c r="N699" i="7"/>
  <c r="D696" i="7"/>
  <c r="I696" i="7" s="1"/>
  <c r="M696" i="7" s="1"/>
  <c r="N691" i="7"/>
  <c r="D688" i="7"/>
  <c r="I688" i="7" s="1"/>
  <c r="M688" i="7" s="1"/>
  <c r="N684" i="7"/>
  <c r="D682" i="7"/>
  <c r="I682" i="7" s="1"/>
  <c r="M682" i="7" s="1"/>
  <c r="N678" i="7"/>
  <c r="D675" i="7"/>
  <c r="I675" i="7" s="1"/>
  <c r="M675" i="7" s="1"/>
  <c r="N670" i="7"/>
  <c r="N656" i="7"/>
  <c r="D653" i="7"/>
  <c r="N646" i="7"/>
  <c r="D827" i="7"/>
  <c r="I827" i="7" s="1"/>
  <c r="M827" i="7" s="1"/>
  <c r="N794" i="7"/>
  <c r="D780" i="7"/>
  <c r="N757" i="7"/>
  <c r="N729" i="7"/>
  <c r="D725" i="7"/>
  <c r="D707" i="7"/>
  <c r="I707" i="7" s="1"/>
  <c r="M707" i="7" s="1"/>
  <c r="D700" i="7"/>
  <c r="I700" i="7" s="1"/>
  <c r="M700" i="7" s="1"/>
  <c r="N695" i="7"/>
  <c r="N681" i="7"/>
  <c r="D679" i="7"/>
  <c r="I679" i="7" s="1"/>
  <c r="M679" i="7" s="1"/>
  <c r="N674" i="7"/>
  <c r="N654" i="7"/>
  <c r="D652" i="7"/>
  <c r="I652" i="7" s="1"/>
  <c r="M652" i="7" s="1"/>
  <c r="N645" i="7"/>
  <c r="D641" i="7"/>
  <c r="N824" i="7"/>
  <c r="O824" i="7" s="1"/>
  <c r="D819" i="7"/>
  <c r="N814" i="7"/>
  <c r="D812" i="7"/>
  <c r="I812" i="7" s="1"/>
  <c r="M812" i="7" s="1"/>
  <c r="N805" i="7"/>
  <c r="D796" i="7"/>
  <c r="N791" i="7"/>
  <c r="D789" i="7"/>
  <c r="I789" i="7" s="1"/>
  <c r="M789" i="7" s="1"/>
  <c r="N743" i="7"/>
  <c r="D733" i="7"/>
  <c r="D727" i="7"/>
  <c r="I727" i="7" s="1"/>
  <c r="M727" i="7" s="1"/>
  <c r="N718" i="7"/>
  <c r="D716" i="7"/>
  <c r="I716" i="7" s="1"/>
  <c r="M716" i="7" s="1"/>
  <c r="N711" i="7"/>
  <c r="N704" i="7"/>
  <c r="D693" i="7"/>
  <c r="I693" i="7" s="1"/>
  <c r="M693" i="7" s="1"/>
  <c r="N688" i="7"/>
  <c r="D686" i="7"/>
  <c r="N667" i="7"/>
  <c r="D665" i="7"/>
  <c r="I665" i="7" s="1"/>
  <c r="M665" i="7" s="1"/>
  <c r="N660" i="7"/>
  <c r="D658" i="7"/>
  <c r="I658" i="7" s="1"/>
  <c r="M658" i="7" s="1"/>
  <c r="D647" i="7"/>
  <c r="N831" i="7"/>
  <c r="D829" i="7"/>
  <c r="I829" i="7" s="1"/>
  <c r="M829" i="7" s="1"/>
  <c r="D824" i="7"/>
  <c r="N821" i="7"/>
  <c r="N809" i="7"/>
  <c r="N800" i="7"/>
  <c r="N786" i="7"/>
  <c r="D784" i="7"/>
  <c r="I784" i="7" s="1"/>
  <c r="M784" i="7" s="1"/>
  <c r="N753" i="7"/>
  <c r="D751" i="7"/>
  <c r="I751" i="7" s="1"/>
  <c r="M751" i="7" s="1"/>
  <c r="N745" i="7"/>
  <c r="D735" i="7"/>
  <c r="I735" i="7" s="1"/>
  <c r="M735" i="7" s="1"/>
  <c r="D709" i="7"/>
  <c r="I709" i="7" s="1"/>
  <c r="M709" i="7" s="1"/>
  <c r="D702" i="7"/>
  <c r="I702" i="7" s="1"/>
  <c r="M702" i="7" s="1"/>
  <c r="N697" i="7"/>
  <c r="N676" i="7"/>
  <c r="N643" i="7"/>
  <c r="N829" i="7"/>
  <c r="N819" i="7"/>
  <c r="N808" i="7"/>
  <c r="N801" i="7"/>
  <c r="N787" i="7"/>
  <c r="D785" i="7"/>
  <c r="I785" i="7" s="1"/>
  <c r="M785" i="7" s="1"/>
  <c r="D752" i="7"/>
  <c r="I752" i="7" s="1"/>
  <c r="M752" i="7" s="1"/>
  <c r="D736" i="7"/>
  <c r="D732" i="7"/>
  <c r="I732" i="7" s="1"/>
  <c r="M732" i="7" s="1"/>
  <c r="N719" i="7"/>
  <c r="D710" i="7"/>
  <c r="I710" i="7" s="1"/>
  <c r="M710" i="7" s="1"/>
  <c r="N705" i="7"/>
  <c r="N698" i="7"/>
  <c r="D687" i="7"/>
  <c r="I687" i="7" s="1"/>
  <c r="M687" i="7" s="1"/>
  <c r="N677" i="7"/>
  <c r="N663" i="7"/>
  <c r="I663" i="7" s="1"/>
  <c r="D650" i="7"/>
  <c r="I650" i="7" s="1"/>
  <c r="M650" i="7" s="1"/>
  <c r="D648" i="7"/>
  <c r="I648" i="7" s="1"/>
  <c r="M648" i="7" s="1"/>
  <c r="N820" i="7"/>
  <c r="N793" i="7"/>
  <c r="N755" i="7"/>
  <c r="N746" i="7"/>
  <c r="N728" i="7"/>
  <c r="D717" i="7"/>
  <c r="N712" i="7"/>
  <c r="D680" i="7"/>
  <c r="N675" i="7"/>
  <c r="N652" i="7"/>
  <c r="N830" i="7"/>
  <c r="N807" i="7"/>
  <c r="N802" i="7"/>
  <c r="N752" i="7"/>
  <c r="D694" i="7"/>
  <c r="I694" i="7" s="1"/>
  <c r="M694" i="7" s="1"/>
  <c r="N689" i="7"/>
  <c r="D666" i="7"/>
  <c r="I666" i="7" s="1"/>
  <c r="M666" i="7" s="1"/>
  <c r="N661" i="7"/>
  <c r="D783" i="7"/>
  <c r="I783" i="7" s="1"/>
  <c r="M783" i="7" s="1"/>
  <c r="N778" i="7"/>
  <c r="N736" i="7"/>
  <c r="D715" i="7"/>
  <c r="I715" i="7" s="1"/>
  <c r="M715" i="7" s="1"/>
  <c r="N710" i="7"/>
  <c r="N683" i="7"/>
  <c r="D674" i="7"/>
  <c r="I674" i="7" s="1"/>
  <c r="M674" i="7" s="1"/>
  <c r="N669" i="7"/>
  <c r="D660" i="7"/>
  <c r="N655" i="7"/>
  <c r="D651" i="7"/>
  <c r="I651" i="7" s="1"/>
  <c r="M651" i="7" s="1"/>
  <c r="N644" i="7"/>
  <c r="D823" i="7"/>
  <c r="N806" i="7"/>
  <c r="N792" i="7"/>
  <c r="N727" i="7"/>
  <c r="D692" i="7"/>
  <c r="I692" i="7" s="1"/>
  <c r="M692" i="7" s="1"/>
  <c r="N687" i="7"/>
  <c r="D833" i="7"/>
  <c r="I833" i="7" s="1"/>
  <c r="M833" i="7" s="1"/>
  <c r="N813" i="7"/>
  <c r="D805" i="7"/>
  <c r="N781" i="7"/>
  <c r="N754" i="7"/>
  <c r="D701" i="7"/>
  <c r="I701" i="7" s="1"/>
  <c r="M701" i="7" s="1"/>
  <c r="N696" i="7"/>
  <c r="N682" i="7"/>
  <c r="D828" i="7"/>
  <c r="I828" i="7" s="1"/>
  <c r="M828" i="7" s="1"/>
  <c r="D791" i="7"/>
  <c r="I791" i="7" s="1"/>
  <c r="M791" i="7" s="1"/>
  <c r="D786" i="7"/>
  <c r="N756" i="7"/>
  <c r="O756" i="7" s="1"/>
  <c r="N713" i="7"/>
  <c r="N668" i="7"/>
  <c r="D659" i="7"/>
  <c r="I659" i="7" s="1"/>
  <c r="M659" i="7" s="1"/>
  <c r="N642" i="7"/>
  <c r="D826" i="7"/>
  <c r="I826" i="7" s="1"/>
  <c r="M826" i="7" s="1"/>
  <c r="D811" i="7"/>
  <c r="D790" i="7"/>
  <c r="N780" i="7"/>
  <c r="N725" i="7"/>
  <c r="D708" i="7"/>
  <c r="I708" i="7" s="1"/>
  <c r="M708" i="7" s="1"/>
  <c r="D685" i="7"/>
  <c r="I685" i="7" s="1"/>
  <c r="M685" i="7" s="1"/>
  <c r="D671" i="7"/>
  <c r="I671" i="7" s="1"/>
  <c r="M671" i="7" s="1"/>
  <c r="D657" i="7"/>
  <c r="I657" i="7" s="1"/>
  <c r="K657" i="7" s="1"/>
  <c r="D649" i="7"/>
  <c r="I649" i="7" s="1"/>
  <c r="M649" i="7" s="1"/>
  <c r="D642" i="7"/>
  <c r="N717" i="7"/>
  <c r="D695" i="7"/>
  <c r="I695" i="7" s="1"/>
  <c r="M695" i="7" s="1"/>
  <c r="N690" i="7"/>
  <c r="N730" i="7"/>
  <c r="N653" i="7"/>
  <c r="N703" i="7"/>
  <c r="O703" i="7" s="1"/>
  <c r="D681" i="7"/>
  <c r="I681" i="7" s="1"/>
  <c r="M681" i="7" s="1"/>
  <c r="N799" i="7"/>
  <c r="D813" i="7"/>
  <c r="D734" i="7"/>
  <c r="I734" i="7" s="1"/>
  <c r="M734" i="7" s="1"/>
  <c r="N662" i="7"/>
  <c r="M1979" i="7"/>
  <c r="G2127" i="7"/>
  <c r="G2126" i="7"/>
  <c r="I2126" i="7" s="1"/>
  <c r="M2126" i="7" s="1"/>
  <c r="G2125" i="7"/>
  <c r="I2125" i="7" s="1"/>
  <c r="M2125" i="7" s="1"/>
  <c r="G2124" i="7"/>
  <c r="I2124" i="7" s="1"/>
  <c r="M2124" i="7" s="1"/>
  <c r="G2123" i="7"/>
  <c r="G2122" i="7"/>
  <c r="I2122" i="7" s="1"/>
  <c r="M2122" i="7" s="1"/>
  <c r="G2121" i="7"/>
  <c r="G2120" i="7"/>
  <c r="I2120" i="7" s="1"/>
  <c r="D2513" i="7"/>
  <c r="D2515" i="7"/>
  <c r="G2515" i="7" s="1"/>
  <c r="D2512" i="7"/>
  <c r="G2512" i="7" s="1"/>
  <c r="D2501" i="7"/>
  <c r="I2501" i="7" s="1"/>
  <c r="M2501" i="7" s="1"/>
  <c r="D2498" i="7"/>
  <c r="I2498" i="7" s="1"/>
  <c r="M2498" i="7" s="1"/>
  <c r="D2516" i="7"/>
  <c r="G2516" i="7" s="1"/>
  <c r="D2538" i="7"/>
  <c r="I2538" i="7" s="1"/>
  <c r="I2489" i="7"/>
  <c r="M2489" i="7" s="1"/>
  <c r="Q75" i="4"/>
  <c r="D424" i="7"/>
  <c r="I424" i="7" s="1"/>
  <c r="M424" i="7" s="1"/>
  <c r="D423" i="7"/>
  <c r="I423" i="7" s="1"/>
  <c r="M423" i="7" s="1"/>
  <c r="D422" i="7"/>
  <c r="I422" i="7" s="1"/>
  <c r="M422" i="7" s="1"/>
  <c r="D391" i="7"/>
  <c r="I391" i="7" s="1"/>
  <c r="M391" i="7" s="1"/>
  <c r="N640" i="7"/>
  <c r="N639" i="7"/>
  <c r="N633" i="7"/>
  <c r="D628" i="7"/>
  <c r="N623" i="7"/>
  <c r="D621" i="7"/>
  <c r="I621" i="7" s="1"/>
  <c r="M621" i="7" s="1"/>
  <c r="D614" i="7"/>
  <c r="N610" i="7"/>
  <c r="D600" i="7"/>
  <c r="I600" i="7" s="1"/>
  <c r="M600" i="7" s="1"/>
  <c r="N596" i="7"/>
  <c r="D594" i="7"/>
  <c r="I594" i="7" s="1"/>
  <c r="M594" i="7" s="1"/>
  <c r="N590" i="7"/>
  <c r="N566" i="7"/>
  <c r="N558" i="7"/>
  <c r="N555" i="7"/>
  <c r="N554" i="7"/>
  <c r="N549" i="7"/>
  <c r="N548" i="7"/>
  <c r="N545" i="7"/>
  <c r="N544" i="7"/>
  <c r="D538" i="7"/>
  <c r="N533" i="7"/>
  <c r="D521" i="7"/>
  <c r="I521" i="7" s="1"/>
  <c r="M521" i="7" s="1"/>
  <c r="N516" i="7"/>
  <c r="D513" i="7"/>
  <c r="I513" i="7" s="1"/>
  <c r="M513" i="7" s="1"/>
  <c r="N509" i="7"/>
  <c r="D506" i="7"/>
  <c r="I506" i="7" s="1"/>
  <c r="M506" i="7" s="1"/>
  <c r="N501" i="7"/>
  <c r="D498" i="7"/>
  <c r="I498" i="7" s="1"/>
  <c r="M498" i="7" s="1"/>
  <c r="N493" i="7"/>
  <c r="D638" i="7"/>
  <c r="I638" i="7" s="1"/>
  <c r="M638" i="7" s="1"/>
  <c r="N634" i="7"/>
  <c r="D632" i="7"/>
  <c r="D639" i="7"/>
  <c r="N635" i="7"/>
  <c r="N630" i="7"/>
  <c r="O630" i="7" s="1"/>
  <c r="D637" i="7"/>
  <c r="N632" i="7"/>
  <c r="N629" i="7"/>
  <c r="O629" i="7" s="1"/>
  <c r="N636" i="7"/>
  <c r="N625" i="7"/>
  <c r="N617" i="7"/>
  <c r="N608" i="7"/>
  <c r="N604" i="7"/>
  <c r="D598" i="7"/>
  <c r="I598" i="7" s="1"/>
  <c r="M598" i="7" s="1"/>
  <c r="D595" i="7"/>
  <c r="D591" i="7"/>
  <c r="I591" i="7" s="1"/>
  <c r="M591" i="7" s="1"/>
  <c r="N584" i="7"/>
  <c r="N577" i="7"/>
  <c r="N570" i="7"/>
  <c r="D558" i="7"/>
  <c r="I558" i="7" s="1"/>
  <c r="M558" i="7" s="1"/>
  <c r="N539" i="7"/>
  <c r="N538" i="7"/>
  <c r="D537" i="7"/>
  <c r="I537" i="7" s="1"/>
  <c r="M537" i="7" s="1"/>
  <c r="D519" i="7"/>
  <c r="I519" i="7" s="1"/>
  <c r="M519" i="7" s="1"/>
  <c r="D515" i="7"/>
  <c r="I515" i="7" s="1"/>
  <c r="M515" i="7" s="1"/>
  <c r="N512" i="7"/>
  <c r="D511" i="7"/>
  <c r="I511" i="7" s="1"/>
  <c r="M511" i="7" s="1"/>
  <c r="N508" i="7"/>
  <c r="D507" i="7"/>
  <c r="I507" i="7" s="1"/>
  <c r="M507" i="7" s="1"/>
  <c r="N504" i="7"/>
  <c r="D494" i="7"/>
  <c r="I494" i="7" s="1"/>
  <c r="M494" i="7" s="1"/>
  <c r="D490" i="7"/>
  <c r="N486" i="7"/>
  <c r="D483" i="7"/>
  <c r="I483" i="7" s="1"/>
  <c r="M483" i="7" s="1"/>
  <c r="N478" i="7"/>
  <c r="D475" i="7"/>
  <c r="I475" i="7" s="1"/>
  <c r="M475" i="7" s="1"/>
  <c r="N471" i="7"/>
  <c r="D468" i="7"/>
  <c r="I468" i="7" s="1"/>
  <c r="M468" i="7" s="1"/>
  <c r="N464" i="7"/>
  <c r="D450" i="7"/>
  <c r="D634" i="7"/>
  <c r="I634" i="7" s="1"/>
  <c r="M634" i="7" s="1"/>
  <c r="D627" i="7"/>
  <c r="I627" i="7" s="1"/>
  <c r="M627" i="7" s="1"/>
  <c r="N621" i="7"/>
  <c r="D620" i="7"/>
  <c r="N612" i="7"/>
  <c r="D603" i="7"/>
  <c r="N600" i="7"/>
  <c r="N578" i="7"/>
  <c r="N571" i="7"/>
  <c r="N565" i="7"/>
  <c r="N553" i="7"/>
  <c r="N552" i="7"/>
  <c r="N546" i="7"/>
  <c r="D543" i="7"/>
  <c r="N540" i="7"/>
  <c r="N535" i="7"/>
  <c r="N530" i="7"/>
  <c r="N529" i="7"/>
  <c r="N525" i="7"/>
  <c r="D524" i="7"/>
  <c r="N521" i="7"/>
  <c r="N517" i="7"/>
  <c r="D503" i="7"/>
  <c r="I503" i="7" s="1"/>
  <c r="M503" i="7" s="1"/>
  <c r="N500" i="7"/>
  <c r="D499" i="7"/>
  <c r="I499" i="7" s="1"/>
  <c r="M499" i="7" s="1"/>
  <c r="N496" i="7"/>
  <c r="N492" i="7"/>
  <c r="D484" i="7"/>
  <c r="I484" i="7" s="1"/>
  <c r="M484" i="7" s="1"/>
  <c r="N479" i="7"/>
  <c r="D476" i="7"/>
  <c r="I476" i="7" s="1"/>
  <c r="M476" i="7" s="1"/>
  <c r="N472" i="7"/>
  <c r="D469" i="7"/>
  <c r="I469" i="7" s="1"/>
  <c r="M469" i="7" s="1"/>
  <c r="N465" i="7"/>
  <c r="D461" i="7"/>
  <c r="I461" i="7" s="1"/>
  <c r="M461" i="7" s="1"/>
  <c r="N457" i="7"/>
  <c r="N456" i="7"/>
  <c r="N455" i="7"/>
  <c r="N454" i="7"/>
  <c r="N631" i="7"/>
  <c r="O631" i="7" s="1"/>
  <c r="N618" i="7"/>
  <c r="N609" i="7"/>
  <c r="N605" i="7"/>
  <c r="D599" i="7"/>
  <c r="I599" i="7" s="1"/>
  <c r="M599" i="7" s="1"/>
  <c r="N593" i="7"/>
  <c r="D592" i="7"/>
  <c r="I592" i="7" s="1"/>
  <c r="M592" i="7" s="1"/>
  <c r="N589" i="7"/>
  <c r="N586" i="7"/>
  <c r="N585" i="7"/>
  <c r="N579" i="7"/>
  <c r="N572" i="7"/>
  <c r="N562" i="7"/>
  <c r="N561" i="7"/>
  <c r="N560" i="7"/>
  <c r="D559" i="7"/>
  <c r="I559" i="7" s="1"/>
  <c r="M559" i="7" s="1"/>
  <c r="N547" i="7"/>
  <c r="D534" i="7"/>
  <c r="I534" i="7" s="1"/>
  <c r="M534" i="7" s="1"/>
  <c r="D533" i="7"/>
  <c r="D520" i="7"/>
  <c r="I520" i="7" s="1"/>
  <c r="M520" i="7" s="1"/>
  <c r="D516" i="7"/>
  <c r="I516" i="7" s="1"/>
  <c r="M516" i="7" s="1"/>
  <c r="N513" i="7"/>
  <c r="D512" i="7"/>
  <c r="D508" i="7"/>
  <c r="I508" i="7" s="1"/>
  <c r="M508" i="7" s="1"/>
  <c r="N505" i="7"/>
  <c r="D495" i="7"/>
  <c r="I495" i="7" s="1"/>
  <c r="M495" i="7" s="1"/>
  <c r="D491" i="7"/>
  <c r="I491" i="7" s="1"/>
  <c r="M491" i="7" s="1"/>
  <c r="N487" i="7"/>
  <c r="D485" i="7"/>
  <c r="I485" i="7" s="1"/>
  <c r="M485" i="7" s="1"/>
  <c r="N480" i="7"/>
  <c r="D477" i="7"/>
  <c r="I477" i="7" s="1"/>
  <c r="M477" i="7" s="1"/>
  <c r="N473" i="7"/>
  <c r="D471" i="7"/>
  <c r="N466" i="7"/>
  <c r="D463" i="7"/>
  <c r="I463" i="7" s="1"/>
  <c r="M463" i="7" s="1"/>
  <c r="D462" i="7"/>
  <c r="I462" i="7" s="1"/>
  <c r="M462" i="7" s="1"/>
  <c r="N458" i="7"/>
  <c r="D453" i="7"/>
  <c r="I453" i="7" s="1"/>
  <c r="M453" i="7" s="1"/>
  <c r="D452" i="7"/>
  <c r="I452" i="7" s="1"/>
  <c r="M452" i="7" s="1"/>
  <c r="D451" i="7"/>
  <c r="I451" i="7" s="1"/>
  <c r="M451" i="7" s="1"/>
  <c r="N448" i="7"/>
  <c r="D14" i="6" s="1"/>
  <c r="N624" i="7"/>
  <c r="N620" i="7"/>
  <c r="D619" i="7"/>
  <c r="I619" i="7" s="1"/>
  <c r="M619" i="7" s="1"/>
  <c r="N603" i="7"/>
  <c r="D602" i="7"/>
  <c r="I602" i="7" s="1"/>
  <c r="M602" i="7" s="1"/>
  <c r="N599" i="7"/>
  <c r="N595" i="7"/>
  <c r="N592" i="7"/>
  <c r="N588" i="7"/>
  <c r="D587" i="7"/>
  <c r="D586" i="7"/>
  <c r="N576" i="7"/>
  <c r="N575" i="7"/>
  <c r="N569" i="7"/>
  <c r="N559" i="7"/>
  <c r="N551" i="7"/>
  <c r="N543" i="7"/>
  <c r="D542" i="7"/>
  <c r="I542" i="7" s="1"/>
  <c r="M542" i="7" s="1"/>
  <c r="N534" i="7"/>
  <c r="D532" i="7"/>
  <c r="N528" i="7"/>
  <c r="N524" i="7"/>
  <c r="D523" i="7"/>
  <c r="I523" i="7" s="1"/>
  <c r="M523" i="7" s="1"/>
  <c r="N520" i="7"/>
  <c r="D502" i="7"/>
  <c r="I502" i="7" s="1"/>
  <c r="M502" i="7" s="1"/>
  <c r="N499" i="7"/>
  <c r="N495" i="7"/>
  <c r="N491" i="7"/>
  <c r="D489" i="7"/>
  <c r="I489" i="7" s="1"/>
  <c r="M489" i="7" s="1"/>
  <c r="N485" i="7"/>
  <c r="D482" i="7"/>
  <c r="I482" i="7" s="1"/>
  <c r="M482" i="7" s="1"/>
  <c r="N477" i="7"/>
  <c r="N463" i="7"/>
  <c r="D460" i="7"/>
  <c r="N453" i="7"/>
  <c r="D636" i="7"/>
  <c r="I636" i="7" s="1"/>
  <c r="M636" i="7" s="1"/>
  <c r="D631" i="7"/>
  <c r="N626" i="7"/>
  <c r="N616" i="7"/>
  <c r="N606" i="7"/>
  <c r="N601" i="7"/>
  <c r="D596" i="7"/>
  <c r="I596" i="7" s="1"/>
  <c r="M596" i="7" s="1"/>
  <c r="N580" i="7"/>
  <c r="N564" i="7"/>
  <c r="N537" i="7"/>
  <c r="D526" i="7"/>
  <c r="D518" i="7"/>
  <c r="I518" i="7" s="1"/>
  <c r="M518" i="7" s="1"/>
  <c r="N515" i="7"/>
  <c r="N507" i="7"/>
  <c r="D497" i="7"/>
  <c r="I497" i="7" s="1"/>
  <c r="M497" i="7" s="1"/>
  <c r="N484" i="7"/>
  <c r="N470" i="7"/>
  <c r="I470" i="7" s="1"/>
  <c r="D457" i="7"/>
  <c r="I457" i="7" s="1"/>
  <c r="M457" i="7" s="1"/>
  <c r="D455" i="7"/>
  <c r="I455" i="7" s="1"/>
  <c r="M455" i="7" s="1"/>
  <c r="D630" i="7"/>
  <c r="D593" i="7"/>
  <c r="N573" i="7"/>
  <c r="N556" i="7"/>
  <c r="N550" i="7"/>
  <c r="N541" i="7"/>
  <c r="N522" i="7"/>
  <c r="D504" i="7"/>
  <c r="I504" i="7" s="1"/>
  <c r="M504" i="7" s="1"/>
  <c r="N488" i="7"/>
  <c r="D486" i="7"/>
  <c r="I486" i="7" s="1"/>
  <c r="M486" i="7" s="1"/>
  <c r="N481" i="7"/>
  <c r="N461" i="7"/>
  <c r="D459" i="7"/>
  <c r="I459" i="7" s="1"/>
  <c r="M459" i="7" s="1"/>
  <c r="N452" i="7"/>
  <c r="D448" i="7"/>
  <c r="D640" i="7"/>
  <c r="I640" i="7" s="1"/>
  <c r="M640" i="7" s="1"/>
  <c r="D626" i="7"/>
  <c r="D618" i="7"/>
  <c r="N614" i="7"/>
  <c r="N611" i="7"/>
  <c r="D601" i="7"/>
  <c r="I601" i="7" s="1"/>
  <c r="M601" i="7" s="1"/>
  <c r="N598" i="7"/>
  <c r="N587" i="7"/>
  <c r="N582" i="7"/>
  <c r="N563" i="7"/>
  <c r="O563" i="7" s="1"/>
  <c r="N536" i="7"/>
  <c r="N532" i="7"/>
  <c r="D525" i="7"/>
  <c r="I525" i="7" s="1"/>
  <c r="M525" i="7" s="1"/>
  <c r="D517" i="7"/>
  <c r="I517" i="7" s="1"/>
  <c r="M517" i="7" s="1"/>
  <c r="N514" i="7"/>
  <c r="D509" i="7"/>
  <c r="I509" i="7" s="1"/>
  <c r="M509" i="7" s="1"/>
  <c r="N506" i="7"/>
  <c r="D496" i="7"/>
  <c r="I496" i="7" s="1"/>
  <c r="M496" i="7" s="1"/>
  <c r="N474" i="7"/>
  <c r="D472" i="7"/>
  <c r="I472" i="7" s="1"/>
  <c r="M472" i="7" s="1"/>
  <c r="N467" i="7"/>
  <c r="D465" i="7"/>
  <c r="I465" i="7" s="1"/>
  <c r="M465" i="7" s="1"/>
  <c r="D454" i="7"/>
  <c r="D633" i="7"/>
  <c r="I633" i="7" s="1"/>
  <c r="M633" i="7" s="1"/>
  <c r="N615" i="7"/>
  <c r="N637" i="7"/>
  <c r="N627" i="7"/>
  <c r="D622" i="7"/>
  <c r="D612" i="7"/>
  <c r="N583" i="7"/>
  <c r="N567" i="7"/>
  <c r="N542" i="7"/>
  <c r="D535" i="7"/>
  <c r="I535" i="7" s="1"/>
  <c r="M535" i="7" s="1"/>
  <c r="N523" i="7"/>
  <c r="D505" i="7"/>
  <c r="I505" i="7" s="1"/>
  <c r="M505" i="7" s="1"/>
  <c r="N494" i="7"/>
  <c r="N475" i="7"/>
  <c r="D473" i="7"/>
  <c r="I473" i="7" s="1"/>
  <c r="M473" i="7" s="1"/>
  <c r="N468" i="7"/>
  <c r="D466" i="7"/>
  <c r="I466" i="7" s="1"/>
  <c r="M466" i="7" s="1"/>
  <c r="D449" i="7"/>
  <c r="N622" i="7"/>
  <c r="D610" i="7"/>
  <c r="D597" i="7"/>
  <c r="N591" i="7"/>
  <c r="D560" i="7"/>
  <c r="D541" i="7"/>
  <c r="I541" i="7" s="1"/>
  <c r="M541" i="7" s="1"/>
  <c r="N526" i="7"/>
  <c r="N490" i="7"/>
  <c r="D481" i="7"/>
  <c r="I481" i="7" s="1"/>
  <c r="M481" i="7" s="1"/>
  <c r="N476" i="7"/>
  <c r="D467" i="7"/>
  <c r="N462" i="7"/>
  <c r="D458" i="7"/>
  <c r="I458" i="7" s="1"/>
  <c r="M458" i="7" s="1"/>
  <c r="N628" i="7"/>
  <c r="D590" i="7"/>
  <c r="I590" i="7" s="1"/>
  <c r="M590" i="7" s="1"/>
  <c r="N519" i="7"/>
  <c r="D500" i="7"/>
  <c r="I500" i="7" s="1"/>
  <c r="M500" i="7" s="1"/>
  <c r="N450" i="7"/>
  <c r="N602" i="7"/>
  <c r="D589" i="7"/>
  <c r="D514" i="7"/>
  <c r="I514" i="7" s="1"/>
  <c r="M514" i="7" s="1"/>
  <c r="N489" i="7"/>
  <c r="N638" i="7"/>
  <c r="N619" i="7"/>
  <c r="N613" i="7"/>
  <c r="N607" i="7"/>
  <c r="N594" i="7"/>
  <c r="D540" i="7"/>
  <c r="N518" i="7"/>
  <c r="N498" i="7"/>
  <c r="D493" i="7"/>
  <c r="N483" i="7"/>
  <c r="N449" i="7"/>
  <c r="N557" i="7"/>
  <c r="D536" i="7"/>
  <c r="I536" i="7" s="1"/>
  <c r="M536" i="7" s="1"/>
  <c r="N531" i="7"/>
  <c r="N503" i="7"/>
  <c r="D488" i="7"/>
  <c r="I488" i="7" s="1"/>
  <c r="M488" i="7" s="1"/>
  <c r="D474" i="7"/>
  <c r="N469" i="7"/>
  <c r="N460" i="7"/>
  <c r="D456" i="7"/>
  <c r="I456" i="7" s="1"/>
  <c r="M456" i="7" s="1"/>
  <c r="D635" i="7"/>
  <c r="I635" i="7" s="1"/>
  <c r="M635" i="7" s="1"/>
  <c r="N574" i="7"/>
  <c r="D565" i="7"/>
  <c r="D522" i="7"/>
  <c r="I522" i="7" s="1"/>
  <c r="M522" i="7" s="1"/>
  <c r="N511" i="7"/>
  <c r="N497" i="7"/>
  <c r="D492" i="7"/>
  <c r="I492" i="7" s="1"/>
  <c r="M492" i="7" s="1"/>
  <c r="D478" i="7"/>
  <c r="I478" i="7" s="1"/>
  <c r="M478" i="7" s="1"/>
  <c r="D464" i="7"/>
  <c r="I464" i="7" s="1"/>
  <c r="M464" i="7" s="1"/>
  <c r="N597" i="7"/>
  <c r="N581" i="7"/>
  <c r="N568" i="7"/>
  <c r="N510" i="7"/>
  <c r="O510" i="7" s="1"/>
  <c r="D501" i="7"/>
  <c r="I501" i="7" s="1"/>
  <c r="M501" i="7" s="1"/>
  <c r="N451" i="7"/>
  <c r="Q563" i="7"/>
  <c r="G775" i="7"/>
  <c r="G773" i="7"/>
  <c r="G771" i="7"/>
  <c r="G774" i="7"/>
  <c r="G770" i="7"/>
  <c r="G769" i="7"/>
  <c r="G776" i="7"/>
  <c r="G772" i="7"/>
  <c r="D1011" i="7"/>
  <c r="D997" i="7"/>
  <c r="I997" i="7" s="1"/>
  <c r="M997" i="7" s="1"/>
  <c r="D950" i="7"/>
  <c r="I950" i="7" s="1"/>
  <c r="M950" i="7" s="1"/>
  <c r="D948" i="7"/>
  <c r="I948" i="7" s="1"/>
  <c r="M948" i="7" s="1"/>
  <c r="D994" i="7"/>
  <c r="I994" i="7" s="1"/>
  <c r="M994" i="7" s="1"/>
  <c r="D947" i="7"/>
  <c r="I947" i="7" s="1"/>
  <c r="M947" i="7" s="1"/>
  <c r="D1009" i="7"/>
  <c r="I1009" i="7" s="1"/>
  <c r="M1009" i="7" s="1"/>
  <c r="D913" i="7"/>
  <c r="I913" i="7" s="1"/>
  <c r="M913" i="7" s="1"/>
  <c r="D993" i="7"/>
  <c r="I993" i="7" s="1"/>
  <c r="M993" i="7" s="1"/>
  <c r="D1010" i="7"/>
  <c r="I1010" i="7" s="1"/>
  <c r="M1010" i="7" s="1"/>
  <c r="D999" i="7"/>
  <c r="I999" i="7" s="1"/>
  <c r="M999" i="7" s="1"/>
  <c r="D991" i="7"/>
  <c r="I991" i="7" s="1"/>
  <c r="M991" i="7" s="1"/>
  <c r="D917" i="7"/>
  <c r="I917" i="7" s="1"/>
  <c r="M917" i="7" s="1"/>
  <c r="D915" i="7"/>
  <c r="I915" i="7" s="1"/>
  <c r="M915" i="7" s="1"/>
  <c r="D992" i="7"/>
  <c r="I992" i="7" s="1"/>
  <c r="M992" i="7" s="1"/>
  <c r="D971" i="7"/>
  <c r="I971" i="7" s="1"/>
  <c r="M971" i="7" s="1"/>
  <c r="D916" i="7"/>
  <c r="I916" i="7" s="1"/>
  <c r="M916" i="7" s="1"/>
  <c r="D914" i="7"/>
  <c r="I914" i="7" s="1"/>
  <c r="M914" i="7" s="1"/>
  <c r="D995" i="7"/>
  <c r="I995" i="7" s="1"/>
  <c r="M995" i="7" s="1"/>
  <c r="D990" i="7"/>
  <c r="I990" i="7" s="1"/>
  <c r="M990" i="7" s="1"/>
  <c r="D1059" i="7"/>
  <c r="I1059" i="7" s="1"/>
  <c r="M1059" i="7" s="1"/>
  <c r="D1058" i="7"/>
  <c r="I1058" i="7" s="1"/>
  <c r="M1058" i="7" s="1"/>
  <c r="P4247" i="7"/>
  <c r="F40" i="6" s="1"/>
  <c r="G40" i="6" s="1"/>
  <c r="D4247" i="7"/>
  <c r="I4247" i="7" s="1"/>
  <c r="M4247" i="7" s="1"/>
  <c r="N4247" i="7"/>
  <c r="D40" i="6" s="1"/>
  <c r="E40" i="6" s="1"/>
  <c r="G1346" i="7"/>
  <c r="I1346" i="7" s="1"/>
  <c r="M1346" i="7" s="1"/>
  <c r="G1344" i="7"/>
  <c r="G1342" i="7"/>
  <c r="G1340" i="7"/>
  <c r="G1345" i="7"/>
  <c r="G1341" i="7"/>
  <c r="I1341" i="7" s="1"/>
  <c r="M1341" i="7" s="1"/>
  <c r="G1343" i="7"/>
  <c r="D1360" i="7"/>
  <c r="I1360" i="7" s="1"/>
  <c r="M1360" i="7" s="1"/>
  <c r="G1339" i="7"/>
  <c r="Q1787" i="7"/>
  <c r="M1786" i="7"/>
  <c r="D1967" i="7"/>
  <c r="I1967" i="7" s="1"/>
  <c r="M1967" i="7" s="1"/>
  <c r="D1968" i="7"/>
  <c r="I1968" i="7" s="1"/>
  <c r="M1968" i="7" s="1"/>
  <c r="D1966" i="7"/>
  <c r="I1966" i="7" s="1"/>
  <c r="M1966" i="7" s="1"/>
  <c r="D1935" i="7"/>
  <c r="I1935" i="7" s="1"/>
  <c r="M1935" i="7" s="1"/>
  <c r="D2184" i="7"/>
  <c r="I2184" i="7" s="1"/>
  <c r="M2184" i="7" s="1"/>
  <c r="D2178" i="7"/>
  <c r="I2178" i="7" s="1"/>
  <c r="M2178" i="7" s="1"/>
  <c r="N2171" i="7"/>
  <c r="N2165" i="7"/>
  <c r="D2163" i="7"/>
  <c r="I2163" i="7" s="1"/>
  <c r="M2163" i="7" s="1"/>
  <c r="N2159" i="7"/>
  <c r="D2144" i="7"/>
  <c r="I2144" i="7" s="1"/>
  <c r="M2144" i="7" s="1"/>
  <c r="N2140" i="7"/>
  <c r="D2138" i="7"/>
  <c r="I2138" i="7" s="1"/>
  <c r="M2138" i="7" s="1"/>
  <c r="N2134" i="7"/>
  <c r="N2128" i="7"/>
  <c r="N2102" i="7"/>
  <c r="N2094" i="7"/>
  <c r="D2084" i="7"/>
  <c r="I2084" i="7" s="1"/>
  <c r="M2084" i="7" s="1"/>
  <c r="N2080" i="7"/>
  <c r="D2077" i="7"/>
  <c r="I2077" i="7" s="1"/>
  <c r="M2077" i="7" s="1"/>
  <c r="N2073" i="7"/>
  <c r="N2067" i="7"/>
  <c r="D2064" i="7"/>
  <c r="I2064" i="7" s="1"/>
  <c r="M2064" i="7" s="1"/>
  <c r="N2059" i="7"/>
  <c r="N2052" i="7"/>
  <c r="D2049" i="7"/>
  <c r="I2049" i="7" s="1"/>
  <c r="M2049" i="7" s="1"/>
  <c r="N2044" i="7"/>
  <c r="D2041" i="7"/>
  <c r="I2041" i="7" s="1"/>
  <c r="M2041" i="7" s="1"/>
  <c r="D2028" i="7"/>
  <c r="I2028" i="7" s="1"/>
  <c r="M2028" i="7" s="1"/>
  <c r="N2023" i="7"/>
  <c r="D2020" i="7"/>
  <c r="I2020" i="7" s="1"/>
  <c r="M2020" i="7" s="1"/>
  <c r="N2016" i="7"/>
  <c r="D2013" i="7"/>
  <c r="I2013" i="7" s="1"/>
  <c r="M2013" i="7" s="1"/>
  <c r="N2009" i="7"/>
  <c r="D2006" i="7"/>
  <c r="I2006" i="7" s="1"/>
  <c r="M2006" i="7" s="1"/>
  <c r="N2002" i="7"/>
  <c r="D1999" i="7"/>
  <c r="I1999" i="7" s="1"/>
  <c r="M1999" i="7" s="1"/>
  <c r="N1995" i="7"/>
  <c r="N2181" i="7"/>
  <c r="D2179" i="7"/>
  <c r="I2179" i="7" s="1"/>
  <c r="M2179" i="7" s="1"/>
  <c r="N2175" i="7"/>
  <c r="O2175" i="7" s="1"/>
  <c r="D2170" i="7"/>
  <c r="D2164" i="7"/>
  <c r="N2160" i="7"/>
  <c r="D2158" i="7"/>
  <c r="N2154" i="7"/>
  <c r="N2147" i="7"/>
  <c r="D2145" i="7"/>
  <c r="I2145" i="7" s="1"/>
  <c r="M2145" i="7" s="1"/>
  <c r="D2139" i="7"/>
  <c r="N2135" i="7"/>
  <c r="D2133" i="7"/>
  <c r="N2129" i="7"/>
  <c r="N2109" i="7"/>
  <c r="N2103" i="7"/>
  <c r="N2095" i="7"/>
  <c r="N2087" i="7"/>
  <c r="D2085" i="7"/>
  <c r="I2085" i="7" s="1"/>
  <c r="M2085" i="7" s="1"/>
  <c r="N2081" i="7"/>
  <c r="D2078" i="7"/>
  <c r="I2078" i="7" s="1"/>
  <c r="M2078" i="7" s="1"/>
  <c r="N2074" i="7"/>
  <c r="D2065" i="7"/>
  <c r="I2065" i="7" s="1"/>
  <c r="M2065" i="7" s="1"/>
  <c r="N2060" i="7"/>
  <c r="D2057" i="7"/>
  <c r="I2057" i="7" s="1"/>
  <c r="M2057" i="7" s="1"/>
  <c r="N2053" i="7"/>
  <c r="D2050" i="7"/>
  <c r="I2050" i="7" s="1"/>
  <c r="M2050" i="7" s="1"/>
  <c r="N2045" i="7"/>
  <c r="D2042" i="7"/>
  <c r="I2042" i="7" s="1"/>
  <c r="M2042" i="7" s="1"/>
  <c r="N2037" i="7"/>
  <c r="D2035" i="7"/>
  <c r="I2035" i="7" s="1"/>
  <c r="M2035" i="7" s="1"/>
  <c r="N2031" i="7"/>
  <c r="D2029" i="7"/>
  <c r="I2029" i="7" s="1"/>
  <c r="M2029" i="7" s="1"/>
  <c r="N2024" i="7"/>
  <c r="D2021" i="7"/>
  <c r="I2021" i="7" s="1"/>
  <c r="M2021" i="7" s="1"/>
  <c r="N2017" i="7"/>
  <c r="D2015" i="7"/>
  <c r="N2010" i="7"/>
  <c r="D2007" i="7"/>
  <c r="I2007" i="7" s="1"/>
  <c r="M2007" i="7" s="1"/>
  <c r="N2003" i="7"/>
  <c r="D2000" i="7"/>
  <c r="I2000" i="7" s="1"/>
  <c r="M2000" i="7" s="1"/>
  <c r="N1996" i="7"/>
  <c r="D1994" i="7"/>
  <c r="N2182" i="7"/>
  <c r="D2180" i="7"/>
  <c r="I2180" i="7" s="1"/>
  <c r="M2180" i="7" s="1"/>
  <c r="D2175" i="7"/>
  <c r="N2172" i="7"/>
  <c r="N2166" i="7"/>
  <c r="N2161" i="7"/>
  <c r="N2155" i="7"/>
  <c r="N2148" i="7"/>
  <c r="D2146" i="7"/>
  <c r="I2146" i="7" s="1"/>
  <c r="M2146" i="7" s="1"/>
  <c r="N2141" i="7"/>
  <c r="N2136" i="7"/>
  <c r="N2130" i="7"/>
  <c r="N2096" i="7"/>
  <c r="N2088" i="7"/>
  <c r="D2086" i="7"/>
  <c r="I2086" i="7" s="1"/>
  <c r="M2086" i="7" s="1"/>
  <c r="D2079" i="7"/>
  <c r="I2079" i="7" s="1"/>
  <c r="M2079" i="7" s="1"/>
  <c r="N2075" i="7"/>
  <c r="N2068" i="7"/>
  <c r="D2066" i="7"/>
  <c r="I2066" i="7" s="1"/>
  <c r="M2066" i="7" s="1"/>
  <c r="N2061" i="7"/>
  <c r="D2058" i="7"/>
  <c r="I2058" i="7" s="1"/>
  <c r="M2058" i="7" s="1"/>
  <c r="N2054" i="7"/>
  <c r="D2051" i="7"/>
  <c r="I2051" i="7" s="1"/>
  <c r="M2051" i="7" s="1"/>
  <c r="N2046" i="7"/>
  <c r="D2043" i="7"/>
  <c r="I2043" i="7" s="1"/>
  <c r="M2043" i="7" s="1"/>
  <c r="N2038" i="7"/>
  <c r="D2036" i="7"/>
  <c r="I2036" i="7" s="1"/>
  <c r="M2036" i="7" s="1"/>
  <c r="N2032" i="7"/>
  <c r="D2030" i="7"/>
  <c r="I2030" i="7" s="1"/>
  <c r="M2030" i="7" s="1"/>
  <c r="N2025" i="7"/>
  <c r="D2022" i="7"/>
  <c r="I2022" i="7" s="1"/>
  <c r="M2022" i="7" s="1"/>
  <c r="D2008" i="7"/>
  <c r="I2008" i="7" s="1"/>
  <c r="M2008" i="7" s="1"/>
  <c r="D2001" i="7"/>
  <c r="I2001" i="7" s="1"/>
  <c r="M2001" i="7" s="1"/>
  <c r="N1997" i="7"/>
  <c r="N2180" i="7"/>
  <c r="D2177" i="7"/>
  <c r="I2177" i="7" s="1"/>
  <c r="M2177" i="7" s="1"/>
  <c r="D2174" i="7"/>
  <c r="N2170" i="7"/>
  <c r="N2164" i="7"/>
  <c r="N2158" i="7"/>
  <c r="N2153" i="7"/>
  <c r="N2146" i="7"/>
  <c r="D2143" i="7"/>
  <c r="I2143" i="7" s="1"/>
  <c r="M2143" i="7" s="1"/>
  <c r="N2139" i="7"/>
  <c r="N2133" i="7"/>
  <c r="N2127" i="7"/>
  <c r="N2126" i="7"/>
  <c r="N2125" i="7"/>
  <c r="N2124" i="7"/>
  <c r="N2123" i="7"/>
  <c r="N2122" i="7"/>
  <c r="N2121" i="7"/>
  <c r="N2120" i="7"/>
  <c r="N2119" i="7"/>
  <c r="N2108" i="7"/>
  <c r="N2101" i="7"/>
  <c r="N2093" i="7"/>
  <c r="N2086" i="7"/>
  <c r="D2083" i="7"/>
  <c r="I2083" i="7" s="1"/>
  <c r="M2083" i="7" s="1"/>
  <c r="N2079" i="7"/>
  <c r="N2072" i="7"/>
  <c r="D2070" i="7"/>
  <c r="N2066" i="7"/>
  <c r="D2063" i="7"/>
  <c r="I2063" i="7" s="1"/>
  <c r="M2063" i="7" s="1"/>
  <c r="N2058" i="7"/>
  <c r="D2056" i="7"/>
  <c r="N2051" i="7"/>
  <c r="D2048" i="7"/>
  <c r="I2048" i="7" s="1"/>
  <c r="M2048" i="7" s="1"/>
  <c r="N2043" i="7"/>
  <c r="D2040" i="7"/>
  <c r="I2040" i="7" s="1"/>
  <c r="M2040" i="7" s="1"/>
  <c r="N2036" i="7"/>
  <c r="D2034" i="7"/>
  <c r="N2030" i="7"/>
  <c r="D2027" i="7"/>
  <c r="I2027" i="7" s="1"/>
  <c r="M2027" i="7" s="1"/>
  <c r="N2022" i="7"/>
  <c r="D2019" i="7"/>
  <c r="I2019" i="7" s="1"/>
  <c r="M2019" i="7" s="1"/>
  <c r="N2015" i="7"/>
  <c r="D2012" i="7"/>
  <c r="I2012" i="7" s="1"/>
  <c r="M2012" i="7" s="1"/>
  <c r="N2008" i="7"/>
  <c r="D2005" i="7"/>
  <c r="I2005" i="7" s="1"/>
  <c r="M2005" i="7" s="1"/>
  <c r="N2001" i="7"/>
  <c r="N1994" i="7"/>
  <c r="D1993" i="7"/>
  <c r="N2184" i="7"/>
  <c r="D2182" i="7"/>
  <c r="I2182" i="7" s="1"/>
  <c r="M2182" i="7" s="1"/>
  <c r="N2169" i="7"/>
  <c r="N2157" i="7"/>
  <c r="N2138" i="7"/>
  <c r="D2136" i="7"/>
  <c r="I2136" i="7" s="1"/>
  <c r="M2136" i="7" s="1"/>
  <c r="N2091" i="7"/>
  <c r="N2084" i="7"/>
  <c r="D2082" i="7"/>
  <c r="N2077" i="7"/>
  <c r="N2070" i="7"/>
  <c r="D2061" i="7"/>
  <c r="I2061" i="7" s="1"/>
  <c r="M2061" i="7" s="1"/>
  <c r="N2056" i="7"/>
  <c r="N2049" i="7"/>
  <c r="D2038" i="7"/>
  <c r="I2038" i="7" s="1"/>
  <c r="M2038" i="7" s="1"/>
  <c r="N2028" i="7"/>
  <c r="N2014" i="7"/>
  <c r="I2014" i="7" s="1"/>
  <c r="N1993" i="7"/>
  <c r="N2179" i="7"/>
  <c r="N2174" i="7"/>
  <c r="O2174" i="7" s="1"/>
  <c r="D2162" i="7"/>
  <c r="N2152" i="7"/>
  <c r="N2145" i="7"/>
  <c r="D2131" i="7"/>
  <c r="N2107" i="7"/>
  <c r="O2107" i="7" s="1"/>
  <c r="N2100" i="7"/>
  <c r="N2065" i="7"/>
  <c r="D2047" i="7"/>
  <c r="I2047" i="7" s="1"/>
  <c r="M2047" i="7" s="1"/>
  <c r="N2042" i="7"/>
  <c r="N2035" i="7"/>
  <c r="D2033" i="7"/>
  <c r="I2033" i="7" s="1"/>
  <c r="M2033" i="7" s="1"/>
  <c r="D2026" i="7"/>
  <c r="I2026" i="7" s="1"/>
  <c r="M2026" i="7" s="1"/>
  <c r="N2021" i="7"/>
  <c r="N2007" i="7"/>
  <c r="N2000" i="7"/>
  <c r="D1998" i="7"/>
  <c r="D2181" i="7"/>
  <c r="N2176" i="7"/>
  <c r="N2173" i="7"/>
  <c r="O2173" i="7" s="1"/>
  <c r="D2171" i="7"/>
  <c r="I2171" i="7" s="1"/>
  <c r="M2171" i="7" s="1"/>
  <c r="D2154" i="7"/>
  <c r="N2149" i="7"/>
  <c r="D2147" i="7"/>
  <c r="N2142" i="7"/>
  <c r="D2140" i="7"/>
  <c r="I2140" i="7" s="1"/>
  <c r="M2140" i="7" s="1"/>
  <c r="D2109" i="7"/>
  <c r="N2104" i="7"/>
  <c r="D2102" i="7"/>
  <c r="I2102" i="7" s="1"/>
  <c r="M2102" i="7" s="1"/>
  <c r="N2097" i="7"/>
  <c r="N2069" i="7"/>
  <c r="D2067" i="7"/>
  <c r="I2067" i="7" s="1"/>
  <c r="M2067" i="7" s="1"/>
  <c r="N2062" i="7"/>
  <c r="N2055" i="7"/>
  <c r="D2044" i="7"/>
  <c r="I2044" i="7" s="1"/>
  <c r="M2044" i="7" s="1"/>
  <c r="N2039" i="7"/>
  <c r="D2037" i="7"/>
  <c r="N2018" i="7"/>
  <c r="D2016" i="7"/>
  <c r="I2016" i="7" s="1"/>
  <c r="M2016" i="7" s="1"/>
  <c r="N2011" i="7"/>
  <c r="D2009" i="7"/>
  <c r="I2009" i="7" s="1"/>
  <c r="M2009" i="7" s="1"/>
  <c r="N2004" i="7"/>
  <c r="D2002" i="7"/>
  <c r="I2002" i="7" s="1"/>
  <c r="M2002" i="7" s="1"/>
  <c r="D1995" i="7"/>
  <c r="I1995" i="7" s="1"/>
  <c r="M1995" i="7" s="1"/>
  <c r="N1992" i="7"/>
  <c r="D22" i="6" s="1"/>
  <c r="N2177" i="7"/>
  <c r="D2172" i="7"/>
  <c r="N2162" i="7"/>
  <c r="N2150" i="7"/>
  <c r="N2143" i="7"/>
  <c r="D2141" i="7"/>
  <c r="N2131" i="7"/>
  <c r="N2118" i="7"/>
  <c r="N2116" i="7"/>
  <c r="N2114" i="7"/>
  <c r="N2112" i="7"/>
  <c r="N2110" i="7"/>
  <c r="N2105" i="7"/>
  <c r="D2103" i="7"/>
  <c r="I2103" i="7" s="1"/>
  <c r="M2103" i="7" s="1"/>
  <c r="N2098" i="7"/>
  <c r="D2068" i="7"/>
  <c r="N2063" i="7"/>
  <c r="D2045" i="7"/>
  <c r="I2045" i="7" s="1"/>
  <c r="M2045" i="7" s="1"/>
  <c r="N2040" i="7"/>
  <c r="N2019" i="7"/>
  <c r="D2017" i="7"/>
  <c r="I2017" i="7" s="1"/>
  <c r="M2017" i="7" s="1"/>
  <c r="N2012" i="7"/>
  <c r="D2010" i="7"/>
  <c r="I2010" i="7" s="1"/>
  <c r="M2010" i="7" s="1"/>
  <c r="N2005" i="7"/>
  <c r="D2003" i="7"/>
  <c r="I2003" i="7" s="1"/>
  <c r="M2003" i="7" s="1"/>
  <c r="N1998" i="7"/>
  <c r="D1996" i="7"/>
  <c r="I1996" i="7" s="1"/>
  <c r="M1996" i="7" s="1"/>
  <c r="D2165" i="7"/>
  <c r="I2165" i="7" s="1"/>
  <c r="M2165" i="7" s="1"/>
  <c r="D2087" i="7"/>
  <c r="N2082" i="7"/>
  <c r="D2059" i="7"/>
  <c r="I2059" i="7" s="1"/>
  <c r="M2059" i="7" s="1"/>
  <c r="D2046" i="7"/>
  <c r="I2046" i="7" s="1"/>
  <c r="M2046" i="7" s="1"/>
  <c r="N2041" i="7"/>
  <c r="D2032" i="7"/>
  <c r="I2032" i="7" s="1"/>
  <c r="M2032" i="7" s="1"/>
  <c r="D2018" i="7"/>
  <c r="N2013" i="7"/>
  <c r="D2004" i="7"/>
  <c r="N1999" i="7"/>
  <c r="N2183" i="7"/>
  <c r="N2168" i="7"/>
  <c r="D2135" i="7"/>
  <c r="I2135" i="7" s="1"/>
  <c r="M2135" i="7" s="1"/>
  <c r="N2117" i="7"/>
  <c r="N2113" i="7"/>
  <c r="N2090" i="7"/>
  <c r="D2081" i="7"/>
  <c r="I2081" i="7" s="1"/>
  <c r="M2081" i="7" s="1"/>
  <c r="N2076" i="7"/>
  <c r="N2050" i="7"/>
  <c r="N2178" i="7"/>
  <c r="N2163" i="7"/>
  <c r="N2144" i="7"/>
  <c r="D2130" i="7"/>
  <c r="I2130" i="7" s="1"/>
  <c r="M2130" i="7" s="1"/>
  <c r="D2104" i="7"/>
  <c r="N2099" i="7"/>
  <c r="D2031" i="7"/>
  <c r="N2026" i="7"/>
  <c r="D2156" i="7"/>
  <c r="D2142" i="7"/>
  <c r="I2142" i="7" s="1"/>
  <c r="M2142" i="7" s="1"/>
  <c r="D2137" i="7"/>
  <c r="N2092" i="7"/>
  <c r="N2078" i="7"/>
  <c r="D2069" i="7"/>
  <c r="I2069" i="7" s="1"/>
  <c r="M2069" i="7" s="1"/>
  <c r="D2055" i="7"/>
  <c r="I2055" i="7" s="1"/>
  <c r="M2055" i="7" s="1"/>
  <c r="N2027" i="7"/>
  <c r="D2134" i="7"/>
  <c r="I2134" i="7" s="1"/>
  <c r="M2134" i="7" s="1"/>
  <c r="N2089" i="7"/>
  <c r="D2080" i="7"/>
  <c r="I2080" i="7" s="1"/>
  <c r="M2080" i="7" s="1"/>
  <c r="D2039" i="7"/>
  <c r="I2039" i="7" s="1"/>
  <c r="M2039" i="7" s="1"/>
  <c r="N2029" i="7"/>
  <c r="N2115" i="7"/>
  <c r="D2060" i="7"/>
  <c r="I2060" i="7" s="1"/>
  <c r="M2060" i="7" s="1"/>
  <c r="N2047" i="7"/>
  <c r="N2151" i="7"/>
  <c r="N2132" i="7"/>
  <c r="N2106" i="7"/>
  <c r="D2053" i="7"/>
  <c r="I2053" i="7" s="1"/>
  <c r="M2053" i="7" s="1"/>
  <c r="N2085" i="7"/>
  <c r="D2076" i="7"/>
  <c r="N2057" i="7"/>
  <c r="N2034" i="7"/>
  <c r="D2025" i="7"/>
  <c r="I2025" i="7" s="1"/>
  <c r="M2025" i="7" s="1"/>
  <c r="N2006" i="7"/>
  <c r="D1997" i="7"/>
  <c r="I1997" i="7" s="1"/>
  <c r="M1997" i="7" s="1"/>
  <c r="N2167" i="7"/>
  <c r="D2166" i="7"/>
  <c r="N2156" i="7"/>
  <c r="N2137" i="7"/>
  <c r="N2111" i="7"/>
  <c r="N2083" i="7"/>
  <c r="D2052" i="7"/>
  <c r="I2052" i="7" s="1"/>
  <c r="M2052" i="7" s="1"/>
  <c r="N2033" i="7"/>
  <c r="D2176" i="7"/>
  <c r="N2064" i="7"/>
  <c r="N2048" i="7"/>
  <c r="D2183" i="7"/>
  <c r="N2071" i="7"/>
  <c r="D2062" i="7"/>
  <c r="I2062" i="7" s="1"/>
  <c r="M2062" i="7" s="1"/>
  <c r="N2020" i="7"/>
  <c r="D2011" i="7"/>
  <c r="D1992" i="7"/>
  <c r="D2169" i="7"/>
  <c r="I2169" i="7" s="1"/>
  <c r="M2169" i="7" s="1"/>
  <c r="D2157" i="7"/>
  <c r="I2157" i="7" s="1"/>
  <c r="M2157" i="7" s="1"/>
  <c r="D2151" i="7"/>
  <c r="I2151" i="7" s="1"/>
  <c r="M2151" i="7" s="1"/>
  <c r="D2106" i="7"/>
  <c r="I2106" i="7" s="1"/>
  <c r="M2106" i="7" s="1"/>
  <c r="D2152" i="7"/>
  <c r="I2152" i="7" s="1"/>
  <c r="M2152" i="7" s="1"/>
  <c r="D2071" i="7"/>
  <c r="I2071" i="7" s="1"/>
  <c r="M2071" i="7" s="1"/>
  <c r="D2153" i="7"/>
  <c r="I2153" i="7" s="1"/>
  <c r="M2153" i="7" s="1"/>
  <c r="D2108" i="7"/>
  <c r="I2108" i="7" s="1"/>
  <c r="M2108" i="7" s="1"/>
  <c r="D2072" i="7"/>
  <c r="I2072" i="7" s="1"/>
  <c r="M2072" i="7" s="1"/>
  <c r="D2168" i="7"/>
  <c r="I2168" i="7" s="1"/>
  <c r="M2168" i="7" s="1"/>
  <c r="D2150" i="7"/>
  <c r="I2150" i="7" s="1"/>
  <c r="M2150" i="7" s="1"/>
  <c r="D2105" i="7"/>
  <c r="I2105" i="7" s="1"/>
  <c r="M2105" i="7" s="1"/>
  <c r="D2155" i="7"/>
  <c r="I2155" i="7" s="1"/>
  <c r="M2155" i="7" s="1"/>
  <c r="D2148" i="7"/>
  <c r="I2148" i="7" s="1"/>
  <c r="M2148" i="7" s="1"/>
  <c r="D2075" i="7"/>
  <c r="I2075" i="7" s="1"/>
  <c r="M2075" i="7" s="1"/>
  <c r="D2167" i="7"/>
  <c r="I2167" i="7" s="1"/>
  <c r="M2167" i="7" s="1"/>
  <c r="D2129" i="7"/>
  <c r="I2129" i="7" s="1"/>
  <c r="M2129" i="7" s="1"/>
  <c r="D2073" i="7"/>
  <c r="I2073" i="7" s="1"/>
  <c r="M2073" i="7" s="1"/>
  <c r="D2149" i="7"/>
  <c r="I2149" i="7" s="1"/>
  <c r="M2149" i="7" s="1"/>
  <c r="D2074" i="7"/>
  <c r="I2074" i="7" s="1"/>
  <c r="M2074" i="7" s="1"/>
  <c r="M2365" i="7"/>
  <c r="O2476" i="7"/>
  <c r="Q2476" i="7"/>
  <c r="C124" i="11"/>
  <c r="I2585" i="7"/>
  <c r="M2585" i="7" s="1"/>
  <c r="D2586" i="7"/>
  <c r="I2586" i="7" s="1"/>
  <c r="M2586" i="7" s="1"/>
  <c r="I2841" i="7"/>
  <c r="M2841" i="7" s="1"/>
  <c r="D2842" i="7"/>
  <c r="I2842" i="7" s="1"/>
  <c r="M2842" i="7" s="1"/>
  <c r="D3046" i="7"/>
  <c r="I3045" i="7"/>
  <c r="D3074" i="7"/>
  <c r="I3073" i="7"/>
  <c r="BQ81" i="4"/>
  <c r="G3497" i="7"/>
  <c r="I3794" i="7"/>
  <c r="M3794" i="7" s="1"/>
  <c r="D3795" i="7"/>
  <c r="I3795" i="7" s="1"/>
  <c r="M3795" i="7" s="1"/>
  <c r="I4018" i="7"/>
  <c r="D4019" i="7"/>
  <c r="G3953" i="7"/>
  <c r="C533" i="11" s="1"/>
  <c r="AI96" i="4"/>
  <c r="AY96" i="4"/>
  <c r="BO96" i="4"/>
  <c r="D109" i="7"/>
  <c r="I109" i="7" s="1"/>
  <c r="M109" i="7" s="1"/>
  <c r="N120" i="7"/>
  <c r="N220" i="7"/>
  <c r="D252" i="7"/>
  <c r="I252" i="7" s="1"/>
  <c r="M252" i="7" s="1"/>
  <c r="D285" i="7"/>
  <c r="I285" i="7" s="1"/>
  <c r="M285" i="7" s="1"/>
  <c r="P542" i="7"/>
  <c r="D852" i="7"/>
  <c r="I852" i="7" s="1"/>
  <c r="M852" i="7" s="1"/>
  <c r="D287" i="7"/>
  <c r="I287" i="7" s="1"/>
  <c r="M287" i="7" s="1"/>
  <c r="D286" i="7"/>
  <c r="I286" i="7" s="1"/>
  <c r="M286" i="7" s="1"/>
  <c r="D4243" i="7"/>
  <c r="I4243" i="7" s="1"/>
  <c r="M4243" i="7" s="1"/>
  <c r="N4243" i="7"/>
  <c r="D36" i="6" s="1"/>
  <c r="E36" i="6" s="1"/>
  <c r="P4243" i="7"/>
  <c r="F36" i="6" s="1"/>
  <c r="G36" i="6" s="1"/>
  <c r="D588" i="7"/>
  <c r="I588" i="7" s="1"/>
  <c r="M588" i="7" s="1"/>
  <c r="G568" i="7"/>
  <c r="G567" i="7"/>
  <c r="G569" i="7"/>
  <c r="G570" i="7"/>
  <c r="I570" i="7" s="1"/>
  <c r="M570" i="7" s="1"/>
  <c r="G574" i="7"/>
  <c r="I574" i="7" s="1"/>
  <c r="M574" i="7" s="1"/>
  <c r="G571" i="7"/>
  <c r="I571" i="7" s="1"/>
  <c r="M571" i="7" s="1"/>
  <c r="G572" i="7"/>
  <c r="I572" i="7" s="1"/>
  <c r="M572" i="7" s="1"/>
  <c r="D747" i="7"/>
  <c r="I747" i="7" s="1"/>
  <c r="M747" i="7" s="1"/>
  <c r="D745" i="7"/>
  <c r="I745" i="7" s="1"/>
  <c r="M745" i="7" s="1"/>
  <c r="D749" i="7"/>
  <c r="I749" i="7" s="1"/>
  <c r="M749" i="7" s="1"/>
  <c r="D743" i="7"/>
  <c r="I743" i="7" s="1"/>
  <c r="M743" i="7" s="1"/>
  <c r="P1018" i="7"/>
  <c r="P1015" i="7"/>
  <c r="Q1015" i="7" s="1"/>
  <c r="P1008" i="7"/>
  <c r="P1003" i="7"/>
  <c r="P1020" i="7"/>
  <c r="P1011" i="7"/>
  <c r="P1010" i="7"/>
  <c r="P1025" i="7"/>
  <c r="P1017" i="7"/>
  <c r="Q1017" i="7" s="1"/>
  <c r="P1007" i="7"/>
  <c r="P999" i="7"/>
  <c r="P991" i="7"/>
  <c r="P983" i="7"/>
  <c r="P978" i="7"/>
  <c r="P972" i="7"/>
  <c r="P970" i="7"/>
  <c r="P961" i="7"/>
  <c r="P944" i="7"/>
  <c r="P941" i="7"/>
  <c r="P940" i="7"/>
  <c r="P935" i="7"/>
  <c r="P934" i="7"/>
  <c r="P931" i="7"/>
  <c r="P930" i="7"/>
  <c r="P919" i="7"/>
  <c r="P902" i="7"/>
  <c r="P895" i="7"/>
  <c r="P887" i="7"/>
  <c r="P879" i="7"/>
  <c r="P873" i="7"/>
  <c r="P866" i="7"/>
  <c r="P859" i="7"/>
  <c r="P852" i="7"/>
  <c r="P844" i="7"/>
  <c r="P834" i="7"/>
  <c r="F16" i="6" s="1"/>
  <c r="P1013" i="7"/>
  <c r="P1004" i="7"/>
  <c r="P996" i="7"/>
  <c r="P992" i="7"/>
  <c r="P984" i="7"/>
  <c r="P971" i="7"/>
  <c r="P948" i="7"/>
  <c r="P945" i="7"/>
  <c r="P939" i="7"/>
  <c r="P937" i="7"/>
  <c r="P936" i="7"/>
  <c r="P929" i="7"/>
  <c r="P920" i="7"/>
  <c r="P918" i="7"/>
  <c r="P910" i="7"/>
  <c r="P903" i="7"/>
  <c r="P896" i="7"/>
  <c r="P888" i="7"/>
  <c r="P880" i="7"/>
  <c r="P874" i="7"/>
  <c r="P867" i="7"/>
  <c r="P845" i="7"/>
  <c r="P1026" i="7"/>
  <c r="P1023" i="7"/>
  <c r="P985" i="7"/>
  <c r="P979" i="7"/>
  <c r="P973" i="7"/>
  <c r="P949" i="7"/>
  <c r="Q949" i="7" s="1"/>
  <c r="P947" i="7"/>
  <c r="P938" i="7"/>
  <c r="P921" i="7"/>
  <c r="P911" i="7"/>
  <c r="P904" i="7"/>
  <c r="P897" i="7"/>
  <c r="P889" i="7"/>
  <c r="P881" i="7"/>
  <c r="P875" i="7"/>
  <c r="P868" i="7"/>
  <c r="P860" i="7"/>
  <c r="P853" i="7"/>
  <c r="P835" i="7"/>
  <c r="P995" i="7"/>
  <c r="P990" i="7"/>
  <c r="P989" i="7"/>
  <c r="P977" i="7"/>
  <c r="P969" i="7"/>
  <c r="P968" i="7"/>
  <c r="P967" i="7"/>
  <c r="P966" i="7"/>
  <c r="P965" i="7"/>
  <c r="P964" i="7"/>
  <c r="P963" i="7"/>
  <c r="P962" i="7"/>
  <c r="P952" i="7"/>
  <c r="P943" i="7"/>
  <c r="P942" i="7"/>
  <c r="P933" i="7"/>
  <c r="P932" i="7"/>
  <c r="P928" i="7"/>
  <c r="P917" i="7"/>
  <c r="P909" i="7"/>
  <c r="P901" i="7"/>
  <c r="P894" i="7"/>
  <c r="P886" i="7"/>
  <c r="P865" i="7"/>
  <c r="P858" i="7"/>
  <c r="P851" i="7"/>
  <c r="P843" i="7"/>
  <c r="P842" i="7"/>
  <c r="P841" i="7"/>
  <c r="P840" i="7"/>
  <c r="P1001" i="7"/>
  <c r="P993" i="7"/>
  <c r="P986" i="7"/>
  <c r="P974" i="7"/>
  <c r="P924" i="7"/>
  <c r="P906" i="7"/>
  <c r="P883" i="7"/>
  <c r="P876" i="7"/>
  <c r="P862" i="7"/>
  <c r="P855" i="7"/>
  <c r="P848" i="7"/>
  <c r="P846" i="7"/>
  <c r="P1022" i="7"/>
  <c r="P1019" i="7"/>
  <c r="P1012" i="7"/>
  <c r="P1009" i="7"/>
  <c r="P1006" i="7"/>
  <c r="P915" i="7"/>
  <c r="P913" i="7"/>
  <c r="P899" i="7"/>
  <c r="P892" i="7"/>
  <c r="P871" i="7"/>
  <c r="P1021" i="7"/>
  <c r="P1005" i="7"/>
  <c r="P988" i="7"/>
  <c r="P981" i="7"/>
  <c r="P925" i="7"/>
  <c r="P923" i="7"/>
  <c r="P908" i="7"/>
  <c r="P885" i="7"/>
  <c r="P878" i="7"/>
  <c r="P864" i="7"/>
  <c r="P857" i="7"/>
  <c r="P850" i="7"/>
  <c r="P839" i="7"/>
  <c r="P837" i="7"/>
  <c r="P982" i="7"/>
  <c r="P960" i="7"/>
  <c r="P958" i="7"/>
  <c r="P956" i="7"/>
  <c r="P954" i="7"/>
  <c r="P946" i="7"/>
  <c r="P890" i="7"/>
  <c r="P869" i="7"/>
  <c r="P836" i="7"/>
  <c r="P1014" i="7"/>
  <c r="P1002" i="7"/>
  <c r="P997" i="7"/>
  <c r="P957" i="7"/>
  <c r="P953" i="7"/>
  <c r="P905" i="7"/>
  <c r="P882" i="7"/>
  <c r="P854" i="7"/>
  <c r="P987" i="7"/>
  <c r="P922" i="7"/>
  <c r="P914" i="7"/>
  <c r="P891" i="7"/>
  <c r="P926" i="7"/>
  <c r="P877" i="7"/>
  <c r="P863" i="7"/>
  <c r="P849" i="7"/>
  <c r="P976" i="7"/>
  <c r="P900" i="7"/>
  <c r="P872" i="7"/>
  <c r="P1024" i="7"/>
  <c r="P1000" i="7"/>
  <c r="P980" i="7"/>
  <c r="P959" i="7"/>
  <c r="P955" i="7"/>
  <c r="P951" i="7"/>
  <c r="P861" i="7"/>
  <c r="P916" i="7"/>
  <c r="P912" i="7"/>
  <c r="P898" i="7"/>
  <c r="P870" i="7"/>
  <c r="P856" i="7"/>
  <c r="P998" i="7"/>
  <c r="P927" i="7"/>
  <c r="P893" i="7"/>
  <c r="P838" i="7"/>
  <c r="P847" i="7"/>
  <c r="P907" i="7"/>
  <c r="P994" i="7"/>
  <c r="P1016" i="7"/>
  <c r="Q1016" i="7" s="1"/>
  <c r="P975" i="7"/>
  <c r="P950" i="7"/>
  <c r="P884" i="7"/>
  <c r="H42" i="6"/>
  <c r="I42" i="6" s="1"/>
  <c r="H20" i="6"/>
  <c r="M2172" i="7"/>
  <c r="AA69" i="4"/>
  <c r="AJ69" i="4"/>
  <c r="D22" i="4" s="1"/>
  <c r="D2445" i="7" s="1"/>
  <c r="I2445" i="7" s="1"/>
  <c r="M2445" i="7" s="1"/>
  <c r="M2710" i="7"/>
  <c r="G2710" i="7"/>
  <c r="D3022" i="7"/>
  <c r="D3025" i="7"/>
  <c r="I3057" i="7"/>
  <c r="D3058" i="7"/>
  <c r="O949" i="7"/>
  <c r="D1444" i="7"/>
  <c r="I1444" i="7" s="1"/>
  <c r="M1444" i="7" s="1"/>
  <c r="D1445" i="7"/>
  <c r="I1445" i="7" s="1"/>
  <c r="M1445" i="7" s="1"/>
  <c r="D4249" i="7"/>
  <c r="I4249" i="7" s="1"/>
  <c r="M4249" i="7" s="1"/>
  <c r="P4249" i="7"/>
  <c r="F42" i="6" s="1"/>
  <c r="G42" i="6" s="1"/>
  <c r="N4249" i="7"/>
  <c r="D42" i="6" s="1"/>
  <c r="E42" i="6" s="1"/>
  <c r="AD69" i="4"/>
  <c r="D2702" i="7"/>
  <c r="G2702" i="7" s="1"/>
  <c r="D2699" i="7"/>
  <c r="I2699" i="7" s="1"/>
  <c r="M2699" i="7" s="1"/>
  <c r="D2700" i="7"/>
  <c r="I2700" i="7" s="1"/>
  <c r="M2700" i="7" s="1"/>
  <c r="D2560" i="7"/>
  <c r="G2560" i="7" s="1"/>
  <c r="D2559" i="7"/>
  <c r="I2559" i="7" s="1"/>
  <c r="M2559" i="7" s="1"/>
  <c r="D2555" i="7"/>
  <c r="I2555" i="7" s="1"/>
  <c r="M2555" i="7" s="1"/>
  <c r="D2542" i="7"/>
  <c r="I2542" i="7" s="1"/>
  <c r="M2542" i="7" s="1"/>
  <c r="D2701" i="7"/>
  <c r="G2701" i="7" s="1"/>
  <c r="D2561" i="7"/>
  <c r="G2561" i="7" s="1"/>
  <c r="D2558" i="7"/>
  <c r="I2558" i="7" s="1"/>
  <c r="M2558" i="7" s="1"/>
  <c r="D2554" i="7"/>
  <c r="D2543" i="7"/>
  <c r="I2543" i="7" s="1"/>
  <c r="M2543" i="7" s="1"/>
  <c r="D2569" i="7"/>
  <c r="I2569" i="7" s="1"/>
  <c r="M2569" i="7" s="1"/>
  <c r="D2562" i="7"/>
  <c r="G2562" i="7" s="1"/>
  <c r="D2553" i="7"/>
  <c r="D2544" i="7"/>
  <c r="I2544" i="7" s="1"/>
  <c r="M2544" i="7" s="1"/>
  <c r="D2539" i="7"/>
  <c r="I2539" i="7" s="1"/>
  <c r="M2539" i="7" s="1"/>
  <c r="D2567" i="7"/>
  <c r="I2567" i="7" s="1"/>
  <c r="M2567" i="7" s="1"/>
  <c r="D2556" i="7"/>
  <c r="D2505" i="7"/>
  <c r="I2505" i="7" s="1"/>
  <c r="M2505" i="7" s="1"/>
  <c r="D2519" i="7"/>
  <c r="G2519" i="7" s="1"/>
  <c r="I2490" i="7"/>
  <c r="M2490" i="7" s="1"/>
  <c r="D2566" i="7"/>
  <c r="I2566" i="7" s="1"/>
  <c r="M2566" i="7" s="1"/>
  <c r="D2552" i="7"/>
  <c r="D2545" i="7"/>
  <c r="I2545" i="7" s="1"/>
  <c r="M2545" i="7" s="1"/>
  <c r="D2518" i="7"/>
  <c r="G2518" i="7" s="1"/>
  <c r="D2563" i="7"/>
  <c r="I2563" i="7" s="1"/>
  <c r="M2563" i="7" s="1"/>
  <c r="D2499" i="7"/>
  <c r="I2499" i="7" s="1"/>
  <c r="M2499" i="7" s="1"/>
  <c r="D2502" i="7"/>
  <c r="I2502" i="7" s="1"/>
  <c r="M2502" i="7" s="1"/>
  <c r="I2613" i="7"/>
  <c r="M2613" i="7" s="1"/>
  <c r="D2614" i="7"/>
  <c r="I2614" i="7" s="1"/>
  <c r="M2614" i="7" s="1"/>
  <c r="M193" i="7"/>
  <c r="N447" i="7"/>
  <c r="D445" i="7"/>
  <c r="I445" i="7" s="1"/>
  <c r="M445" i="7" s="1"/>
  <c r="N441" i="7"/>
  <c r="D439" i="7"/>
  <c r="N432" i="7"/>
  <c r="O432" i="7" s="1"/>
  <c r="N426" i="7"/>
  <c r="N420" i="7"/>
  <c r="N414" i="7"/>
  <c r="N407" i="7"/>
  <c r="N401" i="7"/>
  <c r="D399" i="7"/>
  <c r="I399" i="7" s="1"/>
  <c r="M399" i="7" s="1"/>
  <c r="N395" i="7"/>
  <c r="D393" i="7"/>
  <c r="I393" i="7" s="1"/>
  <c r="M393" i="7" s="1"/>
  <c r="N369" i="7"/>
  <c r="D367" i="7"/>
  <c r="N362" i="7"/>
  <c r="N354" i="7"/>
  <c r="N347" i="7"/>
  <c r="D345" i="7"/>
  <c r="N340" i="7"/>
  <c r="N333" i="7"/>
  <c r="N327" i="7"/>
  <c r="D324" i="7"/>
  <c r="I324" i="7" s="1"/>
  <c r="M324" i="7" s="1"/>
  <c r="N319" i="7"/>
  <c r="N312" i="7"/>
  <c r="D309" i="7"/>
  <c r="I309" i="7" s="1"/>
  <c r="M309" i="7" s="1"/>
  <c r="N304" i="7"/>
  <c r="D301" i="7"/>
  <c r="I301" i="7" s="1"/>
  <c r="M301" i="7" s="1"/>
  <c r="N297" i="7"/>
  <c r="D295" i="7"/>
  <c r="I295" i="7" s="1"/>
  <c r="M295" i="7" s="1"/>
  <c r="N291" i="7"/>
  <c r="D288" i="7"/>
  <c r="I288" i="7" s="1"/>
  <c r="M288" i="7" s="1"/>
  <c r="N283" i="7"/>
  <c r="D281" i="7"/>
  <c r="N277" i="7"/>
  <c r="I277" i="7" s="1"/>
  <c r="N276" i="7"/>
  <c r="D274" i="7"/>
  <c r="N269" i="7"/>
  <c r="D267" i="7"/>
  <c r="N262" i="7"/>
  <c r="D260" i="7"/>
  <c r="I260" i="7" s="1"/>
  <c r="M260" i="7" s="1"/>
  <c r="N256" i="7"/>
  <c r="D255" i="7"/>
  <c r="D446" i="7"/>
  <c r="N442" i="7"/>
  <c r="N437" i="7"/>
  <c r="O437" i="7" s="1"/>
  <c r="D425" i="7"/>
  <c r="D419" i="7"/>
  <c r="N415" i="7"/>
  <c r="N408" i="7"/>
  <c r="D405" i="7"/>
  <c r="I405" i="7" s="1"/>
  <c r="M405" i="7" s="1"/>
  <c r="D400" i="7"/>
  <c r="D394" i="7"/>
  <c r="N370" i="7"/>
  <c r="O370" i="7" s="1"/>
  <c r="N363" i="7"/>
  <c r="N355" i="7"/>
  <c r="N348" i="7"/>
  <c r="N341" i="7"/>
  <c r="D339" i="7"/>
  <c r="N334" i="7"/>
  <c r="D332" i="7"/>
  <c r="I332" i="7" s="1"/>
  <c r="M332" i="7" s="1"/>
  <c r="N328" i="7"/>
  <c r="D325" i="7"/>
  <c r="I325" i="7" s="1"/>
  <c r="M325" i="7" s="1"/>
  <c r="N320" i="7"/>
  <c r="D318" i="7"/>
  <c r="I318" i="7" s="1"/>
  <c r="M318" i="7" s="1"/>
  <c r="N313" i="7"/>
  <c r="D310" i="7"/>
  <c r="I310" i="7" s="1"/>
  <c r="M310" i="7" s="1"/>
  <c r="N305" i="7"/>
  <c r="D302" i="7"/>
  <c r="I302" i="7" s="1"/>
  <c r="M302" i="7" s="1"/>
  <c r="N298" i="7"/>
  <c r="D296" i="7"/>
  <c r="I296" i="7" s="1"/>
  <c r="M296" i="7" s="1"/>
  <c r="N292" i="7"/>
  <c r="D289" i="7"/>
  <c r="I289" i="7" s="1"/>
  <c r="M289" i="7" s="1"/>
  <c r="N284" i="7"/>
  <c r="N270" i="7"/>
  <c r="N263" i="7"/>
  <c r="D261" i="7"/>
  <c r="N443" i="7"/>
  <c r="D440" i="7"/>
  <c r="I440" i="7" s="1"/>
  <c r="M440" i="7" s="1"/>
  <c r="D437" i="7"/>
  <c r="N433" i="7"/>
  <c r="N427" i="7"/>
  <c r="N421" i="7"/>
  <c r="N416" i="7"/>
  <c r="N409" i="7"/>
  <c r="D406" i="7"/>
  <c r="I406" i="7" s="1"/>
  <c r="M406" i="7" s="1"/>
  <c r="N402" i="7"/>
  <c r="N396" i="7"/>
  <c r="N390" i="7"/>
  <c r="N389" i="7"/>
  <c r="N388" i="7"/>
  <c r="N387" i="7"/>
  <c r="N386" i="7"/>
  <c r="N385" i="7"/>
  <c r="N384" i="7"/>
  <c r="N383" i="7"/>
  <c r="N382" i="7"/>
  <c r="N371" i="7"/>
  <c r="N364" i="7"/>
  <c r="N356" i="7"/>
  <c r="N349" i="7"/>
  <c r="D346" i="7"/>
  <c r="I346" i="7" s="1"/>
  <c r="M346" i="7" s="1"/>
  <c r="N342" i="7"/>
  <c r="N335" i="7"/>
  <c r="D333" i="7"/>
  <c r="N329" i="7"/>
  <c r="D326" i="7"/>
  <c r="I326" i="7" s="1"/>
  <c r="M326" i="7" s="1"/>
  <c r="N321" i="7"/>
  <c r="D319" i="7"/>
  <c r="N314" i="7"/>
  <c r="D311" i="7"/>
  <c r="I311" i="7" s="1"/>
  <c r="M311" i="7" s="1"/>
  <c r="N306" i="7"/>
  <c r="D303" i="7"/>
  <c r="I303" i="7" s="1"/>
  <c r="M303" i="7" s="1"/>
  <c r="N299" i="7"/>
  <c r="D297" i="7"/>
  <c r="N293" i="7"/>
  <c r="D290" i="7"/>
  <c r="I290" i="7" s="1"/>
  <c r="M290" i="7" s="1"/>
  <c r="N285" i="7"/>
  <c r="D282" i="7"/>
  <c r="I282" i="7" s="1"/>
  <c r="M282" i="7" s="1"/>
  <c r="N278" i="7"/>
  <c r="D275" i="7"/>
  <c r="I275" i="7" s="1"/>
  <c r="M275" i="7" s="1"/>
  <c r="N271" i="7"/>
  <c r="D268" i="7"/>
  <c r="I268" i="7" s="1"/>
  <c r="M268" i="7" s="1"/>
  <c r="N264" i="7"/>
  <c r="N257" i="7"/>
  <c r="D256" i="7"/>
  <c r="N446" i="7"/>
  <c r="N440" i="7"/>
  <c r="D435" i="7"/>
  <c r="N431" i="7"/>
  <c r="D429" i="7"/>
  <c r="N425" i="7"/>
  <c r="N419" i="7"/>
  <c r="N413" i="7"/>
  <c r="N406" i="7"/>
  <c r="D404" i="7"/>
  <c r="N400" i="7"/>
  <c r="D398" i="7"/>
  <c r="I398" i="7" s="1"/>
  <c r="M398" i="7" s="1"/>
  <c r="N394" i="7"/>
  <c r="N381" i="7"/>
  <c r="N380" i="7"/>
  <c r="N379" i="7"/>
  <c r="N378" i="7"/>
  <c r="N377" i="7"/>
  <c r="N376" i="7"/>
  <c r="N375" i="7"/>
  <c r="N374" i="7"/>
  <c r="N373" i="7"/>
  <c r="N368" i="7"/>
  <c r="D366" i="7"/>
  <c r="I366" i="7" s="1"/>
  <c r="M366" i="7" s="1"/>
  <c r="N361" i="7"/>
  <c r="N353" i="7"/>
  <c r="N346" i="7"/>
  <c r="D344" i="7"/>
  <c r="I344" i="7" s="1"/>
  <c r="M344" i="7" s="1"/>
  <c r="N339" i="7"/>
  <c r="D331" i="7"/>
  <c r="N326" i="7"/>
  <c r="D323" i="7"/>
  <c r="I323" i="7" s="1"/>
  <c r="M323" i="7" s="1"/>
  <c r="D316" i="7"/>
  <c r="I316" i="7" s="1"/>
  <c r="M316" i="7" s="1"/>
  <c r="N311" i="7"/>
  <c r="D308" i="7"/>
  <c r="I308" i="7" s="1"/>
  <c r="M308" i="7" s="1"/>
  <c r="N303" i="7"/>
  <c r="N290" i="7"/>
  <c r="N282" i="7"/>
  <c r="D280" i="7"/>
  <c r="I280" i="7" s="1"/>
  <c r="M280" i="7" s="1"/>
  <c r="N275" i="7"/>
  <c r="D273" i="7"/>
  <c r="I273" i="7" s="1"/>
  <c r="M273" i="7" s="1"/>
  <c r="N268" i="7"/>
  <c r="D266" i="7"/>
  <c r="I266" i="7" s="1"/>
  <c r="M266" i="7" s="1"/>
  <c r="N261" i="7"/>
  <c r="D259" i="7"/>
  <c r="I259" i="7" s="1"/>
  <c r="M259" i="7" s="1"/>
  <c r="D441" i="7"/>
  <c r="I441" i="7" s="1"/>
  <c r="M441" i="7" s="1"/>
  <c r="N428" i="7"/>
  <c r="D426" i="7"/>
  <c r="I426" i="7" s="1"/>
  <c r="M426" i="7" s="1"/>
  <c r="D407" i="7"/>
  <c r="I407" i="7" s="1"/>
  <c r="M407" i="7" s="1"/>
  <c r="N397" i="7"/>
  <c r="N357" i="7"/>
  <c r="N343" i="7"/>
  <c r="N336" i="7"/>
  <c r="D327" i="7"/>
  <c r="I327" i="7" s="1"/>
  <c r="M327" i="7" s="1"/>
  <c r="N322" i="7"/>
  <c r="D314" i="7"/>
  <c r="I314" i="7" s="1"/>
  <c r="M314" i="7" s="1"/>
  <c r="N309" i="7"/>
  <c r="N295" i="7"/>
  <c r="D293" i="7"/>
  <c r="I293" i="7" s="1"/>
  <c r="M293" i="7" s="1"/>
  <c r="N288" i="7"/>
  <c r="N260" i="7"/>
  <c r="N438" i="7"/>
  <c r="O438" i="7" s="1"/>
  <c r="D433" i="7"/>
  <c r="N423" i="7"/>
  <c r="D421" i="7"/>
  <c r="D402" i="7"/>
  <c r="N392" i="7"/>
  <c r="N366" i="7"/>
  <c r="N350" i="7"/>
  <c r="D348" i="7"/>
  <c r="I348" i="7" s="1"/>
  <c r="M348" i="7" s="1"/>
  <c r="D341" i="7"/>
  <c r="I341" i="7" s="1"/>
  <c r="M341" i="7" s="1"/>
  <c r="D320" i="7"/>
  <c r="I320" i="7" s="1"/>
  <c r="M320" i="7" s="1"/>
  <c r="D307" i="7"/>
  <c r="I307" i="7" s="1"/>
  <c r="M307" i="7" s="1"/>
  <c r="N302" i="7"/>
  <c r="D300" i="7"/>
  <c r="N281" i="7"/>
  <c r="D279" i="7"/>
  <c r="I279" i="7" s="1"/>
  <c r="M279" i="7" s="1"/>
  <c r="N274" i="7"/>
  <c r="D272" i="7"/>
  <c r="I272" i="7" s="1"/>
  <c r="M272" i="7" s="1"/>
  <c r="N267" i="7"/>
  <c r="D265" i="7"/>
  <c r="I265" i="7" s="1"/>
  <c r="M265" i="7" s="1"/>
  <c r="D258" i="7"/>
  <c r="I258" i="7" s="1"/>
  <c r="M258" i="7" s="1"/>
  <c r="N255" i="7"/>
  <c r="D13" i="6" s="1"/>
  <c r="N445" i="7"/>
  <c r="D443" i="7"/>
  <c r="I443" i="7" s="1"/>
  <c r="M443" i="7" s="1"/>
  <c r="D438" i="7"/>
  <c r="N435" i="7"/>
  <c r="N418" i="7"/>
  <c r="N411" i="7"/>
  <c r="D409" i="7"/>
  <c r="I409" i="7" s="1"/>
  <c r="M409" i="7" s="1"/>
  <c r="N404" i="7"/>
  <c r="N399" i="7"/>
  <c r="N359" i="7"/>
  <c r="N338" i="7"/>
  <c r="N331" i="7"/>
  <c r="D329" i="7"/>
  <c r="I329" i="7" s="1"/>
  <c r="M329" i="7" s="1"/>
  <c r="N324" i="7"/>
  <c r="N317" i="7"/>
  <c r="O317" i="7" s="1"/>
  <c r="N315" i="7"/>
  <c r="D304" i="7"/>
  <c r="I304" i="7" s="1"/>
  <c r="M304" i="7" s="1"/>
  <c r="D283" i="7"/>
  <c r="I283" i="7" s="1"/>
  <c r="M283" i="7" s="1"/>
  <c r="D276" i="7"/>
  <c r="I276" i="7" s="1"/>
  <c r="M276" i="7" s="1"/>
  <c r="D269" i="7"/>
  <c r="I269" i="7" s="1"/>
  <c r="M269" i="7" s="1"/>
  <c r="D262" i="7"/>
  <c r="I262" i="7" s="1"/>
  <c r="M262" i="7" s="1"/>
  <c r="D444" i="7"/>
  <c r="N439" i="7"/>
  <c r="N436" i="7"/>
  <c r="O436" i="7" s="1"/>
  <c r="D434" i="7"/>
  <c r="I434" i="7" s="1"/>
  <c r="M434" i="7" s="1"/>
  <c r="D417" i="7"/>
  <c r="N412" i="7"/>
  <c r="D410" i="7"/>
  <c r="N405" i="7"/>
  <c r="D403" i="7"/>
  <c r="I403" i="7" s="1"/>
  <c r="M403" i="7" s="1"/>
  <c r="D372" i="7"/>
  <c r="N367" i="7"/>
  <c r="D365" i="7"/>
  <c r="I365" i="7" s="1"/>
  <c r="M365" i="7" s="1"/>
  <c r="N360" i="7"/>
  <c r="N332" i="7"/>
  <c r="D330" i="7"/>
  <c r="I330" i="7" s="1"/>
  <c r="M330" i="7" s="1"/>
  <c r="N325" i="7"/>
  <c r="N318" i="7"/>
  <c r="N316" i="7"/>
  <c r="D305" i="7"/>
  <c r="I305" i="7" s="1"/>
  <c r="M305" i="7" s="1"/>
  <c r="N300" i="7"/>
  <c r="D298" i="7"/>
  <c r="I298" i="7" s="1"/>
  <c r="M298" i="7" s="1"/>
  <c r="D284" i="7"/>
  <c r="I284" i="7" s="1"/>
  <c r="M284" i="7" s="1"/>
  <c r="D270" i="7"/>
  <c r="I270" i="7" s="1"/>
  <c r="M270" i="7" s="1"/>
  <c r="D263" i="7"/>
  <c r="I263" i="7" s="1"/>
  <c r="M263" i="7" s="1"/>
  <c r="N393" i="7"/>
  <c r="D349" i="7"/>
  <c r="I349" i="7" s="1"/>
  <c r="M349" i="7" s="1"/>
  <c r="D321" i="7"/>
  <c r="I321" i="7" s="1"/>
  <c r="M321" i="7" s="1"/>
  <c r="D312" i="7"/>
  <c r="I312" i="7" s="1"/>
  <c r="M312" i="7" s="1"/>
  <c r="N307" i="7"/>
  <c r="N279" i="7"/>
  <c r="N265" i="7"/>
  <c r="N430" i="7"/>
  <c r="D397" i="7"/>
  <c r="I397" i="7" s="1"/>
  <c r="M397" i="7" s="1"/>
  <c r="N352" i="7"/>
  <c r="D343" i="7"/>
  <c r="I343" i="7" s="1"/>
  <c r="M343" i="7" s="1"/>
  <c r="D292" i="7"/>
  <c r="I292" i="7" s="1"/>
  <c r="M292" i="7" s="1"/>
  <c r="N287" i="7"/>
  <c r="D278" i="7"/>
  <c r="N273" i="7"/>
  <c r="N259" i="7"/>
  <c r="N434" i="7"/>
  <c r="D401" i="7"/>
  <c r="I401" i="7" s="1"/>
  <c r="M401" i="7" s="1"/>
  <c r="N391" i="7"/>
  <c r="N365" i="7"/>
  <c r="D347" i="7"/>
  <c r="I347" i="7" s="1"/>
  <c r="M347" i="7" s="1"/>
  <c r="D306" i="7"/>
  <c r="I306" i="7" s="1"/>
  <c r="M306" i="7" s="1"/>
  <c r="N301" i="7"/>
  <c r="D264" i="7"/>
  <c r="I264" i="7" s="1"/>
  <c r="M264" i="7" s="1"/>
  <c r="N444" i="7"/>
  <c r="N410" i="7"/>
  <c r="D396" i="7"/>
  <c r="N337" i="7"/>
  <c r="D328" i="7"/>
  <c r="I328" i="7" s="1"/>
  <c r="M328" i="7" s="1"/>
  <c r="N323" i="7"/>
  <c r="D315" i="7"/>
  <c r="I315" i="7" s="1"/>
  <c r="M315" i="7" s="1"/>
  <c r="N310" i="7"/>
  <c r="N296" i="7"/>
  <c r="N429" i="7"/>
  <c r="N424" i="7"/>
  <c r="N351" i="7"/>
  <c r="D342" i="7"/>
  <c r="I342" i="7" s="1"/>
  <c r="M342" i="7" s="1"/>
  <c r="D291" i="7"/>
  <c r="I291" i="7" s="1"/>
  <c r="M291" i="7" s="1"/>
  <c r="N286" i="7"/>
  <c r="N272" i="7"/>
  <c r="N258" i="7"/>
  <c r="D428" i="7"/>
  <c r="I428" i="7" s="1"/>
  <c r="M428" i="7" s="1"/>
  <c r="D350" i="7"/>
  <c r="N345" i="7"/>
  <c r="D322" i="7"/>
  <c r="I322" i="7" s="1"/>
  <c r="M322" i="7" s="1"/>
  <c r="D313" i="7"/>
  <c r="I313" i="7" s="1"/>
  <c r="M313" i="7" s="1"/>
  <c r="N308" i="7"/>
  <c r="N294" i="7"/>
  <c r="N280" i="7"/>
  <c r="N266" i="7"/>
  <c r="D257" i="7"/>
  <c r="D442" i="7"/>
  <c r="I442" i="7" s="1"/>
  <c r="M442" i="7" s="1"/>
  <c r="D427" i="7"/>
  <c r="N417" i="7"/>
  <c r="D408" i="7"/>
  <c r="I408" i="7" s="1"/>
  <c r="M408" i="7" s="1"/>
  <c r="N398" i="7"/>
  <c r="N372" i="7"/>
  <c r="N358" i="7"/>
  <c r="N344" i="7"/>
  <c r="D294" i="7"/>
  <c r="N289" i="7"/>
  <c r="D389" i="7"/>
  <c r="D387" i="7"/>
  <c r="D385" i="7"/>
  <c r="D383" i="7"/>
  <c r="D388" i="7"/>
  <c r="D384" i="7"/>
  <c r="D390" i="7"/>
  <c r="D386" i="7"/>
  <c r="Q370" i="7"/>
  <c r="G582" i="7"/>
  <c r="I582" i="7" s="1"/>
  <c r="M582" i="7" s="1"/>
  <c r="G583" i="7"/>
  <c r="G581" i="7"/>
  <c r="I581" i="7" s="1"/>
  <c r="M581" i="7" s="1"/>
  <c r="G578" i="7"/>
  <c r="G576" i="7"/>
  <c r="I576" i="7" s="1"/>
  <c r="G580" i="7"/>
  <c r="G579" i="7"/>
  <c r="I579" i="7" s="1"/>
  <c r="M579" i="7" s="1"/>
  <c r="D801" i="7"/>
  <c r="I801" i="7" s="1"/>
  <c r="M801" i="7" s="1"/>
  <c r="D757" i="7"/>
  <c r="I757" i="7" s="1"/>
  <c r="M757" i="7" s="1"/>
  <c r="D755" i="7"/>
  <c r="I755" i="7" s="1"/>
  <c r="M755" i="7" s="1"/>
  <c r="D802" i="7"/>
  <c r="I802" i="7" s="1"/>
  <c r="M802" i="7" s="1"/>
  <c r="D754" i="7"/>
  <c r="I754" i="7" s="1"/>
  <c r="M754" i="7" s="1"/>
  <c r="D720" i="7"/>
  <c r="I720" i="7" s="1"/>
  <c r="M720" i="7" s="1"/>
  <c r="D806" i="7"/>
  <c r="D800" i="7"/>
  <c r="I800" i="7" s="1"/>
  <c r="M800" i="7" s="1"/>
  <c r="D817" i="7"/>
  <c r="I817" i="7" s="1"/>
  <c r="M817" i="7" s="1"/>
  <c r="D799" i="7"/>
  <c r="I799" i="7" s="1"/>
  <c r="M799" i="7" s="1"/>
  <c r="D778" i="7"/>
  <c r="I778" i="7" s="1"/>
  <c r="M778" i="7" s="1"/>
  <c r="D723" i="7"/>
  <c r="I723" i="7" s="1"/>
  <c r="M723" i="7" s="1"/>
  <c r="D721" i="7"/>
  <c r="I721" i="7" s="1"/>
  <c r="M721" i="7" s="1"/>
  <c r="D797" i="7"/>
  <c r="I797" i="7" s="1"/>
  <c r="M797" i="7" s="1"/>
  <c r="D798" i="7"/>
  <c r="I798" i="7" s="1"/>
  <c r="M798" i="7" s="1"/>
  <c r="D724" i="7"/>
  <c r="I724" i="7" s="1"/>
  <c r="M724" i="7" s="1"/>
  <c r="D722" i="7"/>
  <c r="I722" i="7" s="1"/>
  <c r="M722" i="7" s="1"/>
  <c r="D818" i="7"/>
  <c r="D816" i="7"/>
  <c r="I816" i="7" s="1"/>
  <c r="M816" i="7" s="1"/>
  <c r="D804" i="7"/>
  <c r="D960" i="7"/>
  <c r="D958" i="7"/>
  <c r="D956" i="7"/>
  <c r="D954" i="7"/>
  <c r="D952" i="7"/>
  <c r="D953" i="7"/>
  <c r="D957" i="7"/>
  <c r="D959" i="7"/>
  <c r="D955" i="7"/>
  <c r="D865" i="7"/>
  <c r="I865" i="7" s="1"/>
  <c r="M865" i="7" s="1"/>
  <c r="D866" i="7"/>
  <c r="I866" i="7" s="1"/>
  <c r="M866" i="7" s="1"/>
  <c r="N4246" i="7"/>
  <c r="D39" i="6" s="1"/>
  <c r="E39" i="6" s="1"/>
  <c r="D4246" i="7"/>
  <c r="I4246" i="7" s="1"/>
  <c r="M4246" i="7" s="1"/>
  <c r="P4246" i="7"/>
  <c r="F39" i="6" s="1"/>
  <c r="G39" i="6" s="1"/>
  <c r="G1153" i="7"/>
  <c r="G1152" i="7"/>
  <c r="G1151" i="7"/>
  <c r="I1151" i="7" s="1"/>
  <c r="M1151" i="7" s="1"/>
  <c r="G1150" i="7"/>
  <c r="G1149" i="7"/>
  <c r="G1148" i="7"/>
  <c r="I1148" i="7" s="1"/>
  <c r="M1148" i="7" s="1"/>
  <c r="G1147" i="7"/>
  <c r="I1147" i="7" s="1"/>
  <c r="M1147" i="7" s="1"/>
  <c r="G1146" i="7"/>
  <c r="D1167" i="7"/>
  <c r="I1167" i="7" s="1"/>
  <c r="M1167" i="7" s="1"/>
  <c r="D1329" i="7"/>
  <c r="I1329" i="7" s="1"/>
  <c r="M1329" i="7" s="1"/>
  <c r="D1321" i="7"/>
  <c r="I1321" i="7" s="1"/>
  <c r="M1321" i="7" s="1"/>
  <c r="D1322" i="7"/>
  <c r="I1322" i="7" s="1"/>
  <c r="M1322" i="7" s="1"/>
  <c r="D1323" i="7"/>
  <c r="I1323" i="7" s="1"/>
  <c r="M1323" i="7" s="1"/>
  <c r="D1328" i="7"/>
  <c r="I1328" i="7" s="1"/>
  <c r="M1328" i="7" s="1"/>
  <c r="D1320" i="7"/>
  <c r="I1320" i="7" s="1"/>
  <c r="M1320" i="7" s="1"/>
  <c r="D1326" i="7"/>
  <c r="I1326" i="7" s="1"/>
  <c r="M1326" i="7" s="1"/>
  <c r="D1319" i="7"/>
  <c r="I1319" i="7" s="1"/>
  <c r="M1319" i="7" s="1"/>
  <c r="D1316" i="7"/>
  <c r="I1316" i="7" s="1"/>
  <c r="M1316" i="7" s="1"/>
  <c r="D1317" i="7"/>
  <c r="I1317" i="7" s="1"/>
  <c r="M1317" i="7" s="1"/>
  <c r="D1327" i="7"/>
  <c r="I1327" i="7" s="1"/>
  <c r="M1327" i="7" s="1"/>
  <c r="D1325" i="7"/>
  <c r="I1325" i="7" s="1"/>
  <c r="M1325" i="7" s="1"/>
  <c r="D1318" i="7"/>
  <c r="I1318" i="7" s="1"/>
  <c r="M1318" i="7" s="1"/>
  <c r="D1324" i="7"/>
  <c r="I1324" i="7" s="1"/>
  <c r="M1324" i="7" s="1"/>
  <c r="M1593" i="7"/>
  <c r="O1594" i="7"/>
  <c r="D1773" i="7"/>
  <c r="I1773" i="7" s="1"/>
  <c r="M1773" i="7" s="1"/>
  <c r="D1742" i="7"/>
  <c r="I1742" i="7" s="1"/>
  <c r="M1742" i="7" s="1"/>
  <c r="D1775" i="7"/>
  <c r="I1775" i="7" s="1"/>
  <c r="M1775" i="7" s="1"/>
  <c r="D1774" i="7"/>
  <c r="I1774" i="7" s="1"/>
  <c r="M1774" i="7" s="1"/>
  <c r="N1990" i="7"/>
  <c r="N1984" i="7"/>
  <c r="D1979" i="7"/>
  <c r="N1975" i="7"/>
  <c r="D1973" i="7"/>
  <c r="N1969" i="7"/>
  <c r="N1963" i="7"/>
  <c r="N1957" i="7"/>
  <c r="N1950" i="7"/>
  <c r="D1948" i="7"/>
  <c r="N1944" i="7"/>
  <c r="D1942" i="7"/>
  <c r="I1942" i="7" s="1"/>
  <c r="M1942" i="7" s="1"/>
  <c r="N1938" i="7"/>
  <c r="N1925" i="7"/>
  <c r="N1924" i="7"/>
  <c r="N1923" i="7"/>
  <c r="N1922" i="7"/>
  <c r="N1921" i="7"/>
  <c r="N1920" i="7"/>
  <c r="N1919" i="7"/>
  <c r="N1918" i="7"/>
  <c r="N1917" i="7"/>
  <c r="N1912" i="7"/>
  <c r="D1910" i="7"/>
  <c r="I1910" i="7" s="1"/>
  <c r="M1910" i="7" s="1"/>
  <c r="N1905" i="7"/>
  <c r="N1897" i="7"/>
  <c r="N1890" i="7"/>
  <c r="D1888" i="7"/>
  <c r="I1888" i="7" s="1"/>
  <c r="M1888" i="7" s="1"/>
  <c r="N1883" i="7"/>
  <c r="D1875" i="7"/>
  <c r="N1870" i="7"/>
  <c r="D1867" i="7"/>
  <c r="I1867" i="7" s="1"/>
  <c r="M1867" i="7" s="1"/>
  <c r="D1860" i="7"/>
  <c r="I1860" i="7" s="1"/>
  <c r="M1860" i="7" s="1"/>
  <c r="N1855" i="7"/>
  <c r="D1852" i="7"/>
  <c r="I1852" i="7" s="1"/>
  <c r="M1852" i="7" s="1"/>
  <c r="N1847" i="7"/>
  <c r="N1834" i="7"/>
  <c r="N1991" i="7"/>
  <c r="D1989" i="7"/>
  <c r="I1989" i="7" s="1"/>
  <c r="M1989" i="7" s="1"/>
  <c r="N1985" i="7"/>
  <c r="D1983" i="7"/>
  <c r="N1976" i="7"/>
  <c r="N1970" i="7"/>
  <c r="N1964" i="7"/>
  <c r="N1958" i="7"/>
  <c r="N1951" i="7"/>
  <c r="N1945" i="7"/>
  <c r="D1943" i="7"/>
  <c r="I1943" i="7" s="1"/>
  <c r="M1943" i="7" s="1"/>
  <c r="N1939" i="7"/>
  <c r="D1937" i="7"/>
  <c r="I1937" i="7" s="1"/>
  <c r="M1937" i="7" s="1"/>
  <c r="D1990" i="7"/>
  <c r="N1986" i="7"/>
  <c r="N1981" i="7"/>
  <c r="O1981" i="7" s="1"/>
  <c r="D1969" i="7"/>
  <c r="D1963" i="7"/>
  <c r="N1959" i="7"/>
  <c r="N1952" i="7"/>
  <c r="D1949" i="7"/>
  <c r="I1949" i="7" s="1"/>
  <c r="M1949" i="7" s="1"/>
  <c r="D1944" i="7"/>
  <c r="D1938" i="7"/>
  <c r="D1988" i="7"/>
  <c r="N1983" i="7"/>
  <c r="N1980" i="7"/>
  <c r="O1980" i="7" s="1"/>
  <c r="D1978" i="7"/>
  <c r="I1978" i="7" s="1"/>
  <c r="M1978" i="7" s="1"/>
  <c r="N1974" i="7"/>
  <c r="D1972" i="7"/>
  <c r="I1972" i="7" s="1"/>
  <c r="M1972" i="7" s="1"/>
  <c r="D1961" i="7"/>
  <c r="N1956" i="7"/>
  <c r="D1954" i="7"/>
  <c r="N1949" i="7"/>
  <c r="D1947" i="7"/>
  <c r="I1947" i="7" s="1"/>
  <c r="M1947" i="7" s="1"/>
  <c r="D1941" i="7"/>
  <c r="I1941" i="7" s="1"/>
  <c r="M1941" i="7" s="1"/>
  <c r="N1988" i="7"/>
  <c r="D1986" i="7"/>
  <c r="I1986" i="7" s="1"/>
  <c r="M1986" i="7" s="1"/>
  <c r="D1971" i="7"/>
  <c r="N1961" i="7"/>
  <c r="N1954" i="7"/>
  <c r="D1952" i="7"/>
  <c r="I1952" i="7" s="1"/>
  <c r="M1952" i="7" s="1"/>
  <c r="N1942" i="7"/>
  <c r="D1940" i="7"/>
  <c r="N1926" i="7"/>
  <c r="D1911" i="7"/>
  <c r="N1908" i="7"/>
  <c r="N1895" i="7"/>
  <c r="D1894" i="7"/>
  <c r="D1890" i="7"/>
  <c r="I1890" i="7" s="1"/>
  <c r="M1890" i="7" s="1"/>
  <c r="D1886" i="7"/>
  <c r="I1886" i="7" s="1"/>
  <c r="M1886" i="7" s="1"/>
  <c r="N1872" i="7"/>
  <c r="D1866" i="7"/>
  <c r="I1866" i="7" s="1"/>
  <c r="M1866" i="7" s="1"/>
  <c r="D1858" i="7"/>
  <c r="I1858" i="7" s="1"/>
  <c r="M1858" i="7" s="1"/>
  <c r="D1854" i="7"/>
  <c r="I1854" i="7" s="1"/>
  <c r="M1854" i="7" s="1"/>
  <c r="N1851" i="7"/>
  <c r="N1843" i="7"/>
  <c r="N1839" i="7"/>
  <c r="D1838" i="7"/>
  <c r="D1834" i="7"/>
  <c r="I1834" i="7" s="1"/>
  <c r="M1834" i="7" s="1"/>
  <c r="N1831" i="7"/>
  <c r="N1825" i="7"/>
  <c r="D1823" i="7"/>
  <c r="I1823" i="7" s="1"/>
  <c r="M1823" i="7" s="1"/>
  <c r="N1818" i="7"/>
  <c r="D1816" i="7"/>
  <c r="I1816" i="7" s="1"/>
  <c r="M1816" i="7" s="1"/>
  <c r="N1811" i="7"/>
  <c r="D1809" i="7"/>
  <c r="I1809" i="7" s="1"/>
  <c r="M1809" i="7" s="1"/>
  <c r="D1802" i="7"/>
  <c r="I1802" i="7" s="1"/>
  <c r="M1802" i="7" s="1"/>
  <c r="N1799" i="7"/>
  <c r="D21" i="6" s="1"/>
  <c r="N1973" i="7"/>
  <c r="N1968" i="7"/>
  <c r="N1937" i="7"/>
  <c r="N1927" i="7"/>
  <c r="N1916" i="7"/>
  <c r="N1904" i="7"/>
  <c r="N1900" i="7"/>
  <c r="N1892" i="7"/>
  <c r="N1888" i="7"/>
  <c r="N1884" i="7"/>
  <c r="D1883" i="7"/>
  <c r="N1880" i="7"/>
  <c r="N1876" i="7"/>
  <c r="D1871" i="7"/>
  <c r="I1871" i="7" s="1"/>
  <c r="M1871" i="7" s="1"/>
  <c r="N1868" i="7"/>
  <c r="N1864" i="7"/>
  <c r="D1863" i="7"/>
  <c r="N1860" i="7"/>
  <c r="N1856" i="7"/>
  <c r="D1850" i="7"/>
  <c r="I1850" i="7" s="1"/>
  <c r="M1850" i="7" s="1"/>
  <c r="D1846" i="7"/>
  <c r="I1846" i="7" s="1"/>
  <c r="M1846" i="7" s="1"/>
  <c r="D1842" i="7"/>
  <c r="I1842" i="7" s="1"/>
  <c r="M1842" i="7" s="1"/>
  <c r="N1836" i="7"/>
  <c r="N1826" i="7"/>
  <c r="D1824" i="7"/>
  <c r="I1824" i="7" s="1"/>
  <c r="M1824" i="7" s="1"/>
  <c r="N1819" i="7"/>
  <c r="D1817" i="7"/>
  <c r="I1817" i="7" s="1"/>
  <c r="M1817" i="7" s="1"/>
  <c r="N1812" i="7"/>
  <c r="D1810" i="7"/>
  <c r="I1810" i="7" s="1"/>
  <c r="M1810" i="7" s="1"/>
  <c r="N1805" i="7"/>
  <c r="D1803" i="7"/>
  <c r="I1803" i="7" s="1"/>
  <c r="M1803" i="7" s="1"/>
  <c r="N1987" i="7"/>
  <c r="N1977" i="7"/>
  <c r="N1965" i="7"/>
  <c r="N1960" i="7"/>
  <c r="N1953" i="7"/>
  <c r="N1946" i="7"/>
  <c r="N1934" i="7"/>
  <c r="N1932" i="7"/>
  <c r="N1930" i="7"/>
  <c r="N1913" i="7"/>
  <c r="N1909" i="7"/>
  <c r="N1896" i="7"/>
  <c r="D1891" i="7"/>
  <c r="I1891" i="7" s="1"/>
  <c r="M1891" i="7" s="1"/>
  <c r="D1887" i="7"/>
  <c r="I1887" i="7" s="1"/>
  <c r="M1887" i="7" s="1"/>
  <c r="N1873" i="7"/>
  <c r="D1859" i="7"/>
  <c r="I1859" i="7" s="1"/>
  <c r="M1859" i="7" s="1"/>
  <c r="D1855" i="7"/>
  <c r="I1855" i="7" s="1"/>
  <c r="M1855" i="7" s="1"/>
  <c r="N1852" i="7"/>
  <c r="N1848" i="7"/>
  <c r="N1840" i="7"/>
  <c r="D1839" i="7"/>
  <c r="I1839" i="7" s="1"/>
  <c r="M1839" i="7" s="1"/>
  <c r="D1835" i="7"/>
  <c r="I1835" i="7" s="1"/>
  <c r="M1835" i="7" s="1"/>
  <c r="N1832" i="7"/>
  <c r="N1827" i="7"/>
  <c r="D1825" i="7"/>
  <c r="N1821" i="7"/>
  <c r="I1821" i="7" s="1"/>
  <c r="N1820" i="7"/>
  <c r="D1818" i="7"/>
  <c r="N1813" i="7"/>
  <c r="D1811" i="7"/>
  <c r="N1806" i="7"/>
  <c r="D1804" i="7"/>
  <c r="I1804" i="7" s="1"/>
  <c r="M1804" i="7" s="1"/>
  <c r="N1800" i="7"/>
  <c r="D1799" i="7"/>
  <c r="D1991" i="7"/>
  <c r="I1991" i="7" s="1"/>
  <c r="M1991" i="7" s="1"/>
  <c r="N1978" i="7"/>
  <c r="N1966" i="7"/>
  <c r="N1947" i="7"/>
  <c r="D1945" i="7"/>
  <c r="I1945" i="7" s="1"/>
  <c r="M1945" i="7" s="1"/>
  <c r="N1935" i="7"/>
  <c r="N1911" i="7"/>
  <c r="N1903" i="7"/>
  <c r="N1899" i="7"/>
  <c r="N1891" i="7"/>
  <c r="N1887" i="7"/>
  <c r="N1879" i="7"/>
  <c r="N1875" i="7"/>
  <c r="D1874" i="7"/>
  <c r="I1874" i="7" s="1"/>
  <c r="M1874" i="7" s="1"/>
  <c r="D1870" i="7"/>
  <c r="I1870" i="7" s="1"/>
  <c r="M1870" i="7" s="1"/>
  <c r="N1867" i="7"/>
  <c r="N1863" i="7"/>
  <c r="D1862" i="7"/>
  <c r="I1862" i="7" s="1"/>
  <c r="M1862" i="7" s="1"/>
  <c r="N1859" i="7"/>
  <c r="D1849" i="7"/>
  <c r="I1849" i="7" s="1"/>
  <c r="M1849" i="7" s="1"/>
  <c r="N1846" i="7"/>
  <c r="D1845" i="7"/>
  <c r="I1845" i="7" s="1"/>
  <c r="M1845" i="7" s="1"/>
  <c r="N1835" i="7"/>
  <c r="D1829" i="7"/>
  <c r="I1829" i="7" s="1"/>
  <c r="M1829" i="7" s="1"/>
  <c r="D1815" i="7"/>
  <c r="I1815" i="7" s="1"/>
  <c r="M1815" i="7" s="1"/>
  <c r="D1808" i="7"/>
  <c r="I1808" i="7" s="1"/>
  <c r="M1808" i="7" s="1"/>
  <c r="N1804" i="7"/>
  <c r="D1965" i="7"/>
  <c r="D1946" i="7"/>
  <c r="N1936" i="7"/>
  <c r="N1910" i="7"/>
  <c r="D1892" i="7"/>
  <c r="I1892" i="7" s="1"/>
  <c r="M1892" i="7" s="1"/>
  <c r="N1889" i="7"/>
  <c r="D1884" i="7"/>
  <c r="I1884" i="7" s="1"/>
  <c r="M1884" i="7" s="1"/>
  <c r="N1849" i="7"/>
  <c r="N1841" i="7"/>
  <c r="D1836" i="7"/>
  <c r="I1836" i="7" s="1"/>
  <c r="M1836" i="7" s="1"/>
  <c r="N1833" i="7"/>
  <c r="D1826" i="7"/>
  <c r="I1826" i="7" s="1"/>
  <c r="M1826" i="7" s="1"/>
  <c r="D1819" i="7"/>
  <c r="I1819" i="7" s="1"/>
  <c r="M1819" i="7" s="1"/>
  <c r="D1812" i="7"/>
  <c r="I1812" i="7" s="1"/>
  <c r="M1812" i="7" s="1"/>
  <c r="D1800" i="7"/>
  <c r="N1989" i="7"/>
  <c r="N1979" i="7"/>
  <c r="N1955" i="7"/>
  <c r="N1902" i="7"/>
  <c r="D1889" i="7"/>
  <c r="N1886" i="7"/>
  <c r="N1878" i="7"/>
  <c r="D1873" i="7"/>
  <c r="I1873" i="7" s="1"/>
  <c r="M1873" i="7" s="1"/>
  <c r="N1862" i="7"/>
  <c r="D1844" i="7"/>
  <c r="N1823" i="7"/>
  <c r="N1816" i="7"/>
  <c r="N1809" i="7"/>
  <c r="N1802" i="7"/>
  <c r="D1984" i="7"/>
  <c r="I1984" i="7" s="1"/>
  <c r="M1984" i="7" s="1"/>
  <c r="D1950" i="7"/>
  <c r="I1950" i="7" s="1"/>
  <c r="M1950" i="7" s="1"/>
  <c r="N1940" i="7"/>
  <c r="N1931" i="7"/>
  <c r="N1915" i="7"/>
  <c r="N1907" i="7"/>
  <c r="N1894" i="7"/>
  <c r="D1865" i="7"/>
  <c r="I1865" i="7" s="1"/>
  <c r="M1865" i="7" s="1"/>
  <c r="D1857" i="7"/>
  <c r="I1857" i="7" s="1"/>
  <c r="M1857" i="7" s="1"/>
  <c r="N1854" i="7"/>
  <c r="D1841" i="7"/>
  <c r="N1838" i="7"/>
  <c r="D1833" i="7"/>
  <c r="I1833" i="7" s="1"/>
  <c r="M1833" i="7" s="1"/>
  <c r="N1830" i="7"/>
  <c r="D1828" i="7"/>
  <c r="I1828" i="7" s="1"/>
  <c r="M1828" i="7" s="1"/>
  <c r="D1814" i="7"/>
  <c r="I1814" i="7" s="1"/>
  <c r="M1814" i="7" s="1"/>
  <c r="D1807" i="7"/>
  <c r="I1807" i="7" s="1"/>
  <c r="M1807" i="7" s="1"/>
  <c r="D1985" i="7"/>
  <c r="I1985" i="7" s="1"/>
  <c r="M1985" i="7" s="1"/>
  <c r="D1970" i="7"/>
  <c r="I1970" i="7" s="1"/>
  <c r="M1970" i="7" s="1"/>
  <c r="D1951" i="7"/>
  <c r="I1951" i="7" s="1"/>
  <c r="M1951" i="7" s="1"/>
  <c r="N1941" i="7"/>
  <c r="N1928" i="7"/>
  <c r="D1916" i="7"/>
  <c r="N1881" i="7"/>
  <c r="D1876" i="7"/>
  <c r="I1876" i="7" s="1"/>
  <c r="M1876" i="7" s="1"/>
  <c r="D1868" i="7"/>
  <c r="I1868" i="7" s="1"/>
  <c r="M1868" i="7" s="1"/>
  <c r="N1865" i="7"/>
  <c r="N1857" i="7"/>
  <c r="D1847" i="7"/>
  <c r="I1847" i="7" s="1"/>
  <c r="M1847" i="7" s="1"/>
  <c r="N1844" i="7"/>
  <c r="N1828" i="7"/>
  <c r="N1814" i="7"/>
  <c r="N1807" i="7"/>
  <c r="D1805" i="7"/>
  <c r="D1982" i="7"/>
  <c r="N1962" i="7"/>
  <c r="D1953" i="7"/>
  <c r="I1953" i="7" s="1"/>
  <c r="M1953" i="7" s="1"/>
  <c r="N1943" i="7"/>
  <c r="D1869" i="7"/>
  <c r="I1869" i="7" s="1"/>
  <c r="M1869" i="7" s="1"/>
  <c r="N1858" i="7"/>
  <c r="D1848" i="7"/>
  <c r="I1848" i="7" s="1"/>
  <c r="M1848" i="7" s="1"/>
  <c r="D1827" i="7"/>
  <c r="I1827" i="7" s="1"/>
  <c r="M1827" i="7" s="1"/>
  <c r="D1813" i="7"/>
  <c r="I1813" i="7" s="1"/>
  <c r="M1813" i="7" s="1"/>
  <c r="D1981" i="7"/>
  <c r="N1971" i="7"/>
  <c r="N1933" i="7"/>
  <c r="D1885" i="7"/>
  <c r="I1885" i="7" s="1"/>
  <c r="M1885" i="7" s="1"/>
  <c r="D1853" i="7"/>
  <c r="I1853" i="7" s="1"/>
  <c r="M1853" i="7" s="1"/>
  <c r="N1842" i="7"/>
  <c r="D1837" i="7"/>
  <c r="I1837" i="7" s="1"/>
  <c r="M1837" i="7" s="1"/>
  <c r="D1822" i="7"/>
  <c r="N1817" i="7"/>
  <c r="N1803" i="7"/>
  <c r="N1893" i="7"/>
  <c r="N1877" i="7"/>
  <c r="D1872" i="7"/>
  <c r="I1872" i="7" s="1"/>
  <c r="M1872" i="7" s="1"/>
  <c r="N1861" i="7"/>
  <c r="O1861" i="7" s="1"/>
  <c r="D1851" i="7"/>
  <c r="I1851" i="7" s="1"/>
  <c r="M1851" i="7" s="1"/>
  <c r="D1977" i="7"/>
  <c r="N1967" i="7"/>
  <c r="N1914" i="7"/>
  <c r="O1914" i="7" s="1"/>
  <c r="D1987" i="7"/>
  <c r="I1987" i="7" s="1"/>
  <c r="M1987" i="7" s="1"/>
  <c r="N1948" i="7"/>
  <c r="D1909" i="7"/>
  <c r="I1909" i="7" s="1"/>
  <c r="M1909" i="7" s="1"/>
  <c r="N1898" i="7"/>
  <c r="N1929" i="7"/>
  <c r="N1972" i="7"/>
  <c r="N1901" i="7"/>
  <c r="N1982" i="7"/>
  <c r="O1982" i="7" s="1"/>
  <c r="N1906" i="7"/>
  <c r="N1874" i="7"/>
  <c r="D1864" i="7"/>
  <c r="I1864" i="7" s="1"/>
  <c r="M1864" i="7" s="1"/>
  <c r="N1853" i="7"/>
  <c r="D1832" i="7"/>
  <c r="I1832" i="7" s="1"/>
  <c r="M1832" i="7" s="1"/>
  <c r="N1822" i="7"/>
  <c r="N1808" i="7"/>
  <c r="N1869" i="7"/>
  <c r="N1837" i="7"/>
  <c r="D1856" i="7"/>
  <c r="I1856" i="7" s="1"/>
  <c r="M1856" i="7" s="1"/>
  <c r="N1815" i="7"/>
  <c r="D1877" i="7"/>
  <c r="N1866" i="7"/>
  <c r="N1845" i="7"/>
  <c r="D1806" i="7"/>
  <c r="I1806" i="7" s="1"/>
  <c r="M1806" i="7" s="1"/>
  <c r="D1840" i="7"/>
  <c r="I1840" i="7" s="1"/>
  <c r="M1840" i="7" s="1"/>
  <c r="N1882" i="7"/>
  <c r="D1893" i="7"/>
  <c r="I1893" i="7" s="1"/>
  <c r="M1893" i="7" s="1"/>
  <c r="N1871" i="7"/>
  <c r="N1850" i="7"/>
  <c r="N1810" i="7"/>
  <c r="D1801" i="7"/>
  <c r="N1824" i="7"/>
  <c r="D1843" i="7"/>
  <c r="I1843" i="7" s="1"/>
  <c r="M1843" i="7" s="1"/>
  <c r="N1801" i="7"/>
  <c r="D1820" i="7"/>
  <c r="I1820" i="7" s="1"/>
  <c r="M1820" i="7" s="1"/>
  <c r="N1885" i="7"/>
  <c r="N1829" i="7"/>
  <c r="D1934" i="7"/>
  <c r="D1933" i="7"/>
  <c r="D1932" i="7"/>
  <c r="D1931" i="7"/>
  <c r="D1930" i="7"/>
  <c r="D1929" i="7"/>
  <c r="D1928" i="7"/>
  <c r="D1927" i="7"/>
  <c r="Q1914" i="7"/>
  <c r="D2118" i="7"/>
  <c r="D2117" i="7"/>
  <c r="D2116" i="7"/>
  <c r="D2115" i="7"/>
  <c r="D2114" i="7"/>
  <c r="D2113" i="7"/>
  <c r="D2112" i="7"/>
  <c r="D2111" i="7"/>
  <c r="D2023" i="7"/>
  <c r="I2023" i="7" s="1"/>
  <c r="M2023" i="7" s="1"/>
  <c r="D2024" i="7"/>
  <c r="I2024" i="7" s="1"/>
  <c r="M2024" i="7" s="1"/>
  <c r="D2353" i="7"/>
  <c r="I2353" i="7" s="1"/>
  <c r="M2353" i="7" s="1"/>
  <c r="D2354" i="7"/>
  <c r="I2354" i="7" s="1"/>
  <c r="M2354" i="7" s="1"/>
  <c r="D2352" i="7"/>
  <c r="I2352" i="7" s="1"/>
  <c r="M2352" i="7" s="1"/>
  <c r="D2321" i="7"/>
  <c r="I2321" i="7" s="1"/>
  <c r="M2321" i="7" s="1"/>
  <c r="C69" i="4"/>
  <c r="L69" i="4"/>
  <c r="AG69" i="4"/>
  <c r="G2556" i="7"/>
  <c r="D2798" i="7"/>
  <c r="D2795" i="7"/>
  <c r="D2818" i="7"/>
  <c r="I2818" i="7" s="1"/>
  <c r="M2818" i="7" s="1"/>
  <c r="I2817" i="7"/>
  <c r="O2819" i="7"/>
  <c r="Q81" i="4"/>
  <c r="D3102" i="7"/>
  <c r="I3102" i="7" s="1"/>
  <c r="M3102" i="7" s="1"/>
  <c r="I3101" i="7"/>
  <c r="M3101" i="7" s="1"/>
  <c r="D3038" i="7"/>
  <c r="G3002" i="7"/>
  <c r="M3437" i="7"/>
  <c r="N3664" i="7"/>
  <c r="N3665" i="7"/>
  <c r="P3665" i="7" s="1"/>
  <c r="D3663" i="7"/>
  <c r="G3663" i="7" s="1"/>
  <c r="D3659" i="7"/>
  <c r="N3653" i="7"/>
  <c r="P3653" i="7" s="1"/>
  <c r="D3650" i="7"/>
  <c r="I3650" i="7" s="1"/>
  <c r="M3650" i="7" s="1"/>
  <c r="N3646" i="7"/>
  <c r="P3646" i="7" s="1"/>
  <c r="D3643" i="7"/>
  <c r="I3643" i="7" s="1"/>
  <c r="M3643" i="7" s="1"/>
  <c r="D3636" i="7"/>
  <c r="I3636" i="7" s="1"/>
  <c r="M3636" i="7" s="1"/>
  <c r="N3631" i="7"/>
  <c r="P3631" i="7" s="1"/>
  <c r="D3629" i="7"/>
  <c r="I3629" i="7" s="1"/>
  <c r="M3629" i="7" s="1"/>
  <c r="N3618" i="7"/>
  <c r="P3618" i="7" s="1"/>
  <c r="D3615" i="7"/>
  <c r="I3615" i="7" s="1"/>
  <c r="M3615" i="7" s="1"/>
  <c r="N3611" i="7"/>
  <c r="P3611" i="7" s="1"/>
  <c r="D3609" i="7"/>
  <c r="N3604" i="7"/>
  <c r="P3604" i="7" s="1"/>
  <c r="N3603" i="7"/>
  <c r="P3603" i="7" s="1"/>
  <c r="N3602" i="7"/>
  <c r="P3602" i="7" s="1"/>
  <c r="N3601" i="7"/>
  <c r="P3601" i="7" s="1"/>
  <c r="N3600" i="7"/>
  <c r="P3600" i="7" s="1"/>
  <c r="N3599" i="7"/>
  <c r="P3599" i="7" s="1"/>
  <c r="N3598" i="7"/>
  <c r="P3598" i="7" s="1"/>
  <c r="N3597" i="7"/>
  <c r="N3596" i="7"/>
  <c r="D3594" i="7"/>
  <c r="I3594" i="7" s="1"/>
  <c r="M3594" i="7" s="1"/>
  <c r="N3590" i="7"/>
  <c r="N3589" i="7"/>
  <c r="P3589" i="7" s="1"/>
  <c r="D3586" i="7"/>
  <c r="I3586" i="7" s="1"/>
  <c r="M3586" i="7" s="1"/>
  <c r="N3581" i="7"/>
  <c r="P3581" i="7" s="1"/>
  <c r="D3578" i="7"/>
  <c r="I3578" i="7" s="1"/>
  <c r="M3578" i="7" s="1"/>
  <c r="N3574" i="7"/>
  <c r="P3574" i="7" s="1"/>
  <c r="D3571" i="7"/>
  <c r="I3571" i="7" s="1"/>
  <c r="M3571" i="7" s="1"/>
  <c r="N3568" i="7"/>
  <c r="P3568" i="7" s="1"/>
  <c r="D3566" i="7"/>
  <c r="D3559" i="7"/>
  <c r="G3559" i="7" s="1"/>
  <c r="N3554" i="7"/>
  <c r="P3554" i="7" s="1"/>
  <c r="N3541" i="7"/>
  <c r="P3541" i="7" s="1"/>
  <c r="N3540" i="7"/>
  <c r="P3540" i="7" s="1"/>
  <c r="Q3540" i="7" s="1"/>
  <c r="N3539" i="7"/>
  <c r="O3539" i="7" s="1"/>
  <c r="D3512" i="7"/>
  <c r="N3508" i="7"/>
  <c r="N3507" i="7"/>
  <c r="P3507" i="7" s="1"/>
  <c r="D3503" i="7"/>
  <c r="I3503" i="7" s="1"/>
  <c r="M3503" i="7" s="1"/>
  <c r="N3495" i="7"/>
  <c r="P3495" i="7" s="1"/>
  <c r="D3494" i="7"/>
  <c r="D3492" i="7"/>
  <c r="I3492" i="7" s="1"/>
  <c r="M3492" i="7" s="1"/>
  <c r="N3487" i="7"/>
  <c r="P3487" i="7" s="1"/>
  <c r="D3483" i="7"/>
  <c r="N3479" i="7"/>
  <c r="P3479" i="7" s="1"/>
  <c r="Q3479" i="7" s="1"/>
  <c r="D3476" i="7"/>
  <c r="G3476" i="7" s="1"/>
  <c r="D3469" i="7"/>
  <c r="D3468" i="7"/>
  <c r="G3468" i="7" s="1"/>
  <c r="N3463" i="7"/>
  <c r="P3463" i="7" s="1"/>
  <c r="D3462" i="7"/>
  <c r="D3442" i="7"/>
  <c r="N3439" i="7"/>
  <c r="D3664" i="7"/>
  <c r="G3664" i="7" s="1"/>
  <c r="D3651" i="7"/>
  <c r="I3651" i="7" s="1"/>
  <c r="M3651" i="7" s="1"/>
  <c r="N3647" i="7"/>
  <c r="P3647" i="7" s="1"/>
  <c r="D3644" i="7"/>
  <c r="I3644" i="7" s="1"/>
  <c r="M3644" i="7" s="1"/>
  <c r="N3639" i="7"/>
  <c r="P3639" i="7" s="1"/>
  <c r="D3637" i="7"/>
  <c r="I3637" i="7" s="1"/>
  <c r="M3637" i="7" s="1"/>
  <c r="N3632" i="7"/>
  <c r="P3632" i="7" s="1"/>
  <c r="D3630" i="7"/>
  <c r="I3630" i="7" s="1"/>
  <c r="M3630" i="7" s="1"/>
  <c r="N3625" i="7"/>
  <c r="P3625" i="7" s="1"/>
  <c r="D3623" i="7"/>
  <c r="I3623" i="7" s="1"/>
  <c r="M3623" i="7" s="1"/>
  <c r="N3620" i="7"/>
  <c r="N3619" i="7"/>
  <c r="P3619" i="7" s="1"/>
  <c r="D3616" i="7"/>
  <c r="I3616" i="7" s="1"/>
  <c r="M3616" i="7" s="1"/>
  <c r="N3605" i="7"/>
  <c r="P3605" i="7" s="1"/>
  <c r="D3595" i="7"/>
  <c r="D3587" i="7"/>
  <c r="I3587" i="7" s="1"/>
  <c r="M3587" i="7" s="1"/>
  <c r="N3582" i="7"/>
  <c r="P3582" i="7" s="1"/>
  <c r="D3579" i="7"/>
  <c r="I3579" i="7" s="1"/>
  <c r="M3579" i="7" s="1"/>
  <c r="N3575" i="7"/>
  <c r="P3575" i="7" s="1"/>
  <c r="D3572" i="7"/>
  <c r="I3572" i="7" s="1"/>
  <c r="M3572" i="7" s="1"/>
  <c r="N3562" i="7"/>
  <c r="P3562" i="7" s="1"/>
  <c r="D3560" i="7"/>
  <c r="G3560" i="7" s="1"/>
  <c r="N3556" i="7"/>
  <c r="P3556" i="7" s="1"/>
  <c r="Q3556" i="7" s="1"/>
  <c r="N3555" i="7"/>
  <c r="P3555" i="7" s="1"/>
  <c r="Q3555" i="7" s="1"/>
  <c r="D3552" i="7"/>
  <c r="G3552" i="7" s="1"/>
  <c r="N3549" i="7"/>
  <c r="P3549" i="7" s="1"/>
  <c r="D3546" i="7"/>
  <c r="G3546" i="7" s="1"/>
  <c r="D3538" i="7"/>
  <c r="N3530" i="7"/>
  <c r="P3530" i="7" s="1"/>
  <c r="N3529" i="7"/>
  <c r="P3529" i="7" s="1"/>
  <c r="N3528" i="7"/>
  <c r="N3527" i="7"/>
  <c r="P3527" i="7" s="1"/>
  <c r="D3523" i="7"/>
  <c r="N3514" i="7"/>
  <c r="P3514" i="7" s="1"/>
  <c r="D3505" i="7"/>
  <c r="G3505" i="7" s="1"/>
  <c r="D3504" i="7"/>
  <c r="I3504" i="7" s="1"/>
  <c r="M3504" i="7" s="1"/>
  <c r="N3488" i="7"/>
  <c r="P3488" i="7" s="1"/>
  <c r="N3480" i="7"/>
  <c r="P3480" i="7" s="1"/>
  <c r="Q3480" i="7" s="1"/>
  <c r="N3661" i="7"/>
  <c r="P3661" i="7" s="1"/>
  <c r="D3660" i="7"/>
  <c r="I3660" i="7" s="1"/>
  <c r="M3660" i="7" s="1"/>
  <c r="N3656" i="7"/>
  <c r="P3656" i="7" s="1"/>
  <c r="N3655" i="7"/>
  <c r="P3655" i="7" s="1"/>
  <c r="N3654" i="7"/>
  <c r="P3654" i="7" s="1"/>
  <c r="D3652" i="7"/>
  <c r="I3652" i="7" s="1"/>
  <c r="M3652" i="7" s="1"/>
  <c r="D3645" i="7"/>
  <c r="I3645" i="7" s="1"/>
  <c r="M3645" i="7" s="1"/>
  <c r="N3640" i="7"/>
  <c r="P3640" i="7" s="1"/>
  <c r="Q3640" i="7" s="1"/>
  <c r="D3638" i="7"/>
  <c r="I3638" i="7" s="1"/>
  <c r="M3638" i="7" s="1"/>
  <c r="N3633" i="7"/>
  <c r="P3633" i="7" s="1"/>
  <c r="D3631" i="7"/>
  <c r="N3626" i="7"/>
  <c r="P3626" i="7" s="1"/>
  <c r="D3624" i="7"/>
  <c r="I3624" i="7" s="1"/>
  <c r="M3624" i="7" s="1"/>
  <c r="D3617" i="7"/>
  <c r="I3617" i="7" s="1"/>
  <c r="M3617" i="7" s="1"/>
  <c r="N3612" i="7"/>
  <c r="P3612" i="7" s="1"/>
  <c r="D3610" i="7"/>
  <c r="I3610" i="7" s="1"/>
  <c r="M3610" i="7" s="1"/>
  <c r="N3607" i="7"/>
  <c r="N3606" i="7"/>
  <c r="P3606" i="7" s="1"/>
  <c r="N3591" i="7"/>
  <c r="P3591" i="7" s="1"/>
  <c r="D3588" i="7"/>
  <c r="I3588" i="7" s="1"/>
  <c r="M3588" i="7" s="1"/>
  <c r="N3583" i="7"/>
  <c r="P3583" i="7" s="1"/>
  <c r="D3580" i="7"/>
  <c r="I3580" i="7" s="1"/>
  <c r="M3580" i="7" s="1"/>
  <c r="N3576" i="7"/>
  <c r="P3576" i="7" s="1"/>
  <c r="D3573" i="7"/>
  <c r="I3573" i="7" s="1"/>
  <c r="M3573" i="7" s="1"/>
  <c r="N3569" i="7"/>
  <c r="P3569" i="7" s="1"/>
  <c r="N3563" i="7"/>
  <c r="P3563" i="7" s="1"/>
  <c r="Q3563" i="7" s="1"/>
  <c r="D3561" i="7"/>
  <c r="G3561" i="7" s="1"/>
  <c r="N3557" i="7"/>
  <c r="P3557" i="7" s="1"/>
  <c r="D3554" i="7"/>
  <c r="D3553" i="7"/>
  <c r="G3553" i="7" s="1"/>
  <c r="D3547" i="7"/>
  <c r="I3547" i="7" s="1"/>
  <c r="M3547" i="7" s="1"/>
  <c r="N3542" i="7"/>
  <c r="P3542" i="7" s="1"/>
  <c r="D3513" i="7"/>
  <c r="I3513" i="7" s="1"/>
  <c r="M3513" i="7" s="1"/>
  <c r="N3509" i="7"/>
  <c r="P3509" i="7" s="1"/>
  <c r="D3506" i="7"/>
  <c r="G3506" i="7" s="1"/>
  <c r="N3501" i="7"/>
  <c r="P3501" i="7" s="1"/>
  <c r="N3500" i="7"/>
  <c r="P3500" i="7" s="1"/>
  <c r="N3499" i="7"/>
  <c r="P3499" i="7" s="1"/>
  <c r="N3498" i="7"/>
  <c r="P3498" i="7" s="1"/>
  <c r="N3497" i="7"/>
  <c r="P3497" i="7" s="1"/>
  <c r="N3496" i="7"/>
  <c r="P3496" i="7" s="1"/>
  <c r="D3495" i="7"/>
  <c r="N3489" i="7"/>
  <c r="P3489" i="7" s="1"/>
  <c r="D3484" i="7"/>
  <c r="I3484" i="7" s="1"/>
  <c r="M3484" i="7" s="1"/>
  <c r="N3481" i="7"/>
  <c r="P3481" i="7" s="1"/>
  <c r="Q3481" i="7" s="1"/>
  <c r="N3660" i="7"/>
  <c r="P3660" i="7" s="1"/>
  <c r="D3658" i="7"/>
  <c r="G3658" i="7" s="1"/>
  <c r="N3652" i="7"/>
  <c r="P3652" i="7" s="1"/>
  <c r="D3649" i="7"/>
  <c r="I3649" i="7" s="1"/>
  <c r="M3649" i="7" s="1"/>
  <c r="N3645" i="7"/>
  <c r="P3645" i="7" s="1"/>
  <c r="D3642" i="7"/>
  <c r="I3642" i="7" s="1"/>
  <c r="M3642" i="7" s="1"/>
  <c r="N3638" i="7"/>
  <c r="P3638" i="7" s="1"/>
  <c r="D3635" i="7"/>
  <c r="I3635" i="7" s="1"/>
  <c r="M3635" i="7" s="1"/>
  <c r="D3628" i="7"/>
  <c r="I3628" i="7" s="1"/>
  <c r="M3628" i="7" s="1"/>
  <c r="N3624" i="7"/>
  <c r="P3624" i="7" s="1"/>
  <c r="D3622" i="7"/>
  <c r="N3617" i="7"/>
  <c r="P3617" i="7" s="1"/>
  <c r="D3614" i="7"/>
  <c r="I3614" i="7" s="1"/>
  <c r="M3614" i="7" s="1"/>
  <c r="N3610" i="7"/>
  <c r="P3610" i="7" s="1"/>
  <c r="N3595" i="7"/>
  <c r="P3595" i="7" s="1"/>
  <c r="D3593" i="7"/>
  <c r="I3593" i="7" s="1"/>
  <c r="M3593" i="7" s="1"/>
  <c r="N3588" i="7"/>
  <c r="P3588" i="7" s="1"/>
  <c r="D3585" i="7"/>
  <c r="I3585" i="7" s="1"/>
  <c r="M3585" i="7" s="1"/>
  <c r="N3580" i="7"/>
  <c r="P3580" i="7" s="1"/>
  <c r="N3573" i="7"/>
  <c r="P3573" i="7" s="1"/>
  <c r="N3567" i="7"/>
  <c r="P3567" i="7" s="1"/>
  <c r="D3565" i="7"/>
  <c r="G3565" i="7" s="1"/>
  <c r="N3561" i="7"/>
  <c r="D3551" i="7"/>
  <c r="N3548" i="7"/>
  <c r="N3547" i="7"/>
  <c r="P3547" i="7" s="1"/>
  <c r="N3538" i="7"/>
  <c r="P3538" i="7" s="1"/>
  <c r="D3535" i="7"/>
  <c r="N3526" i="7"/>
  <c r="P3526" i="7" s="1"/>
  <c r="N3525" i="7"/>
  <c r="P3525" i="7" s="1"/>
  <c r="N3524" i="7"/>
  <c r="N3523" i="7"/>
  <c r="P3523" i="7" s="1"/>
  <c r="D3519" i="7"/>
  <c r="N3513" i="7"/>
  <c r="P3513" i="7" s="1"/>
  <c r="D3511" i="7"/>
  <c r="I3511" i="7" s="1"/>
  <c r="M3511" i="7" s="1"/>
  <c r="N3506" i="7"/>
  <c r="D3491" i="7"/>
  <c r="I3491" i="7" s="1"/>
  <c r="M3491" i="7" s="1"/>
  <c r="N3486" i="7"/>
  <c r="P3486" i="7" s="1"/>
  <c r="N3485" i="7"/>
  <c r="P3485" i="7" s="1"/>
  <c r="N3484" i="7"/>
  <c r="P3484" i="7" s="1"/>
  <c r="D3665" i="7"/>
  <c r="I3665" i="7" s="1"/>
  <c r="M3665" i="7" s="1"/>
  <c r="M3661" i="7" s="1"/>
  <c r="D3656" i="7"/>
  <c r="I3656" i="7" s="1"/>
  <c r="M3656" i="7" s="1"/>
  <c r="N3651" i="7"/>
  <c r="P3651" i="7" s="1"/>
  <c r="N3644" i="7"/>
  <c r="P3644" i="7" s="1"/>
  <c r="N3637" i="7"/>
  <c r="P3637" i="7" s="1"/>
  <c r="N3630" i="7"/>
  <c r="P3630" i="7" s="1"/>
  <c r="N3623" i="7"/>
  <c r="P3623" i="7" s="1"/>
  <c r="N3616" i="7"/>
  <c r="P3616" i="7" s="1"/>
  <c r="N3609" i="7"/>
  <c r="P3609" i="7" s="1"/>
  <c r="D3597" i="7"/>
  <c r="G3597" i="7" s="1"/>
  <c r="N3592" i="7"/>
  <c r="P3592" i="7" s="1"/>
  <c r="Q3592" i="7" s="1"/>
  <c r="D3581" i="7"/>
  <c r="I3581" i="7" s="1"/>
  <c r="M3581" i="7" s="1"/>
  <c r="D3574" i="7"/>
  <c r="I3574" i="7" s="1"/>
  <c r="M3574" i="7" s="1"/>
  <c r="N3564" i="7"/>
  <c r="P3564" i="7" s="1"/>
  <c r="Q3564" i="7" s="1"/>
  <c r="D3562" i="7"/>
  <c r="N3560" i="7"/>
  <c r="D3556" i="7"/>
  <c r="G3556" i="7" s="1"/>
  <c r="N3552" i="7"/>
  <c r="D3550" i="7"/>
  <c r="D3541" i="7"/>
  <c r="D3490" i="7"/>
  <c r="I3490" i="7" s="1"/>
  <c r="M3490" i="7" s="1"/>
  <c r="D3481" i="7"/>
  <c r="G3481" i="7" s="1"/>
  <c r="D3478" i="7"/>
  <c r="D3473" i="7"/>
  <c r="G3473" i="7" s="1"/>
  <c r="N3470" i="7"/>
  <c r="D3464" i="7"/>
  <c r="G3464" i="7" s="1"/>
  <c r="D3460" i="7"/>
  <c r="I3460" i="7" s="1"/>
  <c r="M3460" i="7" s="1"/>
  <c r="N3457" i="7"/>
  <c r="P3457" i="7" s="1"/>
  <c r="N3452" i="7"/>
  <c r="P3452" i="7" s="1"/>
  <c r="N3448" i="7"/>
  <c r="P3448" i="7" s="1"/>
  <c r="D3439" i="7"/>
  <c r="N3657" i="7"/>
  <c r="P3657" i="7" s="1"/>
  <c r="Q3657" i="7" s="1"/>
  <c r="D3653" i="7"/>
  <c r="I3653" i="7" s="1"/>
  <c r="M3653" i="7" s="1"/>
  <c r="N3648" i="7"/>
  <c r="P3648" i="7" s="1"/>
  <c r="D3646" i="7"/>
  <c r="I3646" i="7" s="1"/>
  <c r="M3646" i="7" s="1"/>
  <c r="N3641" i="7"/>
  <c r="P3641" i="7" s="1"/>
  <c r="Q3641" i="7" s="1"/>
  <c r="D3639" i="7"/>
  <c r="N3634" i="7"/>
  <c r="P3634" i="7" s="1"/>
  <c r="N3627" i="7"/>
  <c r="P3627" i="7" s="1"/>
  <c r="D3625" i="7"/>
  <c r="D3618" i="7"/>
  <c r="I3618" i="7" s="1"/>
  <c r="M3618" i="7" s="1"/>
  <c r="N3613" i="7"/>
  <c r="P3613" i="7" s="1"/>
  <c r="D3611" i="7"/>
  <c r="I3611" i="7" s="1"/>
  <c r="M3611" i="7" s="1"/>
  <c r="N3585" i="7"/>
  <c r="P3585" i="7" s="1"/>
  <c r="D3569" i="7"/>
  <c r="D3558" i="7"/>
  <c r="N3545" i="7"/>
  <c r="P3545" i="7" s="1"/>
  <c r="Q3545" i="7" s="1"/>
  <c r="D3539" i="7"/>
  <c r="G3539" i="7" s="1"/>
  <c r="N3534" i="7"/>
  <c r="P3534" i="7" s="1"/>
  <c r="N3532" i="7"/>
  <c r="N3517" i="7"/>
  <c r="P3517" i="7" s="1"/>
  <c r="N3515" i="7"/>
  <c r="P3515" i="7" s="1"/>
  <c r="N3510" i="7"/>
  <c r="P3510" i="7" s="1"/>
  <c r="N3504" i="7"/>
  <c r="P3504" i="7" s="1"/>
  <c r="N3502" i="7"/>
  <c r="P3502" i="7" s="1"/>
  <c r="D3496" i="7"/>
  <c r="N3493" i="7"/>
  <c r="D3487" i="7"/>
  <c r="I3487" i="7" s="1"/>
  <c r="M3487" i="7" s="1"/>
  <c r="N3483" i="7"/>
  <c r="P3483" i="7" s="1"/>
  <c r="N3475" i="7"/>
  <c r="P3475" i="7" s="1"/>
  <c r="N3471" i="7"/>
  <c r="P3471" i="7" s="1"/>
  <c r="Q3471" i="7" s="1"/>
  <c r="N3466" i="7"/>
  <c r="P3466" i="7" s="1"/>
  <c r="N3462" i="7"/>
  <c r="P3462" i="7" s="1"/>
  <c r="N3458" i="7"/>
  <c r="P3458" i="7" s="1"/>
  <c r="D3451" i="7"/>
  <c r="I3451" i="7" s="1"/>
  <c r="M3451" i="7" s="1"/>
  <c r="D3446" i="7"/>
  <c r="I3446" i="7" s="1"/>
  <c r="M3446" i="7" s="1"/>
  <c r="N3443" i="7"/>
  <c r="P3443" i="7" s="1"/>
  <c r="N3440" i="7"/>
  <c r="P3440" i="7" s="1"/>
  <c r="N3662" i="7"/>
  <c r="P3662" i="7" s="1"/>
  <c r="Q3662" i="7" s="1"/>
  <c r="D3632" i="7"/>
  <c r="I3632" i="7" s="1"/>
  <c r="M3632" i="7" s="1"/>
  <c r="N3608" i="7"/>
  <c r="P3608" i="7" s="1"/>
  <c r="D3604" i="7"/>
  <c r="D3602" i="7"/>
  <c r="D3600" i="7"/>
  <c r="D3598" i="7"/>
  <c r="G3598" i="7" s="1"/>
  <c r="N3594" i="7"/>
  <c r="P3594" i="7" s="1"/>
  <c r="D3583" i="7"/>
  <c r="I3583" i="7" s="1"/>
  <c r="M3583" i="7" s="1"/>
  <c r="N3578" i="7"/>
  <c r="P3578" i="7" s="1"/>
  <c r="D3576" i="7"/>
  <c r="I3576" i="7" s="1"/>
  <c r="M3576" i="7" s="1"/>
  <c r="N3571" i="7"/>
  <c r="P3571" i="7" s="1"/>
  <c r="N3553" i="7"/>
  <c r="D3549" i="7"/>
  <c r="N3491" i="7"/>
  <c r="P3491" i="7" s="1"/>
  <c r="D3485" i="7"/>
  <c r="I3485" i="7" s="1"/>
  <c r="M3485" i="7" s="1"/>
  <c r="D3474" i="7"/>
  <c r="G3474" i="7" s="1"/>
  <c r="D3465" i="7"/>
  <c r="G3465" i="7" s="1"/>
  <c r="D3456" i="7"/>
  <c r="I3456" i="7" s="1"/>
  <c r="M3456" i="7" s="1"/>
  <c r="N3453" i="7"/>
  <c r="P3453" i="7" s="1"/>
  <c r="N3449" i="7"/>
  <c r="P3449" i="7" s="1"/>
  <c r="N3444" i="7"/>
  <c r="P3444" i="7" s="1"/>
  <c r="N3650" i="7"/>
  <c r="P3650" i="7" s="1"/>
  <c r="D3648" i="7"/>
  <c r="N3643" i="7"/>
  <c r="P3643" i="7" s="1"/>
  <c r="N3636" i="7"/>
  <c r="P3636" i="7" s="1"/>
  <c r="N3629" i="7"/>
  <c r="P3629" i="7" s="1"/>
  <c r="N3622" i="7"/>
  <c r="P3622" i="7" s="1"/>
  <c r="N3615" i="7"/>
  <c r="P3615" i="7" s="1"/>
  <c r="D3606" i="7"/>
  <c r="I3606" i="7" s="1"/>
  <c r="M3606" i="7" s="1"/>
  <c r="D3592" i="7"/>
  <c r="G3592" i="7" s="1"/>
  <c r="N3587" i="7"/>
  <c r="P3587" i="7" s="1"/>
  <c r="N3566" i="7"/>
  <c r="P3566" i="7" s="1"/>
  <c r="D3564" i="7"/>
  <c r="G3564" i="7" s="1"/>
  <c r="N3536" i="7"/>
  <c r="D3662" i="7"/>
  <c r="G3662" i="7" s="1"/>
  <c r="N3659" i="7"/>
  <c r="P3659" i="7" s="1"/>
  <c r="D3657" i="7"/>
  <c r="G3657" i="7" s="1"/>
  <c r="D3655" i="7"/>
  <c r="I3655" i="7" s="1"/>
  <c r="M3655" i="7" s="1"/>
  <c r="D3641" i="7"/>
  <c r="G3641" i="7" s="1"/>
  <c r="D3634" i="7"/>
  <c r="I3634" i="7" s="1"/>
  <c r="M3634" i="7" s="1"/>
  <c r="D3627" i="7"/>
  <c r="I3627" i="7" s="1"/>
  <c r="M3627" i="7" s="1"/>
  <c r="D3613" i="7"/>
  <c r="I3613" i="7" s="1"/>
  <c r="M3613" i="7" s="1"/>
  <c r="D3608" i="7"/>
  <c r="D3596" i="7"/>
  <c r="G3596" i="7" s="1"/>
  <c r="D3589" i="7"/>
  <c r="I3589" i="7" s="1"/>
  <c r="M3589" i="7" s="1"/>
  <c r="N3584" i="7"/>
  <c r="P3584" i="7" s="1"/>
  <c r="N3559" i="7"/>
  <c r="P3559" i="7" s="1"/>
  <c r="Q3559" i="7" s="1"/>
  <c r="D3557" i="7"/>
  <c r="I3557" i="7" s="1"/>
  <c r="M3557" i="7" s="1"/>
  <c r="D3555" i="7"/>
  <c r="G3555" i="7" s="1"/>
  <c r="N3551" i="7"/>
  <c r="P3551" i="7" s="1"/>
  <c r="Q3551" i="7" s="1"/>
  <c r="N3544" i="7"/>
  <c r="P3544" i="7" s="1"/>
  <c r="D3542" i="7"/>
  <c r="N3621" i="7"/>
  <c r="P3621" i="7" s="1"/>
  <c r="N3593" i="7"/>
  <c r="P3593" i="7" s="1"/>
  <c r="D3591" i="7"/>
  <c r="D3582" i="7"/>
  <c r="I3582" i="7" s="1"/>
  <c r="M3582" i="7" s="1"/>
  <c r="N3577" i="7"/>
  <c r="P3577" i="7" s="1"/>
  <c r="D3575" i="7"/>
  <c r="I3575" i="7" s="1"/>
  <c r="M3575" i="7" s="1"/>
  <c r="N3570" i="7"/>
  <c r="P3570" i="7" s="1"/>
  <c r="N3565" i="7"/>
  <c r="P3565" i="7" s="1"/>
  <c r="Q3565" i="7" s="1"/>
  <c r="N3546" i="7"/>
  <c r="D3540" i="7"/>
  <c r="G3540" i="7" s="1"/>
  <c r="N3533" i="7"/>
  <c r="P3533" i="7" s="1"/>
  <c r="N3531" i="7"/>
  <c r="P3531" i="7" s="1"/>
  <c r="D3661" i="7"/>
  <c r="N3658" i="7"/>
  <c r="D3654" i="7"/>
  <c r="N3649" i="7"/>
  <c r="P3649" i="7" s="1"/>
  <c r="D3647" i="7"/>
  <c r="I3647" i="7" s="1"/>
  <c r="M3647" i="7" s="1"/>
  <c r="N3642" i="7"/>
  <c r="P3642" i="7" s="1"/>
  <c r="N3635" i="7"/>
  <c r="P3635" i="7" s="1"/>
  <c r="N3628" i="7"/>
  <c r="P3628" i="7" s="1"/>
  <c r="D3619" i="7"/>
  <c r="I3619" i="7" s="1"/>
  <c r="M3619" i="7" s="1"/>
  <c r="N3614" i="7"/>
  <c r="P3614" i="7" s="1"/>
  <c r="D3612" i="7"/>
  <c r="D3605" i="7"/>
  <c r="I3605" i="7" s="1"/>
  <c r="M3605" i="7" s="1"/>
  <c r="D3603" i="7"/>
  <c r="D3601" i="7"/>
  <c r="D3599" i="7"/>
  <c r="N3586" i="7"/>
  <c r="P3586" i="7" s="1"/>
  <c r="D3563" i="7"/>
  <c r="G3563" i="7" s="1"/>
  <c r="N3550" i="7"/>
  <c r="P3550" i="7" s="1"/>
  <c r="N3663" i="7"/>
  <c r="D3640" i="7"/>
  <c r="G3640" i="7" s="1"/>
  <c r="D3633" i="7"/>
  <c r="I3633" i="7" s="1"/>
  <c r="M3633" i="7" s="1"/>
  <c r="D3626" i="7"/>
  <c r="I3626" i="7" s="1"/>
  <c r="M3626" i="7" s="1"/>
  <c r="D3621" i="7"/>
  <c r="D3584" i="7"/>
  <c r="I3584" i="7" s="1"/>
  <c r="M3584" i="7" s="1"/>
  <c r="N3579" i="7"/>
  <c r="P3579" i="7" s="1"/>
  <c r="D3577" i="7"/>
  <c r="N3572" i="7"/>
  <c r="P3572" i="7" s="1"/>
  <c r="D3570" i="7"/>
  <c r="N3558" i="7"/>
  <c r="P3558" i="7" s="1"/>
  <c r="N3543" i="7"/>
  <c r="P3543" i="7" s="1"/>
  <c r="N3537" i="7"/>
  <c r="P3537" i="7" s="1"/>
  <c r="N3535" i="7"/>
  <c r="P3535" i="7" s="1"/>
  <c r="D3531" i="7"/>
  <c r="N3522" i="7"/>
  <c r="P3522" i="7" s="1"/>
  <c r="N3520" i="7"/>
  <c r="D3501" i="7"/>
  <c r="D3499" i="7"/>
  <c r="D3497" i="7"/>
  <c r="N3494" i="7"/>
  <c r="P3494" i="7" s="1"/>
  <c r="N3478" i="7"/>
  <c r="P3478" i="7" s="1"/>
  <c r="D3477" i="7"/>
  <c r="G3477" i="7" s="1"/>
  <c r="N3469" i="7"/>
  <c r="P3469" i="7" s="1"/>
  <c r="N3456" i="7"/>
  <c r="P3456" i="7" s="1"/>
  <c r="D3455" i="7"/>
  <c r="N3451" i="7"/>
  <c r="P3451" i="7" s="1"/>
  <c r="D3450" i="7"/>
  <c r="N3447" i="7"/>
  <c r="P3447" i="7" s="1"/>
  <c r="N3442" i="7"/>
  <c r="P3442" i="7" s="1"/>
  <c r="D3510" i="7"/>
  <c r="I3510" i="7" s="1"/>
  <c r="M3510" i="7" s="1"/>
  <c r="D3502" i="7"/>
  <c r="D3498" i="7"/>
  <c r="D3482" i="7"/>
  <c r="N3450" i="7"/>
  <c r="P3450" i="7" s="1"/>
  <c r="N3445" i="7"/>
  <c r="P3445" i="7" s="1"/>
  <c r="D3527" i="7"/>
  <c r="N3518" i="7"/>
  <c r="P3518" i="7" s="1"/>
  <c r="D3514" i="7"/>
  <c r="D3489" i="7"/>
  <c r="I3489" i="7" s="1"/>
  <c r="M3489" i="7" s="1"/>
  <c r="N3459" i="7"/>
  <c r="P3459" i="7" s="1"/>
  <c r="N3454" i="7"/>
  <c r="P3454" i="7" s="1"/>
  <c r="D3509" i="7"/>
  <c r="N3505" i="7"/>
  <c r="N3492" i="7"/>
  <c r="P3492" i="7" s="1"/>
  <c r="D3467" i="7"/>
  <c r="G3467" i="7" s="1"/>
  <c r="D3457" i="7"/>
  <c r="I3457" i="7" s="1"/>
  <c r="M3457" i="7" s="1"/>
  <c r="D3452" i="7"/>
  <c r="I3452" i="7" s="1"/>
  <c r="M3452" i="7" s="1"/>
  <c r="D3445" i="7"/>
  <c r="N3521" i="7"/>
  <c r="P3521" i="7" s="1"/>
  <c r="D3475" i="7"/>
  <c r="N3473" i="7"/>
  <c r="P3473" i="7" s="1"/>
  <c r="Q3473" i="7" s="1"/>
  <c r="D3471" i="7"/>
  <c r="G3471" i="7" s="1"/>
  <c r="D3466" i="7"/>
  <c r="N3464" i="7"/>
  <c r="P3464" i="7" s="1"/>
  <c r="Q3464" i="7" s="1"/>
  <c r="D3447" i="7"/>
  <c r="I3447" i="7" s="1"/>
  <c r="M3447" i="7" s="1"/>
  <c r="N3512" i="7"/>
  <c r="P3512" i="7" s="1"/>
  <c r="D3500" i="7"/>
  <c r="I3500" i="7" s="1"/>
  <c r="M3500" i="7" s="1"/>
  <c r="D3488" i="7"/>
  <c r="I3488" i="7" s="1"/>
  <c r="M3488" i="7" s="1"/>
  <c r="D3480" i="7"/>
  <c r="G3480" i="7" s="1"/>
  <c r="N3477" i="7"/>
  <c r="P3477" i="7" s="1"/>
  <c r="N3468" i="7"/>
  <c r="P3468" i="7" s="1"/>
  <c r="N3461" i="7"/>
  <c r="D3459" i="7"/>
  <c r="I3459" i="7" s="1"/>
  <c r="M3459" i="7" s="1"/>
  <c r="D3454" i="7"/>
  <c r="I3454" i="7" s="1"/>
  <c r="M3454" i="7" s="1"/>
  <c r="D3449" i="7"/>
  <c r="I3449" i="7" s="1"/>
  <c r="M3449" i="7" s="1"/>
  <c r="N3441" i="7"/>
  <c r="P3441" i="7" s="1"/>
  <c r="N3516" i="7"/>
  <c r="D3507" i="7"/>
  <c r="I3507" i="7" s="1"/>
  <c r="M3507" i="7" s="1"/>
  <c r="N3472" i="7"/>
  <c r="P3472" i="7" s="1"/>
  <c r="D3444" i="7"/>
  <c r="I3444" i="7" s="1"/>
  <c r="M3444" i="7" s="1"/>
  <c r="N3511" i="7"/>
  <c r="P3511" i="7" s="1"/>
  <c r="N3482" i="7"/>
  <c r="P3482" i="7" s="1"/>
  <c r="N3474" i="7"/>
  <c r="N3465" i="7"/>
  <c r="P3465" i="7" s="1"/>
  <c r="Q3465" i="7" s="1"/>
  <c r="D3453" i="7"/>
  <c r="I3453" i="7" s="1"/>
  <c r="M3453" i="7" s="1"/>
  <c r="N3446" i="7"/>
  <c r="P3446" i="7" s="1"/>
  <c r="D3441" i="7"/>
  <c r="N3519" i="7"/>
  <c r="P3519" i="7" s="1"/>
  <c r="D3515" i="7"/>
  <c r="N3503" i="7"/>
  <c r="P3503" i="7" s="1"/>
  <c r="N3490" i="7"/>
  <c r="P3490" i="7" s="1"/>
  <c r="D3486" i="7"/>
  <c r="I3486" i="7" s="1"/>
  <c r="M3486" i="7" s="1"/>
  <c r="D3479" i="7"/>
  <c r="G3479" i="7" s="1"/>
  <c r="N3476" i="7"/>
  <c r="P3476" i="7" s="1"/>
  <c r="Q3476" i="7" s="1"/>
  <c r="D3472" i="7"/>
  <c r="D3470" i="7"/>
  <c r="G3470" i="7" s="1"/>
  <c r="N3467" i="7"/>
  <c r="P3467" i="7" s="1"/>
  <c r="Q3467" i="7" s="1"/>
  <c r="D3463" i="7"/>
  <c r="N3460" i="7"/>
  <c r="P3460" i="7" s="1"/>
  <c r="D3458" i="7"/>
  <c r="I3458" i="7" s="1"/>
  <c r="M3458" i="7" s="1"/>
  <c r="N3455" i="7"/>
  <c r="P3455" i="7" s="1"/>
  <c r="D3448" i="7"/>
  <c r="I3448" i="7" s="1"/>
  <c r="M3448" i="7" s="1"/>
  <c r="D3443" i="7"/>
  <c r="I3443" i="7" s="1"/>
  <c r="M3443" i="7" s="1"/>
  <c r="D3440" i="7"/>
  <c r="D3748" i="7"/>
  <c r="D3751" i="7"/>
  <c r="I3770" i="7"/>
  <c r="D3771" i="7"/>
  <c r="I3771" i="7" s="1"/>
  <c r="M3771" i="7" s="1"/>
  <c r="I4022" i="7"/>
  <c r="D4023" i="7"/>
  <c r="D3987" i="7"/>
  <c r="I3986" i="7"/>
  <c r="G3951" i="7"/>
  <c r="AJ96" i="4"/>
  <c r="AZ96" i="4"/>
  <c r="BP96" i="4"/>
  <c r="D111" i="5"/>
  <c r="D327" i="5"/>
  <c r="D318" i="5" s="1"/>
  <c r="N94" i="7"/>
  <c r="D12" i="6" s="1"/>
  <c r="D133" i="7"/>
  <c r="I133" i="7" s="1"/>
  <c r="M133" i="7" s="1"/>
  <c r="D146" i="7"/>
  <c r="I146" i="7" s="1"/>
  <c r="M146" i="7" s="1"/>
  <c r="N155" i="7"/>
  <c r="M197" i="7"/>
  <c r="M222" i="7"/>
  <c r="D354" i="7"/>
  <c r="I354" i="7" s="1"/>
  <c r="M354" i="7" s="1"/>
  <c r="CO4" i="9"/>
  <c r="D531" i="7"/>
  <c r="I531" i="7" s="1"/>
  <c r="M531" i="7" s="1"/>
  <c r="P633" i="7"/>
  <c r="P764" i="7"/>
  <c r="I557" i="7"/>
  <c r="M557" i="7" s="1"/>
  <c r="M167" i="7"/>
  <c r="Q317" i="7"/>
  <c r="M553" i="7"/>
  <c r="Q896" i="7"/>
  <c r="O896" i="7"/>
  <c r="M939" i="7"/>
  <c r="AX4" i="9"/>
  <c r="I554" i="7"/>
  <c r="M554" i="7" s="1"/>
  <c r="G555" i="7"/>
  <c r="I555" i="7" s="1"/>
  <c r="M555" i="7" s="1"/>
  <c r="G926" i="7"/>
  <c r="I926" i="7" s="1"/>
  <c r="M926" i="7" s="1"/>
  <c r="G733" i="7"/>
  <c r="M208" i="7"/>
  <c r="M244" i="7"/>
  <c r="G540" i="7"/>
  <c r="I540" i="7" s="1"/>
  <c r="M540" i="7" s="1"/>
  <c r="I539" i="7"/>
  <c r="M539" i="7" s="1"/>
  <c r="M556" i="7"/>
  <c r="BI4" i="9"/>
  <c r="BY4" i="9"/>
  <c r="G740" i="7"/>
  <c r="G931" i="7"/>
  <c r="I931" i="7" s="1"/>
  <c r="M931" i="7" s="1"/>
  <c r="O1282" i="7"/>
  <c r="M528" i="7"/>
  <c r="Q1861" i="7"/>
  <c r="O1475" i="7"/>
  <c r="Q1668" i="7"/>
  <c r="I533" i="7"/>
  <c r="M533" i="7" s="1"/>
  <c r="Q1475" i="7"/>
  <c r="C36" i="11"/>
  <c r="D68" i="10"/>
  <c r="M2382" i="7"/>
  <c r="Q2413" i="7"/>
  <c r="M2385" i="7"/>
  <c r="O2054" i="7"/>
  <c r="Q2409" i="7"/>
  <c r="O2409" i="7"/>
  <c r="Q2528" i="7"/>
  <c r="M2526" i="7"/>
  <c r="O2523" i="7"/>
  <c r="Q2604" i="7"/>
  <c r="O2600" i="7"/>
  <c r="C42" i="11"/>
  <c r="D67" i="10"/>
  <c r="D79" i="10"/>
  <c r="F79" i="10" s="1"/>
  <c r="C76" i="11"/>
  <c r="Q2408" i="7"/>
  <c r="M2407" i="7"/>
  <c r="Q2450" i="7"/>
  <c r="G2528" i="7"/>
  <c r="O2456" i="7"/>
  <c r="Q2456" i="7"/>
  <c r="D80" i="10"/>
  <c r="F80" i="10" s="1"/>
  <c r="C85" i="11"/>
  <c r="O2870" i="7"/>
  <c r="D69" i="10"/>
  <c r="C43" i="11"/>
  <c r="D76" i="10"/>
  <c r="F76" i="10" s="1"/>
  <c r="C86" i="11"/>
  <c r="M2686" i="7"/>
  <c r="M2387" i="7"/>
  <c r="M2388" i="7"/>
  <c r="Q2416" i="7"/>
  <c r="O2416" i="7"/>
  <c r="O2455" i="7"/>
  <c r="D75" i="10"/>
  <c r="F75" i="10" s="1"/>
  <c r="C77" i="11"/>
  <c r="Q2512" i="7"/>
  <c r="M2517" i="7"/>
  <c r="O2534" i="7"/>
  <c r="M2532" i="7"/>
  <c r="Q2534" i="7"/>
  <c r="M2593" i="7"/>
  <c r="G2601" i="7"/>
  <c r="O2815" i="7"/>
  <c r="Q2815" i="7"/>
  <c r="O2410" i="7"/>
  <c r="M2482" i="7"/>
  <c r="O2516" i="7"/>
  <c r="Q2560" i="7"/>
  <c r="G2685" i="7"/>
  <c r="Q2740" i="7"/>
  <c r="O2740" i="7"/>
  <c r="M2403" i="7"/>
  <c r="C84" i="11"/>
  <c r="D78" i="10"/>
  <c r="F78" i="10" s="1"/>
  <c r="O2512" i="7"/>
  <c r="O2601" i="7"/>
  <c r="Q2601" i="7"/>
  <c r="M2643" i="7"/>
  <c r="I2644" i="7"/>
  <c r="M2685" i="7"/>
  <c r="O2825" i="7"/>
  <c r="D66" i="10"/>
  <c r="C35" i="11"/>
  <c r="G2383" i="7"/>
  <c r="G2422" i="7"/>
  <c r="G2423" i="7" s="1"/>
  <c r="G2425" i="7"/>
  <c r="M2453" i="7"/>
  <c r="D2459" i="7" s="1"/>
  <c r="D77" i="10"/>
  <c r="F77" i="10" s="1"/>
  <c r="C75" i="11"/>
  <c r="G2513" i="7"/>
  <c r="Q2516" i="7"/>
  <c r="O2527" i="7"/>
  <c r="O2827" i="7"/>
  <c r="M2836" i="7"/>
  <c r="Q2837" i="7"/>
  <c r="O2914" i="7"/>
  <c r="Q2914" i="7"/>
  <c r="G2871" i="7"/>
  <c r="O2982" i="7"/>
  <c r="I3208" i="7"/>
  <c r="M3208" i="7" s="1"/>
  <c r="M2737" i="7"/>
  <c r="O2746" i="7"/>
  <c r="M2752" i="7"/>
  <c r="G2815" i="7"/>
  <c r="M2871" i="7"/>
  <c r="O2709" i="7"/>
  <c r="Q2741" i="7"/>
  <c r="Q2749" i="7"/>
  <c r="M2964" i="7"/>
  <c r="G3173" i="7"/>
  <c r="O2813" i="7"/>
  <c r="M2812" i="7"/>
  <c r="M2828" i="7"/>
  <c r="Q2915" i="7"/>
  <c r="O3173" i="7"/>
  <c r="M3172" i="7"/>
  <c r="G2598" i="7"/>
  <c r="G2642" i="7"/>
  <c r="O2741" i="7"/>
  <c r="O2747" i="7"/>
  <c r="O2749" i="7"/>
  <c r="Q2755" i="7"/>
  <c r="O2755" i="7"/>
  <c r="O2820" i="7"/>
  <c r="I2872" i="7"/>
  <c r="C220" i="11"/>
  <c r="D95" i="10"/>
  <c r="F95" i="10" s="1"/>
  <c r="D87" i="10"/>
  <c r="F87" i="10" s="1"/>
  <c r="C151" i="11"/>
  <c r="O2739" i="7"/>
  <c r="Q2739" i="7"/>
  <c r="O2745" i="7"/>
  <c r="C213" i="11"/>
  <c r="D94" i="10"/>
  <c r="F94" i="10" s="1"/>
  <c r="D97" i="10"/>
  <c r="F97" i="10" s="1"/>
  <c r="C221" i="11"/>
  <c r="C106" i="11"/>
  <c r="Q2829" i="7"/>
  <c r="M2832" i="7"/>
  <c r="O2866" i="7"/>
  <c r="O2938" i="7"/>
  <c r="G2953" i="7"/>
  <c r="O2744" i="7"/>
  <c r="Q2982" i="7"/>
  <c r="G2986" i="7"/>
  <c r="G2987" i="7" s="1"/>
  <c r="M3249" i="7"/>
  <c r="O2971" i="7"/>
  <c r="G2966" i="7"/>
  <c r="O2974" i="7"/>
  <c r="G2993" i="7"/>
  <c r="C239" i="11"/>
  <c r="O3094" i="7"/>
  <c r="Q3094" i="7"/>
  <c r="M3237" i="7"/>
  <c r="Q2971" i="7"/>
  <c r="O2980" i="7"/>
  <c r="O3090" i="7"/>
  <c r="D86" i="10"/>
  <c r="F86" i="10" s="1"/>
  <c r="C144" i="11"/>
  <c r="C152" i="11"/>
  <c r="D89" i="10"/>
  <c r="F89" i="10" s="1"/>
  <c r="D96" i="10"/>
  <c r="F96" i="10" s="1"/>
  <c r="C214" i="11"/>
  <c r="C215" i="11"/>
  <c r="M2970" i="7"/>
  <c r="O2976" i="7"/>
  <c r="M2979" i="7"/>
  <c r="O3006" i="7"/>
  <c r="O3205" i="7"/>
  <c r="Q3205" i="7"/>
  <c r="M3252" i="7"/>
  <c r="G3087" i="7"/>
  <c r="Q3095" i="7"/>
  <c r="O3095" i="7"/>
  <c r="O3099" i="7"/>
  <c r="Q3463" i="7"/>
  <c r="O3463" i="7"/>
  <c r="C145" i="11"/>
  <c r="D88" i="10"/>
  <c r="F88" i="10" s="1"/>
  <c r="M2771" i="7"/>
  <c r="G2778" i="7"/>
  <c r="M2975" i="7"/>
  <c r="M3087" i="7"/>
  <c r="M3085" i="7" s="1"/>
  <c r="M3093" i="7"/>
  <c r="M3243" i="7"/>
  <c r="M3472" i="7"/>
  <c r="M3468" i="7"/>
  <c r="M3477" i="7"/>
  <c r="M3475" i="7" s="1"/>
  <c r="M3326" i="7"/>
  <c r="M3319" i="7"/>
  <c r="C253" i="11"/>
  <c r="C254" i="11"/>
  <c r="M3029" i="7"/>
  <c r="C252" i="11"/>
  <c r="G3130" i="7"/>
  <c r="I3131" i="7"/>
  <c r="M3248" i="7"/>
  <c r="M3367" i="7"/>
  <c r="M3466" i="7"/>
  <c r="M3330" i="7"/>
  <c r="O3465" i="7"/>
  <c r="M3696" i="7"/>
  <c r="M3554" i="7"/>
  <c r="M3598" i="7"/>
  <c r="I3599" i="7"/>
  <c r="M3695" i="7"/>
  <c r="M3765" i="7"/>
  <c r="M3639" i="7"/>
  <c r="M3562" i="7"/>
  <c r="M3705" i="7"/>
  <c r="M3478" i="7"/>
  <c r="M3410" i="7"/>
  <c r="M3469" i="7"/>
  <c r="M3558" i="7"/>
  <c r="M3785" i="7"/>
  <c r="M3778" i="7"/>
  <c r="M3866" i="7"/>
  <c r="Q4196" i="7"/>
  <c r="O4196" i="7"/>
  <c r="Q4213" i="7"/>
  <c r="O4213" i="7"/>
  <c r="Q4229" i="7"/>
  <c r="O4229" i="7"/>
  <c r="M4223" i="7"/>
  <c r="I3541" i="7"/>
  <c r="M3702" i="7"/>
  <c r="M3929" i="7"/>
  <c r="Q3930" i="7"/>
  <c r="M3781" i="7"/>
  <c r="I3826" i="7"/>
  <c r="M4040" i="7"/>
  <c r="M3926" i="7"/>
  <c r="Q4052" i="7"/>
  <c r="O4052" i="7"/>
  <c r="M4049" i="7"/>
  <c r="Q3925" i="7"/>
  <c r="Q4147" i="7"/>
  <c r="Q4198" i="7"/>
  <c r="O4198" i="7"/>
  <c r="Q4200" i="7"/>
  <c r="O4200" i="7"/>
  <c r="M4214" i="7"/>
  <c r="Q4215" i="7"/>
  <c r="O4215" i="7"/>
  <c r="Q3933" i="7"/>
  <c r="Q4042" i="7"/>
  <c r="M4041" i="7"/>
  <c r="O4227" i="7"/>
  <c r="Q4227" i="7"/>
  <c r="O3922" i="7"/>
  <c r="M3920" i="7"/>
  <c r="Q4204" i="7"/>
  <c r="O4204" i="7"/>
  <c r="M4203" i="7"/>
  <c r="Q4206" i="7"/>
  <c r="O4206" i="7"/>
  <c r="Q4210" i="7"/>
  <c r="O4210" i="7"/>
  <c r="Q4217" i="7"/>
  <c r="O4217" i="7"/>
  <c r="M4216" i="7"/>
  <c r="Q4233" i="7"/>
  <c r="O4233" i="7"/>
  <c r="D4240" i="7"/>
  <c r="I4240" i="7"/>
  <c r="M4240" i="7" s="1"/>
  <c r="Q3922" i="7"/>
  <c r="G3925" i="7"/>
  <c r="Q4084" i="7"/>
  <c r="Q3959" i="7"/>
  <c r="M4085" i="7"/>
  <c r="O4212" i="7"/>
  <c r="Q4212" i="7"/>
  <c r="M4290" i="7"/>
  <c r="Q4033" i="7"/>
  <c r="O4046" i="7"/>
  <c r="M4045" i="7"/>
  <c r="O4195" i="7"/>
  <c r="Q4195" i="7"/>
  <c r="M4194" i="7"/>
  <c r="Q4201" i="7"/>
  <c r="O4201" i="7"/>
  <c r="Q4236" i="7"/>
  <c r="O4236" i="7"/>
  <c r="M4235" i="7"/>
  <c r="I4086" i="7"/>
  <c r="O4148" i="7"/>
  <c r="O4154" i="7"/>
  <c r="Q4154" i="7"/>
  <c r="Q4192" i="7"/>
  <c r="O4192" i="7"/>
  <c r="M4191" i="7"/>
  <c r="O4209" i="7"/>
  <c r="M4208" i="7"/>
  <c r="Q4209" i="7"/>
  <c r="Q4251" i="7"/>
  <c r="O4251" i="7"/>
  <c r="Q4126" i="7"/>
  <c r="Q4220" i="7"/>
  <c r="O4220" i="7"/>
  <c r="M4219" i="7"/>
  <c r="Q4158" i="7"/>
  <c r="Q4197" i="7"/>
  <c r="Q4205" i="7"/>
  <c r="O4205" i="7"/>
  <c r="Q4230" i="7"/>
  <c r="O4083" i="7"/>
  <c r="Q4207" i="7"/>
  <c r="O4218" i="7"/>
  <c r="O4224" i="7"/>
  <c r="O4228" i="7"/>
  <c r="Q4228" i="7"/>
  <c r="O4230" i="7"/>
  <c r="O4232" i="7"/>
  <c r="M4231" i="7"/>
  <c r="Q4232" i="7"/>
  <c r="M4282" i="7"/>
  <c r="F143" i="8"/>
  <c r="O4237" i="7"/>
  <c r="Q4237" i="7"/>
  <c r="M4300" i="7"/>
  <c r="F147" i="8"/>
  <c r="M4296" i="7"/>
  <c r="F149" i="8"/>
  <c r="F72" i="8"/>
  <c r="G143" i="8"/>
  <c r="F145" i="8"/>
  <c r="B594" i="11"/>
  <c r="B628" i="11"/>
  <c r="G147" i="8"/>
  <c r="G150" i="8"/>
  <c r="F73" i="8"/>
  <c r="E16" i="19" l="1"/>
  <c r="E20" i="19" s="1"/>
  <c r="E17" i="19"/>
  <c r="P2300" i="7"/>
  <c r="Q2300" i="7" s="1"/>
  <c r="P2338" i="7"/>
  <c r="P2283" i="7"/>
  <c r="P2254" i="7"/>
  <c r="Q2254" i="7" s="1"/>
  <c r="P2282" i="7"/>
  <c r="P2372" i="7"/>
  <c r="D2294" i="7"/>
  <c r="I2294" i="7" s="1"/>
  <c r="M2294" i="7" s="1"/>
  <c r="P146" i="7"/>
  <c r="P108" i="7"/>
  <c r="P190" i="7"/>
  <c r="Q190" i="7" s="1"/>
  <c r="P234" i="7"/>
  <c r="P213" i="7"/>
  <c r="Q213" i="7" s="1"/>
  <c r="P176" i="7"/>
  <c r="M657" i="7"/>
  <c r="P159" i="7"/>
  <c r="P140" i="7"/>
  <c r="P169" i="7"/>
  <c r="O4190" i="7"/>
  <c r="C586" i="11" s="1"/>
  <c r="Q4190" i="7"/>
  <c r="E33" i="6"/>
  <c r="D2291" i="7"/>
  <c r="I2291" i="7" s="1"/>
  <c r="M2291" i="7" s="1"/>
  <c r="D2287" i="7"/>
  <c r="I2287" i="7" s="1"/>
  <c r="M2287" i="7" s="1"/>
  <c r="O2287" i="7" s="1"/>
  <c r="D2288" i="7"/>
  <c r="I2288" i="7" s="1"/>
  <c r="M2288" i="7" s="1"/>
  <c r="C16" i="12"/>
  <c r="D10" i="12"/>
  <c r="AE66" i="4"/>
  <c r="HX4" i="9" s="1"/>
  <c r="D2283" i="7"/>
  <c r="I2283" i="7" s="1"/>
  <c r="M2283" i="7" s="1"/>
  <c r="Q2283" i="7" s="1"/>
  <c r="D2284" i="7"/>
  <c r="I2284" i="7" s="1"/>
  <c r="M2284" i="7" s="1"/>
  <c r="D740" i="7"/>
  <c r="I740" i="7" s="1"/>
  <c r="M740" i="7" s="1"/>
  <c r="Q740" i="7" s="1"/>
  <c r="D746" i="7"/>
  <c r="I746" i="7" s="1"/>
  <c r="M746" i="7" s="1"/>
  <c r="Q746" i="7" s="1"/>
  <c r="P122" i="7"/>
  <c r="P115" i="7"/>
  <c r="P162" i="7"/>
  <c r="Q162" i="7" s="1"/>
  <c r="P151" i="7"/>
  <c r="Q151" i="7" s="1"/>
  <c r="P124" i="7"/>
  <c r="Q124" i="7" s="1"/>
  <c r="P94" i="7"/>
  <c r="F12" i="6" s="1"/>
  <c r="P120" i="7"/>
  <c r="P163" i="7"/>
  <c r="P222" i="7"/>
  <c r="P200" i="7"/>
  <c r="Q200" i="7" s="1"/>
  <c r="P184" i="7"/>
  <c r="Q184" i="7" s="1"/>
  <c r="P223" i="7"/>
  <c r="Q223" i="7" s="1"/>
  <c r="D748" i="7"/>
  <c r="I748" i="7" s="1"/>
  <c r="M748" i="7" s="1"/>
  <c r="O748" i="7" s="1"/>
  <c r="P129" i="7"/>
  <c r="Q129" i="7" s="1"/>
  <c r="P152" i="7"/>
  <c r="P194" i="7"/>
  <c r="Q194" i="7" s="1"/>
  <c r="P208" i="7"/>
  <c r="P102" i="7"/>
  <c r="P105" i="7"/>
  <c r="Q105" i="7" s="1"/>
  <c r="P149" i="7"/>
  <c r="Q149" i="7" s="1"/>
  <c r="P166" i="7"/>
  <c r="Q166" i="7" s="1"/>
  <c r="P229" i="7"/>
  <c r="Q229" i="7" s="1"/>
  <c r="P203" i="7"/>
  <c r="Q203" i="7" s="1"/>
  <c r="P192" i="7"/>
  <c r="P239" i="7"/>
  <c r="Q239" i="7" s="1"/>
  <c r="D738" i="7"/>
  <c r="I738" i="7" s="1"/>
  <c r="M738" i="7" s="1"/>
  <c r="Q738" i="7" s="1"/>
  <c r="P107" i="7"/>
  <c r="Q107" i="7" s="1"/>
  <c r="P167" i="7"/>
  <c r="P248" i="7"/>
  <c r="Q248" i="7" s="1"/>
  <c r="P95" i="7"/>
  <c r="P126" i="7"/>
  <c r="P112" i="7"/>
  <c r="P186" i="7"/>
  <c r="Q186" i="7" s="1"/>
  <c r="P214" i="7"/>
  <c r="P244" i="7"/>
  <c r="Q244" i="7" s="1"/>
  <c r="P206" i="7"/>
  <c r="Q206" i="7" s="1"/>
  <c r="P211" i="7"/>
  <c r="P252" i="7"/>
  <c r="Q252" i="7" s="1"/>
  <c r="D741" i="7"/>
  <c r="I741" i="7" s="1"/>
  <c r="M741" i="7" s="1"/>
  <c r="O741" i="7" s="1"/>
  <c r="D742" i="7"/>
  <c r="I742" i="7" s="1"/>
  <c r="M742" i="7" s="1"/>
  <c r="O742" i="7" s="1"/>
  <c r="K8" i="4"/>
  <c r="E4" i="9" s="1"/>
  <c r="P143" i="7"/>
  <c r="Q143" i="7" s="1"/>
  <c r="P170" i="7"/>
  <c r="Q170" i="7" s="1"/>
  <c r="P123" i="7"/>
  <c r="Q123" i="7" s="1"/>
  <c r="P97" i="7"/>
  <c r="Q97" i="7" s="1"/>
  <c r="P139" i="7"/>
  <c r="Q139" i="7" s="1"/>
  <c r="P134" i="7"/>
  <c r="P209" i="7"/>
  <c r="Q209" i="7" s="1"/>
  <c r="P233" i="7"/>
  <c r="P245" i="7"/>
  <c r="Q245" i="7" s="1"/>
  <c r="P212" i="7"/>
  <c r="Q212" i="7" s="1"/>
  <c r="P236" i="7"/>
  <c r="D750" i="7"/>
  <c r="I750" i="7" s="1"/>
  <c r="M750" i="7" s="1"/>
  <c r="O750" i="7" s="1"/>
  <c r="D737" i="7"/>
  <c r="I737" i="7" s="1"/>
  <c r="M737" i="7" s="1"/>
  <c r="O737" i="7" s="1"/>
  <c r="P137" i="7"/>
  <c r="Q137" i="7" s="1"/>
  <c r="P174" i="7"/>
  <c r="P130" i="7"/>
  <c r="P138" i="7"/>
  <c r="Q138" i="7" s="1"/>
  <c r="P147" i="7"/>
  <c r="Q147" i="7" s="1"/>
  <c r="P155" i="7"/>
  <c r="Q155" i="7" s="1"/>
  <c r="P100" i="7"/>
  <c r="P238" i="7"/>
  <c r="Q238" i="7" s="1"/>
  <c r="P165" i="7"/>
  <c r="P218" i="7"/>
  <c r="P156" i="7"/>
  <c r="D12" i="4"/>
  <c r="D739" i="7"/>
  <c r="I739" i="7" s="1"/>
  <c r="M739" i="7" s="1"/>
  <c r="Q739" i="7" s="1"/>
  <c r="D744" i="7"/>
  <c r="I744" i="7" s="1"/>
  <c r="M744" i="7" s="1"/>
  <c r="O744" i="7" s="1"/>
  <c r="P215" i="7"/>
  <c r="Q215" i="7" s="1"/>
  <c r="P242" i="7"/>
  <c r="P144" i="7"/>
  <c r="P195" i="7"/>
  <c r="Q195" i="7" s="1"/>
  <c r="P154" i="7"/>
  <c r="P161" i="7"/>
  <c r="Q161" i="7" s="1"/>
  <c r="P127" i="7"/>
  <c r="P241" i="7"/>
  <c r="P185" i="7"/>
  <c r="Q185" i="7" s="1"/>
  <c r="P225" i="7"/>
  <c r="Q225" i="7" s="1"/>
  <c r="P164" i="7"/>
  <c r="P2216" i="7"/>
  <c r="Q2216" i="7" s="1"/>
  <c r="P2241" i="7"/>
  <c r="P2259" i="7"/>
  <c r="P2198" i="7"/>
  <c r="P2221" i="7"/>
  <c r="P113" i="7"/>
  <c r="Q113" i="7" s="1"/>
  <c r="P189" i="7"/>
  <c r="Q189" i="7" s="1"/>
  <c r="P193" i="7"/>
  <c r="Q193" i="7" s="1"/>
  <c r="P207" i="7"/>
  <c r="P178" i="7"/>
  <c r="Q178" i="7" s="1"/>
  <c r="P117" i="7"/>
  <c r="P145" i="7"/>
  <c r="Q145" i="7" s="1"/>
  <c r="P157" i="7"/>
  <c r="Q157" i="7" s="1"/>
  <c r="P121" i="7"/>
  <c r="Q121" i="7" s="1"/>
  <c r="P228" i="7"/>
  <c r="Q228" i="7" s="1"/>
  <c r="P103" i="7"/>
  <c r="Q103" i="7" s="1"/>
  <c r="P173" i="7"/>
  <c r="Q173" i="7" s="1"/>
  <c r="P175" i="7"/>
  <c r="P251" i="7"/>
  <c r="P201" i="7"/>
  <c r="Q201" i="7" s="1"/>
  <c r="P232" i="7"/>
  <c r="Q232" i="7" s="1"/>
  <c r="P217" i="7"/>
  <c r="Q217" i="7" s="1"/>
  <c r="P191" i="7"/>
  <c r="Q191" i="7" s="1"/>
  <c r="P118" i="7"/>
  <c r="Q118" i="7" s="1"/>
  <c r="P96" i="7"/>
  <c r="P219" i="7"/>
  <c r="Q219" i="7" s="1"/>
  <c r="P220" i="7"/>
  <c r="Q220" i="7" s="1"/>
  <c r="P187" i="7"/>
  <c r="Q187" i="7" s="1"/>
  <c r="P131" i="7"/>
  <c r="P101" i="7"/>
  <c r="Q101" i="7" s="1"/>
  <c r="P160" i="7"/>
  <c r="Q160" i="7" s="1"/>
  <c r="P128" i="7"/>
  <c r="P240" i="7"/>
  <c r="Q240" i="7" s="1"/>
  <c r="P119" i="7"/>
  <c r="P188" i="7"/>
  <c r="Q188" i="7" s="1"/>
  <c r="P182" i="7"/>
  <c r="Q182" i="7" s="1"/>
  <c r="P158" i="7"/>
  <c r="Q158" i="7" s="1"/>
  <c r="P202" i="7"/>
  <c r="Q202" i="7" s="1"/>
  <c r="P237" i="7"/>
  <c r="Q237" i="7" s="1"/>
  <c r="P224" i="7"/>
  <c r="Q224" i="7" s="1"/>
  <c r="P216" i="7"/>
  <c r="I804" i="7"/>
  <c r="P116" i="7"/>
  <c r="P125" i="7"/>
  <c r="P136" i="7"/>
  <c r="Q136" i="7" s="1"/>
  <c r="P153" i="7"/>
  <c r="P114" i="7"/>
  <c r="P135" i="7"/>
  <c r="Q135" i="7" s="1"/>
  <c r="P172" i="7"/>
  <c r="P110" i="7"/>
  <c r="Q110" i="7" s="1"/>
  <c r="P179" i="7"/>
  <c r="Q179" i="7" s="1"/>
  <c r="P150" i="7"/>
  <c r="Q150" i="7" s="1"/>
  <c r="P141" i="7"/>
  <c r="Q141" i="7" s="1"/>
  <c r="P133" i="7"/>
  <c r="Q133" i="7" s="1"/>
  <c r="P221" i="7"/>
  <c r="Q221" i="7" s="1"/>
  <c r="P196" i="7"/>
  <c r="P177" i="7"/>
  <c r="Q177" i="7" s="1"/>
  <c r="P204" i="7"/>
  <c r="Q204" i="7" s="1"/>
  <c r="P254" i="7"/>
  <c r="P246" i="7"/>
  <c r="P230" i="7"/>
  <c r="Q230" i="7" s="1"/>
  <c r="I10" i="19"/>
  <c r="I11" i="19" s="1"/>
  <c r="E11" i="19"/>
  <c r="D20" i="19" s="1"/>
  <c r="D21" i="19" s="1"/>
  <c r="I806" i="7"/>
  <c r="K806" i="7"/>
  <c r="D348" i="5"/>
  <c r="K4189" i="7" s="1"/>
  <c r="N3" i="17"/>
  <c r="K655" i="7"/>
  <c r="M655" i="7" s="1"/>
  <c r="D84" i="8"/>
  <c r="F84" i="8" s="1"/>
  <c r="D102" i="5"/>
  <c r="G779" i="7" s="1"/>
  <c r="I779" i="7" s="1"/>
  <c r="K779" i="7" s="1"/>
  <c r="M779" i="7" s="1"/>
  <c r="M69" i="4"/>
  <c r="G62" i="7"/>
  <c r="P2205" i="7"/>
  <c r="Q2205" i="7" s="1"/>
  <c r="P2312" i="7"/>
  <c r="K254" i="7"/>
  <c r="M254" i="7" s="1"/>
  <c r="P2336" i="7"/>
  <c r="P2313" i="7"/>
  <c r="P2213" i="7"/>
  <c r="P2250" i="7"/>
  <c r="Q2250" i="7" s="1"/>
  <c r="I98" i="7"/>
  <c r="M98" i="7" s="1"/>
  <c r="Q98" i="7" s="1"/>
  <c r="P2348" i="7"/>
  <c r="P2376" i="7"/>
  <c r="P2302" i="7"/>
  <c r="P2270" i="7"/>
  <c r="Q2270" i="7" s="1"/>
  <c r="P2295" i="7"/>
  <c r="Q2295" i="7" s="1"/>
  <c r="P2320" i="7"/>
  <c r="P2185" i="7"/>
  <c r="F23" i="6" s="1"/>
  <c r="F60" i="6" s="1"/>
  <c r="P2225" i="7"/>
  <c r="P2328" i="7"/>
  <c r="Q2328" i="7" s="1"/>
  <c r="P2277" i="7"/>
  <c r="Q2277" i="7" s="1"/>
  <c r="P2321" i="7"/>
  <c r="Q2321" i="7" s="1"/>
  <c r="P2326" i="7"/>
  <c r="P2196" i="7"/>
  <c r="Q2196" i="7" s="1"/>
  <c r="P2189" i="7"/>
  <c r="Q2189" i="7" s="1"/>
  <c r="P2256" i="7"/>
  <c r="Q2256" i="7" s="1"/>
  <c r="P2344" i="7"/>
  <c r="Q2344" i="7" s="1"/>
  <c r="P2194" i="7"/>
  <c r="Q2194" i="7" s="1"/>
  <c r="P2370" i="7"/>
  <c r="Q2370" i="7" s="1"/>
  <c r="P2224" i="7"/>
  <c r="P2203" i="7"/>
  <c r="Q2203" i="7" s="1"/>
  <c r="P2291" i="7"/>
  <c r="P2350" i="7"/>
  <c r="Q2350" i="7" s="1"/>
  <c r="P2201" i="7"/>
  <c r="Q2201" i="7" s="1"/>
  <c r="P2374" i="7"/>
  <c r="P2218" i="7"/>
  <c r="Q2218" i="7" s="1"/>
  <c r="P2275" i="7"/>
  <c r="P2324" i="7"/>
  <c r="P2368" i="7"/>
  <c r="Q2368" i="7" s="1"/>
  <c r="P2251" i="7"/>
  <c r="Q2251" i="7" s="1"/>
  <c r="P2243" i="7"/>
  <c r="Q2243" i="7" s="1"/>
  <c r="D80" i="5"/>
  <c r="E80" i="5" s="1"/>
  <c r="M3462" i="7"/>
  <c r="O3462" i="7" s="1"/>
  <c r="C384" i="11" s="1"/>
  <c r="I1344" i="7"/>
  <c r="M1344" i="7" s="1"/>
  <c r="I966" i="7"/>
  <c r="M966" i="7" s="1"/>
  <c r="P1104" i="7"/>
  <c r="O2450" i="7"/>
  <c r="I1146" i="7"/>
  <c r="I2123" i="7"/>
  <c r="M2123" i="7" s="1"/>
  <c r="I3955" i="7"/>
  <c r="M3955" i="7" s="1"/>
  <c r="I3001" i="7"/>
  <c r="M3001" i="7" s="1"/>
  <c r="P106" i="7"/>
  <c r="P132" i="7"/>
  <c r="Q132" i="7" s="1"/>
  <c r="P181" i="7"/>
  <c r="Q181" i="7" s="1"/>
  <c r="P142" i="7"/>
  <c r="Q142" i="7" s="1"/>
  <c r="P104" i="7"/>
  <c r="Q104" i="7" s="1"/>
  <c r="P111" i="7"/>
  <c r="Q111" i="7" s="1"/>
  <c r="P171" i="7"/>
  <c r="P243" i="7"/>
  <c r="P235" i="7"/>
  <c r="Q235" i="7" s="1"/>
  <c r="P197" i="7"/>
  <c r="Q197" i="7" s="1"/>
  <c r="P205" i="7"/>
  <c r="Q205" i="7" s="1"/>
  <c r="P253" i="7"/>
  <c r="P231" i="7"/>
  <c r="Q231" i="7" s="1"/>
  <c r="P1153" i="7"/>
  <c r="P1119" i="7"/>
  <c r="P1177" i="7"/>
  <c r="P1219" i="7"/>
  <c r="P1212" i="7"/>
  <c r="P1029" i="7"/>
  <c r="P1055" i="7"/>
  <c r="P1152" i="7"/>
  <c r="P1059" i="7"/>
  <c r="P1053" i="7"/>
  <c r="P1047" i="7"/>
  <c r="P1198" i="7"/>
  <c r="P1121" i="7"/>
  <c r="P1159" i="7"/>
  <c r="P1199" i="7"/>
  <c r="P1096" i="7"/>
  <c r="P1196" i="7"/>
  <c r="P1116" i="7"/>
  <c r="P1195" i="7"/>
  <c r="P1087" i="7"/>
  <c r="P1175" i="7"/>
  <c r="D937" i="7"/>
  <c r="I937" i="7" s="1"/>
  <c r="M937" i="7" s="1"/>
  <c r="S69" i="4"/>
  <c r="M2705" i="7"/>
  <c r="O2520" i="7"/>
  <c r="I580" i="7"/>
  <c r="M580" i="7" s="1"/>
  <c r="Q580" i="7" s="1"/>
  <c r="I2772" i="7"/>
  <c r="M2772" i="7" s="1"/>
  <c r="M2770" i="7" s="1"/>
  <c r="P1027" i="7"/>
  <c r="F17" i="6" s="1"/>
  <c r="G17" i="6" s="1"/>
  <c r="P1077" i="7"/>
  <c r="P1140" i="7"/>
  <c r="P1187" i="7"/>
  <c r="P1082" i="7"/>
  <c r="P1066" i="7"/>
  <c r="P1084" i="7"/>
  <c r="P1118" i="7"/>
  <c r="P1218" i="7"/>
  <c r="P1124" i="7"/>
  <c r="P1092" i="7"/>
  <c r="P1099" i="7"/>
  <c r="P1078" i="7"/>
  <c r="P1143" i="7"/>
  <c r="P1168" i="7"/>
  <c r="P1060" i="7"/>
  <c r="P1131" i="7"/>
  <c r="P1217" i="7"/>
  <c r="P1138" i="7"/>
  <c r="P1030" i="7"/>
  <c r="P1108" i="7"/>
  <c r="O3200" i="7"/>
  <c r="O2560" i="7"/>
  <c r="O2418" i="7"/>
  <c r="O2533" i="7"/>
  <c r="O2415" i="7"/>
  <c r="O2408" i="7"/>
  <c r="I1150" i="7"/>
  <c r="M1150" i="7" s="1"/>
  <c r="I569" i="7"/>
  <c r="M569" i="7" s="1"/>
  <c r="I379" i="7"/>
  <c r="M379" i="7" s="1"/>
  <c r="M176" i="7"/>
  <c r="Q176" i="7" s="1"/>
  <c r="P1046" i="7"/>
  <c r="P1100" i="7"/>
  <c r="P1149" i="7"/>
  <c r="P1054" i="7"/>
  <c r="P1133" i="7"/>
  <c r="P1070" i="7"/>
  <c r="P1180" i="7"/>
  <c r="P1125" i="7"/>
  <c r="P1031" i="7"/>
  <c r="P1202" i="7"/>
  <c r="P1106" i="7"/>
  <c r="P1134" i="7"/>
  <c r="P1086" i="7"/>
  <c r="P1155" i="7"/>
  <c r="P1174" i="7"/>
  <c r="P1067" i="7"/>
  <c r="P1165" i="7"/>
  <c r="P1072" i="7"/>
  <c r="P1144" i="7"/>
  <c r="P1037" i="7"/>
  <c r="P1129" i="7"/>
  <c r="O3564" i="7"/>
  <c r="P1211" i="7"/>
  <c r="P1068" i="7"/>
  <c r="P1142" i="7"/>
  <c r="Q1142" i="7" s="1"/>
  <c r="P1065" i="7"/>
  <c r="P1038" i="7"/>
  <c r="P1063" i="7"/>
  <c r="P1074" i="7"/>
  <c r="P1203" i="7"/>
  <c r="P1117" i="7"/>
  <c r="P1076" i="7"/>
  <c r="P1083" i="7"/>
  <c r="P1071" i="7"/>
  <c r="P1136" i="7"/>
  <c r="P1161" i="7"/>
  <c r="P1032" i="7"/>
  <c r="P1123" i="7"/>
  <c r="P1207" i="7"/>
  <c r="P1130" i="7"/>
  <c r="P1216" i="7"/>
  <c r="P1102" i="7"/>
  <c r="P1200" i="7"/>
  <c r="M3916" i="7"/>
  <c r="O3195" i="7"/>
  <c r="O2594" i="7"/>
  <c r="O2588" i="7"/>
  <c r="I567" i="7"/>
  <c r="M567" i="7" s="1"/>
  <c r="O567" i="7" s="1"/>
  <c r="I962" i="7"/>
  <c r="M962" i="7" s="1"/>
  <c r="O962" i="7" s="1"/>
  <c r="I3192" i="7"/>
  <c r="M3192" i="7" s="1"/>
  <c r="O3192" i="7" s="1"/>
  <c r="I2760" i="7"/>
  <c r="M2760" i="7" s="1"/>
  <c r="I1546" i="7"/>
  <c r="M1546" i="7" s="1"/>
  <c r="P1105" i="7"/>
  <c r="P1043" i="7"/>
  <c r="P1166" i="7"/>
  <c r="P1075" i="7"/>
  <c r="P1147" i="7"/>
  <c r="P1139" i="7"/>
  <c r="P1209" i="7"/>
  <c r="Q1209" i="7" s="1"/>
  <c r="P1146" i="7"/>
  <c r="P1042" i="7"/>
  <c r="P1028" i="7"/>
  <c r="P1113" i="7"/>
  <c r="P1141" i="7"/>
  <c r="P1101" i="7"/>
  <c r="P1156" i="7"/>
  <c r="P1181" i="7"/>
  <c r="P1073" i="7"/>
  <c r="P1171" i="7"/>
  <c r="P1080" i="7"/>
  <c r="P1164" i="7"/>
  <c r="P1051" i="7"/>
  <c r="P1137" i="7"/>
  <c r="O2915" i="7"/>
  <c r="O2830" i="7"/>
  <c r="O2413" i="7"/>
  <c r="C55" i="11" s="1"/>
  <c r="O2519" i="7"/>
  <c r="O2604" i="7"/>
  <c r="I3501" i="7"/>
  <c r="M3501" i="7" s="1"/>
  <c r="I1152" i="7"/>
  <c r="M1152" i="7" s="1"/>
  <c r="I568" i="7"/>
  <c r="M568" i="7" s="1"/>
  <c r="I1342" i="7"/>
  <c r="M1342" i="7" s="1"/>
  <c r="Q1342" i="7" s="1"/>
  <c r="I2121" i="7"/>
  <c r="M2121" i="7" s="1"/>
  <c r="I964" i="7"/>
  <c r="M964" i="7" s="1"/>
  <c r="I2929" i="7"/>
  <c r="M2929" i="7" s="1"/>
  <c r="I1349" i="7"/>
  <c r="M1349" i="7" s="1"/>
  <c r="M2348" i="7"/>
  <c r="O2348" i="7" s="1"/>
  <c r="P1098" i="7"/>
  <c r="P1049" i="7"/>
  <c r="P1185" i="7"/>
  <c r="P1112" i="7"/>
  <c r="P1178" i="7"/>
  <c r="P1184" i="7"/>
  <c r="P1214" i="7"/>
  <c r="P1148" i="7"/>
  <c r="P1045" i="7"/>
  <c r="P1036" i="7"/>
  <c r="P1120" i="7"/>
  <c r="P1179" i="7"/>
  <c r="P1107" i="7"/>
  <c r="P1157" i="7"/>
  <c r="P1188" i="7"/>
  <c r="P1081" i="7"/>
  <c r="P1176" i="7"/>
  <c r="P1088" i="7"/>
  <c r="P1182" i="7"/>
  <c r="P1058" i="7"/>
  <c r="P1163" i="7"/>
  <c r="I2759" i="7"/>
  <c r="M2759" i="7" s="1"/>
  <c r="D23" i="4"/>
  <c r="O2753" i="7"/>
  <c r="O2754" i="7"/>
  <c r="O2521" i="7"/>
  <c r="I1153" i="7"/>
  <c r="M1153" i="7" s="1"/>
  <c r="I583" i="7"/>
  <c r="M583" i="7" s="1"/>
  <c r="I2930" i="7"/>
  <c r="M2930" i="7" s="1"/>
  <c r="I1925" i="7"/>
  <c r="M1925" i="7" s="1"/>
  <c r="P1145" i="7"/>
  <c r="P1091" i="7"/>
  <c r="P1204" i="7"/>
  <c r="P1197" i="7"/>
  <c r="P1208" i="7"/>
  <c r="Q1208" i="7" s="1"/>
  <c r="P1041" i="7"/>
  <c r="P1150" i="7"/>
  <c r="P1056" i="7"/>
  <c r="P1039" i="7"/>
  <c r="P1033" i="7"/>
  <c r="P1186" i="7"/>
  <c r="P1114" i="7"/>
  <c r="P1158" i="7"/>
  <c r="P1193" i="7"/>
  <c r="P1089" i="7"/>
  <c r="Q1089" i="7" s="1"/>
  <c r="P1183" i="7"/>
  <c r="P1109" i="7"/>
  <c r="P1189" i="7"/>
  <c r="P1079" i="7"/>
  <c r="P1169" i="7"/>
  <c r="Q4221" i="7"/>
  <c r="J3" i="15"/>
  <c r="J5" i="15" s="1"/>
  <c r="J11" i="15" s="1"/>
  <c r="J3" i="16"/>
  <c r="G33" i="6"/>
  <c r="D2293" i="7"/>
  <c r="I2293" i="7" s="1"/>
  <c r="M2293" i="7" s="1"/>
  <c r="O2293" i="7" s="1"/>
  <c r="D2282" i="7"/>
  <c r="I2282" i="7" s="1"/>
  <c r="M2282" i="7" s="1"/>
  <c r="O2282" i="7" s="1"/>
  <c r="D2292" i="7"/>
  <c r="I2292" i="7" s="1"/>
  <c r="M2292" i="7" s="1"/>
  <c r="O2292" i="7" s="1"/>
  <c r="D2290" i="7"/>
  <c r="I2290" i="7" s="1"/>
  <c r="M2290" i="7" s="1"/>
  <c r="D2286" i="7"/>
  <c r="I2286" i="7" s="1"/>
  <c r="M2286" i="7" s="1"/>
  <c r="O2286" i="7" s="1"/>
  <c r="D2281" i="7"/>
  <c r="I2281" i="7" s="1"/>
  <c r="M2281" i="7" s="1"/>
  <c r="D2285" i="7"/>
  <c r="I2285" i="7" s="1"/>
  <c r="M2285" i="7" s="1"/>
  <c r="O2285" i="7" s="1"/>
  <c r="L4" i="9"/>
  <c r="O3204" i="7"/>
  <c r="O2826" i="7"/>
  <c r="I2556" i="7"/>
  <c r="M2556" i="7" s="1"/>
  <c r="I2554" i="7"/>
  <c r="M2554" i="7" s="1"/>
  <c r="Q2554" i="7" s="1"/>
  <c r="I1920" i="7"/>
  <c r="M1920" i="7" s="1"/>
  <c r="O2913" i="7"/>
  <c r="O3174" i="7"/>
  <c r="O2838" i="7"/>
  <c r="O2738" i="7"/>
  <c r="O2837" i="7"/>
  <c r="O3592" i="7"/>
  <c r="O3640" i="7"/>
  <c r="O3657" i="7"/>
  <c r="O3481" i="7"/>
  <c r="I1340" i="7"/>
  <c r="M1340" i="7" s="1"/>
  <c r="O2587" i="7"/>
  <c r="I760" i="7"/>
  <c r="M760" i="7" s="1"/>
  <c r="Q760" i="7" s="1"/>
  <c r="O2829" i="7"/>
  <c r="I1538" i="7"/>
  <c r="M1538" i="7" s="1"/>
  <c r="O1538" i="7" s="1"/>
  <c r="I1734" i="7"/>
  <c r="I1919" i="7"/>
  <c r="M1919" i="7" s="1"/>
  <c r="I1352" i="7"/>
  <c r="M1352" i="7" s="1"/>
  <c r="I1541" i="7"/>
  <c r="AF69" i="4"/>
  <c r="AE69" i="4" s="1"/>
  <c r="D932" i="7"/>
  <c r="I932" i="7" s="1"/>
  <c r="M932" i="7" s="1"/>
  <c r="D942" i="7"/>
  <c r="I942" i="7" s="1"/>
  <c r="M942" i="7" s="1"/>
  <c r="I69" i="4"/>
  <c r="P2296" i="7"/>
  <c r="P2261" i="7"/>
  <c r="P2210" i="7"/>
  <c r="Q2210" i="7" s="1"/>
  <c r="P2197" i="7"/>
  <c r="P2304" i="7"/>
  <c r="P2262" i="7"/>
  <c r="P2281" i="7"/>
  <c r="P2253" i="7"/>
  <c r="Q2253" i="7" s="1"/>
  <c r="P2373" i="7"/>
  <c r="Q2373" i="7" s="1"/>
  <c r="P2305" i="7"/>
  <c r="P2192" i="7"/>
  <c r="P2242" i="7"/>
  <c r="Q2242" i="7" s="1"/>
  <c r="P2299" i="7"/>
  <c r="Q2299" i="7" s="1"/>
  <c r="P2369" i="7"/>
  <c r="P2188" i="7"/>
  <c r="Q2188" i="7" s="1"/>
  <c r="P2260" i="7"/>
  <c r="Q2260" i="7" s="1"/>
  <c r="P2352" i="7"/>
  <c r="Q2352" i="7" s="1"/>
  <c r="P2223" i="7"/>
  <c r="Q2223" i="7" s="1"/>
  <c r="P2279" i="7"/>
  <c r="Q2279" i="7" s="1"/>
  <c r="P2316" i="7"/>
  <c r="P2346" i="7"/>
  <c r="Q2346" i="7" s="1"/>
  <c r="P2214" i="7"/>
  <c r="Q2214" i="7" s="1"/>
  <c r="P2271" i="7"/>
  <c r="Q2271" i="7" s="1"/>
  <c r="P2371" i="7"/>
  <c r="Q2371" i="7" s="1"/>
  <c r="D941" i="7"/>
  <c r="I941" i="7" s="1"/>
  <c r="M941" i="7" s="1"/>
  <c r="D930" i="7"/>
  <c r="I930" i="7" s="1"/>
  <c r="M930" i="7" s="1"/>
  <c r="O930" i="7" s="1"/>
  <c r="P2220" i="7"/>
  <c r="Q2220" i="7" s="1"/>
  <c r="P2322" i="7"/>
  <c r="Q2322" i="7" s="1"/>
  <c r="P2289" i="7"/>
  <c r="Q2289" i="7" s="1"/>
  <c r="P2238" i="7"/>
  <c r="Q2238" i="7" s="1"/>
  <c r="P2211" i="7"/>
  <c r="P2308" i="7"/>
  <c r="P2290" i="7"/>
  <c r="P2323" i="7"/>
  <c r="Q2323" i="7" s="1"/>
  <c r="P2267" i="7"/>
  <c r="Q2267" i="7" s="1"/>
  <c r="P2219" i="7"/>
  <c r="Q2219" i="7" s="1"/>
  <c r="P2307" i="7"/>
  <c r="P2199" i="7"/>
  <c r="P2249" i="7"/>
  <c r="P2325" i="7"/>
  <c r="Q2325" i="7" s="1"/>
  <c r="P2354" i="7"/>
  <c r="Q2354" i="7" s="1"/>
  <c r="P2195" i="7"/>
  <c r="Q2195" i="7" s="1"/>
  <c r="P2266" i="7"/>
  <c r="Q2266" i="7" s="1"/>
  <c r="P2358" i="7"/>
  <c r="Q2358" i="7" s="1"/>
  <c r="P2229" i="7"/>
  <c r="Q2229" i="7" s="1"/>
  <c r="P2286" i="7"/>
  <c r="P2317" i="7"/>
  <c r="P2351" i="7"/>
  <c r="P2222" i="7"/>
  <c r="Q2222" i="7" s="1"/>
  <c r="P2278" i="7"/>
  <c r="Q2278" i="7" s="1"/>
  <c r="P2377" i="7"/>
  <c r="Q2377" i="7" s="1"/>
  <c r="K42" i="4"/>
  <c r="I1536" i="7"/>
  <c r="M1536" i="7" s="1"/>
  <c r="I1735" i="7"/>
  <c r="M1735" i="7" s="1"/>
  <c r="D261" i="5"/>
  <c r="P2247" i="7"/>
  <c r="Q2247" i="7" s="1"/>
  <c r="P2269" i="7"/>
  <c r="P2334" i="7"/>
  <c r="P2255" i="7"/>
  <c r="Q2255" i="7" s="1"/>
  <c r="P2280" i="7"/>
  <c r="P2330" i="7"/>
  <c r="P2335" i="7"/>
  <c r="Q2335" i="7" s="1"/>
  <c r="P2366" i="7"/>
  <c r="Q2366" i="7" s="1"/>
  <c r="P2274" i="7"/>
  <c r="Q2274" i="7" s="1"/>
  <c r="P2226" i="7"/>
  <c r="Q2226" i="7" s="1"/>
  <c r="P2309" i="7"/>
  <c r="P2206" i="7"/>
  <c r="Q2206" i="7" s="1"/>
  <c r="P2257" i="7"/>
  <c r="Q2257" i="7" s="1"/>
  <c r="P2331" i="7"/>
  <c r="Q2331" i="7" s="1"/>
  <c r="P2359" i="7"/>
  <c r="P2202" i="7"/>
  <c r="Q2202" i="7" s="1"/>
  <c r="P2273" i="7"/>
  <c r="Q2273" i="7" s="1"/>
  <c r="P2364" i="7"/>
  <c r="Q2364" i="7" s="1"/>
  <c r="P2236" i="7"/>
  <c r="Q2236" i="7" s="1"/>
  <c r="P2294" i="7"/>
  <c r="P2318" i="7"/>
  <c r="P2357" i="7"/>
  <c r="P2228" i="7"/>
  <c r="Q2228" i="7" s="1"/>
  <c r="P2285" i="7"/>
  <c r="R75" i="4"/>
  <c r="R17" i="4" s="1"/>
  <c r="D208" i="5"/>
  <c r="G2580" i="7" s="1"/>
  <c r="I2580" i="7" s="1"/>
  <c r="M2580" i="7" s="1"/>
  <c r="O206" i="7"/>
  <c r="AB206" i="7" s="1"/>
  <c r="Y69" i="4"/>
  <c r="D933" i="7"/>
  <c r="I933" i="7" s="1"/>
  <c r="M933" i="7" s="1"/>
  <c r="D938" i="7"/>
  <c r="I938" i="7" s="1"/>
  <c r="M938" i="7" s="1"/>
  <c r="P2329" i="7"/>
  <c r="Q2329" i="7" s="1"/>
  <c r="P2306" i="7"/>
  <c r="P2190" i="7"/>
  <c r="Q2190" i="7" s="1"/>
  <c r="P2361" i="7"/>
  <c r="Q2361" i="7" s="1"/>
  <c r="P2355" i="7"/>
  <c r="P2349" i="7"/>
  <c r="P2231" i="7"/>
  <c r="Q2231" i="7" s="1"/>
  <c r="P2191" i="7"/>
  <c r="P2288" i="7"/>
  <c r="Q2288" i="7" s="1"/>
  <c r="P2240" i="7"/>
  <c r="Q2240" i="7" s="1"/>
  <c r="P2311" i="7"/>
  <c r="P2207" i="7"/>
  <c r="P2263" i="7"/>
  <c r="P2337" i="7"/>
  <c r="Q2337" i="7" s="1"/>
  <c r="P2365" i="7"/>
  <c r="Q2365" i="7" s="1"/>
  <c r="P2209" i="7"/>
  <c r="P2287" i="7"/>
  <c r="P2187" i="7"/>
  <c r="P2244" i="7"/>
  <c r="Q2244" i="7" s="1"/>
  <c r="P2301" i="7"/>
  <c r="Q2301" i="7" s="1"/>
  <c r="P2319" i="7"/>
  <c r="Q2319" i="7" s="1"/>
  <c r="P2363" i="7"/>
  <c r="P2235" i="7"/>
  <c r="Q2235" i="7" s="1"/>
  <c r="P2293" i="7"/>
  <c r="D206" i="5"/>
  <c r="AF5" i="4"/>
  <c r="AF10" i="4"/>
  <c r="I3280" i="7"/>
  <c r="M3280" i="7" s="1"/>
  <c r="I1547" i="7"/>
  <c r="M1547" i="7" s="1"/>
  <c r="D1513" i="7"/>
  <c r="I1513" i="7" s="1"/>
  <c r="M1513" i="7" s="1"/>
  <c r="P1551" i="7"/>
  <c r="P1425" i="7"/>
  <c r="P1433" i="7"/>
  <c r="P1594" i="7"/>
  <c r="Q1594" i="7" s="1"/>
  <c r="P1568" i="7"/>
  <c r="P1418" i="7"/>
  <c r="P1450" i="7"/>
  <c r="Q1450" i="7" s="1"/>
  <c r="P1451" i="7"/>
  <c r="P1515" i="7"/>
  <c r="P1448" i="7"/>
  <c r="P1419" i="7"/>
  <c r="P1517" i="7"/>
  <c r="P1423" i="7"/>
  <c r="P1524" i="7"/>
  <c r="P1526" i="7"/>
  <c r="P1538" i="7"/>
  <c r="P1589" i="7"/>
  <c r="P1529" i="7"/>
  <c r="P1547" i="7"/>
  <c r="P1591" i="7"/>
  <c r="P1566" i="7"/>
  <c r="P1435" i="7"/>
  <c r="P1491" i="7"/>
  <c r="P1040" i="7"/>
  <c r="P1090" i="7"/>
  <c r="P1173" i="7"/>
  <c r="P1132" i="7"/>
  <c r="P1126" i="7"/>
  <c r="P1151" i="7"/>
  <c r="P1097" i="7"/>
  <c r="P1135" i="7"/>
  <c r="P1111" i="7"/>
  <c r="P1191" i="7"/>
  <c r="P1062" i="7"/>
  <c r="P1050" i="7"/>
  <c r="P1127" i="7"/>
  <c r="P1167" i="7"/>
  <c r="P1093" i="7"/>
  <c r="P1154" i="7"/>
  <c r="P1162" i="7"/>
  <c r="P1215" i="7"/>
  <c r="P1103" i="7"/>
  <c r="P1190" i="7"/>
  <c r="Q1190" i="7" s="1"/>
  <c r="P1095" i="7"/>
  <c r="P1170" i="7"/>
  <c r="P1044" i="7"/>
  <c r="P1115" i="7"/>
  <c r="P2204" i="7"/>
  <c r="P2297" i="7"/>
  <c r="P2310" i="7"/>
  <c r="P2268" i="7"/>
  <c r="Q2268" i="7" s="1"/>
  <c r="P2239" i="7"/>
  <c r="Q2239" i="7" s="1"/>
  <c r="P2217" i="7"/>
  <c r="Q2217" i="7" s="1"/>
  <c r="P2230" i="7"/>
  <c r="P2212" i="7"/>
  <c r="Q2212" i="7" s="1"/>
  <c r="P2340" i="7"/>
  <c r="P2298" i="7"/>
  <c r="Q2298" i="7" s="1"/>
  <c r="P2343" i="7"/>
  <c r="Q2343" i="7" s="1"/>
  <c r="P2227" i="7"/>
  <c r="P2284" i="7"/>
  <c r="P2356" i="7"/>
  <c r="Q2356" i="7" s="1"/>
  <c r="P2353" i="7"/>
  <c r="Q2353" i="7" s="1"/>
  <c r="P2245" i="7"/>
  <c r="Q2245" i="7" s="1"/>
  <c r="P2327" i="7"/>
  <c r="P2208" i="7"/>
  <c r="P2265" i="7"/>
  <c r="P2314" i="7"/>
  <c r="P2332" i="7"/>
  <c r="P2193" i="7"/>
  <c r="Q2193" i="7" s="1"/>
  <c r="P2258" i="7"/>
  <c r="Q2258" i="7" s="1"/>
  <c r="P2345" i="7"/>
  <c r="Q2345" i="7" s="1"/>
  <c r="P2232" i="7"/>
  <c r="P2342" i="7"/>
  <c r="Q2342" i="7" s="1"/>
  <c r="P2360" i="7"/>
  <c r="Q2360" i="7" s="1"/>
  <c r="P2341" i="7"/>
  <c r="Q2341" i="7" s="1"/>
  <c r="P2276" i="7"/>
  <c r="Q2276" i="7" s="1"/>
  <c r="P2248" i="7"/>
  <c r="Q2248" i="7" s="1"/>
  <c r="P2246" i="7"/>
  <c r="Q2246" i="7" s="1"/>
  <c r="P2233" i="7"/>
  <c r="Q2233" i="7" s="1"/>
  <c r="P2347" i="7"/>
  <c r="P2303" i="7"/>
  <c r="P2186" i="7"/>
  <c r="P2234" i="7"/>
  <c r="Q2234" i="7" s="1"/>
  <c r="P2292" i="7"/>
  <c r="P2362" i="7"/>
  <c r="Q2362" i="7" s="1"/>
  <c r="P2375" i="7"/>
  <c r="Q2375" i="7" s="1"/>
  <c r="P2252" i="7"/>
  <c r="Q2252" i="7" s="1"/>
  <c r="P2333" i="7"/>
  <c r="P2215" i="7"/>
  <c r="Q2215" i="7" s="1"/>
  <c r="P2272" i="7"/>
  <c r="Q2272" i="7" s="1"/>
  <c r="P2315" i="7"/>
  <c r="P2339" i="7"/>
  <c r="Q2339" i="7" s="1"/>
  <c r="P2200" i="7"/>
  <c r="Q2200" i="7" s="1"/>
  <c r="P2264" i="7"/>
  <c r="Q2264" i="7" s="1"/>
  <c r="D210" i="5"/>
  <c r="I2313" i="7"/>
  <c r="O3555" i="7"/>
  <c r="O3563" i="7"/>
  <c r="O3476" i="7"/>
  <c r="DC4" i="9"/>
  <c r="I2953" i="7"/>
  <c r="M2953" i="7" s="1"/>
  <c r="I573" i="7"/>
  <c r="M573" i="7" s="1"/>
  <c r="Q573" i="7" s="1"/>
  <c r="I578" i="7"/>
  <c r="M578" i="7" s="1"/>
  <c r="O578" i="7" s="1"/>
  <c r="I381" i="7"/>
  <c r="M381" i="7" s="1"/>
  <c r="I2318" i="7"/>
  <c r="M2318" i="7" s="1"/>
  <c r="O2936" i="7"/>
  <c r="O2483" i="7"/>
  <c r="O2518" i="7"/>
  <c r="O2414" i="7"/>
  <c r="I1532" i="7"/>
  <c r="I3281" i="7"/>
  <c r="M3281" i="7" s="1"/>
  <c r="I1351" i="7"/>
  <c r="M1351" i="7" s="1"/>
  <c r="I374" i="7"/>
  <c r="I577" i="7"/>
  <c r="M577" i="7" s="1"/>
  <c r="Q577" i="7" s="1"/>
  <c r="I2320" i="7"/>
  <c r="M2320" i="7" s="1"/>
  <c r="O2320" i="7" s="1"/>
  <c r="I102" i="7"/>
  <c r="M102" i="7" s="1"/>
  <c r="O102" i="7" s="1"/>
  <c r="AB102" i="7" s="1"/>
  <c r="O2535" i="7"/>
  <c r="I1539" i="7"/>
  <c r="M1539" i="7" s="1"/>
  <c r="O1539" i="7" s="1"/>
  <c r="I1924" i="7"/>
  <c r="M1924" i="7" s="1"/>
  <c r="O3540" i="7"/>
  <c r="O3480" i="7"/>
  <c r="O2967" i="7"/>
  <c r="O2595" i="7"/>
  <c r="I3499" i="7"/>
  <c r="M3499" i="7" s="1"/>
  <c r="I2127" i="7"/>
  <c r="M2127" i="7" s="1"/>
  <c r="O2127" i="7" s="1"/>
  <c r="I3953" i="7"/>
  <c r="M3953" i="7" s="1"/>
  <c r="I968" i="7"/>
  <c r="M968" i="7" s="1"/>
  <c r="I3193" i="7"/>
  <c r="M3193" i="7" s="1"/>
  <c r="O3193" i="7" s="1"/>
  <c r="I378" i="7"/>
  <c r="M378" i="7" s="1"/>
  <c r="O3473" i="7"/>
  <c r="O3126" i="7"/>
  <c r="O2966" i="7"/>
  <c r="O2706" i="7"/>
  <c r="I1149" i="7"/>
  <c r="M1149" i="7" s="1"/>
  <c r="Q1149" i="7" s="1"/>
  <c r="I963" i="7"/>
  <c r="M963" i="7" s="1"/>
  <c r="I3278" i="7"/>
  <c r="M3278" i="7" s="1"/>
  <c r="I1348" i="7"/>
  <c r="M1348" i="7" s="1"/>
  <c r="I1545" i="7"/>
  <c r="M1545" i="7" s="1"/>
  <c r="I1737" i="7"/>
  <c r="M1737" i="7" s="1"/>
  <c r="Q1737" i="7" s="1"/>
  <c r="I2112" i="7"/>
  <c r="M2112" i="7" s="1"/>
  <c r="I1927" i="7"/>
  <c r="K4" i="9"/>
  <c r="W42" i="4"/>
  <c r="I764" i="7"/>
  <c r="M764" i="7" s="1"/>
  <c r="O764" i="7" s="1"/>
  <c r="I762" i="7"/>
  <c r="M762" i="7" s="1"/>
  <c r="O762" i="7" s="1"/>
  <c r="K13" i="4"/>
  <c r="Q3916" i="7"/>
  <c r="O3916" i="7"/>
  <c r="C522" i="11" s="1"/>
  <c r="Q732" i="7"/>
  <c r="O732" i="7"/>
  <c r="O2998" i="7"/>
  <c r="M2997" i="7"/>
  <c r="Q2998" i="7"/>
  <c r="O919" i="7"/>
  <c r="Q919" i="7"/>
  <c r="M918" i="7"/>
  <c r="O97" i="7"/>
  <c r="AB97" i="7" s="1"/>
  <c r="C345" i="11"/>
  <c r="G3307" i="7"/>
  <c r="O101" i="7"/>
  <c r="AB101" i="7" s="1"/>
  <c r="Q754" i="7"/>
  <c r="M753" i="7"/>
  <c r="O754" i="7"/>
  <c r="O990" i="7"/>
  <c r="M989" i="7"/>
  <c r="Q990" i="7"/>
  <c r="M832" i="7"/>
  <c r="O833" i="7"/>
  <c r="Q833" i="7"/>
  <c r="O554" i="7"/>
  <c r="Q554" i="7"/>
  <c r="Q914" i="7"/>
  <c r="O914" i="7"/>
  <c r="Q2985" i="7"/>
  <c r="O2985" i="7"/>
  <c r="O546" i="7"/>
  <c r="Q546" i="7"/>
  <c r="O916" i="7"/>
  <c r="Q916" i="7"/>
  <c r="O2953" i="7"/>
  <c r="Q2953" i="7"/>
  <c r="M924" i="7"/>
  <c r="Q925" i="7"/>
  <c r="O925" i="7"/>
  <c r="D76" i="8" s="1"/>
  <c r="F76" i="8" s="1"/>
  <c r="Q2613" i="7"/>
  <c r="O2613" i="7"/>
  <c r="O456" i="7"/>
  <c r="Q456" i="7"/>
  <c r="Q3462" i="7"/>
  <c r="Q3085" i="7"/>
  <c r="O3085" i="7"/>
  <c r="M3084" i="7"/>
  <c r="O648" i="7"/>
  <c r="M647" i="7"/>
  <c r="Q648" i="7"/>
  <c r="O645" i="7"/>
  <c r="Q645" i="7"/>
  <c r="Q561" i="7"/>
  <c r="O561" i="7"/>
  <c r="M560" i="7"/>
  <c r="O3661" i="7"/>
  <c r="C430" i="11" s="1"/>
  <c r="Q3661" i="7"/>
  <c r="O3102" i="7"/>
  <c r="Q3102" i="7"/>
  <c r="O455" i="7"/>
  <c r="M454" i="7"/>
  <c r="Q455" i="7"/>
  <c r="O452" i="7"/>
  <c r="Q452" i="7"/>
  <c r="O842" i="7"/>
  <c r="Q842" i="7"/>
  <c r="O477" i="7"/>
  <c r="Q477" i="7"/>
  <c r="O4219" i="7"/>
  <c r="Q4219" i="7"/>
  <c r="O4045" i="7"/>
  <c r="Q4045" i="7"/>
  <c r="O4203" i="7"/>
  <c r="Q4203" i="7"/>
  <c r="Q4041" i="7"/>
  <c r="O4041" i="7"/>
  <c r="O4214" i="7"/>
  <c r="Q4214" i="7"/>
  <c r="M3599" i="7"/>
  <c r="I3600" i="7"/>
  <c r="G3599" i="7"/>
  <c r="O3471" i="7"/>
  <c r="M3246" i="7"/>
  <c r="O2726" i="7"/>
  <c r="Q2726" i="7"/>
  <c r="O2979" i="7"/>
  <c r="C232" i="11" s="1"/>
  <c r="Q2979" i="7"/>
  <c r="O2585" i="7"/>
  <c r="M2584" i="7"/>
  <c r="Q2585" i="7"/>
  <c r="O2952" i="7"/>
  <c r="M2951" i="7"/>
  <c r="Q2952" i="7"/>
  <c r="O3101" i="7"/>
  <c r="Q3101" i="7"/>
  <c r="M3100" i="7"/>
  <c r="O2752" i="7"/>
  <c r="C163" i="11" s="1"/>
  <c r="Q2752" i="7"/>
  <c r="O2836" i="7"/>
  <c r="Q2836" i="7"/>
  <c r="O2532" i="7"/>
  <c r="C98" i="11" s="1"/>
  <c r="Q2532" i="7"/>
  <c r="Q2686" i="7"/>
  <c r="O2686" i="7"/>
  <c r="Q962" i="7"/>
  <c r="Q721" i="7"/>
  <c r="O721" i="7"/>
  <c r="M543" i="7"/>
  <c r="O544" i="7"/>
  <c r="Q544" i="7"/>
  <c r="O933" i="7"/>
  <c r="Q933" i="7"/>
  <c r="Q939" i="7"/>
  <c r="O939" i="7"/>
  <c r="C566" i="11"/>
  <c r="M4022" i="7"/>
  <c r="O3444" i="7"/>
  <c r="Q3444" i="7"/>
  <c r="I3461" i="7"/>
  <c r="P3461" i="7"/>
  <c r="O3457" i="7"/>
  <c r="Q3457" i="7"/>
  <c r="Q3510" i="7"/>
  <c r="O3510" i="7"/>
  <c r="M3509" i="7"/>
  <c r="O3619" i="7"/>
  <c r="Q3619" i="7"/>
  <c r="Q3627" i="7"/>
  <c r="O3627" i="7"/>
  <c r="O3632" i="7"/>
  <c r="M3631" i="7"/>
  <c r="Q3632" i="7"/>
  <c r="Q3642" i="7"/>
  <c r="O3642" i="7"/>
  <c r="I3508" i="7"/>
  <c r="P3508" i="7"/>
  <c r="Q3594" i="7"/>
  <c r="O3594" i="7"/>
  <c r="Q3636" i="7"/>
  <c r="O3636" i="7"/>
  <c r="P3664" i="7"/>
  <c r="Q3664" i="7" s="1"/>
  <c r="O3664" i="7"/>
  <c r="D329" i="5"/>
  <c r="AF14" i="4"/>
  <c r="O2024" i="7"/>
  <c r="Q2024" i="7"/>
  <c r="Q1843" i="7"/>
  <c r="O1843" i="7"/>
  <c r="O1840" i="7"/>
  <c r="Q1840" i="7"/>
  <c r="Q1953" i="7"/>
  <c r="O1953" i="7"/>
  <c r="O1847" i="7"/>
  <c r="Q1847" i="7"/>
  <c r="Q1833" i="7"/>
  <c r="O1833" i="7"/>
  <c r="O1836" i="7"/>
  <c r="Q1836" i="7"/>
  <c r="O1945" i="7"/>
  <c r="M1944" i="7"/>
  <c r="Q1945" i="7"/>
  <c r="M1841" i="7"/>
  <c r="O1842" i="7"/>
  <c r="Q1842" i="7"/>
  <c r="O1871" i="7"/>
  <c r="Q1871" i="7"/>
  <c r="Q1809" i="7"/>
  <c r="O1809" i="7"/>
  <c r="Q1886" i="7"/>
  <c r="O1886" i="7"/>
  <c r="Q1947" i="7"/>
  <c r="M1946" i="7"/>
  <c r="O1947" i="7"/>
  <c r="M1988" i="7"/>
  <c r="Q1989" i="7"/>
  <c r="O1989" i="7"/>
  <c r="Q1775" i="7"/>
  <c r="O1775" i="7"/>
  <c r="O1325" i="7"/>
  <c r="Q1325" i="7"/>
  <c r="O1323" i="7"/>
  <c r="Q1323" i="7"/>
  <c r="O866" i="7"/>
  <c r="Q866" i="7"/>
  <c r="O798" i="7"/>
  <c r="Q798" i="7"/>
  <c r="O580" i="7"/>
  <c r="Q322" i="7"/>
  <c r="O322" i="7"/>
  <c r="O342" i="7"/>
  <c r="Q342" i="7"/>
  <c r="O328" i="7"/>
  <c r="Q328" i="7"/>
  <c r="O347" i="7"/>
  <c r="Q347" i="7"/>
  <c r="O298" i="7"/>
  <c r="M297" i="7"/>
  <c r="Q298" i="7"/>
  <c r="O283" i="7"/>
  <c r="Q283" i="7"/>
  <c r="O443" i="7"/>
  <c r="Q443" i="7"/>
  <c r="Q279" i="7"/>
  <c r="O279" i="7"/>
  <c r="M278" i="7"/>
  <c r="Q259" i="7"/>
  <c r="O259" i="7"/>
  <c r="M267" i="7"/>
  <c r="Q268" i="7"/>
  <c r="O268" i="7"/>
  <c r="Q326" i="7"/>
  <c r="O326" i="7"/>
  <c r="Q310" i="7"/>
  <c r="O310" i="7"/>
  <c r="Q405" i="7"/>
  <c r="O405" i="7"/>
  <c r="M404" i="7"/>
  <c r="M277" i="7"/>
  <c r="Q399" i="7"/>
  <c r="O399" i="7"/>
  <c r="O2502" i="7"/>
  <c r="Q2502" i="7"/>
  <c r="M2568" i="7"/>
  <c r="O2569" i="7"/>
  <c r="Q2569" i="7"/>
  <c r="Q2559" i="7"/>
  <c r="O2559" i="7"/>
  <c r="C269" i="11"/>
  <c r="M3057" i="7"/>
  <c r="O2172" i="7"/>
  <c r="Q2172" i="7"/>
  <c r="Q574" i="7"/>
  <c r="O574" i="7"/>
  <c r="Q4243" i="7"/>
  <c r="O4243" i="7"/>
  <c r="C36" i="6"/>
  <c r="Q2842" i="7"/>
  <c r="O2842" i="7"/>
  <c r="Q2167" i="7"/>
  <c r="O2167" i="7"/>
  <c r="M2166" i="7"/>
  <c r="Q2108" i="7"/>
  <c r="O2108" i="7"/>
  <c r="O2053" i="7"/>
  <c r="Q2053" i="7"/>
  <c r="Q2039" i="7"/>
  <c r="O2039" i="7"/>
  <c r="O2130" i="7"/>
  <c r="Q2130" i="7"/>
  <c r="O1996" i="7"/>
  <c r="Q1996" i="7"/>
  <c r="O2067" i="7"/>
  <c r="Q2067" i="7"/>
  <c r="Q2012" i="7"/>
  <c r="O2012" i="7"/>
  <c r="M2011" i="7"/>
  <c r="Q2040" i="7"/>
  <c r="O2040" i="7"/>
  <c r="O2000" i="7"/>
  <c r="Q2000" i="7"/>
  <c r="Q2029" i="7"/>
  <c r="O2029" i="7"/>
  <c r="M2056" i="7"/>
  <c r="Q2057" i="7"/>
  <c r="O2057" i="7"/>
  <c r="Q2020" i="7"/>
  <c r="O2020" i="7"/>
  <c r="Q2064" i="7"/>
  <c r="O2064" i="7"/>
  <c r="O1342" i="7"/>
  <c r="O991" i="7"/>
  <c r="Q991" i="7"/>
  <c r="Q948" i="7"/>
  <c r="O948" i="7"/>
  <c r="M589" i="7"/>
  <c r="Q590" i="7"/>
  <c r="O590" i="7"/>
  <c r="O466" i="7"/>
  <c r="Q466" i="7"/>
  <c r="M632" i="7"/>
  <c r="O633" i="7"/>
  <c r="Q633" i="7"/>
  <c r="O509" i="7"/>
  <c r="Q509" i="7"/>
  <c r="Q489" i="7"/>
  <c r="O489" i="7"/>
  <c r="Q602" i="7"/>
  <c r="O602" i="7"/>
  <c r="O453" i="7"/>
  <c r="Q453" i="7"/>
  <c r="O484" i="7"/>
  <c r="Q484" i="7"/>
  <c r="Q475" i="7"/>
  <c r="O475" i="7"/>
  <c r="M474" i="7"/>
  <c r="Q558" i="7"/>
  <c r="O558" i="7"/>
  <c r="Q506" i="7"/>
  <c r="O506" i="7"/>
  <c r="Q594" i="7"/>
  <c r="M593" i="7"/>
  <c r="O594" i="7"/>
  <c r="D213" i="5"/>
  <c r="R16" i="4"/>
  <c r="O694" i="7"/>
  <c r="Q694" i="7"/>
  <c r="O751" i="7"/>
  <c r="Q751" i="7"/>
  <c r="Q829" i="7"/>
  <c r="O829" i="7"/>
  <c r="O827" i="7"/>
  <c r="Q827" i="7"/>
  <c r="Q646" i="7"/>
  <c r="O646" i="7"/>
  <c r="Q676" i="7"/>
  <c r="O676" i="7"/>
  <c r="Q814" i="7"/>
  <c r="O814" i="7"/>
  <c r="M813" i="7"/>
  <c r="Q616" i="7"/>
  <c r="O616" i="7"/>
  <c r="I3983" i="7"/>
  <c r="M3983" i="7" s="1"/>
  <c r="D3984" i="7"/>
  <c r="I3984" i="7" s="1"/>
  <c r="M3984" i="7" s="1"/>
  <c r="O3945" i="7"/>
  <c r="Q3945" i="7"/>
  <c r="Q4072" i="7"/>
  <c r="O4072" i="7"/>
  <c r="Q3911" i="7"/>
  <c r="O3911" i="7"/>
  <c r="O4146" i="7"/>
  <c r="Q4146" i="7"/>
  <c r="Q4075" i="7"/>
  <c r="O4075" i="7"/>
  <c r="Q3939" i="7"/>
  <c r="O3939" i="7"/>
  <c r="Q4063" i="7"/>
  <c r="O4063" i="7"/>
  <c r="O4124" i="7"/>
  <c r="Q4124" i="7"/>
  <c r="Q4133" i="7"/>
  <c r="O4133" i="7"/>
  <c r="Q4100" i="7"/>
  <c r="M4099" i="7"/>
  <c r="O4100" i="7"/>
  <c r="O4142" i="7"/>
  <c r="Q4142" i="7"/>
  <c r="Q4062" i="7"/>
  <c r="O4062" i="7"/>
  <c r="Q4092" i="7"/>
  <c r="O4092" i="7"/>
  <c r="Q1539" i="7"/>
  <c r="O1108" i="7"/>
  <c r="Q1108" i="7"/>
  <c r="O1190" i="7"/>
  <c r="M1189" i="7"/>
  <c r="Q1184" i="7"/>
  <c r="O1184" i="7"/>
  <c r="O966" i="7"/>
  <c r="Q966" i="7"/>
  <c r="O562" i="7"/>
  <c r="Q562" i="7"/>
  <c r="Q211" i="7"/>
  <c r="O211" i="7"/>
  <c r="AB211" i="7" s="1"/>
  <c r="M210" i="7"/>
  <c r="I3975" i="7"/>
  <c r="M3975" i="7" s="1"/>
  <c r="D3976" i="7"/>
  <c r="I3976" i="7" s="1"/>
  <c r="M3976" i="7" s="1"/>
  <c r="D3755" i="7"/>
  <c r="D3759" i="7"/>
  <c r="D3763" i="7"/>
  <c r="D3536" i="7"/>
  <c r="D3532" i="7"/>
  <c r="D3525" i="7"/>
  <c r="D3528" i="7"/>
  <c r="O885" i="7"/>
  <c r="Q885" i="7"/>
  <c r="O927" i="7"/>
  <c r="Q927" i="7"/>
  <c r="O851" i="7"/>
  <c r="Q851" i="7"/>
  <c r="M836" i="7"/>
  <c r="Q837" i="7"/>
  <c r="O837" i="7"/>
  <c r="M846" i="7"/>
  <c r="Q847" i="7"/>
  <c r="O847" i="7"/>
  <c r="Q980" i="7"/>
  <c r="M979" i="7"/>
  <c r="O980" i="7"/>
  <c r="M807" i="7"/>
  <c r="Q808" i="7"/>
  <c r="O808" i="7"/>
  <c r="O271" i="7"/>
  <c r="Q271" i="7"/>
  <c r="C255" i="11"/>
  <c r="O3140" i="7"/>
  <c r="Q3140" i="7"/>
  <c r="O2989" i="7"/>
  <c r="Q2989" i="7"/>
  <c r="P3088" i="7"/>
  <c r="Q3088" i="7" s="1"/>
  <c r="O3088" i="7"/>
  <c r="Q3183" i="7"/>
  <c r="O3183" i="7"/>
  <c r="O3113" i="7"/>
  <c r="Q3113" i="7"/>
  <c r="O2955" i="7"/>
  <c r="Q2955" i="7"/>
  <c r="P2978" i="7"/>
  <c r="Q2978" i="7" s="1"/>
  <c r="O2978" i="7"/>
  <c r="Q3012" i="7"/>
  <c r="O3012" i="7"/>
  <c r="O2960" i="7"/>
  <c r="C228" i="11" s="1"/>
  <c r="Q2960" i="7"/>
  <c r="Q3117" i="7"/>
  <c r="O3117" i="7"/>
  <c r="O3188" i="7"/>
  <c r="Q3188" i="7"/>
  <c r="Q3193" i="7"/>
  <c r="P2713" i="7"/>
  <c r="F26" i="6" s="1"/>
  <c r="D26" i="6"/>
  <c r="P2806" i="7"/>
  <c r="O2764" i="7"/>
  <c r="Q2764" i="7"/>
  <c r="P2794" i="7"/>
  <c r="G2794" i="7"/>
  <c r="Q2884" i="7"/>
  <c r="O2884" i="7"/>
  <c r="M2883" i="7"/>
  <c r="O2889" i="7"/>
  <c r="Q2889" i="7"/>
  <c r="M2719" i="7"/>
  <c r="Q2720" i="7"/>
  <c r="O2720" i="7"/>
  <c r="O2908" i="7"/>
  <c r="Q2908" i="7"/>
  <c r="M2724" i="7"/>
  <c r="O2725" i="7"/>
  <c r="Q2725" i="7"/>
  <c r="O2850" i="7"/>
  <c r="Q2850" i="7"/>
  <c r="I2864" i="7"/>
  <c r="P2864" i="7"/>
  <c r="Q2831" i="7"/>
  <c r="O2831" i="7"/>
  <c r="O2916" i="7"/>
  <c r="Q2916" i="7"/>
  <c r="Q2762" i="7"/>
  <c r="O2762" i="7"/>
  <c r="O2912" i="7"/>
  <c r="Q2912" i="7"/>
  <c r="Q2855" i="7"/>
  <c r="O2855" i="7"/>
  <c r="Q2917" i="7"/>
  <c r="O2917" i="7"/>
  <c r="Q2854" i="7"/>
  <c r="O2854" i="7"/>
  <c r="Q2891" i="7"/>
  <c r="O2891" i="7"/>
  <c r="Q2902" i="7"/>
  <c r="O2902" i="7"/>
  <c r="P2513" i="7"/>
  <c r="Q2513" i="7" s="1"/>
  <c r="O2513" i="7"/>
  <c r="P2606" i="7"/>
  <c r="Q2606" i="7" s="1"/>
  <c r="O2606" i="7"/>
  <c r="Q2694" i="7"/>
  <c r="O2694" i="7"/>
  <c r="P2485" i="7"/>
  <c r="F25" i="6" s="1"/>
  <c r="D25" i="6"/>
  <c r="O2663" i="7"/>
  <c r="Q2663" i="7"/>
  <c r="Q2664" i="7"/>
  <c r="O2664" i="7"/>
  <c r="O2494" i="7"/>
  <c r="Q2494" i="7"/>
  <c r="O2622" i="7"/>
  <c r="Q2622" i="7"/>
  <c r="I2509" i="7"/>
  <c r="P2509" i="7"/>
  <c r="Q2632" i="7"/>
  <c r="O2632" i="7"/>
  <c r="P2707" i="7"/>
  <c r="Q2707" i="7" s="1"/>
  <c r="O2707" i="7"/>
  <c r="Q2688" i="7"/>
  <c r="O2688" i="7"/>
  <c r="I2564" i="7"/>
  <c r="P2564" i="7"/>
  <c r="I2590" i="7"/>
  <c r="P2590" i="7"/>
  <c r="Q2628" i="7"/>
  <c r="O2628" i="7"/>
  <c r="O2702" i="7"/>
  <c r="P2702" i="7"/>
  <c r="Q2702" i="7" s="1"/>
  <c r="J4" i="9"/>
  <c r="D4183" i="7"/>
  <c r="O2214" i="7"/>
  <c r="O2279" i="7"/>
  <c r="O2338" i="7"/>
  <c r="Q2338" i="7"/>
  <c r="O2337" i="7"/>
  <c r="O2272" i="7"/>
  <c r="O2258" i="7"/>
  <c r="O2234" i="7"/>
  <c r="O2331" i="7"/>
  <c r="M2330" i="7"/>
  <c r="O2222" i="7"/>
  <c r="O2245" i="7"/>
  <c r="O2377" i="7"/>
  <c r="M2376" i="7"/>
  <c r="O2240" i="7"/>
  <c r="M2334" i="7"/>
  <c r="O2335" i="7"/>
  <c r="M2207" i="7"/>
  <c r="O2329" i="7"/>
  <c r="O2210" i="7"/>
  <c r="O2161" i="7"/>
  <c r="Q2161" i="7"/>
  <c r="O1939" i="7"/>
  <c r="M1938" i="7"/>
  <c r="Q1939" i="7"/>
  <c r="O1571" i="7"/>
  <c r="Q1571" i="7"/>
  <c r="Q1493" i="7"/>
  <c r="O1493" i="7"/>
  <c r="Q1494" i="7"/>
  <c r="O1494" i="7"/>
  <c r="I1355" i="7"/>
  <c r="M1355" i="7" s="1"/>
  <c r="O1181" i="7"/>
  <c r="Q1181" i="7"/>
  <c r="Q1031" i="7"/>
  <c r="O1031" i="7"/>
  <c r="O1087" i="7"/>
  <c r="Q1087" i="7"/>
  <c r="O1065" i="7"/>
  <c r="Q1065" i="7"/>
  <c r="O1094" i="7"/>
  <c r="Q1094" i="7"/>
  <c r="Q1080" i="7"/>
  <c r="O1080" i="7"/>
  <c r="O1214" i="7"/>
  <c r="Q1214" i="7"/>
  <c r="Q1037" i="7"/>
  <c r="O1037" i="7"/>
  <c r="M1069" i="7"/>
  <c r="O1070" i="7"/>
  <c r="Q1070" i="7"/>
  <c r="Q1052" i="7"/>
  <c r="O1052" i="7"/>
  <c r="O1032" i="7"/>
  <c r="Q1032" i="7"/>
  <c r="O1175" i="7"/>
  <c r="M1174" i="7"/>
  <c r="Q1175" i="7"/>
  <c r="Q1076" i="7"/>
  <c r="O1076" i="7"/>
  <c r="M1111" i="7"/>
  <c r="O1112" i="7"/>
  <c r="Q1112" i="7"/>
  <c r="O1003" i="7"/>
  <c r="Q1003" i="7"/>
  <c r="O376" i="7"/>
  <c r="Q376" i="7"/>
  <c r="M4241" i="7"/>
  <c r="O4242" i="7"/>
  <c r="Q4242" i="7"/>
  <c r="C35" i="6"/>
  <c r="O2345" i="7"/>
  <c r="O2362" i="7"/>
  <c r="O2322" i="7"/>
  <c r="O1722" i="7"/>
  <c r="Q1722" i="7"/>
  <c r="Q1766" i="7"/>
  <c r="O1766" i="7"/>
  <c r="FO4" i="9"/>
  <c r="M1541" i="7"/>
  <c r="O1297" i="7"/>
  <c r="M1296" i="7"/>
  <c r="Q1297" i="7"/>
  <c r="O1289" i="7"/>
  <c r="Q1289" i="7"/>
  <c r="O1254" i="7"/>
  <c r="Q1254" i="7"/>
  <c r="O1368" i="7"/>
  <c r="M1367" i="7"/>
  <c r="Q1368" i="7"/>
  <c r="O1309" i="7"/>
  <c r="Q1309" i="7"/>
  <c r="O1363" i="7"/>
  <c r="Q1363" i="7"/>
  <c r="O1244" i="7"/>
  <c r="M1243" i="7"/>
  <c r="Q1244" i="7"/>
  <c r="O151" i="7"/>
  <c r="I4003" i="7"/>
  <c r="M4003" i="7" s="1"/>
  <c r="D4004" i="7"/>
  <c r="I4004" i="7" s="1"/>
  <c r="M4004" i="7" s="1"/>
  <c r="IA4" i="9"/>
  <c r="M2313" i="7"/>
  <c r="O1957" i="7"/>
  <c r="Q1957" i="7"/>
  <c r="O1975" i="7"/>
  <c r="Q1975" i="7"/>
  <c r="Q1881" i="7"/>
  <c r="O1881" i="7"/>
  <c r="I1738" i="7"/>
  <c r="M1738" i="7" s="1"/>
  <c r="Q1600" i="7"/>
  <c r="O1600" i="7"/>
  <c r="O1479" i="7"/>
  <c r="Q1479" i="7"/>
  <c r="O1451" i="7"/>
  <c r="Q1451" i="7"/>
  <c r="O1487" i="7"/>
  <c r="Q1487" i="7"/>
  <c r="Q1424" i="7"/>
  <c r="O1424" i="7"/>
  <c r="Q1472" i="7"/>
  <c r="O1472" i="7"/>
  <c r="Q1420" i="7"/>
  <c r="O1420" i="7"/>
  <c r="M1419" i="7"/>
  <c r="O1418" i="7"/>
  <c r="Q1418" i="7"/>
  <c r="O1450" i="7"/>
  <c r="M1435" i="7"/>
  <c r="O1453" i="7"/>
  <c r="Q1453" i="7"/>
  <c r="M1452" i="7"/>
  <c r="O1423" i="7"/>
  <c r="Q1423" i="7"/>
  <c r="Q1523" i="7"/>
  <c r="O1523" i="7"/>
  <c r="Q1388" i="7"/>
  <c r="O1388" i="7"/>
  <c r="O766" i="7"/>
  <c r="Q766" i="7"/>
  <c r="Q4244" i="7"/>
  <c r="O4244" i="7"/>
  <c r="C37" i="6"/>
  <c r="I37" i="6" s="1"/>
  <c r="O371" i="7"/>
  <c r="Q371" i="7"/>
  <c r="Q413" i="7"/>
  <c r="O413" i="7"/>
  <c r="O3078" i="7"/>
  <c r="Q3078" i="7"/>
  <c r="I2113" i="7"/>
  <c r="M2113" i="7" s="1"/>
  <c r="I1930" i="7"/>
  <c r="M1930" i="7" s="1"/>
  <c r="O1636" i="7"/>
  <c r="Q1636" i="7"/>
  <c r="O1666" i="7"/>
  <c r="Q1666" i="7"/>
  <c r="O1694" i="7"/>
  <c r="Q1694" i="7"/>
  <c r="O1615" i="7"/>
  <c r="Q1615" i="7"/>
  <c r="O1700" i="7"/>
  <c r="Q1700" i="7"/>
  <c r="O1667" i="7"/>
  <c r="Q1667" i="7"/>
  <c r="E20" i="6"/>
  <c r="O20" i="6"/>
  <c r="T20" i="6" s="1"/>
  <c r="N20" i="6"/>
  <c r="S20" i="6" s="1"/>
  <c r="O1716" i="7"/>
  <c r="Q1716" i="7"/>
  <c r="O1785" i="7"/>
  <c r="M1784" i="7"/>
  <c r="Q1785" i="7"/>
  <c r="Q1640" i="7"/>
  <c r="O1640" i="7"/>
  <c r="Q1669" i="7"/>
  <c r="O1669" i="7"/>
  <c r="O1614" i="7"/>
  <c r="Q1614" i="7"/>
  <c r="Q1643" i="7"/>
  <c r="O1643" i="7"/>
  <c r="M1670" i="7"/>
  <c r="Q1671" i="7"/>
  <c r="O1671" i="7"/>
  <c r="O1634" i="7"/>
  <c r="Q1634" i="7"/>
  <c r="O1678" i="7"/>
  <c r="Q1678" i="7"/>
  <c r="Q1626" i="7"/>
  <c r="M1625" i="7"/>
  <c r="O1626" i="7"/>
  <c r="Q1654" i="7"/>
  <c r="O1654" i="7"/>
  <c r="Q1400" i="7"/>
  <c r="O1400" i="7"/>
  <c r="I956" i="7"/>
  <c r="M956" i="7" s="1"/>
  <c r="O672" i="7"/>
  <c r="Q672" i="7"/>
  <c r="O604" i="7"/>
  <c r="M603" i="7"/>
  <c r="Q604" i="7"/>
  <c r="O607" i="7"/>
  <c r="Q607" i="7"/>
  <c r="I389" i="7"/>
  <c r="M389" i="7" s="1"/>
  <c r="M214" i="7"/>
  <c r="O215" i="7"/>
  <c r="AB215" i="7" s="1"/>
  <c r="O99" i="7"/>
  <c r="AB99" i="7" s="1"/>
  <c r="Q99" i="7"/>
  <c r="O160" i="7"/>
  <c r="AB160" i="7" s="1"/>
  <c r="M106" i="7"/>
  <c r="O107" i="7"/>
  <c r="AB107" i="7" s="1"/>
  <c r="O137" i="7"/>
  <c r="AB137" i="7" s="1"/>
  <c r="O123" i="7"/>
  <c r="AB123" i="7" s="1"/>
  <c r="O152" i="7"/>
  <c r="AB152" i="7" s="1"/>
  <c r="Q152" i="7"/>
  <c r="O129" i="7"/>
  <c r="AB129" i="7" s="1"/>
  <c r="M128" i="7"/>
  <c r="O213" i="7"/>
  <c r="AB213" i="7" s="1"/>
  <c r="P2417" i="7"/>
  <c r="Q2417" i="7" s="1"/>
  <c r="O2417" i="7"/>
  <c r="Q2392" i="7"/>
  <c r="O2392" i="7"/>
  <c r="C51" i="11" s="1"/>
  <c r="O2441" i="7"/>
  <c r="Q2441" i="7"/>
  <c r="O2469" i="7"/>
  <c r="Q2469" i="7"/>
  <c r="O2484" i="7"/>
  <c r="Q2484" i="7"/>
  <c r="Q2446" i="7"/>
  <c r="O2446" i="7"/>
  <c r="Q1897" i="7"/>
  <c r="O1897" i="7"/>
  <c r="O1898" i="7"/>
  <c r="Q1898" i="7"/>
  <c r="O1303" i="7"/>
  <c r="Q1303" i="7"/>
  <c r="Q1301" i="7"/>
  <c r="O1301" i="7"/>
  <c r="O363" i="7"/>
  <c r="Q363" i="7"/>
  <c r="Q361" i="7"/>
  <c r="O361" i="7"/>
  <c r="Q2090" i="7"/>
  <c r="O2090" i="7"/>
  <c r="Q549" i="7"/>
  <c r="O549" i="7"/>
  <c r="O2283" i="7"/>
  <c r="O1510" i="7"/>
  <c r="Q1510" i="7"/>
  <c r="Q1522" i="7"/>
  <c r="O1522" i="7"/>
  <c r="O1135" i="7"/>
  <c r="Q1135" i="7"/>
  <c r="O1125" i="7"/>
  <c r="Q1125" i="7"/>
  <c r="Q1703" i="7"/>
  <c r="O1703" i="7"/>
  <c r="I972" i="7"/>
  <c r="K972" i="7" s="1"/>
  <c r="M972" i="7" s="1"/>
  <c r="G19" i="6"/>
  <c r="BT4" i="9"/>
  <c r="D126" i="5"/>
  <c r="O934" i="7"/>
  <c r="Q934" i="7"/>
  <c r="Q1802" i="7"/>
  <c r="O1802" i="7"/>
  <c r="M1801" i="7"/>
  <c r="Q1810" i="7"/>
  <c r="O1810" i="7"/>
  <c r="I3974" i="7"/>
  <c r="Q945" i="7"/>
  <c r="O945" i="7"/>
  <c r="Q888" i="7"/>
  <c r="O888" i="7"/>
  <c r="O944" i="7"/>
  <c r="Q944" i="7"/>
  <c r="O909" i="7"/>
  <c r="Q909" i="7"/>
  <c r="Q868" i="7"/>
  <c r="O868" i="7"/>
  <c r="Q897" i="7"/>
  <c r="O897" i="7"/>
  <c r="Q921" i="7"/>
  <c r="O921" i="7"/>
  <c r="Q985" i="7"/>
  <c r="O985" i="7"/>
  <c r="Q863" i="7"/>
  <c r="O863" i="7"/>
  <c r="Q892" i="7"/>
  <c r="O892" i="7"/>
  <c r="Q1019" i="7"/>
  <c r="O1019" i="7"/>
  <c r="M1018" i="7"/>
  <c r="Q891" i="7"/>
  <c r="O891" i="7"/>
  <c r="Q854" i="7"/>
  <c r="M853" i="7"/>
  <c r="O854" i="7"/>
  <c r="Q882" i="7"/>
  <c r="O882" i="7"/>
  <c r="O1024" i="7"/>
  <c r="M1023" i="7"/>
  <c r="Q1024" i="7"/>
  <c r="Q1005" i="7"/>
  <c r="M1004" i="7"/>
  <c r="O1005" i="7"/>
  <c r="O809" i="7"/>
  <c r="Q809" i="7"/>
  <c r="O118" i="7"/>
  <c r="AB118" i="7" s="1"/>
  <c r="C271" i="11"/>
  <c r="M3061" i="7"/>
  <c r="P3096" i="7"/>
  <c r="Q3096" i="7" s="1"/>
  <c r="O3096" i="7"/>
  <c r="O2991" i="7"/>
  <c r="Q2991" i="7"/>
  <c r="G3021" i="7"/>
  <c r="P3021" i="7"/>
  <c r="O3168" i="7"/>
  <c r="Q3168" i="7"/>
  <c r="Q2950" i="7"/>
  <c r="O2950" i="7"/>
  <c r="Q2949" i="7"/>
  <c r="O2949" i="7"/>
  <c r="O2988" i="7"/>
  <c r="Q2988" i="7"/>
  <c r="Q3179" i="7"/>
  <c r="O3179" i="7"/>
  <c r="O3091" i="7"/>
  <c r="Q3091" i="7"/>
  <c r="O3118" i="7"/>
  <c r="Q3118" i="7"/>
  <c r="O3011" i="7"/>
  <c r="M3010" i="7"/>
  <c r="Q3011" i="7"/>
  <c r="Q3121" i="7"/>
  <c r="O3121" i="7"/>
  <c r="Q3162" i="7"/>
  <c r="O3162" i="7"/>
  <c r="Q3192" i="7"/>
  <c r="Q3122" i="7"/>
  <c r="O3122" i="7"/>
  <c r="O3166" i="7"/>
  <c r="Q3166" i="7"/>
  <c r="M2716" i="7"/>
  <c r="O2717" i="7"/>
  <c r="Q2717" i="7"/>
  <c r="Q2784" i="7"/>
  <c r="O2784" i="7"/>
  <c r="M2783" i="7"/>
  <c r="O2923" i="7"/>
  <c r="Q2923" i="7"/>
  <c r="M2922" i="7"/>
  <c r="Q2845" i="7"/>
  <c r="O2845" i="7"/>
  <c r="M2844" i="7"/>
  <c r="O2897" i="7"/>
  <c r="M2896" i="7"/>
  <c r="Q2897" i="7"/>
  <c r="Q2918" i="7"/>
  <c r="O2918" i="7"/>
  <c r="O2728" i="7"/>
  <c r="Q2728" i="7"/>
  <c r="O2751" i="7"/>
  <c r="P2751" i="7"/>
  <c r="Q2751" i="7" s="1"/>
  <c r="P2835" i="7"/>
  <c r="Q2835" i="7" s="1"/>
  <c r="O2835" i="7"/>
  <c r="Q2885" i="7"/>
  <c r="O2885" i="7"/>
  <c r="Q2924" i="7"/>
  <c r="O2924" i="7"/>
  <c r="M2786" i="7"/>
  <c r="O2787" i="7"/>
  <c r="Q2787" i="7"/>
  <c r="Q2856" i="7"/>
  <c r="O2856" i="7"/>
  <c r="O2892" i="7"/>
  <c r="Q2892" i="7"/>
  <c r="P2937" i="7"/>
  <c r="Q2937" i="7" s="1"/>
  <c r="O2937" i="7"/>
  <c r="Q2760" i="7"/>
  <c r="O2760" i="7"/>
  <c r="Q2925" i="7"/>
  <c r="O2925" i="7"/>
  <c r="Q2734" i="7"/>
  <c r="O2734" i="7"/>
  <c r="C160" i="11" s="1"/>
  <c r="I2775" i="7"/>
  <c r="M2775" i="7" s="1"/>
  <c r="O2921" i="7"/>
  <c r="Q2921" i="7"/>
  <c r="O2909" i="7"/>
  <c r="Q2909" i="7"/>
  <c r="O2683" i="7"/>
  <c r="Q2683" i="7"/>
  <c r="P2701" i="7"/>
  <c r="Q2701" i="7" s="1"/>
  <c r="O2701" i="7"/>
  <c r="O2618" i="7"/>
  <c r="Q2618" i="7"/>
  <c r="I2666" i="7"/>
  <c r="P2666" i="7"/>
  <c r="O2496" i="7"/>
  <c r="Q2496" i="7"/>
  <c r="O2515" i="7"/>
  <c r="P2515" i="7"/>
  <c r="Q2515" i="7" s="1"/>
  <c r="Q2662" i="7"/>
  <c r="O2662" i="7"/>
  <c r="Q2673" i="7"/>
  <c r="O2673" i="7"/>
  <c r="M2703" i="7"/>
  <c r="Q2704" i="7"/>
  <c r="O2704" i="7"/>
  <c r="Q2682" i="7"/>
  <c r="O2682" i="7"/>
  <c r="P4241" i="7"/>
  <c r="F34" i="6" s="1"/>
  <c r="N4241" i="7"/>
  <c r="D34" i="6" s="1"/>
  <c r="K19" i="4"/>
  <c r="D4241" i="7" s="1"/>
  <c r="O2370" i="7"/>
  <c r="M2369" i="7"/>
  <c r="O2233" i="7"/>
  <c r="O2236" i="7"/>
  <c r="D60" i="6"/>
  <c r="O2371" i="7"/>
  <c r="O2239" i="7"/>
  <c r="O2160" i="7"/>
  <c r="Q2160" i="7"/>
  <c r="I1921" i="7"/>
  <c r="M1921" i="7" s="1"/>
  <c r="Q4250" i="7"/>
  <c r="O4250" i="7"/>
  <c r="C43" i="6"/>
  <c r="Q1573" i="7"/>
  <c r="O1573" i="7"/>
  <c r="Q1529" i="7"/>
  <c r="O1529" i="7"/>
  <c r="EY4" i="9"/>
  <c r="O1115" i="7"/>
  <c r="Q1115" i="7"/>
  <c r="O1035" i="7"/>
  <c r="Q1035" i="7"/>
  <c r="Q1165" i="7"/>
  <c r="O1165" i="7"/>
  <c r="O1041" i="7"/>
  <c r="Q1041" i="7"/>
  <c r="O1179" i="7"/>
  <c r="Q1179" i="7"/>
  <c r="O1075" i="7"/>
  <c r="Q1075" i="7"/>
  <c r="Q1061" i="7"/>
  <c r="O1061" i="7"/>
  <c r="Q1090" i="7"/>
  <c r="O1090" i="7"/>
  <c r="O1002" i="7"/>
  <c r="Q1002" i="7"/>
  <c r="I377" i="7"/>
  <c r="M377" i="7" s="1"/>
  <c r="O2264" i="7"/>
  <c r="M2263" i="7"/>
  <c r="O2361" i="7"/>
  <c r="O1767" i="7"/>
  <c r="Q1767" i="7"/>
  <c r="O1720" i="7"/>
  <c r="Q1720" i="7"/>
  <c r="Q1542" i="7"/>
  <c r="O1542" i="7"/>
  <c r="O1255" i="7"/>
  <c r="Q1255" i="7"/>
  <c r="O1267" i="7"/>
  <c r="Q1267" i="7"/>
  <c r="O1261" i="7"/>
  <c r="Q1261" i="7"/>
  <c r="O1274" i="7"/>
  <c r="Q1274" i="7"/>
  <c r="Q1256" i="7"/>
  <c r="O1256" i="7"/>
  <c r="Q1366" i="7"/>
  <c r="M1365" i="7"/>
  <c r="O1366" i="7"/>
  <c r="O1399" i="7"/>
  <c r="Q1399" i="7"/>
  <c r="M1398" i="7"/>
  <c r="Q1270" i="7"/>
  <c r="O1270" i="7"/>
  <c r="Q1306" i="7"/>
  <c r="O1306" i="7"/>
  <c r="Q1231" i="7"/>
  <c r="O1231" i="7"/>
  <c r="Q1273" i="7"/>
  <c r="O1273" i="7"/>
  <c r="Q1280" i="7"/>
  <c r="O1280" i="7"/>
  <c r="Q1229" i="7"/>
  <c r="O1229" i="7"/>
  <c r="Q1271" i="7"/>
  <c r="O1271" i="7"/>
  <c r="Q1405" i="7"/>
  <c r="O1405" i="7"/>
  <c r="M1404" i="7"/>
  <c r="O1014" i="7"/>
  <c r="Q1014" i="7"/>
  <c r="O577" i="7"/>
  <c r="C550" i="11"/>
  <c r="M3990" i="7"/>
  <c r="O2711" i="7"/>
  <c r="Q2711" i="7"/>
  <c r="I2317" i="7"/>
  <c r="M2317" i="7" s="1"/>
  <c r="O1958" i="7"/>
  <c r="Q1958" i="7"/>
  <c r="Q1915" i="7"/>
  <c r="O1915" i="7"/>
  <c r="Q1936" i="7"/>
  <c r="O1936" i="7"/>
  <c r="I1740" i="7"/>
  <c r="M1740" i="7" s="1"/>
  <c r="O1484" i="7"/>
  <c r="Q1484" i="7"/>
  <c r="O1605" i="7"/>
  <c r="M1604" i="7"/>
  <c r="Q1605" i="7"/>
  <c r="Q1566" i="7"/>
  <c r="O1566" i="7"/>
  <c r="Q1428" i="7"/>
  <c r="O1428" i="7"/>
  <c r="O1454" i="7"/>
  <c r="Q1454" i="7"/>
  <c r="Q1441" i="7"/>
  <c r="O1441" i="7"/>
  <c r="O1565" i="7"/>
  <c r="Q1565" i="7"/>
  <c r="O1488" i="7"/>
  <c r="Q1488" i="7"/>
  <c r="Q1586" i="7"/>
  <c r="O1586" i="7"/>
  <c r="M1585" i="7"/>
  <c r="Q1389" i="7"/>
  <c r="O1389" i="7"/>
  <c r="O416" i="7"/>
  <c r="Q416" i="7"/>
  <c r="O431" i="7"/>
  <c r="Q431" i="7"/>
  <c r="I3050" i="7"/>
  <c r="M3050" i="7" s="1"/>
  <c r="D3051" i="7"/>
  <c r="I3051" i="7" s="1"/>
  <c r="M3051" i="7" s="1"/>
  <c r="I2114" i="7"/>
  <c r="M2114" i="7" s="1"/>
  <c r="I1934" i="7"/>
  <c r="M1934" i="7" s="1"/>
  <c r="M1628" i="7"/>
  <c r="O1624" i="7"/>
  <c r="Q1624" i="7"/>
  <c r="O1674" i="7"/>
  <c r="Q1674" i="7"/>
  <c r="O1609" i="7"/>
  <c r="M1608" i="7"/>
  <c r="Q1609" i="7"/>
  <c r="O1792" i="7"/>
  <c r="Q1792" i="7"/>
  <c r="I958" i="7"/>
  <c r="M958" i="7" s="1"/>
  <c r="O609" i="7"/>
  <c r="Q609" i="7"/>
  <c r="O611" i="7"/>
  <c r="Q611" i="7"/>
  <c r="M610" i="7"/>
  <c r="I384" i="7"/>
  <c r="M384" i="7" s="1"/>
  <c r="O132" i="7"/>
  <c r="AB132" i="7" s="1"/>
  <c r="M131" i="7"/>
  <c r="O163" i="7"/>
  <c r="AB163" i="7" s="1"/>
  <c r="Q163" i="7"/>
  <c r="O141" i="7"/>
  <c r="AB141" i="7" s="1"/>
  <c r="O148" i="7"/>
  <c r="AB148" i="7" s="1"/>
  <c r="Q148" i="7"/>
  <c r="O142" i="7"/>
  <c r="AB142" i="7" s="1"/>
  <c r="O162" i="7"/>
  <c r="AB162" i="7" s="1"/>
  <c r="O237" i="7"/>
  <c r="AB237" i="7" s="1"/>
  <c r="M236" i="7"/>
  <c r="O161" i="7"/>
  <c r="AB161" i="7" s="1"/>
  <c r="O221" i="7"/>
  <c r="AB221" i="7" s="1"/>
  <c r="M165" i="7"/>
  <c r="O166" i="7"/>
  <c r="AB166" i="7" s="1"/>
  <c r="P2412" i="7"/>
  <c r="Q2412" i="7" s="1"/>
  <c r="O2412" i="7"/>
  <c r="O2440" i="7"/>
  <c r="Q2440" i="7"/>
  <c r="O2447" i="7"/>
  <c r="Q2447" i="7"/>
  <c r="I2448" i="7"/>
  <c r="P2448" i="7"/>
  <c r="Q1905" i="7"/>
  <c r="O1905" i="7"/>
  <c r="Q1902" i="7"/>
  <c r="O1902" i="7"/>
  <c r="Q1377" i="7"/>
  <c r="O1377" i="7"/>
  <c r="O1379" i="7"/>
  <c r="Q1379" i="7"/>
  <c r="O356" i="7"/>
  <c r="Q356" i="7"/>
  <c r="Q352" i="7"/>
  <c r="O352" i="7"/>
  <c r="Q2098" i="7"/>
  <c r="O2098" i="7"/>
  <c r="Q548" i="7"/>
  <c r="O548" i="7"/>
  <c r="Q2282" i="7"/>
  <c r="Q1521" i="7"/>
  <c r="O1521" i="7"/>
  <c r="M1508" i="7"/>
  <c r="O1509" i="7"/>
  <c r="Q1509" i="7"/>
  <c r="O1128" i="7"/>
  <c r="Q1128" i="7"/>
  <c r="Q1133" i="7"/>
  <c r="O1133" i="7"/>
  <c r="Q1711" i="7"/>
  <c r="O1711" i="7"/>
  <c r="G18" i="6"/>
  <c r="D120" i="8"/>
  <c r="I51" i="6"/>
  <c r="G120" i="8" s="1"/>
  <c r="Q3469" i="7"/>
  <c r="O3469" i="7"/>
  <c r="Q2771" i="7"/>
  <c r="O2771" i="7"/>
  <c r="Q2403" i="7"/>
  <c r="M2401" i="7"/>
  <c r="O2403" i="7"/>
  <c r="Q567" i="7"/>
  <c r="O650" i="7"/>
  <c r="Q650" i="7"/>
  <c r="O941" i="7"/>
  <c r="Q941" i="7"/>
  <c r="O553" i="7"/>
  <c r="Q553" i="7"/>
  <c r="Q3447" i="7"/>
  <c r="O3447" i="7"/>
  <c r="Q3613" i="7"/>
  <c r="O3613" i="7"/>
  <c r="M3612" i="7"/>
  <c r="P3561" i="7"/>
  <c r="Q3561" i="7" s="1"/>
  <c r="O3561" i="7"/>
  <c r="D2799" i="7"/>
  <c r="D2802" i="7"/>
  <c r="D2810" i="7"/>
  <c r="G2810" i="7" s="1"/>
  <c r="G2811" i="7" s="1"/>
  <c r="D2806" i="7"/>
  <c r="G2806" i="7" s="1"/>
  <c r="G2807" i="7" s="1"/>
  <c r="G2808" i="7" s="1"/>
  <c r="Q1874" i="7"/>
  <c r="O1874" i="7"/>
  <c r="Q1859" i="7"/>
  <c r="O1859" i="7"/>
  <c r="Q1943" i="7"/>
  <c r="O1943" i="7"/>
  <c r="O1318" i="7"/>
  <c r="Q1318" i="7"/>
  <c r="Q800" i="7"/>
  <c r="O800" i="7"/>
  <c r="O313" i="7"/>
  <c r="Q313" i="7"/>
  <c r="O441" i="7"/>
  <c r="Q441" i="7"/>
  <c r="D3059" i="7"/>
  <c r="I3059" i="7" s="1"/>
  <c r="M3059" i="7" s="1"/>
  <c r="I3058" i="7"/>
  <c r="M3058" i="7" s="1"/>
  <c r="O2129" i="7"/>
  <c r="Q2129" i="7"/>
  <c r="M2164" i="7"/>
  <c r="O2165" i="7"/>
  <c r="Q2165" i="7"/>
  <c r="O2022" i="7"/>
  <c r="Q2022" i="7"/>
  <c r="O2179" i="7"/>
  <c r="Q2179" i="7"/>
  <c r="O917" i="7"/>
  <c r="Q917" i="7"/>
  <c r="O535" i="7"/>
  <c r="Q535" i="7"/>
  <c r="M639" i="7"/>
  <c r="O640" i="7"/>
  <c r="Q640" i="7"/>
  <c r="Q682" i="7"/>
  <c r="O682" i="7"/>
  <c r="Q699" i="7"/>
  <c r="O699" i="7"/>
  <c r="Q662" i="7"/>
  <c r="O662" i="7"/>
  <c r="O103" i="7"/>
  <c r="AB103" i="7" s="1"/>
  <c r="Q3908" i="7"/>
  <c r="O3908" i="7"/>
  <c r="Q4067" i="7"/>
  <c r="O4067" i="7"/>
  <c r="Q4134" i="7"/>
  <c r="O4134" i="7"/>
  <c r="Q1183" i="7"/>
  <c r="O1183" i="7"/>
  <c r="M1182" i="7"/>
  <c r="C560" i="11"/>
  <c r="M4010" i="7"/>
  <c r="O16" i="6"/>
  <c r="T16" i="6" s="1"/>
  <c r="E16" i="6"/>
  <c r="N16" i="6"/>
  <c r="S16" i="6" s="1"/>
  <c r="M3283" i="7"/>
  <c r="Q4040" i="7"/>
  <c r="O4040" i="7"/>
  <c r="M4038" i="7"/>
  <c r="O3598" i="7"/>
  <c r="Q3598" i="7"/>
  <c r="Q2774" i="7"/>
  <c r="O2774" i="7"/>
  <c r="O528" i="7"/>
  <c r="Q528" i="7"/>
  <c r="O3582" i="7"/>
  <c r="Q3582" i="7"/>
  <c r="Q3490" i="7"/>
  <c r="O3490" i="7"/>
  <c r="Q3614" i="7"/>
  <c r="O3614" i="7"/>
  <c r="Q3660" i="7"/>
  <c r="M3659" i="7"/>
  <c r="O3660" i="7"/>
  <c r="Q3587" i="7"/>
  <c r="O3587" i="7"/>
  <c r="O2023" i="7"/>
  <c r="Q2023" i="7"/>
  <c r="O1951" i="7"/>
  <c r="Q1951" i="7"/>
  <c r="Q1849" i="7"/>
  <c r="O1849" i="7"/>
  <c r="O1835" i="7"/>
  <c r="Q1835" i="7"/>
  <c r="Q1846" i="7"/>
  <c r="O1846" i="7"/>
  <c r="O1150" i="7"/>
  <c r="Q1150" i="7"/>
  <c r="M719" i="7"/>
  <c r="Q720" i="7"/>
  <c r="O720" i="7"/>
  <c r="Q445" i="7"/>
  <c r="O445" i="7"/>
  <c r="M444" i="7"/>
  <c r="D3026" i="7"/>
  <c r="O570" i="7"/>
  <c r="Q570" i="7"/>
  <c r="O1997" i="7"/>
  <c r="Q1997" i="7"/>
  <c r="M2015" i="7"/>
  <c r="O2016" i="7"/>
  <c r="Q2016" i="7"/>
  <c r="Q2178" i="7"/>
  <c r="O2178" i="7"/>
  <c r="O999" i="7"/>
  <c r="M998" i="7"/>
  <c r="Q999" i="7"/>
  <c r="Q488" i="7"/>
  <c r="O488" i="7"/>
  <c r="M487" i="7"/>
  <c r="Q541" i="7"/>
  <c r="O541" i="7"/>
  <c r="Q636" i="7"/>
  <c r="O636" i="7"/>
  <c r="Q511" i="7"/>
  <c r="O511" i="7"/>
  <c r="I2491" i="7"/>
  <c r="Q688" i="7"/>
  <c r="O688" i="7"/>
  <c r="Q4085" i="7"/>
  <c r="O4085" i="7"/>
  <c r="Q2964" i="7"/>
  <c r="O2964" i="7"/>
  <c r="O2385" i="7"/>
  <c r="M2384" i="7"/>
  <c r="Q2385" i="7"/>
  <c r="C562" i="11"/>
  <c r="M4014" i="7"/>
  <c r="O4115" i="7"/>
  <c r="Q4115" i="7"/>
  <c r="Q4074" i="7"/>
  <c r="O4074" i="7"/>
  <c r="Q3958" i="7"/>
  <c r="O3958" i="7"/>
  <c r="M4094" i="7"/>
  <c r="Q3898" i="7"/>
  <c r="O3898" i="7"/>
  <c r="O3965" i="7"/>
  <c r="Q3965" i="7"/>
  <c r="O4123" i="7"/>
  <c r="Q4123" i="7"/>
  <c r="Q3941" i="7"/>
  <c r="O3941" i="7"/>
  <c r="O4073" i="7"/>
  <c r="Q4073" i="7"/>
  <c r="Q3967" i="7"/>
  <c r="M3966" i="7"/>
  <c r="O3967" i="7"/>
  <c r="O4145" i="7"/>
  <c r="M4144" i="7"/>
  <c r="Q4145" i="7"/>
  <c r="Q4140" i="7"/>
  <c r="O4140" i="7"/>
  <c r="Q4141" i="7"/>
  <c r="O4141" i="7"/>
  <c r="D3035" i="7"/>
  <c r="I3035" i="7" s="1"/>
  <c r="M3035" i="7" s="1"/>
  <c r="I3034" i="7"/>
  <c r="M3034" i="7" s="1"/>
  <c r="I1533" i="7"/>
  <c r="M1533" i="7" s="1"/>
  <c r="O1188" i="7"/>
  <c r="Q1188" i="7"/>
  <c r="O1186" i="7"/>
  <c r="Q1186" i="7"/>
  <c r="O963" i="7"/>
  <c r="Q963" i="7"/>
  <c r="D3979" i="7"/>
  <c r="D3522" i="7"/>
  <c r="O908" i="7"/>
  <c r="Q908" i="7"/>
  <c r="O901" i="7"/>
  <c r="Q901" i="7"/>
  <c r="O850" i="7"/>
  <c r="Q850" i="7"/>
  <c r="O858" i="7"/>
  <c r="M857" i="7"/>
  <c r="Q858" i="7"/>
  <c r="Q839" i="7"/>
  <c r="O839" i="7"/>
  <c r="O855" i="7"/>
  <c r="Q855" i="7"/>
  <c r="Q987" i="7"/>
  <c r="O987" i="7"/>
  <c r="Q986" i="7"/>
  <c r="O986" i="7"/>
  <c r="Q810" i="7"/>
  <c r="O810" i="7"/>
  <c r="M3291" i="7"/>
  <c r="O3568" i="7"/>
  <c r="Q3568" i="7"/>
  <c r="I3062" i="7"/>
  <c r="M3062" i="7" s="1"/>
  <c r="D3063" i="7"/>
  <c r="I3063" i="7" s="1"/>
  <c r="M3063" i="7" s="1"/>
  <c r="P3080" i="7"/>
  <c r="Q3080" i="7" s="1"/>
  <c r="O3080" i="7"/>
  <c r="Q3008" i="7"/>
  <c r="O3008" i="7"/>
  <c r="O3108" i="7"/>
  <c r="Q3108" i="7"/>
  <c r="O2990" i="7"/>
  <c r="Q2990" i="7"/>
  <c r="O3123" i="7"/>
  <c r="Q3123" i="7"/>
  <c r="Q3187" i="7"/>
  <c r="O3187" i="7"/>
  <c r="P3098" i="7"/>
  <c r="Q3098" i="7" s="1"/>
  <c r="O3098" i="7"/>
  <c r="Q3175" i="7"/>
  <c r="O3175" i="7"/>
  <c r="I3124" i="7"/>
  <c r="P3124" i="7"/>
  <c r="O3163" i="7"/>
  <c r="Q3163" i="7"/>
  <c r="O3197" i="7"/>
  <c r="M3196" i="7"/>
  <c r="Q3197" i="7"/>
  <c r="Q2852" i="7"/>
  <c r="O2852" i="7"/>
  <c r="M2851" i="7"/>
  <c r="O2926" i="7"/>
  <c r="Q2926" i="7"/>
  <c r="O2857" i="7"/>
  <c r="Q2857" i="7"/>
  <c r="O2893" i="7"/>
  <c r="Q2893" i="7"/>
  <c r="Q2731" i="7"/>
  <c r="O2731" i="7"/>
  <c r="P2810" i="7"/>
  <c r="Q2934" i="7"/>
  <c r="M2933" i="7"/>
  <c r="O2934" i="7"/>
  <c r="P2790" i="7"/>
  <c r="G2790" i="7"/>
  <c r="G2791" i="7" s="1"/>
  <c r="G2792" i="7" s="1"/>
  <c r="P2894" i="7"/>
  <c r="I2894" i="7"/>
  <c r="Q2761" i="7"/>
  <c r="O2761" i="7"/>
  <c r="Q2863" i="7"/>
  <c r="O2863" i="7"/>
  <c r="M2928" i="7"/>
  <c r="Q2929" i="7"/>
  <c r="O2929" i="7"/>
  <c r="Q2862" i="7"/>
  <c r="O2862" i="7"/>
  <c r="Q2612" i="7"/>
  <c r="O2612" i="7"/>
  <c r="P2576" i="7"/>
  <c r="Q2576" i="7" s="1"/>
  <c r="O2576" i="7"/>
  <c r="O2693" i="7"/>
  <c r="M2692" i="7"/>
  <c r="Q2693" i="7"/>
  <c r="P2602" i="7"/>
  <c r="Q2602" i="7" s="1"/>
  <c r="O2602" i="7"/>
  <c r="Q2652" i="7"/>
  <c r="O2652" i="7"/>
  <c r="O2495" i="7"/>
  <c r="Q2495" i="7"/>
  <c r="Q2672" i="7"/>
  <c r="O2672" i="7"/>
  <c r="M2671" i="7"/>
  <c r="O2547" i="7"/>
  <c r="Q2547" i="7"/>
  <c r="O2599" i="7"/>
  <c r="Q2599" i="7"/>
  <c r="Q2504" i="7"/>
  <c r="O2504" i="7"/>
  <c r="M2503" i="7"/>
  <c r="Q2659" i="7"/>
  <c r="O2659" i="7"/>
  <c r="M2658" i="7"/>
  <c r="Q2657" i="7"/>
  <c r="O2657" i="7"/>
  <c r="O2617" i="7"/>
  <c r="M2616" i="7"/>
  <c r="Q2617" i="7"/>
  <c r="Q2577" i="7"/>
  <c r="O2577" i="7"/>
  <c r="O2524" i="7"/>
  <c r="P2524" i="7"/>
  <c r="Q2524" i="7" s="1"/>
  <c r="O2598" i="7"/>
  <c r="P2598" i="7"/>
  <c r="Q2598" i="7" s="1"/>
  <c r="M2676" i="7"/>
  <c r="O2677" i="7"/>
  <c r="Q2677" i="7"/>
  <c r="O2607" i="7"/>
  <c r="P2607" i="7"/>
  <c r="Q2607" i="7" s="1"/>
  <c r="P2642" i="7"/>
  <c r="Q2642" i="7" s="1"/>
  <c r="O2642" i="7"/>
  <c r="O2216" i="7"/>
  <c r="O2200" i="7"/>
  <c r="O2193" i="7"/>
  <c r="O2250" i="7"/>
  <c r="M2249" i="7"/>
  <c r="O2188" i="7"/>
  <c r="M2187" i="7"/>
  <c r="O2252" i="7"/>
  <c r="O2375" i="7"/>
  <c r="M2374" i="7"/>
  <c r="O2219" i="7"/>
  <c r="O2248" i="7"/>
  <c r="O2190" i="7"/>
  <c r="O2189" i="7"/>
  <c r="O2128" i="7"/>
  <c r="Q2128" i="7"/>
  <c r="Q1923" i="7"/>
  <c r="O1923" i="7"/>
  <c r="O1638" i="7"/>
  <c r="Q1638" i="7"/>
  <c r="O1578" i="7"/>
  <c r="M1577" i="7"/>
  <c r="Q1578" i="7"/>
  <c r="Q1574" i="7"/>
  <c r="O1574" i="7"/>
  <c r="Q1349" i="7"/>
  <c r="O1349" i="7"/>
  <c r="Q1062" i="7"/>
  <c r="O1062" i="7"/>
  <c r="O1064" i="7"/>
  <c r="Q1064" i="7"/>
  <c r="Q1042" i="7"/>
  <c r="O1042" i="7"/>
  <c r="O1077" i="7"/>
  <c r="Q1077" i="7"/>
  <c r="O1079" i="7"/>
  <c r="Q1079" i="7"/>
  <c r="Q1040" i="7"/>
  <c r="M1039" i="7"/>
  <c r="O1040" i="7"/>
  <c r="O1102" i="7"/>
  <c r="Q1102" i="7"/>
  <c r="Q1073" i="7"/>
  <c r="M1072" i="7"/>
  <c r="O1073" i="7"/>
  <c r="O1084" i="7"/>
  <c r="Q1084" i="7"/>
  <c r="Q1119" i="7"/>
  <c r="O1119" i="7"/>
  <c r="O1001" i="7"/>
  <c r="Q1001" i="7"/>
  <c r="M1000" i="7"/>
  <c r="O378" i="7"/>
  <c r="Q378" i="7"/>
  <c r="O2350" i="7"/>
  <c r="M2349" i="7"/>
  <c r="O2342" i="7"/>
  <c r="F59" i="6"/>
  <c r="G59" i="6" s="1"/>
  <c r="G22" i="6"/>
  <c r="O1830" i="7"/>
  <c r="Q1830" i="7"/>
  <c r="Q1769" i="7"/>
  <c r="O1769" i="7"/>
  <c r="M1768" i="7"/>
  <c r="O1765" i="7"/>
  <c r="Q1765" i="7"/>
  <c r="Q1543" i="7"/>
  <c r="O1543" i="7"/>
  <c r="Q1373" i="7"/>
  <c r="O1373" i="7"/>
  <c r="N18" i="6"/>
  <c r="S18" i="6" s="1"/>
  <c r="E18" i="6"/>
  <c r="O18" i="6"/>
  <c r="T18" i="6" s="1"/>
  <c r="Q1236" i="7"/>
  <c r="O1236" i="7"/>
  <c r="Q1307" i="7"/>
  <c r="O1307" i="7"/>
  <c r="Q1370" i="7"/>
  <c r="M1369" i="7"/>
  <c r="O1370" i="7"/>
  <c r="O1371" i="7"/>
  <c r="Q1371" i="7"/>
  <c r="I3991" i="7"/>
  <c r="M3991" i="7" s="1"/>
  <c r="D3992" i="7"/>
  <c r="I3992" i="7" s="1"/>
  <c r="M3992" i="7" s="1"/>
  <c r="D3435" i="7"/>
  <c r="G3435" i="7" s="1"/>
  <c r="D3429" i="7"/>
  <c r="N3423" i="7"/>
  <c r="P3423" i="7" s="1"/>
  <c r="D3420" i="7"/>
  <c r="I3420" i="7" s="1"/>
  <c r="M3420" i="7" s="1"/>
  <c r="N3416" i="7"/>
  <c r="P3416" i="7" s="1"/>
  <c r="D3413" i="7"/>
  <c r="I3413" i="7" s="1"/>
  <c r="M3413" i="7" s="1"/>
  <c r="N3409" i="7"/>
  <c r="P3409" i="7" s="1"/>
  <c r="D3406" i="7"/>
  <c r="I3406" i="7" s="1"/>
  <c r="M3406" i="7" s="1"/>
  <c r="D3399" i="7"/>
  <c r="I3399" i="7" s="1"/>
  <c r="M3399" i="7" s="1"/>
  <c r="N3395" i="7"/>
  <c r="P3395" i="7" s="1"/>
  <c r="N3435" i="7"/>
  <c r="N3431" i="7"/>
  <c r="P3431" i="7" s="1"/>
  <c r="D3430" i="7"/>
  <c r="I3430" i="7" s="1"/>
  <c r="M3430" i="7" s="1"/>
  <c r="D3405" i="7"/>
  <c r="I3405" i="7" s="1"/>
  <c r="M3405" i="7" s="1"/>
  <c r="D3394" i="7"/>
  <c r="N3389" i="7"/>
  <c r="P3389" i="7" s="1"/>
  <c r="D3386" i="7"/>
  <c r="I3386" i="7" s="1"/>
  <c r="M3386" i="7" s="1"/>
  <c r="N3382" i="7"/>
  <c r="P3382" i="7" s="1"/>
  <c r="N3367" i="7"/>
  <c r="P3367" i="7" s="1"/>
  <c r="Q3367" i="7" s="1"/>
  <c r="D3365" i="7"/>
  <c r="I3365" i="7" s="1"/>
  <c r="M3365" i="7" s="1"/>
  <c r="N3360" i="7"/>
  <c r="P3360" i="7" s="1"/>
  <c r="D3357" i="7"/>
  <c r="I3357" i="7" s="1"/>
  <c r="M3357" i="7" s="1"/>
  <c r="N3352" i="7"/>
  <c r="P3352" i="7" s="1"/>
  <c r="N3345" i="7"/>
  <c r="P3345" i="7" s="1"/>
  <c r="N3339" i="7"/>
  <c r="P3339" i="7" s="1"/>
  <c r="N3332" i="7"/>
  <c r="D3330" i="7"/>
  <c r="N3318" i="7"/>
  <c r="P3318" i="7" s="1"/>
  <c r="D3317" i="7"/>
  <c r="N3311" i="7"/>
  <c r="P3311" i="7" s="1"/>
  <c r="D3309" i="7"/>
  <c r="I3309" i="7" s="1"/>
  <c r="M3309" i="7" s="1"/>
  <c r="D3308" i="7"/>
  <c r="D3307" i="7"/>
  <c r="D3306" i="7"/>
  <c r="I3306" i="7" s="1"/>
  <c r="M3306" i="7" s="1"/>
  <c r="N3302" i="7"/>
  <c r="N3294" i="7"/>
  <c r="P3294" i="7" s="1"/>
  <c r="N3287" i="7"/>
  <c r="D3272" i="7"/>
  <c r="I3272" i="7" s="1"/>
  <c r="M3272" i="7" s="1"/>
  <c r="N3267" i="7"/>
  <c r="P3267" i="7" s="1"/>
  <c r="N3266" i="7"/>
  <c r="P3266" i="7" s="1"/>
  <c r="N3265" i="7"/>
  <c r="P3265" i="7" s="1"/>
  <c r="Q3265" i="7" s="1"/>
  <c r="D3263" i="7"/>
  <c r="N3259" i="7"/>
  <c r="D3256" i="7"/>
  <c r="G3256" i="7" s="1"/>
  <c r="D3249" i="7"/>
  <c r="D3248" i="7"/>
  <c r="G3248" i="7" s="1"/>
  <c r="N3243" i="7"/>
  <c r="P3243" i="7" s="1"/>
  <c r="Q3243" i="7" s="1"/>
  <c r="N3236" i="7"/>
  <c r="P3236" i="7" s="1"/>
  <c r="D3233" i="7"/>
  <c r="I3233" i="7" s="1"/>
  <c r="M3233" i="7" s="1"/>
  <c r="N3436" i="7"/>
  <c r="P3436" i="7" s="1"/>
  <c r="Q3436" i="7" s="1"/>
  <c r="D3434" i="7"/>
  <c r="G3434" i="7" s="1"/>
  <c r="N3428" i="7"/>
  <c r="D3422" i="7"/>
  <c r="I3422" i="7" s="1"/>
  <c r="M3422" i="7" s="1"/>
  <c r="N3419" i="7"/>
  <c r="P3419" i="7" s="1"/>
  <c r="D3418" i="7"/>
  <c r="N3415" i="7"/>
  <c r="P3415" i="7" s="1"/>
  <c r="D3414" i="7"/>
  <c r="I3414" i="7" s="1"/>
  <c r="M3414" i="7" s="1"/>
  <c r="N3411" i="7"/>
  <c r="D3410" i="7"/>
  <c r="N3407" i="7"/>
  <c r="P3407" i="7" s="1"/>
  <c r="N3403" i="7"/>
  <c r="P3403" i="7" s="1"/>
  <c r="D3402" i="7"/>
  <c r="N3399" i="7"/>
  <c r="P3399" i="7" s="1"/>
  <c r="N3390" i="7"/>
  <c r="P3390" i="7" s="1"/>
  <c r="D3387" i="7"/>
  <c r="I3387" i="7" s="1"/>
  <c r="M3387" i="7" s="1"/>
  <c r="N3383" i="7"/>
  <c r="P3383" i="7" s="1"/>
  <c r="D3381" i="7"/>
  <c r="N3376" i="7"/>
  <c r="N3375" i="7"/>
  <c r="N3374" i="7"/>
  <c r="N3373" i="7"/>
  <c r="N3372" i="7"/>
  <c r="N3371" i="7"/>
  <c r="N3370" i="7"/>
  <c r="N3369" i="7"/>
  <c r="N3368" i="7"/>
  <c r="D3366" i="7"/>
  <c r="I3366" i="7" s="1"/>
  <c r="M3366" i="7" s="1"/>
  <c r="N3362" i="7"/>
  <c r="N3361" i="7"/>
  <c r="P3361" i="7" s="1"/>
  <c r="D3358" i="7"/>
  <c r="I3358" i="7" s="1"/>
  <c r="M3358" i="7" s="1"/>
  <c r="N3353" i="7"/>
  <c r="P3353" i="7" s="1"/>
  <c r="D3350" i="7"/>
  <c r="I3350" i="7" s="1"/>
  <c r="M3350" i="7" s="1"/>
  <c r="N3346" i="7"/>
  <c r="P3346" i="7" s="1"/>
  <c r="D3343" i="7"/>
  <c r="I3343" i="7" s="1"/>
  <c r="M3343" i="7" s="1"/>
  <c r="N3340" i="7"/>
  <c r="P3340" i="7" s="1"/>
  <c r="Q3340" i="7" s="1"/>
  <c r="N3333" i="7"/>
  <c r="N3326" i="7"/>
  <c r="P3326" i="7" s="1"/>
  <c r="Q3326" i="7" s="1"/>
  <c r="D3323" i="7"/>
  <c r="G3323" i="7" s="1"/>
  <c r="N3312" i="7"/>
  <c r="P3312" i="7" s="1"/>
  <c r="Q3312" i="7" s="1"/>
  <c r="D3310" i="7"/>
  <c r="N3303" i="7"/>
  <c r="P3303" i="7" s="1"/>
  <c r="D3298" i="7"/>
  <c r="N3295" i="7"/>
  <c r="P3295" i="7" s="1"/>
  <c r="Q3295" i="7" s="1"/>
  <c r="N3288" i="7"/>
  <c r="N3276" i="7"/>
  <c r="P3276" i="7" s="1"/>
  <c r="D3275" i="7"/>
  <c r="D3273" i="7"/>
  <c r="I3273" i="7" s="1"/>
  <c r="M3273" i="7" s="1"/>
  <c r="N3268" i="7"/>
  <c r="P3268" i="7" s="1"/>
  <c r="N3260" i="7"/>
  <c r="D3258" i="7"/>
  <c r="D3257" i="7"/>
  <c r="G3257" i="7" s="1"/>
  <c r="N3252" i="7"/>
  <c r="P3252" i="7" s="1"/>
  <c r="Q3252" i="7" s="1"/>
  <c r="N3245" i="7"/>
  <c r="N3244" i="7"/>
  <c r="N3437" i="7"/>
  <c r="P3437" i="7" s="1"/>
  <c r="N3432" i="7"/>
  <c r="D3431" i="7"/>
  <c r="D3398" i="7"/>
  <c r="I3398" i="7" s="1"/>
  <c r="M3398" i="7" s="1"/>
  <c r="N3396" i="7"/>
  <c r="P3396" i="7" s="1"/>
  <c r="N3392" i="7"/>
  <c r="N3391" i="7"/>
  <c r="P3391" i="7" s="1"/>
  <c r="D3388" i="7"/>
  <c r="I3388" i="7" s="1"/>
  <c r="M3388" i="7" s="1"/>
  <c r="N3377" i="7"/>
  <c r="P3377" i="7" s="1"/>
  <c r="D3367" i="7"/>
  <c r="D3359" i="7"/>
  <c r="I3359" i="7" s="1"/>
  <c r="M3359" i="7" s="1"/>
  <c r="N3354" i="7"/>
  <c r="P3354" i="7" s="1"/>
  <c r="D3351" i="7"/>
  <c r="I3351" i="7" s="1"/>
  <c r="M3351" i="7" s="1"/>
  <c r="N3347" i="7"/>
  <c r="P3347" i="7" s="1"/>
  <c r="D3344" i="7"/>
  <c r="I3344" i="7" s="1"/>
  <c r="M3344" i="7" s="1"/>
  <c r="D3331" i="7"/>
  <c r="G3331" i="7" s="1"/>
  <c r="N3327" i="7"/>
  <c r="D3325" i="7"/>
  <c r="I3325" i="7" s="1"/>
  <c r="M3325" i="7" s="1"/>
  <c r="M3318" i="7" s="1"/>
  <c r="D3324" i="7"/>
  <c r="G3324" i="7" s="1"/>
  <c r="N3319" i="7"/>
  <c r="P3319" i="7" s="1"/>
  <c r="Q3319" i="7" s="1"/>
  <c r="D3318" i="7"/>
  <c r="N3313" i="7"/>
  <c r="N3304" i="7"/>
  <c r="D3294" i="7"/>
  <c r="N3290" i="7"/>
  <c r="N3289" i="7"/>
  <c r="P3289" i="7" s="1"/>
  <c r="N3269" i="7"/>
  <c r="P3269" i="7" s="1"/>
  <c r="Q3269" i="7" s="1"/>
  <c r="N3261" i="7"/>
  <c r="N3254" i="7"/>
  <c r="N3253" i="7"/>
  <c r="D3250" i="7"/>
  <c r="G3250" i="7" s="1"/>
  <c r="D3433" i="7"/>
  <c r="G3433" i="7" s="1"/>
  <c r="N3427" i="7"/>
  <c r="N3422" i="7"/>
  <c r="P3422" i="7" s="1"/>
  <c r="D3421" i="7"/>
  <c r="I3421" i="7" s="1"/>
  <c r="M3421" i="7" s="1"/>
  <c r="N3418" i="7"/>
  <c r="P3418" i="7" s="1"/>
  <c r="D3417" i="7"/>
  <c r="I3417" i="7" s="1"/>
  <c r="M3417" i="7" s="1"/>
  <c r="N3414" i="7"/>
  <c r="P3414" i="7" s="1"/>
  <c r="N3410" i="7"/>
  <c r="P3410" i="7" s="1"/>
  <c r="Q3410" i="7" s="1"/>
  <c r="D3409" i="7"/>
  <c r="I3409" i="7" s="1"/>
  <c r="M3409" i="7" s="1"/>
  <c r="N3406" i="7"/>
  <c r="P3406" i="7" s="1"/>
  <c r="N3402" i="7"/>
  <c r="P3402" i="7" s="1"/>
  <c r="D3401" i="7"/>
  <c r="I3401" i="7" s="1"/>
  <c r="M3401" i="7" s="1"/>
  <c r="N3398" i="7"/>
  <c r="P3398" i="7" s="1"/>
  <c r="D3397" i="7"/>
  <c r="N3394" i="7"/>
  <c r="P3394" i="7" s="1"/>
  <c r="N3388" i="7"/>
  <c r="P3388" i="7" s="1"/>
  <c r="D3385" i="7"/>
  <c r="I3385" i="7" s="1"/>
  <c r="M3385" i="7" s="1"/>
  <c r="N3381" i="7"/>
  <c r="P3381" i="7" s="1"/>
  <c r="D3380" i="7"/>
  <c r="D3364" i="7"/>
  <c r="G3364" i="7" s="1"/>
  <c r="N3359" i="7"/>
  <c r="P3359" i="7" s="1"/>
  <c r="D3356" i="7"/>
  <c r="I3356" i="7" s="1"/>
  <c r="M3356" i="7" s="1"/>
  <c r="N3351" i="7"/>
  <c r="P3351" i="7" s="1"/>
  <c r="D3349" i="7"/>
  <c r="N3344" i="7"/>
  <c r="P3344" i="7" s="1"/>
  <c r="D3342" i="7"/>
  <c r="N3338" i="7"/>
  <c r="P3338" i="7" s="1"/>
  <c r="Q3338" i="7" s="1"/>
  <c r="N3331" i="7"/>
  <c r="D3329" i="7"/>
  <c r="G3329" i="7" s="1"/>
  <c r="N3325" i="7"/>
  <c r="P3325" i="7" s="1"/>
  <c r="D3322" i="7"/>
  <c r="D3321" i="7"/>
  <c r="G3321" i="7" s="1"/>
  <c r="D3315" i="7"/>
  <c r="I3315" i="7" s="1"/>
  <c r="M3315" i="7" s="1"/>
  <c r="N3310" i="7"/>
  <c r="P3310" i="7" s="1"/>
  <c r="N3301" i="7"/>
  <c r="P3301" i="7" s="1"/>
  <c r="N3300" i="7"/>
  <c r="P3300" i="7" s="1"/>
  <c r="N3299" i="7"/>
  <c r="P3299" i="7" s="1"/>
  <c r="N3298" i="7"/>
  <c r="P3298" i="7" s="1"/>
  <c r="D3297" i="7"/>
  <c r="N3286" i="7"/>
  <c r="D3283" i="7"/>
  <c r="N3275" i="7"/>
  <c r="P3275" i="7" s="1"/>
  <c r="N3264" i="7"/>
  <c r="P3264" i="7" s="1"/>
  <c r="N3258" i="7"/>
  <c r="N3251" i="7"/>
  <c r="N3250" i="7"/>
  <c r="D3247" i="7"/>
  <c r="G3247" i="7" s="1"/>
  <c r="N3430" i="7"/>
  <c r="P3430" i="7" s="1"/>
  <c r="N3425" i="7"/>
  <c r="P3425" i="7" s="1"/>
  <c r="Q3425" i="7" s="1"/>
  <c r="N3417" i="7"/>
  <c r="P3417" i="7" s="1"/>
  <c r="D3407" i="7"/>
  <c r="I3407" i="7" s="1"/>
  <c r="M3407" i="7" s="1"/>
  <c r="N3404" i="7"/>
  <c r="P3404" i="7" s="1"/>
  <c r="D3389" i="7"/>
  <c r="I3389" i="7" s="1"/>
  <c r="M3389" i="7" s="1"/>
  <c r="N3384" i="7"/>
  <c r="P3384" i="7" s="1"/>
  <c r="D3382" i="7"/>
  <c r="I3382" i="7" s="1"/>
  <c r="M3382" i="7" s="1"/>
  <c r="N3379" i="7"/>
  <c r="N3358" i="7"/>
  <c r="P3358" i="7" s="1"/>
  <c r="N3337" i="7"/>
  <c r="P3337" i="7" s="1"/>
  <c r="Q3337" i="7" s="1"/>
  <c r="N3328" i="7"/>
  <c r="D3326" i="7"/>
  <c r="N3315" i="7"/>
  <c r="P3315" i="7" s="1"/>
  <c r="N3308" i="7"/>
  <c r="P3308" i="7" s="1"/>
  <c r="N3306" i="7"/>
  <c r="P3306" i="7" s="1"/>
  <c r="D3302" i="7"/>
  <c r="G3302" i="7" s="1"/>
  <c r="D3300" i="7"/>
  <c r="N3282" i="7"/>
  <c r="P3282" i="7" s="1"/>
  <c r="N3280" i="7"/>
  <c r="P3280" i="7" s="1"/>
  <c r="Q3280" i="7" s="1"/>
  <c r="N3278" i="7"/>
  <c r="P3278" i="7" s="1"/>
  <c r="Q3278" i="7" s="1"/>
  <c r="D3276" i="7"/>
  <c r="N3263" i="7"/>
  <c r="P3263" i="7" s="1"/>
  <c r="D3252" i="7"/>
  <c r="D3246" i="7"/>
  <c r="N3242" i="7"/>
  <c r="N3241" i="7"/>
  <c r="D3240" i="7"/>
  <c r="N3237" i="7"/>
  <c r="P3237" i="7" s="1"/>
  <c r="Q3237" i="7" s="1"/>
  <c r="N3233" i="7"/>
  <c r="P3233" i="7" s="1"/>
  <c r="N3229" i="7"/>
  <c r="P3229" i="7" s="1"/>
  <c r="N3224" i="7"/>
  <c r="P3224" i="7" s="1"/>
  <c r="D3223" i="7"/>
  <c r="N3219" i="7"/>
  <c r="P3219" i="7" s="1"/>
  <c r="D3218" i="7"/>
  <c r="D3211" i="7"/>
  <c r="D3437" i="7"/>
  <c r="G3437" i="7" s="1"/>
  <c r="N3393" i="7"/>
  <c r="P3393" i="7" s="1"/>
  <c r="D3360" i="7"/>
  <c r="I3360" i="7" s="1"/>
  <c r="M3360" i="7" s="1"/>
  <c r="N3355" i="7"/>
  <c r="P3355" i="7" s="1"/>
  <c r="N3348" i="7"/>
  <c r="P3348" i="7" s="1"/>
  <c r="N3341" i="7"/>
  <c r="P3341" i="7" s="1"/>
  <c r="N3334" i="7"/>
  <c r="P3334" i="7" s="1"/>
  <c r="N3322" i="7"/>
  <c r="D3232" i="7"/>
  <c r="I3232" i="7" s="1"/>
  <c r="M3232" i="7" s="1"/>
  <c r="N3220" i="7"/>
  <c r="P3220" i="7" s="1"/>
  <c r="N3215" i="7"/>
  <c r="P3215" i="7" s="1"/>
  <c r="D3214" i="7"/>
  <c r="N3212" i="7"/>
  <c r="P3212" i="7" s="1"/>
  <c r="N3429" i="7"/>
  <c r="P3429" i="7" s="1"/>
  <c r="D3412" i="7"/>
  <c r="G3412" i="7" s="1"/>
  <c r="N3401" i="7"/>
  <c r="P3401" i="7" s="1"/>
  <c r="D3396" i="7"/>
  <c r="I3396" i="7" s="1"/>
  <c r="M3396" i="7" s="1"/>
  <c r="D3391" i="7"/>
  <c r="I3391" i="7" s="1"/>
  <c r="M3391" i="7" s="1"/>
  <c r="N3386" i="7"/>
  <c r="P3386" i="7" s="1"/>
  <c r="D3384" i="7"/>
  <c r="D3377" i="7"/>
  <c r="I3377" i="7" s="1"/>
  <c r="M3377" i="7" s="1"/>
  <c r="D3375" i="7"/>
  <c r="G3375" i="7" s="1"/>
  <c r="D3373" i="7"/>
  <c r="G3373" i="7" s="1"/>
  <c r="D3371" i="7"/>
  <c r="G3371" i="7" s="1"/>
  <c r="D3369" i="7"/>
  <c r="G3369" i="7" s="1"/>
  <c r="N3364" i="7"/>
  <c r="D3353" i="7"/>
  <c r="I3353" i="7" s="1"/>
  <c r="M3353" i="7" s="1"/>
  <c r="D3346" i="7"/>
  <c r="I3346" i="7" s="1"/>
  <c r="M3346" i="7" s="1"/>
  <c r="D3320" i="7"/>
  <c r="G3320" i="7" s="1"/>
  <c r="N3317" i="7"/>
  <c r="P3317" i="7" s="1"/>
  <c r="N3297" i="7"/>
  <c r="P3297" i="7" s="1"/>
  <c r="N3292" i="7"/>
  <c r="P3292" i="7" s="1"/>
  <c r="Q3292" i="7" s="1"/>
  <c r="N3273" i="7"/>
  <c r="P3273" i="7" s="1"/>
  <c r="N3271" i="7"/>
  <c r="P3271" i="7" s="1"/>
  <c r="Q3271" i="7" s="1"/>
  <c r="D3267" i="7"/>
  <c r="N3262" i="7"/>
  <c r="P3262" i="7" s="1"/>
  <c r="N3256" i="7"/>
  <c r="N3238" i="7"/>
  <c r="D3237" i="7"/>
  <c r="N3234" i="7"/>
  <c r="P3234" i="7" s="1"/>
  <c r="N3230" i="7"/>
  <c r="P3230" i="7" s="1"/>
  <c r="D3229" i="7"/>
  <c r="N3225" i="7"/>
  <c r="P3225" i="7" s="1"/>
  <c r="N3221" i="7"/>
  <c r="P3221" i="7" s="1"/>
  <c r="N3434" i="7"/>
  <c r="D3432" i="7"/>
  <c r="G3432" i="7" s="1"/>
  <c r="N3424" i="7"/>
  <c r="P3424" i="7" s="1"/>
  <c r="D3404" i="7"/>
  <c r="I3404" i="7" s="1"/>
  <c r="M3404" i="7" s="1"/>
  <c r="D3393" i="7"/>
  <c r="N3357" i="7"/>
  <c r="P3357" i="7" s="1"/>
  <c r="D3341" i="7"/>
  <c r="N3336" i="7"/>
  <c r="P3336" i="7" s="1"/>
  <c r="Q3336" i="7" s="1"/>
  <c r="D3334" i="7"/>
  <c r="D3332" i="7"/>
  <c r="G3332" i="7" s="1"/>
  <c r="N3330" i="7"/>
  <c r="P3330" i="7" s="1"/>
  <c r="D3328" i="7"/>
  <c r="G3328" i="7" s="1"/>
  <c r="N3321" i="7"/>
  <c r="N3314" i="7"/>
  <c r="N3284" i="7"/>
  <c r="P3284" i="7" s="1"/>
  <c r="Q3284" i="7" s="1"/>
  <c r="N3438" i="7"/>
  <c r="P3438" i="7" s="1"/>
  <c r="D3436" i="7"/>
  <c r="G3436" i="7" s="1"/>
  <c r="D3419" i="7"/>
  <c r="I3419" i="7" s="1"/>
  <c r="M3419" i="7" s="1"/>
  <c r="N3408" i="7"/>
  <c r="P3408" i="7" s="1"/>
  <c r="N3400" i="7"/>
  <c r="P3400" i="7" s="1"/>
  <c r="D3395" i="7"/>
  <c r="I3395" i="7" s="1"/>
  <c r="M3395" i="7" s="1"/>
  <c r="N3378" i="7"/>
  <c r="P3378" i="7" s="1"/>
  <c r="N3366" i="7"/>
  <c r="P3366" i="7" s="1"/>
  <c r="D3355" i="7"/>
  <c r="I3355" i="7" s="1"/>
  <c r="M3355" i="7" s="1"/>
  <c r="N3350" i="7"/>
  <c r="P3350" i="7" s="1"/>
  <c r="D3348" i="7"/>
  <c r="I3348" i="7" s="1"/>
  <c r="M3348" i="7" s="1"/>
  <c r="N3343" i="7"/>
  <c r="P3343" i="7" s="1"/>
  <c r="D3319" i="7"/>
  <c r="N3316" i="7"/>
  <c r="N3307" i="7"/>
  <c r="P3307" i="7" s="1"/>
  <c r="N3305" i="7"/>
  <c r="P3305" i="7" s="1"/>
  <c r="D3303" i="7"/>
  <c r="I3303" i="7" s="1"/>
  <c r="M3303" i="7" s="1"/>
  <c r="D3301" i="7"/>
  <c r="D3299" i="7"/>
  <c r="N3296" i="7"/>
  <c r="P3296" i="7" s="1"/>
  <c r="N3281" i="7"/>
  <c r="P3281" i="7" s="1"/>
  <c r="Q3281" i="7" s="1"/>
  <c r="N3279" i="7"/>
  <c r="P3279" i="7" s="1"/>
  <c r="N3277" i="7"/>
  <c r="P3277" i="7" s="1"/>
  <c r="N3426" i="7"/>
  <c r="P3426" i="7" s="1"/>
  <c r="Q3426" i="7" s="1"/>
  <c r="D3424" i="7"/>
  <c r="N3421" i="7"/>
  <c r="P3421" i="7" s="1"/>
  <c r="D3416" i="7"/>
  <c r="I3416" i="7" s="1"/>
  <c r="M3416" i="7" s="1"/>
  <c r="N3413" i="7"/>
  <c r="P3413" i="7" s="1"/>
  <c r="D3411" i="7"/>
  <c r="G3411" i="7" s="1"/>
  <c r="D3403" i="7"/>
  <c r="I3403" i="7" s="1"/>
  <c r="M3403" i="7" s="1"/>
  <c r="D3390" i="7"/>
  <c r="I3390" i="7" s="1"/>
  <c r="M3390" i="7" s="1"/>
  <c r="N3385" i="7"/>
  <c r="P3385" i="7" s="1"/>
  <c r="D3383" i="7"/>
  <c r="I3383" i="7" s="1"/>
  <c r="M3383" i="7" s="1"/>
  <c r="N3363" i="7"/>
  <c r="P3363" i="7" s="1"/>
  <c r="D3352" i="7"/>
  <c r="I3352" i="7" s="1"/>
  <c r="M3352" i="7" s="1"/>
  <c r="D3345" i="7"/>
  <c r="I3345" i="7" s="1"/>
  <c r="M3345" i="7" s="1"/>
  <c r="N3329" i="7"/>
  <c r="N3323" i="7"/>
  <c r="N3309" i="7"/>
  <c r="P3309" i="7" s="1"/>
  <c r="N3291" i="7"/>
  <c r="P3291" i="7" s="1"/>
  <c r="N3270" i="7"/>
  <c r="P3270" i="7" s="1"/>
  <c r="D3438" i="7"/>
  <c r="I3438" i="7" s="1"/>
  <c r="M3438" i="7" s="1"/>
  <c r="N3433" i="7"/>
  <c r="D3408" i="7"/>
  <c r="I3408" i="7" s="1"/>
  <c r="M3408" i="7" s="1"/>
  <c r="N3405" i="7"/>
  <c r="P3405" i="7" s="1"/>
  <c r="D3400" i="7"/>
  <c r="I3400" i="7" s="1"/>
  <c r="M3400" i="7" s="1"/>
  <c r="N3397" i="7"/>
  <c r="P3397" i="7" s="1"/>
  <c r="N3380" i="7"/>
  <c r="P3380" i="7" s="1"/>
  <c r="D3376" i="7"/>
  <c r="G3376" i="7" s="1"/>
  <c r="D3374" i="7"/>
  <c r="G3374" i="7" s="1"/>
  <c r="D3372" i="7"/>
  <c r="G3372" i="7" s="1"/>
  <c r="D3370" i="7"/>
  <c r="G3370" i="7" s="1"/>
  <c r="D3368" i="7"/>
  <c r="G3368" i="7" s="1"/>
  <c r="D3361" i="7"/>
  <c r="I3361" i="7" s="1"/>
  <c r="M3361" i="7" s="1"/>
  <c r="N3356" i="7"/>
  <c r="P3356" i="7" s="1"/>
  <c r="N3335" i="7"/>
  <c r="P3335" i="7" s="1"/>
  <c r="Q3335" i="7" s="1"/>
  <c r="D3327" i="7"/>
  <c r="G3327" i="7" s="1"/>
  <c r="D3314" i="7"/>
  <c r="G3314" i="7" s="1"/>
  <c r="D3305" i="7"/>
  <c r="D3296" i="7"/>
  <c r="N3285" i="7"/>
  <c r="P3285" i="7" s="1"/>
  <c r="Q3285" i="7" s="1"/>
  <c r="N3283" i="7"/>
  <c r="P3283" i="7" s="1"/>
  <c r="D3277" i="7"/>
  <c r="N3274" i="7"/>
  <c r="D3266" i="7"/>
  <c r="D3423" i="7"/>
  <c r="I3423" i="7" s="1"/>
  <c r="M3423" i="7" s="1"/>
  <c r="N3420" i="7"/>
  <c r="P3420" i="7" s="1"/>
  <c r="D3415" i="7"/>
  <c r="I3415" i="7" s="1"/>
  <c r="M3415" i="7" s="1"/>
  <c r="N3412" i="7"/>
  <c r="N3387" i="7"/>
  <c r="P3387" i="7" s="1"/>
  <c r="D3378" i="7"/>
  <c r="I3378" i="7" s="1"/>
  <c r="M3378" i="7" s="1"/>
  <c r="N3365" i="7"/>
  <c r="P3365" i="7" s="1"/>
  <c r="D3363" i="7"/>
  <c r="D3354" i="7"/>
  <c r="I3354" i="7" s="1"/>
  <c r="M3354" i="7" s="1"/>
  <c r="N3349" i="7"/>
  <c r="P3349" i="7" s="1"/>
  <c r="D3347" i="7"/>
  <c r="I3347" i="7" s="1"/>
  <c r="M3347" i="7" s="1"/>
  <c r="N3342" i="7"/>
  <c r="P3342" i="7" s="1"/>
  <c r="D3333" i="7"/>
  <c r="G3333" i="7" s="1"/>
  <c r="N3324" i="7"/>
  <c r="N3320" i="7"/>
  <c r="N3293" i="7"/>
  <c r="P3293" i="7" s="1"/>
  <c r="Q3293" i="7" s="1"/>
  <c r="D3291" i="7"/>
  <c r="N3272" i="7"/>
  <c r="P3272" i="7" s="1"/>
  <c r="D3261" i="7"/>
  <c r="G3261" i="7" s="1"/>
  <c r="D3259" i="7"/>
  <c r="G3259" i="7" s="1"/>
  <c r="D3255" i="7"/>
  <c r="N3248" i="7"/>
  <c r="P3248" i="7" s="1"/>
  <c r="Q3248" i="7" s="1"/>
  <c r="D3236" i="7"/>
  <c r="D3222" i="7"/>
  <c r="I3222" i="7" s="1"/>
  <c r="M3222" i="7" s="1"/>
  <c r="D3217" i="7"/>
  <c r="N3214" i="7"/>
  <c r="P3214" i="7" s="1"/>
  <c r="N3211" i="7"/>
  <c r="D3262" i="7"/>
  <c r="N3239" i="7"/>
  <c r="N3257" i="7"/>
  <c r="D3254" i="7"/>
  <c r="G3254" i="7" s="1"/>
  <c r="D3243" i="7"/>
  <c r="D3234" i="7"/>
  <c r="I3234" i="7" s="1"/>
  <c r="M3234" i="7" s="1"/>
  <c r="N3231" i="7"/>
  <c r="P3231" i="7" s="1"/>
  <c r="Q3231" i="7" s="1"/>
  <c r="N3226" i="7"/>
  <c r="P3226" i="7" s="1"/>
  <c r="D3219" i="7"/>
  <c r="I3219" i="7" s="1"/>
  <c r="M3219" i="7" s="1"/>
  <c r="N3216" i="7"/>
  <c r="P3216" i="7" s="1"/>
  <c r="Q3216" i="7" s="1"/>
  <c r="N3246" i="7"/>
  <c r="P3246" i="7" s="1"/>
  <c r="N3213" i="7"/>
  <c r="P3213" i="7" s="1"/>
  <c r="D3260" i="7"/>
  <c r="G3260" i="7" s="1"/>
  <c r="N3228" i="7"/>
  <c r="P3228" i="7" s="1"/>
  <c r="Q3228" i="7" s="1"/>
  <c r="D3253" i="7"/>
  <c r="G3253" i="7" s="1"/>
  <c r="N3249" i="7"/>
  <c r="P3249" i="7" s="1"/>
  <c r="Q3249" i="7" s="1"/>
  <c r="N3235" i="7"/>
  <c r="D3226" i="7"/>
  <c r="N3223" i="7"/>
  <c r="P3223" i="7" s="1"/>
  <c r="D3221" i="7"/>
  <c r="I3221" i="7" s="1"/>
  <c r="M3221" i="7" s="1"/>
  <c r="N3218" i="7"/>
  <c r="P3218" i="7" s="1"/>
  <c r="D3213" i="7"/>
  <c r="N3222" i="7"/>
  <c r="P3222" i="7" s="1"/>
  <c r="D3212" i="7"/>
  <c r="N3255" i="7"/>
  <c r="N3240" i="7"/>
  <c r="D3230" i="7"/>
  <c r="I3230" i="7" s="1"/>
  <c r="M3230" i="7" s="1"/>
  <c r="N3217" i="7"/>
  <c r="P3217" i="7" s="1"/>
  <c r="D3251" i="7"/>
  <c r="G3251" i="7" s="1"/>
  <c r="N3247" i="7"/>
  <c r="N3232" i="7"/>
  <c r="P3232" i="7" s="1"/>
  <c r="N3227" i="7"/>
  <c r="P3227" i="7" s="1"/>
  <c r="Q3227" i="7" s="1"/>
  <c r="D3220" i="7"/>
  <c r="I3220" i="7" s="1"/>
  <c r="M3220" i="7" s="1"/>
  <c r="I84" i="4"/>
  <c r="R84" i="4"/>
  <c r="Q84" i="4"/>
  <c r="O84" i="4"/>
  <c r="K84" i="4"/>
  <c r="I2314" i="7"/>
  <c r="M2314" i="7" s="1"/>
  <c r="O1913" i="7"/>
  <c r="Q1913" i="7"/>
  <c r="O1878" i="7"/>
  <c r="Q1878" i="7"/>
  <c r="M1877" i="7"/>
  <c r="O1737" i="7"/>
  <c r="O1498" i="7"/>
  <c r="M1497" i="7"/>
  <c r="Q1498" i="7"/>
  <c r="O1505" i="7"/>
  <c r="Q1505" i="7"/>
  <c r="O1440" i="7"/>
  <c r="Q1440" i="7"/>
  <c r="M1439" i="7"/>
  <c r="Q1499" i="7"/>
  <c r="O1499" i="7"/>
  <c r="O1482" i="7"/>
  <c r="Q1482" i="7"/>
  <c r="O1584" i="7"/>
  <c r="M1583" i="7"/>
  <c r="Q1584" i="7"/>
  <c r="Q1601" i="7"/>
  <c r="O1601" i="7"/>
  <c r="Q1502" i="7"/>
  <c r="O1502" i="7"/>
  <c r="Q1556" i="7"/>
  <c r="O1556" i="7"/>
  <c r="O1430" i="7"/>
  <c r="Q1430" i="7"/>
  <c r="O1356" i="7"/>
  <c r="Q1356" i="7"/>
  <c r="O761" i="7"/>
  <c r="Q761" i="7"/>
  <c r="O480" i="7"/>
  <c r="Q480" i="7"/>
  <c r="O334" i="7"/>
  <c r="M333" i="7"/>
  <c r="Q334" i="7"/>
  <c r="O412" i="7"/>
  <c r="Q412" i="7"/>
  <c r="C265" i="11"/>
  <c r="M3049" i="7"/>
  <c r="I2115" i="7"/>
  <c r="M2115" i="7" s="1"/>
  <c r="I1928" i="7"/>
  <c r="M1928" i="7" s="1"/>
  <c r="O1610" i="7"/>
  <c r="Q1610" i="7"/>
  <c r="O1748" i="7"/>
  <c r="M1747" i="7"/>
  <c r="Q1748" i="7"/>
  <c r="O1657" i="7"/>
  <c r="Q1657" i="7"/>
  <c r="O1617" i="7"/>
  <c r="Q1617" i="7"/>
  <c r="O1644" i="7"/>
  <c r="Q1644" i="7"/>
  <c r="Q1660" i="7"/>
  <c r="O1660" i="7"/>
  <c r="O1749" i="7"/>
  <c r="Q1749" i="7"/>
  <c r="O1616" i="7"/>
  <c r="Q1616" i="7"/>
  <c r="O1658" i="7"/>
  <c r="Q1658" i="7"/>
  <c r="Q1647" i="7"/>
  <c r="O1647" i="7"/>
  <c r="Q1676" i="7"/>
  <c r="O1676" i="7"/>
  <c r="O1621" i="7"/>
  <c r="Q1621" i="7"/>
  <c r="M1648" i="7"/>
  <c r="O1649" i="7"/>
  <c r="Q1649" i="7"/>
  <c r="O1679" i="7"/>
  <c r="Q1679" i="7"/>
  <c r="O1613" i="7"/>
  <c r="Q1613" i="7"/>
  <c r="M1612" i="7"/>
  <c r="Q1642" i="7"/>
  <c r="O1642" i="7"/>
  <c r="M1751" i="7"/>
  <c r="Q1752" i="7"/>
  <c r="O1752" i="7"/>
  <c r="M1797" i="7"/>
  <c r="O1798" i="7"/>
  <c r="Q1798" i="7"/>
  <c r="Q1633" i="7"/>
  <c r="M1632" i="7"/>
  <c r="O1633" i="7"/>
  <c r="Q1662" i="7"/>
  <c r="O1662" i="7"/>
  <c r="Q1791" i="7"/>
  <c r="M1790" i="7"/>
  <c r="O1791" i="7"/>
  <c r="I960" i="7"/>
  <c r="M960" i="7" s="1"/>
  <c r="Q613" i="7"/>
  <c r="O613" i="7"/>
  <c r="M612" i="7"/>
  <c r="Q623" i="7"/>
  <c r="O623" i="7"/>
  <c r="I386" i="7"/>
  <c r="M386" i="7" s="1"/>
  <c r="O110" i="7"/>
  <c r="AB110" i="7" s="1"/>
  <c r="O147" i="7"/>
  <c r="AB147" i="7" s="1"/>
  <c r="Q192" i="7"/>
  <c r="O192" i="7"/>
  <c r="AB192" i="7" s="1"/>
  <c r="O155" i="7"/>
  <c r="AB155" i="7" s="1"/>
  <c r="O145" i="7"/>
  <c r="AB145" i="7" s="1"/>
  <c r="Q130" i="7"/>
  <c r="O130" i="7"/>
  <c r="AB130" i="7" s="1"/>
  <c r="O217" i="7"/>
  <c r="AB217" i="7" s="1"/>
  <c r="M216" i="7"/>
  <c r="O113" i="7"/>
  <c r="AB113" i="7" s="1"/>
  <c r="M112" i="7"/>
  <c r="M134" i="7"/>
  <c r="O135" i="7"/>
  <c r="AB135" i="7" s="1"/>
  <c r="O219" i="7"/>
  <c r="AB219" i="7" s="1"/>
  <c r="Q2471" i="7"/>
  <c r="O2471" i="7"/>
  <c r="O2468" i="7"/>
  <c r="Q2468" i="7"/>
  <c r="Q2390" i="7"/>
  <c r="O2390" i="7"/>
  <c r="M2389" i="7"/>
  <c r="Q2466" i="7"/>
  <c r="O2466" i="7"/>
  <c r="I2426" i="7"/>
  <c r="P2426" i="7"/>
  <c r="Q2452" i="7"/>
  <c r="O2452" i="7"/>
  <c r="Q1900" i="7"/>
  <c r="O1900" i="7"/>
  <c r="O1746" i="7"/>
  <c r="Q1746" i="7"/>
  <c r="M1745" i="7"/>
  <c r="Q1385" i="7"/>
  <c r="M1384" i="7"/>
  <c r="O1385" i="7"/>
  <c r="Q1300" i="7"/>
  <c r="O1300" i="7"/>
  <c r="Q357" i="7"/>
  <c r="O357" i="7"/>
  <c r="Q360" i="7"/>
  <c r="O360" i="7"/>
  <c r="O2094" i="7"/>
  <c r="Q2094" i="7"/>
  <c r="O2093" i="7"/>
  <c r="Q2093" i="7"/>
  <c r="CZ4" i="9"/>
  <c r="D34" i="5"/>
  <c r="O552" i="7"/>
  <c r="Q552" i="7"/>
  <c r="O1519" i="7"/>
  <c r="Q1519" i="7"/>
  <c r="Q1517" i="7"/>
  <c r="O1517" i="7"/>
  <c r="O1127" i="7"/>
  <c r="Q1127" i="7"/>
  <c r="Q1124" i="7"/>
  <c r="O1124" i="7"/>
  <c r="O1708" i="7"/>
  <c r="Q1708" i="7"/>
  <c r="Q1706" i="7"/>
  <c r="O1706" i="7"/>
  <c r="O3929" i="7"/>
  <c r="Q3929" i="7"/>
  <c r="M3693" i="7"/>
  <c r="Q3087" i="7"/>
  <c r="O3087" i="7"/>
  <c r="O931" i="7"/>
  <c r="Q931" i="7"/>
  <c r="O244" i="7"/>
  <c r="O354" i="7"/>
  <c r="Q354" i="7"/>
  <c r="Q3459" i="7"/>
  <c r="O3459" i="7"/>
  <c r="C381" i="11" s="1"/>
  <c r="P3658" i="7"/>
  <c r="Q3658" i="7" s="1"/>
  <c r="O3658" i="7"/>
  <c r="M3455" i="7"/>
  <c r="Q3456" i="7"/>
  <c r="O3456" i="7"/>
  <c r="Q3588" i="7"/>
  <c r="O3588" i="7"/>
  <c r="Q3579" i="7"/>
  <c r="O3579" i="7"/>
  <c r="Q1987" i="7"/>
  <c r="O1987" i="7"/>
  <c r="Q1845" i="7"/>
  <c r="M1844" i="7"/>
  <c r="O1845" i="7"/>
  <c r="Q1834" i="7"/>
  <c r="O1834" i="7"/>
  <c r="Q1910" i="7"/>
  <c r="O1910" i="7"/>
  <c r="O724" i="7"/>
  <c r="Q724" i="7"/>
  <c r="O327" i="7"/>
  <c r="Q327" i="7"/>
  <c r="Q301" i="7"/>
  <c r="M300" i="7"/>
  <c r="O301" i="7"/>
  <c r="Q2555" i="7"/>
  <c r="O2555" i="7"/>
  <c r="Q2047" i="7"/>
  <c r="O2047" i="7"/>
  <c r="O2051" i="7"/>
  <c r="Q2051" i="7"/>
  <c r="O1340" i="7"/>
  <c r="Q1340" i="7"/>
  <c r="O2126" i="7"/>
  <c r="Q2126" i="7"/>
  <c r="O670" i="7"/>
  <c r="Q670" i="7"/>
  <c r="Q3905" i="7"/>
  <c r="O3905" i="7"/>
  <c r="M3904" i="7"/>
  <c r="M3915" i="7"/>
  <c r="M4035" i="7"/>
  <c r="Q4097" i="7"/>
  <c r="O4097" i="7"/>
  <c r="M4096" i="7"/>
  <c r="Q4105" i="7"/>
  <c r="O4105" i="7"/>
  <c r="O4071" i="7"/>
  <c r="Q4071" i="7"/>
  <c r="C107" i="11"/>
  <c r="G2553" i="7"/>
  <c r="O894" i="7"/>
  <c r="Q894" i="7"/>
  <c r="Q889" i="7"/>
  <c r="O889" i="7"/>
  <c r="Q923" i="7"/>
  <c r="O923" i="7"/>
  <c r="Q905" i="7"/>
  <c r="O905" i="7"/>
  <c r="M446" i="7"/>
  <c r="O447" i="7"/>
  <c r="Q447" i="7"/>
  <c r="M242" i="7"/>
  <c r="I243" i="7"/>
  <c r="G242" i="7"/>
  <c r="P2969" i="7"/>
  <c r="Q2969" i="7" s="1"/>
  <c r="O2969" i="7"/>
  <c r="O3160" i="7"/>
  <c r="M3159" i="7"/>
  <c r="Q3160" i="7"/>
  <c r="Q3128" i="7"/>
  <c r="O3128" i="7"/>
  <c r="Q3169" i="7"/>
  <c r="O3169" i="7"/>
  <c r="I3082" i="7"/>
  <c r="P3082" i="7"/>
  <c r="P2977" i="7"/>
  <c r="Q2977" i="7" s="1"/>
  <c r="O2977" i="7"/>
  <c r="M3111" i="7"/>
  <c r="Q3112" i="7"/>
  <c r="O3112" i="7"/>
  <c r="I3132" i="7"/>
  <c r="G3131" i="7"/>
  <c r="M3131" i="7"/>
  <c r="Q3477" i="7"/>
  <c r="O3477" i="7"/>
  <c r="O2828" i="7"/>
  <c r="Q2828" i="7"/>
  <c r="M2824" i="7"/>
  <c r="O2489" i="7"/>
  <c r="Q2489" i="7"/>
  <c r="O932" i="7"/>
  <c r="Q932" i="7"/>
  <c r="O3557" i="7"/>
  <c r="Q3557" i="7"/>
  <c r="Q3630" i="7"/>
  <c r="O3630" i="7"/>
  <c r="O1806" i="7"/>
  <c r="M1805" i="7"/>
  <c r="Q1806" i="7"/>
  <c r="Q1887" i="7"/>
  <c r="O1887" i="7"/>
  <c r="M1889" i="7"/>
  <c r="O1890" i="7"/>
  <c r="Q1890" i="7"/>
  <c r="Q1327" i="7"/>
  <c r="O1327" i="7"/>
  <c r="O865" i="7"/>
  <c r="Q865" i="7"/>
  <c r="Q434" i="7"/>
  <c r="O434" i="7"/>
  <c r="M433" i="7"/>
  <c r="Q398" i="7"/>
  <c r="O398" i="7"/>
  <c r="O109" i="7"/>
  <c r="AB109" i="7" s="1"/>
  <c r="Q109" i="7"/>
  <c r="O2075" i="7"/>
  <c r="Q2075" i="7"/>
  <c r="O1344" i="7"/>
  <c r="Q1344" i="7"/>
  <c r="Q950" i="7"/>
  <c r="O950" i="7"/>
  <c r="M470" i="7"/>
  <c r="Q599" i="7"/>
  <c r="O599" i="7"/>
  <c r="HK4" i="9"/>
  <c r="M2120" i="7"/>
  <c r="M663" i="7"/>
  <c r="O693" i="7"/>
  <c r="Q693" i="7"/>
  <c r="Q2832" i="7"/>
  <c r="O2832" i="7"/>
  <c r="O2482" i="7"/>
  <c r="C70" i="11" s="1"/>
  <c r="Q2482" i="7"/>
  <c r="O838" i="7"/>
  <c r="Q838" i="7"/>
  <c r="I733" i="7"/>
  <c r="M733" i="7" s="1"/>
  <c r="O146" i="7"/>
  <c r="AB146" i="7" s="1"/>
  <c r="Q146" i="7"/>
  <c r="O3507" i="7"/>
  <c r="Q3507" i="7"/>
  <c r="O3581" i="7"/>
  <c r="Q3581" i="7"/>
  <c r="P3607" i="7"/>
  <c r="I3607" i="7"/>
  <c r="C414" i="11"/>
  <c r="P3539" i="7"/>
  <c r="Q3539" i="7" s="1"/>
  <c r="O1839" i="7"/>
  <c r="M1838" i="7"/>
  <c r="Q1839" i="7"/>
  <c r="Q1816" i="7"/>
  <c r="O1816" i="7"/>
  <c r="O1773" i="7"/>
  <c r="M1772" i="7"/>
  <c r="Q1773" i="7"/>
  <c r="O1317" i="7"/>
  <c r="Q1317" i="7"/>
  <c r="Q1321" i="7"/>
  <c r="O1321" i="7"/>
  <c r="Q1151" i="7"/>
  <c r="O1151" i="7"/>
  <c r="Q343" i="7"/>
  <c r="O343" i="7"/>
  <c r="O321" i="7"/>
  <c r="Q321" i="7"/>
  <c r="O305" i="7"/>
  <c r="Q305" i="7"/>
  <c r="Q266" i="7"/>
  <c r="O266" i="7"/>
  <c r="Q303" i="7"/>
  <c r="O303" i="7"/>
  <c r="Q318" i="7"/>
  <c r="O318" i="7"/>
  <c r="Q2700" i="7"/>
  <c r="O2700" i="7"/>
  <c r="C393" i="11"/>
  <c r="G3498" i="7"/>
  <c r="O2365" i="7"/>
  <c r="O2148" i="7"/>
  <c r="M2147" i="7"/>
  <c r="Q2148" i="7"/>
  <c r="M2070" i="7"/>
  <c r="Q2071" i="7"/>
  <c r="O2071" i="7"/>
  <c r="O2052" i="7"/>
  <c r="Q2052" i="7"/>
  <c r="Q2142" i="7"/>
  <c r="O2142" i="7"/>
  <c r="M2141" i="7"/>
  <c r="O2135" i="7"/>
  <c r="Q2135" i="7"/>
  <c r="M2014" i="7"/>
  <c r="Q2019" i="7"/>
  <c r="M2018" i="7"/>
  <c r="O2019" i="7"/>
  <c r="Q2048" i="7"/>
  <c r="O2048" i="7"/>
  <c r="Q2177" i="7"/>
  <c r="O2177" i="7"/>
  <c r="M2176" i="7"/>
  <c r="O2007" i="7"/>
  <c r="Q2007" i="7"/>
  <c r="O2065" i="7"/>
  <c r="Q2065" i="7"/>
  <c r="Q1999" i="7"/>
  <c r="M1998" i="7"/>
  <c r="O1999" i="7"/>
  <c r="Q2028" i="7"/>
  <c r="O2028" i="7"/>
  <c r="Q2138" i="7"/>
  <c r="O2138" i="7"/>
  <c r="M2137" i="7"/>
  <c r="Q2184" i="7"/>
  <c r="O2184" i="7"/>
  <c r="M2183" i="7"/>
  <c r="I1339" i="7"/>
  <c r="O1346" i="7"/>
  <c r="Q1346" i="7"/>
  <c r="Q1010" i="7"/>
  <c r="O1010" i="7"/>
  <c r="Q997" i="7"/>
  <c r="M996" i="7"/>
  <c r="O997" i="7"/>
  <c r="Q514" i="7"/>
  <c r="O514" i="7"/>
  <c r="O458" i="7"/>
  <c r="Q458" i="7"/>
  <c r="O473" i="7"/>
  <c r="Q473" i="7"/>
  <c r="O465" i="7"/>
  <c r="Q465" i="7"/>
  <c r="O517" i="7"/>
  <c r="Q517" i="7"/>
  <c r="Q601" i="7"/>
  <c r="O601" i="7"/>
  <c r="Q459" i="7"/>
  <c r="O459" i="7"/>
  <c r="Q619" i="7"/>
  <c r="M618" i="7"/>
  <c r="O619" i="7"/>
  <c r="Q462" i="7"/>
  <c r="O462" i="7"/>
  <c r="O520" i="7"/>
  <c r="Q520" i="7"/>
  <c r="O461" i="7"/>
  <c r="Q461" i="7"/>
  <c r="M460" i="7"/>
  <c r="Q627" i="7"/>
  <c r="M626" i="7"/>
  <c r="O627" i="7"/>
  <c r="Q483" i="7"/>
  <c r="O483" i="7"/>
  <c r="O513" i="7"/>
  <c r="M512" i="7"/>
  <c r="Q513" i="7"/>
  <c r="O600" i="7"/>
  <c r="Q600" i="7"/>
  <c r="I2540" i="7"/>
  <c r="M2538" i="7"/>
  <c r="Q2121" i="7"/>
  <c r="O2121" i="7"/>
  <c r="M825" i="7"/>
  <c r="O826" i="7"/>
  <c r="Q826" i="7"/>
  <c r="O828" i="7"/>
  <c r="Q828" i="7"/>
  <c r="O651" i="7"/>
  <c r="Q651" i="7"/>
  <c r="Q752" i="7"/>
  <c r="O752" i="7"/>
  <c r="O784" i="7"/>
  <c r="Q784" i="7"/>
  <c r="O707" i="7"/>
  <c r="Q707" i="7"/>
  <c r="Q795" i="7"/>
  <c r="O795" i="7"/>
  <c r="Q712" i="7"/>
  <c r="O712" i="7"/>
  <c r="Q435" i="7"/>
  <c r="O435" i="7"/>
  <c r="O4231" i="7"/>
  <c r="Q4231" i="7"/>
  <c r="O4208" i="7"/>
  <c r="Q4208" i="7"/>
  <c r="O3920" i="7"/>
  <c r="Q3920" i="7"/>
  <c r="Q4049" i="7"/>
  <c r="O4049" i="7"/>
  <c r="C573" i="11" s="1"/>
  <c r="M3541" i="7"/>
  <c r="G3541" i="7"/>
  <c r="O3554" i="7"/>
  <c r="Q3554" i="7"/>
  <c r="O3467" i="7"/>
  <c r="O3029" i="7"/>
  <c r="Q3029" i="7"/>
  <c r="O3243" i="7"/>
  <c r="M2973" i="7"/>
  <c r="M2963" i="7" s="1"/>
  <c r="Q2975" i="7"/>
  <c r="O2975" i="7"/>
  <c r="M3236" i="7"/>
  <c r="O2972" i="7"/>
  <c r="G2872" i="7"/>
  <c r="M2872" i="7"/>
  <c r="I2873" i="7"/>
  <c r="Q2947" i="7"/>
  <c r="O2947" i="7"/>
  <c r="M2946" i="7"/>
  <c r="O2812" i="7"/>
  <c r="Q2812" i="7"/>
  <c r="O2748" i="7"/>
  <c r="Q2593" i="7"/>
  <c r="O2593" i="7"/>
  <c r="M2592" i="7"/>
  <c r="O2517" i="7"/>
  <c r="Q2517" i="7"/>
  <c r="Q2407" i="7"/>
  <c r="O2407" i="7"/>
  <c r="M2510" i="7"/>
  <c r="O2526" i="7"/>
  <c r="Q2526" i="7"/>
  <c r="O749" i="7"/>
  <c r="Q749" i="7"/>
  <c r="Q556" i="7"/>
  <c r="O556" i="7"/>
  <c r="Q208" i="7"/>
  <c r="O208" i="7"/>
  <c r="AB208" i="7" s="1"/>
  <c r="O723" i="7"/>
  <c r="Q723" i="7"/>
  <c r="O843" i="7"/>
  <c r="Q843" i="7"/>
  <c r="O133" i="7"/>
  <c r="AB133" i="7" s="1"/>
  <c r="O3453" i="7"/>
  <c r="Q3453" i="7"/>
  <c r="P3516" i="7"/>
  <c r="G3516" i="7"/>
  <c r="P3505" i="7"/>
  <c r="Q3505" i="7" s="1"/>
  <c r="O3505" i="7"/>
  <c r="I3497" i="7"/>
  <c r="M3497" i="7" s="1"/>
  <c r="O3626" i="7"/>
  <c r="M3625" i="7"/>
  <c r="Q3626" i="7"/>
  <c r="O3655" i="7"/>
  <c r="Q3655" i="7"/>
  <c r="M3654" i="7"/>
  <c r="O3611" i="7"/>
  <c r="Q3611" i="7"/>
  <c r="O3646" i="7"/>
  <c r="Q3646" i="7"/>
  <c r="Q3460" i="7"/>
  <c r="O3460" i="7"/>
  <c r="C382" i="11" s="1"/>
  <c r="Q3511" i="7"/>
  <c r="O3511" i="7"/>
  <c r="Q3573" i="7"/>
  <c r="O3573" i="7"/>
  <c r="M3609" i="7"/>
  <c r="Q3610" i="7"/>
  <c r="O3610" i="7"/>
  <c r="Q3637" i="7"/>
  <c r="O3637" i="7"/>
  <c r="Q3492" i="7"/>
  <c r="O3492" i="7"/>
  <c r="Q3578" i="7"/>
  <c r="O3578" i="7"/>
  <c r="M3577" i="7"/>
  <c r="Q3650" i="7"/>
  <c r="O3650" i="7"/>
  <c r="C194" i="11"/>
  <c r="M2817" i="7"/>
  <c r="O1832" i="7"/>
  <c r="Q1832" i="7"/>
  <c r="O1851" i="7"/>
  <c r="Q1851" i="7"/>
  <c r="Q1837" i="7"/>
  <c r="O1837" i="7"/>
  <c r="O1827" i="7"/>
  <c r="Q1827" i="7"/>
  <c r="O1868" i="7"/>
  <c r="Q1868" i="7"/>
  <c r="O1985" i="7"/>
  <c r="Q1985" i="7"/>
  <c r="O1950" i="7"/>
  <c r="Q1950" i="7"/>
  <c r="Q1873" i="7"/>
  <c r="O1873" i="7"/>
  <c r="O1884" i="7"/>
  <c r="M1883" i="7"/>
  <c r="Q1884" i="7"/>
  <c r="Q1808" i="7"/>
  <c r="O1808" i="7"/>
  <c r="Q1862" i="7"/>
  <c r="O1862" i="7"/>
  <c r="O1817" i="7"/>
  <c r="Q1817" i="7"/>
  <c r="O1888" i="7"/>
  <c r="Q1888" i="7"/>
  <c r="Q1942" i="7"/>
  <c r="O1942" i="7"/>
  <c r="M1315" i="7"/>
  <c r="O1316" i="7"/>
  <c r="Q1316" i="7"/>
  <c r="Q1329" i="7"/>
  <c r="O1329" i="7"/>
  <c r="O1152" i="7"/>
  <c r="Q1152" i="7"/>
  <c r="Q802" i="7"/>
  <c r="O802" i="7"/>
  <c r="O581" i="7"/>
  <c r="Q581" i="7"/>
  <c r="Q428" i="7"/>
  <c r="O428" i="7"/>
  <c r="M427" i="7"/>
  <c r="M400" i="7"/>
  <c r="O401" i="7"/>
  <c r="Q401" i="7"/>
  <c r="O349" i="7"/>
  <c r="Q349" i="7"/>
  <c r="O409" i="7"/>
  <c r="Q409" i="7"/>
  <c r="Q258" i="7"/>
  <c r="O258" i="7"/>
  <c r="M257" i="7"/>
  <c r="Q288" i="7"/>
  <c r="O288" i="7"/>
  <c r="Q2567" i="7"/>
  <c r="O2567" i="7"/>
  <c r="Q2699" i="7"/>
  <c r="O2699" i="7"/>
  <c r="M2698" i="7"/>
  <c r="O1445" i="7"/>
  <c r="Q1445" i="7"/>
  <c r="H57" i="6"/>
  <c r="I20" i="6"/>
  <c r="Q743" i="7"/>
  <c r="O743" i="7"/>
  <c r="Q745" i="7"/>
  <c r="O745" i="7"/>
  <c r="DB4" i="9"/>
  <c r="O852" i="7"/>
  <c r="Q852" i="7"/>
  <c r="G3037" i="7"/>
  <c r="BQ96" i="4"/>
  <c r="O2578" i="7"/>
  <c r="O2155" i="7"/>
  <c r="M2154" i="7"/>
  <c r="Q2155" i="7"/>
  <c r="O2152" i="7"/>
  <c r="Q2152" i="7"/>
  <c r="Q2062" i="7"/>
  <c r="O2062" i="7"/>
  <c r="O2025" i="7"/>
  <c r="Q2025" i="7"/>
  <c r="M2133" i="7"/>
  <c r="O2134" i="7"/>
  <c r="Q2134" i="7"/>
  <c r="O2046" i="7"/>
  <c r="Q2046" i="7"/>
  <c r="N22" i="6"/>
  <c r="S22" i="6" s="1"/>
  <c r="D59" i="6"/>
  <c r="E22" i="6"/>
  <c r="O2102" i="7"/>
  <c r="Q2102" i="7"/>
  <c r="M2170" i="7"/>
  <c r="O2171" i="7"/>
  <c r="Q2171" i="7"/>
  <c r="Q2026" i="7"/>
  <c r="O2026" i="7"/>
  <c r="Q2083" i="7"/>
  <c r="O2083" i="7"/>
  <c r="M2082" i="7"/>
  <c r="Q2143" i="7"/>
  <c r="O2143" i="7"/>
  <c r="O2036" i="7"/>
  <c r="Q2036" i="7"/>
  <c r="Q2066" i="7"/>
  <c r="O2066" i="7"/>
  <c r="Q2041" i="7"/>
  <c r="O2041" i="7"/>
  <c r="Q2077" i="7"/>
  <c r="O2077" i="7"/>
  <c r="M2076" i="7"/>
  <c r="Q1935" i="7"/>
  <c r="O1935" i="7"/>
  <c r="Q1360" i="7"/>
  <c r="O1360" i="7"/>
  <c r="M1359" i="7"/>
  <c r="Q993" i="7"/>
  <c r="O993" i="7"/>
  <c r="D77" i="8"/>
  <c r="F77" i="8" s="1"/>
  <c r="F70" i="8" s="1"/>
  <c r="I149" i="8" s="1"/>
  <c r="I1011" i="7"/>
  <c r="M1011" i="7" s="1"/>
  <c r="M1008" i="7" s="1"/>
  <c r="O525" i="7"/>
  <c r="M524" i="7"/>
  <c r="Q525" i="7"/>
  <c r="Q497" i="7"/>
  <c r="O497" i="7"/>
  <c r="M595" i="7"/>
  <c r="O596" i="7"/>
  <c r="Q596" i="7"/>
  <c r="Q542" i="7"/>
  <c r="O542" i="7"/>
  <c r="O463" i="7"/>
  <c r="Q463" i="7"/>
  <c r="M490" i="7"/>
  <c r="O491" i="7"/>
  <c r="Q491" i="7"/>
  <c r="O499" i="7"/>
  <c r="Q499" i="7"/>
  <c r="O634" i="7"/>
  <c r="Q634" i="7"/>
  <c r="O515" i="7"/>
  <c r="Q515" i="7"/>
  <c r="Q391" i="7"/>
  <c r="O391" i="7"/>
  <c r="O2122" i="7"/>
  <c r="Q2122" i="7"/>
  <c r="Q1979" i="7"/>
  <c r="O1979" i="7"/>
  <c r="O671" i="7"/>
  <c r="Q671" i="7"/>
  <c r="Q687" i="7"/>
  <c r="O687" i="7"/>
  <c r="M686" i="7"/>
  <c r="O785" i="7"/>
  <c r="Q785" i="7"/>
  <c r="O658" i="7"/>
  <c r="Q658" i="7"/>
  <c r="Q652" i="7"/>
  <c r="O652" i="7"/>
  <c r="Q696" i="7"/>
  <c r="O696" i="7"/>
  <c r="O656" i="7"/>
  <c r="Q656" i="7"/>
  <c r="M683" i="7"/>
  <c r="O684" i="7"/>
  <c r="Q684" i="7"/>
  <c r="O714" i="7"/>
  <c r="Q714" i="7"/>
  <c r="Q677" i="7"/>
  <c r="O677" i="7"/>
  <c r="Q787" i="7"/>
  <c r="O787" i="7"/>
  <c r="M786" i="7"/>
  <c r="D4016" i="7"/>
  <c r="I4016" i="7" s="1"/>
  <c r="M4016" i="7" s="1"/>
  <c r="I4015" i="7"/>
  <c r="M4015" i="7" s="1"/>
  <c r="Q3902" i="7"/>
  <c r="O3902" i="7"/>
  <c r="M4107" i="7"/>
  <c r="O3944" i="7"/>
  <c r="Q3944" i="7"/>
  <c r="Q3938" i="7"/>
  <c r="M3937" i="7"/>
  <c r="O3938" i="7"/>
  <c r="Q4059" i="7"/>
  <c r="O4059" i="7"/>
  <c r="Q4098" i="7"/>
  <c r="O4098" i="7"/>
  <c r="O4065" i="7"/>
  <c r="Q4065" i="7"/>
  <c r="M4064" i="7"/>
  <c r="O4110" i="7"/>
  <c r="M4109" i="7"/>
  <c r="Q4110" i="7"/>
  <c r="Q4118" i="7"/>
  <c r="M4117" i="7"/>
  <c r="O4118" i="7"/>
  <c r="Q4069" i="7"/>
  <c r="O4069" i="7"/>
  <c r="I3070" i="7"/>
  <c r="M3070" i="7" s="1"/>
  <c r="D3071" i="7"/>
  <c r="I3071" i="7" s="1"/>
  <c r="M3071" i="7" s="1"/>
  <c r="I1537" i="7"/>
  <c r="M1537" i="7" s="1"/>
  <c r="O1107" i="7"/>
  <c r="Q1107" i="7"/>
  <c r="M1191" i="7"/>
  <c r="Q1192" i="7"/>
  <c r="O1192" i="7"/>
  <c r="O967" i="7"/>
  <c r="Q967" i="7"/>
  <c r="H59" i="6"/>
  <c r="I59" i="6" s="1"/>
  <c r="I22" i="6"/>
  <c r="O859" i="7"/>
  <c r="Q859" i="7"/>
  <c r="O864" i="7"/>
  <c r="Q864" i="7"/>
  <c r="O977" i="7"/>
  <c r="Q977" i="7"/>
  <c r="Q920" i="7"/>
  <c r="O920" i="7"/>
  <c r="Q875" i="7"/>
  <c r="O875" i="7"/>
  <c r="Q904" i="7"/>
  <c r="O904" i="7"/>
  <c r="Q871" i="7"/>
  <c r="O871" i="7"/>
  <c r="M898" i="7"/>
  <c r="Q899" i="7"/>
  <c r="O899" i="7"/>
  <c r="O1022" i="7"/>
  <c r="Q1022" i="7"/>
  <c r="Q861" i="7"/>
  <c r="M860" i="7"/>
  <c r="O861" i="7"/>
  <c r="Q890" i="7"/>
  <c r="O890" i="7"/>
  <c r="Q1013" i="7"/>
  <c r="M1012" i="7"/>
  <c r="O1013" i="7"/>
  <c r="Q628" i="7"/>
  <c r="O628" i="7"/>
  <c r="O3295" i="7"/>
  <c r="M3294" i="7"/>
  <c r="I3282" i="7"/>
  <c r="M3282" i="7" s="1"/>
  <c r="M3424" i="7"/>
  <c r="C96" i="4"/>
  <c r="D4" i="4" s="1"/>
  <c r="M3566" i="7"/>
  <c r="Q3567" i="7"/>
  <c r="O3567" i="7"/>
  <c r="O2954" i="7"/>
  <c r="Q2954" i="7"/>
  <c r="P3009" i="7"/>
  <c r="I3009" i="7"/>
  <c r="O3107" i="7"/>
  <c r="Q3107" i="7"/>
  <c r="P2994" i="7"/>
  <c r="I2994" i="7"/>
  <c r="O3115" i="7"/>
  <c r="Q3115" i="7"/>
  <c r="O3178" i="7"/>
  <c r="Q3178" i="7"/>
  <c r="P3097" i="7"/>
  <c r="Q3097" i="7" s="1"/>
  <c r="O3097" i="7"/>
  <c r="Q2992" i="7"/>
  <c r="O2992" i="7"/>
  <c r="O3005" i="7"/>
  <c r="Q3005" i="7"/>
  <c r="Q2957" i="7"/>
  <c r="M2956" i="7"/>
  <c r="O2957" i="7"/>
  <c r="O3181" i="7"/>
  <c r="Q3181" i="7"/>
  <c r="O3176" i="7"/>
  <c r="Q3176" i="7"/>
  <c r="O3170" i="7"/>
  <c r="Q3170" i="7"/>
  <c r="O3139" i="7"/>
  <c r="Q3139" i="7"/>
  <c r="I2735" i="7"/>
  <c r="P2735" i="7"/>
  <c r="O2821" i="7"/>
  <c r="Q2821" i="7"/>
  <c r="M2757" i="7"/>
  <c r="Q2758" i="7"/>
  <c r="O2758" i="7"/>
  <c r="Q2732" i="7"/>
  <c r="O2732" i="7"/>
  <c r="Q2846" i="7"/>
  <c r="O2846" i="7"/>
  <c r="P2767" i="7"/>
  <c r="I2767" i="7"/>
  <c r="P2822" i="7"/>
  <c r="I2822" i="7"/>
  <c r="Q2930" i="7"/>
  <c r="O2930" i="7"/>
  <c r="Q2611" i="7"/>
  <c r="O2611" i="7"/>
  <c r="Q2583" i="7"/>
  <c r="O2583" i="7"/>
  <c r="O2546" i="7"/>
  <c r="Q2546" i="7"/>
  <c r="O2626" i="7"/>
  <c r="Q2626" i="7"/>
  <c r="O2634" i="7"/>
  <c r="Q2634" i="7"/>
  <c r="Q2680" i="7"/>
  <c r="O2680" i="7"/>
  <c r="O2597" i="7"/>
  <c r="P2597" i="7"/>
  <c r="Q2597" i="7" s="1"/>
  <c r="Q2687" i="7"/>
  <c r="O2687" i="7"/>
  <c r="Q2621" i="7"/>
  <c r="O2621" i="7"/>
  <c r="Q2674" i="7"/>
  <c r="O2674" i="7"/>
  <c r="Q2507" i="7"/>
  <c r="O2507" i="7"/>
  <c r="C94" i="11" s="1"/>
  <c r="Q2670" i="7"/>
  <c r="O2670" i="7"/>
  <c r="O2696" i="7"/>
  <c r="Q2696" i="7"/>
  <c r="O2525" i="7"/>
  <c r="P2525" i="7"/>
  <c r="Q2525" i="7" s="1"/>
  <c r="O2603" i="7"/>
  <c r="P2603" i="7"/>
  <c r="Q2603" i="7" s="1"/>
  <c r="O2638" i="7"/>
  <c r="P2638" i="7"/>
  <c r="Q2638" i="7" s="1"/>
  <c r="Q2681" i="7"/>
  <c r="O2681" i="7"/>
  <c r="O2217" i="7"/>
  <c r="O2228" i="7"/>
  <c r="M2227" i="7"/>
  <c r="O2220" i="7"/>
  <c r="O2271" i="7"/>
  <c r="O2243" i="7"/>
  <c r="O2195" i="7"/>
  <c r="O2295" i="7"/>
  <c r="O2218" i="7"/>
  <c r="O2274" i="7"/>
  <c r="O2328" i="7"/>
  <c r="M2158" i="7"/>
  <c r="O2159" i="7"/>
  <c r="Q2159" i="7"/>
  <c r="Q1925" i="7"/>
  <c r="O1925" i="7"/>
  <c r="O1637" i="7"/>
  <c r="Q1637" i="7"/>
  <c r="O1570" i="7"/>
  <c r="Q1570" i="7"/>
  <c r="Q1496" i="7"/>
  <c r="O1496" i="7"/>
  <c r="I1350" i="7"/>
  <c r="M1350" i="7" s="1"/>
  <c r="D1161" i="7"/>
  <c r="D1159" i="7"/>
  <c r="I1159" i="7" s="1"/>
  <c r="M1159" i="7" s="1"/>
  <c r="D1157" i="7"/>
  <c r="I1157" i="7" s="1"/>
  <c r="M1157" i="7" s="1"/>
  <c r="D1155" i="7"/>
  <c r="I1155" i="7" s="1"/>
  <c r="D1162" i="7"/>
  <c r="D1158" i="7"/>
  <c r="I1158" i="7" s="1"/>
  <c r="M1158" i="7" s="1"/>
  <c r="D1156" i="7"/>
  <c r="I1156" i="7" s="1"/>
  <c r="M1156" i="7" s="1"/>
  <c r="D1160" i="7"/>
  <c r="I1160" i="7" s="1"/>
  <c r="M1160" i="7" s="1"/>
  <c r="O1169" i="7"/>
  <c r="M1168" i="7"/>
  <c r="Q1169" i="7"/>
  <c r="M1029" i="7"/>
  <c r="O1030" i="7"/>
  <c r="Q1030" i="7"/>
  <c r="O1078" i="7"/>
  <c r="Q1078" i="7"/>
  <c r="O1200" i="7"/>
  <c r="M1199" i="7"/>
  <c r="Q1200" i="7"/>
  <c r="Q1045" i="7"/>
  <c r="O1045" i="7"/>
  <c r="M1049" i="7"/>
  <c r="Q1088" i="7"/>
  <c r="O1088" i="7"/>
  <c r="Q1095" i="7"/>
  <c r="O1095" i="7"/>
  <c r="O1043" i="7"/>
  <c r="Q1043" i="7"/>
  <c r="Q1171" i="7"/>
  <c r="O1171" i="7"/>
  <c r="Q1048" i="7"/>
  <c r="O1048" i="7"/>
  <c r="M1197" i="7"/>
  <c r="O1198" i="7"/>
  <c r="Q1198" i="7"/>
  <c r="O1083" i="7"/>
  <c r="Q1083" i="7"/>
  <c r="M1211" i="7"/>
  <c r="Q1212" i="7"/>
  <c r="O1212" i="7"/>
  <c r="Q1068" i="7"/>
  <c r="O1068" i="7"/>
  <c r="Q1097" i="7"/>
  <c r="O1097" i="7"/>
  <c r="Q379" i="7"/>
  <c r="O379" i="7"/>
  <c r="M2297" i="7"/>
  <c r="O2298" i="7"/>
  <c r="M2359" i="7"/>
  <c r="O2360" i="7"/>
  <c r="O1831" i="7"/>
  <c r="Q1831" i="7"/>
  <c r="O1686" i="7"/>
  <c r="Q1686" i="7"/>
  <c r="M1770" i="7"/>
  <c r="Q1771" i="7"/>
  <c r="O1771" i="7"/>
  <c r="I1544" i="7"/>
  <c r="M1544" i="7" s="1"/>
  <c r="O1311" i="7"/>
  <c r="M1310" i="7"/>
  <c r="Q1311" i="7"/>
  <c r="O1391" i="7"/>
  <c r="M1390" i="7"/>
  <c r="Q1391" i="7"/>
  <c r="O1364" i="7"/>
  <c r="Q1364" i="7"/>
  <c r="O1372" i="7"/>
  <c r="Q1372" i="7"/>
  <c r="Q1277" i="7"/>
  <c r="O1277" i="7"/>
  <c r="O1233" i="7"/>
  <c r="M1232" i="7"/>
  <c r="Q1233" i="7"/>
  <c r="O1291" i="7"/>
  <c r="Q1291" i="7"/>
  <c r="Q1249" i="7"/>
  <c r="O1249" i="7"/>
  <c r="Q1278" i="7"/>
  <c r="O1278" i="7"/>
  <c r="Q1313" i="7"/>
  <c r="O1313" i="7"/>
  <c r="O1238" i="7"/>
  <c r="Q1238" i="7"/>
  <c r="O1281" i="7"/>
  <c r="Q1281" i="7"/>
  <c r="O1223" i="7"/>
  <c r="Q1223" i="7"/>
  <c r="M1222" i="7"/>
  <c r="Q1287" i="7"/>
  <c r="O1287" i="7"/>
  <c r="Q1250" i="7"/>
  <c r="O1250" i="7"/>
  <c r="Q1279" i="7"/>
  <c r="O1279" i="7"/>
  <c r="Q1314" i="7"/>
  <c r="O1314" i="7"/>
  <c r="Q1195" i="7"/>
  <c r="O1195" i="7"/>
  <c r="O4055" i="7"/>
  <c r="Q4055" i="7"/>
  <c r="I2316" i="7"/>
  <c r="M2316" i="7" s="1"/>
  <c r="Q1960" i="7"/>
  <c r="O1960" i="7"/>
  <c r="O1959" i="7"/>
  <c r="Q1959" i="7"/>
  <c r="I1741" i="7"/>
  <c r="M1741" i="7" s="1"/>
  <c r="Q1471" i="7"/>
  <c r="O1471" i="7"/>
  <c r="O1422" i="7"/>
  <c r="Q1422" i="7"/>
  <c r="O1467" i="7"/>
  <c r="Q1467" i="7"/>
  <c r="O1564" i="7"/>
  <c r="Q1564" i="7"/>
  <c r="Q1481" i="7"/>
  <c r="O1481" i="7"/>
  <c r="Q1506" i="7"/>
  <c r="O1506" i="7"/>
  <c r="Q1457" i="7"/>
  <c r="O1457" i="7"/>
  <c r="Q1486" i="7"/>
  <c r="O1486" i="7"/>
  <c r="O1469" i="7"/>
  <c r="Q1469" i="7"/>
  <c r="Q1567" i="7"/>
  <c r="O1567" i="7"/>
  <c r="Q1465" i="7"/>
  <c r="O1465" i="7"/>
  <c r="Q1501" i="7"/>
  <c r="O1501" i="7"/>
  <c r="Q1555" i="7"/>
  <c r="O1555" i="7"/>
  <c r="M1554" i="7"/>
  <c r="Q1592" i="7"/>
  <c r="M1591" i="7"/>
  <c r="O1592" i="7"/>
  <c r="Q1207" i="7"/>
  <c r="O1207" i="7"/>
  <c r="I763" i="7"/>
  <c r="M763" i="7" s="1"/>
  <c r="O479" i="7"/>
  <c r="Q479" i="7"/>
  <c r="O369" i="7"/>
  <c r="Q369" i="7"/>
  <c r="Q430" i="7"/>
  <c r="O430" i="7"/>
  <c r="M429" i="7"/>
  <c r="M3334" i="7"/>
  <c r="I17" i="6"/>
  <c r="H54" i="6"/>
  <c r="O3436" i="7"/>
  <c r="I2116" i="7"/>
  <c r="M2116" i="7" s="1"/>
  <c r="I1932" i="7"/>
  <c r="M1932" i="7" s="1"/>
  <c r="O1695" i="7"/>
  <c r="Q1695" i="7"/>
  <c r="O1754" i="7"/>
  <c r="M1753" i="7"/>
  <c r="Q1754" i="7"/>
  <c r="O1655" i="7"/>
  <c r="Q1655" i="7"/>
  <c r="M1690" i="7"/>
  <c r="O1691" i="7"/>
  <c r="Q1691" i="7"/>
  <c r="Q1697" i="7"/>
  <c r="O1697" i="7"/>
  <c r="M1696" i="7"/>
  <c r="Q1757" i="7"/>
  <c r="O1757" i="7"/>
  <c r="I955" i="7"/>
  <c r="M955" i="7" s="1"/>
  <c r="Q974" i="7"/>
  <c r="O974" i="7"/>
  <c r="M973" i="7"/>
  <c r="D95" i="8"/>
  <c r="F95" i="8" s="1"/>
  <c r="I625" i="7"/>
  <c r="M625" i="7" s="1"/>
  <c r="Q527" i="7"/>
  <c r="M526" i="7"/>
  <c r="O527" i="7"/>
  <c r="I388" i="7"/>
  <c r="M388" i="7" s="1"/>
  <c r="O139" i="7"/>
  <c r="AB139" i="7" s="1"/>
  <c r="O175" i="7"/>
  <c r="AB175" i="7" s="1"/>
  <c r="Q175" i="7"/>
  <c r="O154" i="7"/>
  <c r="AB154" i="7" s="1"/>
  <c r="M153" i="7"/>
  <c r="Q154" i="7"/>
  <c r="O104" i="7"/>
  <c r="AB104" i="7" s="1"/>
  <c r="O158" i="7"/>
  <c r="AB158" i="7" s="1"/>
  <c r="O111" i="7"/>
  <c r="AB111" i="7" s="1"/>
  <c r="O105" i="7"/>
  <c r="AB105" i="7" s="1"/>
  <c r="O150" i="7"/>
  <c r="AB150" i="7" s="1"/>
  <c r="O212" i="7"/>
  <c r="AB212" i="7" s="1"/>
  <c r="Q2424" i="7"/>
  <c r="O2424" i="7"/>
  <c r="C59" i="11" s="1"/>
  <c r="P2472" i="7"/>
  <c r="I2472" i="7"/>
  <c r="I2393" i="7"/>
  <c r="P2393" i="7"/>
  <c r="Q2443" i="7"/>
  <c r="O2443" i="7"/>
  <c r="Q2430" i="7"/>
  <c r="O2430" i="7"/>
  <c r="O2391" i="7"/>
  <c r="C50" i="11" s="1"/>
  <c r="Q2391" i="7"/>
  <c r="O2405" i="7"/>
  <c r="P2405" i="7"/>
  <c r="Q2405" i="7" s="1"/>
  <c r="Q2429" i="7"/>
  <c r="M2428" i="7"/>
  <c r="O2429" i="7"/>
  <c r="O2454" i="7"/>
  <c r="P2454" i="7"/>
  <c r="Q2454" i="7" s="1"/>
  <c r="O1906" i="7"/>
  <c r="Q1906" i="7"/>
  <c r="O1380" i="7"/>
  <c r="Q1380" i="7"/>
  <c r="O1333" i="7"/>
  <c r="M1332" i="7"/>
  <c r="Q1333" i="7"/>
  <c r="Q1336" i="7"/>
  <c r="O1336" i="7"/>
  <c r="O364" i="7"/>
  <c r="Q364" i="7"/>
  <c r="Q351" i="7"/>
  <c r="M350" i="7"/>
  <c r="O351" i="7"/>
  <c r="O2088" i="7"/>
  <c r="M2087" i="7"/>
  <c r="Q2088" i="7"/>
  <c r="O2101" i="7"/>
  <c r="Q2101" i="7"/>
  <c r="G20" i="6"/>
  <c r="O2281" i="7"/>
  <c r="O1518" i="7"/>
  <c r="Q1518" i="7"/>
  <c r="Q1516" i="7"/>
  <c r="O1516" i="7"/>
  <c r="Q1130" i="7"/>
  <c r="O1130" i="7"/>
  <c r="Q1132" i="7"/>
  <c r="O1132" i="7"/>
  <c r="O1715" i="7"/>
  <c r="Q1715" i="7"/>
  <c r="O1714" i="7"/>
  <c r="Q1714" i="7"/>
  <c r="D3745" i="7"/>
  <c r="Q936" i="7"/>
  <c r="O936" i="7"/>
  <c r="Q937" i="7"/>
  <c r="O937" i="7"/>
  <c r="G13" i="6"/>
  <c r="D3972" i="7"/>
  <c r="I3972" i="7" s="1"/>
  <c r="M3972" i="7" s="1"/>
  <c r="I3971" i="7"/>
  <c r="M3971" i="7" s="1"/>
  <c r="O276" i="7"/>
  <c r="Q276" i="7"/>
  <c r="O13" i="6"/>
  <c r="T13" i="6" s="1"/>
  <c r="E13" i="6"/>
  <c r="N13" i="6"/>
  <c r="S13" i="6" s="1"/>
  <c r="O293" i="7"/>
  <c r="Q293" i="7"/>
  <c r="Q308" i="7"/>
  <c r="O308" i="7"/>
  <c r="M274" i="7"/>
  <c r="Q275" i="7"/>
  <c r="O275" i="7"/>
  <c r="Q289" i="7"/>
  <c r="O289" i="7"/>
  <c r="Q260" i="7"/>
  <c r="O260" i="7"/>
  <c r="O2563" i="7"/>
  <c r="Q2563" i="7"/>
  <c r="Q2556" i="7"/>
  <c r="O2556" i="7"/>
  <c r="Q4249" i="7"/>
  <c r="O4249" i="7"/>
  <c r="C42" i="6"/>
  <c r="D3023" i="7"/>
  <c r="O569" i="7"/>
  <c r="Q569" i="7"/>
  <c r="Q287" i="7"/>
  <c r="O287" i="7"/>
  <c r="O2003" i="7"/>
  <c r="Q2003" i="7"/>
  <c r="O2035" i="7"/>
  <c r="Q2035" i="7"/>
  <c r="M2034" i="7"/>
  <c r="O4235" i="7"/>
  <c r="Q4235" i="7"/>
  <c r="M3826" i="7"/>
  <c r="I3827" i="7"/>
  <c r="O4223" i="7"/>
  <c r="Q4223" i="7"/>
  <c r="Q3558" i="7"/>
  <c r="O3558" i="7"/>
  <c r="O3565" i="7"/>
  <c r="O3556" i="7"/>
  <c r="C251" i="11"/>
  <c r="O3464" i="7"/>
  <c r="O2945" i="7"/>
  <c r="Q2945" i="7"/>
  <c r="O2529" i="7"/>
  <c r="Q2453" i="7"/>
  <c r="O2453" i="7"/>
  <c r="Q2685" i="7"/>
  <c r="M2684" i="7"/>
  <c r="O2685" i="7"/>
  <c r="O2605" i="7"/>
  <c r="O2388" i="7"/>
  <c r="Q2388" i="7"/>
  <c r="O2498" i="7"/>
  <c r="Q2498" i="7"/>
  <c r="O2511" i="7"/>
  <c r="C97" i="11" s="1"/>
  <c r="O2528" i="7"/>
  <c r="O2382" i="7"/>
  <c r="Q2382" i="7"/>
  <c r="Q533" i="7"/>
  <c r="M532" i="7"/>
  <c r="O533" i="7"/>
  <c r="M538" i="7"/>
  <c r="O539" i="7"/>
  <c r="Q539" i="7"/>
  <c r="M116" i="7"/>
  <c r="O117" i="7"/>
  <c r="AB117" i="7" s="1"/>
  <c r="Q117" i="7"/>
  <c r="Q555" i="7"/>
  <c r="O555" i="7"/>
  <c r="Q531" i="7"/>
  <c r="O531" i="7"/>
  <c r="O222" i="7"/>
  <c r="AB222" i="7" s="1"/>
  <c r="Q222" i="7"/>
  <c r="C531" i="11"/>
  <c r="G3952" i="7"/>
  <c r="I3952" i="7" s="1"/>
  <c r="M3952" i="7" s="1"/>
  <c r="M3770" i="7"/>
  <c r="O3458" i="7"/>
  <c r="Q3458" i="7"/>
  <c r="Q3486" i="7"/>
  <c r="O3486" i="7"/>
  <c r="O3488" i="7"/>
  <c r="Q3488" i="7"/>
  <c r="O3499" i="7"/>
  <c r="C394" i="11" s="1"/>
  <c r="Q3499" i="7"/>
  <c r="O3633" i="7"/>
  <c r="Q3633" i="7"/>
  <c r="O3647" i="7"/>
  <c r="Q3647" i="7"/>
  <c r="P3546" i="7"/>
  <c r="Q3546" i="7" s="1"/>
  <c r="O3546" i="7"/>
  <c r="O3589" i="7"/>
  <c r="Q3589" i="7"/>
  <c r="O3606" i="7"/>
  <c r="Q3606" i="7"/>
  <c r="M3445" i="7"/>
  <c r="Q3446" i="7"/>
  <c r="O3446" i="7"/>
  <c r="O3487" i="7"/>
  <c r="Q3487" i="7"/>
  <c r="P3532" i="7"/>
  <c r="G3532" i="7"/>
  <c r="G3533" i="7" s="1"/>
  <c r="G3534" i="7" s="1"/>
  <c r="P3552" i="7"/>
  <c r="Q3552" i="7" s="1"/>
  <c r="O3552" i="7"/>
  <c r="O3656" i="7"/>
  <c r="Q3656" i="7"/>
  <c r="Q3585" i="7"/>
  <c r="O3585" i="7"/>
  <c r="O3547" i="7"/>
  <c r="Q3547" i="7"/>
  <c r="Q3645" i="7"/>
  <c r="O3645" i="7"/>
  <c r="Q3616" i="7"/>
  <c r="O3616" i="7"/>
  <c r="Q3615" i="7"/>
  <c r="O3615" i="7"/>
  <c r="O2818" i="7"/>
  <c r="Q2818" i="7"/>
  <c r="O2321" i="7"/>
  <c r="O1848" i="7"/>
  <c r="Q1848" i="7"/>
  <c r="O1876" i="7"/>
  <c r="M1875" i="7"/>
  <c r="Q1876" i="7"/>
  <c r="Q1807" i="7"/>
  <c r="O1807" i="7"/>
  <c r="Q1857" i="7"/>
  <c r="O1857" i="7"/>
  <c r="M1983" i="7"/>
  <c r="O1984" i="7"/>
  <c r="Q1984" i="7"/>
  <c r="O1812" i="7"/>
  <c r="M1811" i="7"/>
  <c r="Q1812" i="7"/>
  <c r="Q1815" i="7"/>
  <c r="O1815" i="7"/>
  <c r="O1991" i="7"/>
  <c r="M1990" i="7"/>
  <c r="Q1991" i="7"/>
  <c r="Q1823" i="7"/>
  <c r="O1823" i="7"/>
  <c r="M1822" i="7"/>
  <c r="O1854" i="7"/>
  <c r="Q1854" i="7"/>
  <c r="O1852" i="7"/>
  <c r="Q1852" i="7"/>
  <c r="Q1319" i="7"/>
  <c r="O1319" i="7"/>
  <c r="M1166" i="7"/>
  <c r="O1167" i="7"/>
  <c r="Q1167" i="7"/>
  <c r="Q1153" i="7"/>
  <c r="O1153" i="7"/>
  <c r="O816" i="7"/>
  <c r="Q816" i="7"/>
  <c r="Q778" i="7"/>
  <c r="O778" i="7"/>
  <c r="Q755" i="7"/>
  <c r="O755" i="7"/>
  <c r="O583" i="7"/>
  <c r="Q583" i="7"/>
  <c r="Q397" i="7"/>
  <c r="O397" i="7"/>
  <c r="M396" i="7"/>
  <c r="Q403" i="7"/>
  <c r="O403" i="7"/>
  <c r="M402" i="7"/>
  <c r="Q265" i="7"/>
  <c r="O265" i="7"/>
  <c r="Q307" i="7"/>
  <c r="O307" i="7"/>
  <c r="O407" i="7"/>
  <c r="Q407" i="7"/>
  <c r="Q273" i="7"/>
  <c r="O273" i="7"/>
  <c r="Q316" i="7"/>
  <c r="O316" i="7"/>
  <c r="M281" i="7"/>
  <c r="Q282" i="7"/>
  <c r="O282" i="7"/>
  <c r="O311" i="7"/>
  <c r="Q311" i="7"/>
  <c r="M439" i="7"/>
  <c r="Q440" i="7"/>
  <c r="O440" i="7"/>
  <c r="Q296" i="7"/>
  <c r="O296" i="7"/>
  <c r="O325" i="7"/>
  <c r="Q325" i="7"/>
  <c r="Q324" i="7"/>
  <c r="O324" i="7"/>
  <c r="O2545" i="7"/>
  <c r="Q2545" i="7"/>
  <c r="Q2539" i="7"/>
  <c r="O2539" i="7"/>
  <c r="Q1444" i="7"/>
  <c r="O1444" i="7"/>
  <c r="Q568" i="7"/>
  <c r="O568" i="7"/>
  <c r="C277" i="11"/>
  <c r="M3073" i="7"/>
  <c r="O2586" i="7"/>
  <c r="Q2586" i="7"/>
  <c r="O2074" i="7"/>
  <c r="Q2074" i="7"/>
  <c r="Q2105" i="7"/>
  <c r="O2105" i="7"/>
  <c r="M2104" i="7"/>
  <c r="Q2106" i="7"/>
  <c r="O2106" i="7"/>
  <c r="O2059" i="7"/>
  <c r="Q2059" i="7"/>
  <c r="O2010" i="7"/>
  <c r="Q2010" i="7"/>
  <c r="M1994" i="7"/>
  <c r="O1995" i="7"/>
  <c r="Q1995" i="7"/>
  <c r="Q2033" i="7"/>
  <c r="O2033" i="7"/>
  <c r="O2038" i="7"/>
  <c r="M2037" i="7"/>
  <c r="Q2038" i="7"/>
  <c r="Q2027" i="7"/>
  <c r="O2027" i="7"/>
  <c r="O2180" i="7"/>
  <c r="Q2180" i="7"/>
  <c r="O2042" i="7"/>
  <c r="Q2042" i="7"/>
  <c r="Q2078" i="7"/>
  <c r="O2078" i="7"/>
  <c r="Q2006" i="7"/>
  <c r="O2006" i="7"/>
  <c r="Q2144" i="7"/>
  <c r="O2144" i="7"/>
  <c r="Q1966" i="7"/>
  <c r="M1965" i="7"/>
  <c r="O1966" i="7"/>
  <c r="I1343" i="7"/>
  <c r="M1343" i="7" s="1"/>
  <c r="O4247" i="7"/>
  <c r="Q4247" i="7"/>
  <c r="C40" i="6"/>
  <c r="Q971" i="7"/>
  <c r="O971" i="7"/>
  <c r="M912" i="7"/>
  <c r="Q913" i="7"/>
  <c r="O913" i="7"/>
  <c r="O464" i="7"/>
  <c r="Q464" i="7"/>
  <c r="O635" i="7"/>
  <c r="Q635" i="7"/>
  <c r="Q536" i="7"/>
  <c r="O536" i="7"/>
  <c r="O472" i="7"/>
  <c r="M471" i="7"/>
  <c r="Q472" i="7"/>
  <c r="O502" i="7"/>
  <c r="Q502" i="7"/>
  <c r="O495" i="7"/>
  <c r="Q495" i="7"/>
  <c r="O534" i="7"/>
  <c r="Q534" i="7"/>
  <c r="Q469" i="7"/>
  <c r="O469" i="7"/>
  <c r="Q519" i="7"/>
  <c r="O519" i="7"/>
  <c r="O591" i="7"/>
  <c r="Q591" i="7"/>
  <c r="Q638" i="7"/>
  <c r="O638" i="7"/>
  <c r="M637" i="7"/>
  <c r="O521" i="7"/>
  <c r="Q521" i="7"/>
  <c r="Q422" i="7"/>
  <c r="O422" i="7"/>
  <c r="M421" i="7"/>
  <c r="I2500" i="7"/>
  <c r="O2123" i="7"/>
  <c r="Q2123" i="7"/>
  <c r="O685" i="7"/>
  <c r="Q685" i="7"/>
  <c r="O659" i="7"/>
  <c r="Q659" i="7"/>
  <c r="O692" i="7"/>
  <c r="Q692" i="7"/>
  <c r="M782" i="7"/>
  <c r="O783" i="7"/>
  <c r="Q783" i="7"/>
  <c r="O702" i="7"/>
  <c r="Q702" i="7"/>
  <c r="O716" i="7"/>
  <c r="Q716" i="7"/>
  <c r="Q690" i="7"/>
  <c r="O690" i="7"/>
  <c r="Q730" i="7"/>
  <c r="O730" i="7"/>
  <c r="Q661" i="7"/>
  <c r="M660" i="7"/>
  <c r="O661" i="7"/>
  <c r="Q689" i="7"/>
  <c r="O689" i="7"/>
  <c r="Q4076" i="7"/>
  <c r="O4076" i="7"/>
  <c r="Q4104" i="7"/>
  <c r="O4104" i="7"/>
  <c r="Q4163" i="7"/>
  <c r="O4163" i="7"/>
  <c r="O4122" i="7"/>
  <c r="Q4122" i="7"/>
  <c r="O31" i="6"/>
  <c r="T31" i="6" s="1"/>
  <c r="E31" i="6"/>
  <c r="Q31" i="6" s="1"/>
  <c r="H31" i="6"/>
  <c r="N31" i="6"/>
  <c r="S31" i="6" s="1"/>
  <c r="Q4080" i="7"/>
  <c r="O4080" i="7"/>
  <c r="O3901" i="7"/>
  <c r="Q3901" i="7"/>
  <c r="O3946" i="7"/>
  <c r="Q3946" i="7"/>
  <c r="Q4132" i="7"/>
  <c r="O4132" i="7"/>
  <c r="Q4066" i="7"/>
  <c r="O4066" i="7"/>
  <c r="M3947" i="7"/>
  <c r="O4044" i="7"/>
  <c r="Q4044" i="7"/>
  <c r="Q3961" i="7"/>
  <c r="O3961" i="7"/>
  <c r="O4061" i="7"/>
  <c r="Q4061" i="7"/>
  <c r="Q4114" i="7"/>
  <c r="O4114" i="7"/>
  <c r="Q4136" i="7"/>
  <c r="O4136" i="7"/>
  <c r="C275" i="11"/>
  <c r="M3069" i="7"/>
  <c r="O1553" i="7"/>
  <c r="M1552" i="7"/>
  <c r="Q1553" i="7"/>
  <c r="O1252" i="7"/>
  <c r="Q1252" i="7"/>
  <c r="M1105" i="7"/>
  <c r="O1106" i="7"/>
  <c r="Q1106" i="7"/>
  <c r="O1204" i="7"/>
  <c r="Q1204" i="7"/>
  <c r="O965" i="7"/>
  <c r="Q965" i="7"/>
  <c r="D3066" i="7"/>
  <c r="I3065" i="7"/>
  <c r="M339" i="7"/>
  <c r="O340" i="7"/>
  <c r="Q340" i="7"/>
  <c r="H56" i="6"/>
  <c r="I19" i="6"/>
  <c r="O4161" i="7"/>
  <c r="Q4161" i="7"/>
  <c r="M4160" i="7"/>
  <c r="M4151" i="7" s="1"/>
  <c r="O3545" i="7"/>
  <c r="Q984" i="7"/>
  <c r="O984" i="7"/>
  <c r="M983" i="7"/>
  <c r="O978" i="7"/>
  <c r="Q978" i="7"/>
  <c r="O878" i="7"/>
  <c r="Q878" i="7"/>
  <c r="O893" i="7"/>
  <c r="Q893" i="7"/>
  <c r="M1006" i="7"/>
  <c r="O1007" i="7"/>
  <c r="Q1007" i="7"/>
  <c r="Q1020" i="7"/>
  <c r="O1020" i="7"/>
  <c r="O848" i="7"/>
  <c r="Q848" i="7"/>
  <c r="Q988" i="7"/>
  <c r="O988" i="7"/>
  <c r="O862" i="7"/>
  <c r="Q862" i="7"/>
  <c r="O906" i="7"/>
  <c r="Q906" i="7"/>
  <c r="Q922" i="7"/>
  <c r="O922" i="7"/>
  <c r="O3268" i="7"/>
  <c r="Q3268" i="7"/>
  <c r="O3285" i="7"/>
  <c r="C552" i="11"/>
  <c r="M3994" i="7"/>
  <c r="M3264" i="7"/>
  <c r="I3266" i="7"/>
  <c r="Q2961" i="7"/>
  <c r="O2961" i="7"/>
  <c r="C229" i="11" s="1"/>
  <c r="P2981" i="7"/>
  <c r="Q2981" i="7" s="1"/>
  <c r="O2981" i="7"/>
  <c r="O3182" i="7"/>
  <c r="Q3182" i="7"/>
  <c r="O3114" i="7"/>
  <c r="Q3114" i="7"/>
  <c r="M3003" i="7"/>
  <c r="O3004" i="7"/>
  <c r="Q3004" i="7"/>
  <c r="Q3001" i="7"/>
  <c r="O3001" i="7"/>
  <c r="Q3144" i="7"/>
  <c r="O3144" i="7"/>
  <c r="M3143" i="7"/>
  <c r="O3186" i="7"/>
  <c r="M3185" i="7"/>
  <c r="Q3186" i="7"/>
  <c r="Q3000" i="7"/>
  <c r="O3000" i="7"/>
  <c r="Q3145" i="7"/>
  <c r="O3145" i="7"/>
  <c r="P2940" i="7"/>
  <c r="F27" i="6" s="1"/>
  <c r="D27" i="6"/>
  <c r="Q3109" i="7"/>
  <c r="O3109" i="7"/>
  <c r="I2993" i="7"/>
  <c r="M2993" i="7" s="1"/>
  <c r="P3025" i="7"/>
  <c r="G3025" i="7"/>
  <c r="G3026" i="7" s="1"/>
  <c r="G3027" i="7" s="1"/>
  <c r="Q3110" i="7"/>
  <c r="O3110" i="7"/>
  <c r="O3167" i="7"/>
  <c r="Q3167" i="7"/>
  <c r="O3177" i="7"/>
  <c r="Q3177" i="7"/>
  <c r="G2798" i="7"/>
  <c r="G2799" i="7" s="1"/>
  <c r="G2800" i="7" s="1"/>
  <c r="P2798" i="7"/>
  <c r="O2858" i="7"/>
  <c r="Q2858" i="7"/>
  <c r="Q2910" i="7"/>
  <c r="O2910" i="7"/>
  <c r="O2859" i="7"/>
  <c r="Q2859" i="7"/>
  <c r="O2763" i="7"/>
  <c r="Q2763" i="7"/>
  <c r="O2901" i="7"/>
  <c r="Q2901" i="7"/>
  <c r="P2839" i="7"/>
  <c r="Q2839" i="7" s="1"/>
  <c r="O2839" i="7"/>
  <c r="Q2733" i="7"/>
  <c r="O2733" i="7"/>
  <c r="C159" i="11" s="1"/>
  <c r="Q2718" i="7"/>
  <c r="O2718" i="7"/>
  <c r="I2782" i="7"/>
  <c r="P2782" i="7"/>
  <c r="Q2879" i="7"/>
  <c r="O2879" i="7"/>
  <c r="O2903" i="7"/>
  <c r="Q2903" i="7"/>
  <c r="O2939" i="7"/>
  <c r="Q2939" i="7"/>
  <c r="Q2920" i="7"/>
  <c r="O2920" i="7"/>
  <c r="P2530" i="7"/>
  <c r="Q2530" i="7" s="1"/>
  <c r="O2530" i="7"/>
  <c r="P2531" i="7"/>
  <c r="Q2531" i="7" s="1"/>
  <c r="O2531" i="7"/>
  <c r="O2651" i="7"/>
  <c r="Q2651" i="7"/>
  <c r="P2636" i="7"/>
  <c r="I2636" i="7"/>
  <c r="O2689" i="7"/>
  <c r="Q2689" i="7"/>
  <c r="O2619" i="7"/>
  <c r="Q2619" i="7"/>
  <c r="Q2635" i="7"/>
  <c r="O2635" i="7"/>
  <c r="Q2690" i="7"/>
  <c r="O2690" i="7"/>
  <c r="O2562" i="7"/>
  <c r="P2562" i="7"/>
  <c r="Q2562" i="7" s="1"/>
  <c r="Q2691" i="7"/>
  <c r="O2691" i="7"/>
  <c r="O2508" i="7"/>
  <c r="C95" i="11" s="1"/>
  <c r="Q2508" i="7"/>
  <c r="O2625" i="7"/>
  <c r="Q2625" i="7"/>
  <c r="O2678" i="7"/>
  <c r="Q2678" i="7"/>
  <c r="Q2633" i="7"/>
  <c r="O2633" i="7"/>
  <c r="D2311" i="7"/>
  <c r="I2311" i="7" s="1"/>
  <c r="M2311" i="7" s="1"/>
  <c r="D2309" i="7"/>
  <c r="I2309" i="7" s="1"/>
  <c r="M2309" i="7" s="1"/>
  <c r="D2307" i="7"/>
  <c r="I2307" i="7" s="1"/>
  <c r="M2307" i="7" s="1"/>
  <c r="D2305" i="7"/>
  <c r="I2305" i="7" s="1"/>
  <c r="M2305" i="7" s="1"/>
  <c r="D2310" i="7"/>
  <c r="D2306" i="7"/>
  <c r="I2306" i="7" s="1"/>
  <c r="M2306" i="7" s="1"/>
  <c r="D2308" i="7"/>
  <c r="I2308" i="7" s="1"/>
  <c r="M2308" i="7" s="1"/>
  <c r="D2304" i="7"/>
  <c r="I2304" i="7" s="1"/>
  <c r="O2223" i="7"/>
  <c r="O2235" i="7"/>
  <c r="O2192" i="7"/>
  <c r="M2191" i="7"/>
  <c r="Q2192" i="7"/>
  <c r="O2278" i="7"/>
  <c r="O2270" i="7"/>
  <c r="M2269" i="7"/>
  <c r="O2194" i="7"/>
  <c r="O2256" i="7"/>
  <c r="O2339" i="7"/>
  <c r="O2260" i="7"/>
  <c r="O2358" i="7"/>
  <c r="M2357" i="7"/>
  <c r="O2356" i="7"/>
  <c r="M2355" i="7"/>
  <c r="O2373" i="7"/>
  <c r="O2226" i="7"/>
  <c r="O2255" i="7"/>
  <c r="O2254" i="7"/>
  <c r="O2196" i="7"/>
  <c r="O2238" i="7"/>
  <c r="O1920" i="7"/>
  <c r="Q1920" i="7"/>
  <c r="D1732" i="7"/>
  <c r="I1732" i="7" s="1"/>
  <c r="M1732" i="7" s="1"/>
  <c r="D1731" i="7"/>
  <c r="I1731" i="7" s="1"/>
  <c r="M1731" i="7" s="1"/>
  <c r="D1730" i="7"/>
  <c r="I1730" i="7" s="1"/>
  <c r="M1730" i="7" s="1"/>
  <c r="D1729" i="7"/>
  <c r="D1728" i="7"/>
  <c r="I1728" i="7" s="1"/>
  <c r="M1728" i="7" s="1"/>
  <c r="D1727" i="7"/>
  <c r="D1726" i="7"/>
  <c r="I1726" i="7" s="1"/>
  <c r="M1726" i="7" s="1"/>
  <c r="D1725" i="7"/>
  <c r="I1725" i="7" s="1"/>
  <c r="Q1492" i="7"/>
  <c r="O1492" i="7"/>
  <c r="M1491" i="7"/>
  <c r="M1568" i="7"/>
  <c r="Q1569" i="7"/>
  <c r="O1569" i="7"/>
  <c r="Q1351" i="7"/>
  <c r="O1351" i="7"/>
  <c r="M1046" i="7"/>
  <c r="O1047" i="7"/>
  <c r="Q1047" i="7"/>
  <c r="O1085" i="7"/>
  <c r="Q1085" i="7"/>
  <c r="Q1138" i="7"/>
  <c r="O1138" i="7"/>
  <c r="O1101" i="7"/>
  <c r="Q1101" i="7"/>
  <c r="Q1067" i="7"/>
  <c r="M1066" i="7"/>
  <c r="O1067" i="7"/>
  <c r="M1050" i="7"/>
  <c r="O1051" i="7"/>
  <c r="Q1051" i="7"/>
  <c r="O1093" i="7"/>
  <c r="Q1093" i="7"/>
  <c r="M1091" i="7"/>
  <c r="O1092" i="7"/>
  <c r="Q1092" i="7"/>
  <c r="Q1170" i="7"/>
  <c r="O1170" i="7"/>
  <c r="O1054" i="7"/>
  <c r="Q1054" i="7"/>
  <c r="M1053" i="7"/>
  <c r="Q1081" i="7"/>
  <c r="O1081" i="7"/>
  <c r="Q1217" i="7"/>
  <c r="O1217" i="7"/>
  <c r="M1216" i="7"/>
  <c r="O1118" i="7"/>
  <c r="M1117" i="7"/>
  <c r="Q1118" i="7"/>
  <c r="Q1178" i="7"/>
  <c r="O1178" i="7"/>
  <c r="I380" i="7"/>
  <c r="M380" i="7" s="1"/>
  <c r="Q2474" i="7"/>
  <c r="O2474" i="7"/>
  <c r="M2473" i="7"/>
  <c r="O2343" i="7"/>
  <c r="O2268" i="7"/>
  <c r="O1743" i="7"/>
  <c r="Q1743" i="7"/>
  <c r="O1688" i="7"/>
  <c r="Q1688" i="7"/>
  <c r="O1783" i="7"/>
  <c r="Q1783" i="7"/>
  <c r="Q1545" i="7"/>
  <c r="O1545" i="7"/>
  <c r="O1408" i="7"/>
  <c r="Q1408" i="7"/>
  <c r="M1242" i="7"/>
  <c r="O1275" i="7"/>
  <c r="Q1275" i="7"/>
  <c r="O1240" i="7"/>
  <c r="M1239" i="7"/>
  <c r="Q1240" i="7"/>
  <c r="Q1374" i="7"/>
  <c r="O1374" i="7"/>
  <c r="O1288" i="7"/>
  <c r="Q1288" i="7"/>
  <c r="O1331" i="7"/>
  <c r="Q1331" i="7"/>
  <c r="O1230" i="7"/>
  <c r="Q1230" i="7"/>
  <c r="O1330" i="7"/>
  <c r="Q1330" i="7"/>
  <c r="O1163" i="7"/>
  <c r="Q1163" i="7"/>
  <c r="H58" i="6"/>
  <c r="I21" i="6"/>
  <c r="Q4054" i="7"/>
  <c r="O4054" i="7"/>
  <c r="M4053" i="7"/>
  <c r="I3042" i="7"/>
  <c r="M3042" i="7" s="1"/>
  <c r="D3043" i="7"/>
  <c r="I3043" i="7" s="1"/>
  <c r="M3043" i="7" s="1"/>
  <c r="H47" i="6"/>
  <c r="H32" i="6"/>
  <c r="H46" i="6"/>
  <c r="H34" i="6"/>
  <c r="H11" i="6"/>
  <c r="K11" i="4"/>
  <c r="H8" i="6"/>
  <c r="H33" i="6"/>
  <c r="I33" i="6" s="1"/>
  <c r="H45" i="6"/>
  <c r="H10" i="6"/>
  <c r="H9" i="6"/>
  <c r="O2318" i="7"/>
  <c r="Q1882" i="7"/>
  <c r="O1882" i="7"/>
  <c r="O1956" i="7"/>
  <c r="Q1956" i="7"/>
  <c r="O1735" i="7"/>
  <c r="Q1735" i="7"/>
  <c r="Q1463" i="7"/>
  <c r="O1463" i="7"/>
  <c r="O1431" i="7"/>
  <c r="Q1431" i="7"/>
  <c r="O1598" i="7"/>
  <c r="M1597" i="7"/>
  <c r="Q1598" i="7"/>
  <c r="Q1456" i="7"/>
  <c r="M1455" i="7"/>
  <c r="O1456" i="7"/>
  <c r="M1562" i="7"/>
  <c r="O1563" i="7"/>
  <c r="Q1563" i="7"/>
  <c r="O1466" i="7"/>
  <c r="Q1466" i="7"/>
  <c r="M1489" i="7"/>
  <c r="O1490" i="7"/>
  <c r="Q1490" i="7"/>
  <c r="O1599" i="7"/>
  <c r="Q1599" i="7"/>
  <c r="Q1500" i="7"/>
  <c r="O1500" i="7"/>
  <c r="Q1551" i="7"/>
  <c r="O1551" i="7"/>
  <c r="O1437" i="7"/>
  <c r="Q1437" i="7"/>
  <c r="M1436" i="7"/>
  <c r="Q1561" i="7"/>
  <c r="M1560" i="7"/>
  <c r="O1561" i="7"/>
  <c r="I765" i="7"/>
  <c r="M765" i="7" s="1"/>
  <c r="Q336" i="7"/>
  <c r="O336" i="7"/>
  <c r="O414" i="7"/>
  <c r="Q414" i="7"/>
  <c r="Q338" i="7"/>
  <c r="O338" i="7"/>
  <c r="O3336" i="7"/>
  <c r="H50" i="6"/>
  <c r="I13" i="6"/>
  <c r="D4028" i="7"/>
  <c r="I4028" i="7" s="1"/>
  <c r="M4028" i="7" s="1"/>
  <c r="I4027" i="7"/>
  <c r="M4027" i="7" s="1"/>
  <c r="I2117" i="7"/>
  <c r="M2117" i="7" s="1"/>
  <c r="I1929" i="7"/>
  <c r="M1929" i="7" s="1"/>
  <c r="Q1652" i="7"/>
  <c r="O1652" i="7"/>
  <c r="M1651" i="7"/>
  <c r="O1673" i="7"/>
  <c r="Q1673" i="7"/>
  <c r="O1680" i="7"/>
  <c r="Q1680" i="7"/>
  <c r="O1631" i="7"/>
  <c r="Q1631" i="7"/>
  <c r="O1623" i="7"/>
  <c r="Q1623" i="7"/>
  <c r="Q1653" i="7"/>
  <c r="O1653" i="7"/>
  <c r="Q1683" i="7"/>
  <c r="O1683" i="7"/>
  <c r="M1682" i="7"/>
  <c r="Q1656" i="7"/>
  <c r="O1656" i="7"/>
  <c r="Q1692" i="7"/>
  <c r="O1692" i="7"/>
  <c r="O1620" i="7"/>
  <c r="Q1620" i="7"/>
  <c r="O1758" i="7"/>
  <c r="Q1758" i="7"/>
  <c r="Q1641" i="7"/>
  <c r="O1641" i="7"/>
  <c r="O1582" i="7"/>
  <c r="Q1582" i="7"/>
  <c r="I959" i="7"/>
  <c r="M959" i="7" s="1"/>
  <c r="O529" i="7"/>
  <c r="Q529" i="7"/>
  <c r="Q606" i="7"/>
  <c r="O606" i="7"/>
  <c r="O608" i="7"/>
  <c r="Q608" i="7"/>
  <c r="I390" i="7"/>
  <c r="M390" i="7" s="1"/>
  <c r="Q164" i="7"/>
  <c r="O164" i="7"/>
  <c r="AB164" i="7" s="1"/>
  <c r="O174" i="7"/>
  <c r="AB174" i="7" s="1"/>
  <c r="Q174" i="7"/>
  <c r="O124" i="7"/>
  <c r="AB124" i="7" s="1"/>
  <c r="O136" i="7"/>
  <c r="AB136" i="7" s="1"/>
  <c r="O143" i="7"/>
  <c r="AB143" i="7" s="1"/>
  <c r="O191" i="7"/>
  <c r="AB191" i="7" s="1"/>
  <c r="O173" i="7"/>
  <c r="AB173" i="7" s="1"/>
  <c r="M233" i="7"/>
  <c r="Q234" i="7"/>
  <c r="O234" i="7"/>
  <c r="AB234" i="7" s="1"/>
  <c r="P2402" i="7"/>
  <c r="Q2402" i="7" s="1"/>
  <c r="O2402" i="7"/>
  <c r="P2411" i="7"/>
  <c r="Q2411" i="7" s="1"/>
  <c r="O2411" i="7"/>
  <c r="O2432" i="7"/>
  <c r="Q2432" i="7"/>
  <c r="O2477" i="7"/>
  <c r="Q2477" i="7"/>
  <c r="O2396" i="7"/>
  <c r="Q2396" i="7"/>
  <c r="Q2442" i="7"/>
  <c r="O2442" i="7"/>
  <c r="O2463" i="7"/>
  <c r="Q2463" i="7"/>
  <c r="Q2421" i="7"/>
  <c r="O2421" i="7"/>
  <c r="Q2479" i="7"/>
  <c r="M2478" i="7"/>
  <c r="O2479" i="7"/>
  <c r="O2431" i="7"/>
  <c r="Q2431" i="7"/>
  <c r="O2406" i="7"/>
  <c r="P2406" i="7"/>
  <c r="Q2406" i="7" s="1"/>
  <c r="O2325" i="7"/>
  <c r="M2324" i="7"/>
  <c r="O1896" i="7"/>
  <c r="Q1896" i="7"/>
  <c r="O1895" i="7"/>
  <c r="M1894" i="7"/>
  <c r="Q1895" i="7"/>
  <c r="Q1334" i="7"/>
  <c r="O1334" i="7"/>
  <c r="Q1299" i="7"/>
  <c r="O1299" i="7"/>
  <c r="M1298" i="7"/>
  <c r="Q1397" i="7"/>
  <c r="O1397" i="7"/>
  <c r="O355" i="7"/>
  <c r="Q355" i="7"/>
  <c r="Q359" i="7"/>
  <c r="O359" i="7"/>
  <c r="Q2097" i="7"/>
  <c r="O2097" i="7"/>
  <c r="Q2092" i="7"/>
  <c r="O2092" i="7"/>
  <c r="O551" i="7"/>
  <c r="Q551" i="7"/>
  <c r="I586" i="7"/>
  <c r="K586" i="7" s="1"/>
  <c r="M586" i="7" s="1"/>
  <c r="O2289" i="7"/>
  <c r="Q1513" i="7"/>
  <c r="O1513" i="7"/>
  <c r="Q1515" i="7"/>
  <c r="O1515" i="7"/>
  <c r="Q1123" i="7"/>
  <c r="O1123" i="7"/>
  <c r="M1122" i="7"/>
  <c r="Q1710" i="7"/>
  <c r="O1710" i="7"/>
  <c r="O1705" i="7"/>
  <c r="Q1705" i="7"/>
  <c r="O3209" i="7"/>
  <c r="Q3209" i="7"/>
  <c r="Q938" i="7"/>
  <c r="O938" i="7"/>
  <c r="I3970" i="7"/>
  <c r="O3475" i="7"/>
  <c r="Q3475" i="7"/>
  <c r="O3208" i="7"/>
  <c r="M3207" i="7"/>
  <c r="Q3208" i="7"/>
  <c r="O942" i="7"/>
  <c r="Q942" i="7"/>
  <c r="O3489" i="7"/>
  <c r="Q3489" i="7"/>
  <c r="O3575" i="7"/>
  <c r="Q3575" i="7"/>
  <c r="G3536" i="7"/>
  <c r="G3537" i="7" s="1"/>
  <c r="P3536" i="7"/>
  <c r="G3524" i="7"/>
  <c r="G3525" i="7" s="1"/>
  <c r="G3526" i="7" s="1"/>
  <c r="P3524" i="7"/>
  <c r="Q3651" i="7"/>
  <c r="O3651" i="7"/>
  <c r="I3590" i="7"/>
  <c r="P3590" i="7"/>
  <c r="Q1804" i="7"/>
  <c r="O1804" i="7"/>
  <c r="O1774" i="7"/>
  <c r="Q1774" i="7"/>
  <c r="O1148" i="7"/>
  <c r="Q1148" i="7"/>
  <c r="O306" i="7"/>
  <c r="Q306" i="7"/>
  <c r="O348" i="7"/>
  <c r="Q348" i="7"/>
  <c r="C564" i="11"/>
  <c r="M4018" i="7"/>
  <c r="Q2169" i="7"/>
  <c r="O2169" i="7"/>
  <c r="O2009" i="7"/>
  <c r="Q2009" i="7"/>
  <c r="O2061" i="7"/>
  <c r="Q2061" i="7"/>
  <c r="O2086" i="7"/>
  <c r="Q2086" i="7"/>
  <c r="Q1059" i="7"/>
  <c r="O1059" i="7"/>
  <c r="Q501" i="7"/>
  <c r="O501" i="7"/>
  <c r="O507" i="7"/>
  <c r="Q507" i="7"/>
  <c r="Q711" i="7"/>
  <c r="O711" i="7"/>
  <c r="O794" i="7"/>
  <c r="Q794" i="7"/>
  <c r="Q729" i="7"/>
  <c r="O729" i="7"/>
  <c r="M614" i="7"/>
  <c r="Q615" i="7"/>
  <c r="O615" i="7"/>
  <c r="Q3957" i="7"/>
  <c r="O3957" i="7"/>
  <c r="M3956" i="7"/>
  <c r="Q4139" i="7"/>
  <c r="O4139" i="7"/>
  <c r="M4138" i="7"/>
  <c r="Q3955" i="7"/>
  <c r="O3955" i="7"/>
  <c r="O4093" i="7"/>
  <c r="Q4093" i="7"/>
  <c r="O1187" i="7"/>
  <c r="Q1187" i="7"/>
  <c r="O1203" i="7"/>
  <c r="Q1203" i="7"/>
  <c r="O928" i="7"/>
  <c r="Q928" i="7"/>
  <c r="O3269" i="7"/>
  <c r="G4086" i="7"/>
  <c r="M4086" i="7"/>
  <c r="I4087" i="7"/>
  <c r="O2522" i="7"/>
  <c r="O3443" i="7"/>
  <c r="M3442" i="7"/>
  <c r="Q3443" i="7"/>
  <c r="Q3634" i="7"/>
  <c r="O3634" i="7"/>
  <c r="O3583" i="7"/>
  <c r="Q3583" i="7"/>
  <c r="O3574" i="7"/>
  <c r="Q3574" i="7"/>
  <c r="C24" i="11"/>
  <c r="P3439" i="7"/>
  <c r="F29" i="6" s="1"/>
  <c r="D29" i="6"/>
  <c r="O3596" i="7"/>
  <c r="P3596" i="7"/>
  <c r="Q3596" i="7" s="1"/>
  <c r="O3437" i="7"/>
  <c r="Q3437" i="7"/>
  <c r="Q365" i="7"/>
  <c r="O365" i="7"/>
  <c r="Q344" i="7"/>
  <c r="O344" i="7"/>
  <c r="Q2543" i="7"/>
  <c r="O2543" i="7"/>
  <c r="Q286" i="7"/>
  <c r="O286" i="7"/>
  <c r="M2840" i="7"/>
  <c r="O2841" i="7"/>
  <c r="Q2841" i="7"/>
  <c r="O2080" i="7"/>
  <c r="Q2080" i="7"/>
  <c r="O2032" i="7"/>
  <c r="M2031" i="7"/>
  <c r="Q2032" i="7"/>
  <c r="O2045" i="7"/>
  <c r="Q2045" i="7"/>
  <c r="O2182" i="7"/>
  <c r="M2181" i="7"/>
  <c r="Q2182" i="7"/>
  <c r="O2030" i="7"/>
  <c r="Q2030" i="7"/>
  <c r="Q485" i="7"/>
  <c r="O485" i="7"/>
  <c r="Q791" i="7"/>
  <c r="O791" i="7"/>
  <c r="M790" i="7"/>
  <c r="O700" i="7"/>
  <c r="Q700" i="7"/>
  <c r="Q718" i="7"/>
  <c r="O718" i="7"/>
  <c r="M717" i="7"/>
  <c r="Q820" i="7"/>
  <c r="M819" i="7"/>
  <c r="O820" i="7"/>
  <c r="Q678" i="7"/>
  <c r="O678" i="7"/>
  <c r="M705" i="7"/>
  <c r="Q706" i="7"/>
  <c r="O706" i="7"/>
  <c r="Q669" i="7"/>
  <c r="O669" i="7"/>
  <c r="Q713" i="7"/>
  <c r="O713" i="7"/>
  <c r="O831" i="7"/>
  <c r="Q831" i="7"/>
  <c r="M830" i="7"/>
  <c r="O617" i="7"/>
  <c r="Q617" i="7"/>
  <c r="O547" i="7"/>
  <c r="Q547" i="7"/>
  <c r="M3981" i="7"/>
  <c r="O3982" i="7"/>
  <c r="Q3982" i="7"/>
  <c r="M3962" i="7"/>
  <c r="O4129" i="7"/>
  <c r="Q4129" i="7"/>
  <c r="Q4060" i="7"/>
  <c r="O4060" i="7"/>
  <c r="Q3953" i="7"/>
  <c r="O3953" i="7"/>
  <c r="O4081" i="7"/>
  <c r="Q4081" i="7"/>
  <c r="M3909" i="7"/>
  <c r="O3910" i="7"/>
  <c r="Q3910" i="7"/>
  <c r="Q3942" i="7"/>
  <c r="O3942" i="7"/>
  <c r="Q3897" i="7"/>
  <c r="M3896" i="7"/>
  <c r="O3897" i="7"/>
  <c r="Q3940" i="7"/>
  <c r="O3940" i="7"/>
  <c r="O4068" i="7"/>
  <c r="Q4068" i="7"/>
  <c r="O4130" i="7"/>
  <c r="Q4130" i="7"/>
  <c r="O4070" i="7"/>
  <c r="Q4070" i="7"/>
  <c r="O4131" i="7"/>
  <c r="Q4131" i="7"/>
  <c r="O4128" i="7"/>
  <c r="Q4128" i="7"/>
  <c r="O4120" i="7"/>
  <c r="Q4120" i="7"/>
  <c r="Q4159" i="7"/>
  <c r="O4159" i="7"/>
  <c r="Q4119" i="7"/>
  <c r="O4119" i="7"/>
  <c r="C257" i="11"/>
  <c r="M3033" i="7"/>
  <c r="I1535" i="7"/>
  <c r="M1535" i="7" s="1"/>
  <c r="Q4248" i="7"/>
  <c r="O4248" i="7"/>
  <c r="C41" i="6"/>
  <c r="O1143" i="7"/>
  <c r="Q1143" i="7"/>
  <c r="O1141" i="7"/>
  <c r="Q1141" i="7"/>
  <c r="Q1202" i="7"/>
  <c r="M1201" i="7"/>
  <c r="O1202" i="7"/>
  <c r="O968" i="7"/>
  <c r="Q968" i="7"/>
  <c r="O872" i="7"/>
  <c r="Q872" i="7"/>
  <c r="O3448" i="7"/>
  <c r="Q3448" i="7"/>
  <c r="O3485" i="7"/>
  <c r="Q3485" i="7"/>
  <c r="O3506" i="7"/>
  <c r="P3506" i="7"/>
  <c r="Q3506" i="7" s="1"/>
  <c r="Q3649" i="7"/>
  <c r="M3648" i="7"/>
  <c r="O3649" i="7"/>
  <c r="O3597" i="7"/>
  <c r="P3597" i="7"/>
  <c r="Q3597" i="7" s="1"/>
  <c r="O1813" i="7"/>
  <c r="Q1813" i="7"/>
  <c r="O1970" i="7"/>
  <c r="M1969" i="7"/>
  <c r="Q1970" i="7"/>
  <c r="O1891" i="7"/>
  <c r="Q1891" i="7"/>
  <c r="Q1850" i="7"/>
  <c r="O1850" i="7"/>
  <c r="Q4191" i="7"/>
  <c r="O4191" i="7"/>
  <c r="O3641" i="7"/>
  <c r="Q3330" i="7"/>
  <c r="O3330" i="7"/>
  <c r="C350" i="11" s="1"/>
  <c r="O3199" i="7"/>
  <c r="O2944" i="7"/>
  <c r="M2943" i="7"/>
  <c r="Q2944" i="7"/>
  <c r="Q2871" i="7"/>
  <c r="O2871" i="7"/>
  <c r="O2737" i="7"/>
  <c r="M2736" i="7"/>
  <c r="Q2737" i="7"/>
  <c r="O2814" i="7"/>
  <c r="Q2387" i="7"/>
  <c r="O2387" i="7"/>
  <c r="M2386" i="7"/>
  <c r="Q2705" i="7"/>
  <c r="O2705" i="7"/>
  <c r="Q2609" i="7"/>
  <c r="O2609" i="7"/>
  <c r="M2608" i="7"/>
  <c r="AK4" i="9"/>
  <c r="Q33" i="6"/>
  <c r="D86" i="8"/>
  <c r="F86" i="8" s="1"/>
  <c r="I818" i="7"/>
  <c r="M818" i="7" s="1"/>
  <c r="Q799" i="7"/>
  <c r="O799" i="7"/>
  <c r="Q757" i="7"/>
  <c r="O757" i="7"/>
  <c r="O582" i="7"/>
  <c r="Q582" i="7"/>
  <c r="O264" i="7"/>
  <c r="Q264" i="7"/>
  <c r="M261" i="7"/>
  <c r="O262" i="7"/>
  <c r="Q262" i="7"/>
  <c r="O329" i="7"/>
  <c r="Q329" i="7"/>
  <c r="O320" i="7"/>
  <c r="M319" i="7"/>
  <c r="Q320" i="7"/>
  <c r="O314" i="7"/>
  <c r="Q314" i="7"/>
  <c r="M425" i="7"/>
  <c r="O426" i="7"/>
  <c r="Q426" i="7"/>
  <c r="Q323" i="7"/>
  <c r="O323" i="7"/>
  <c r="Q366" i="7"/>
  <c r="O366" i="7"/>
  <c r="M345" i="7"/>
  <c r="O346" i="7"/>
  <c r="Q346" i="7"/>
  <c r="Q406" i="7"/>
  <c r="O406" i="7"/>
  <c r="Q295" i="7"/>
  <c r="O295" i="7"/>
  <c r="M294" i="7"/>
  <c r="O193" i="7"/>
  <c r="AB193" i="7" s="1"/>
  <c r="I2552" i="7"/>
  <c r="M2552" i="7" s="1"/>
  <c r="Q2544" i="7"/>
  <c r="O2544" i="7"/>
  <c r="Q2710" i="7"/>
  <c r="O2710" i="7"/>
  <c r="G16" i="6"/>
  <c r="O588" i="7"/>
  <c r="Q588" i="7"/>
  <c r="M587" i="7"/>
  <c r="O285" i="7"/>
  <c r="Q285" i="7"/>
  <c r="D3075" i="7"/>
  <c r="I3075" i="7" s="1"/>
  <c r="M3075" i="7" s="1"/>
  <c r="I3074" i="7"/>
  <c r="M3074" i="7" s="1"/>
  <c r="Q2149" i="7"/>
  <c r="O2149" i="7"/>
  <c r="Q2150" i="7"/>
  <c r="O2150" i="7"/>
  <c r="Q2151" i="7"/>
  <c r="O2151" i="7"/>
  <c r="O2060" i="7"/>
  <c r="Q2060" i="7"/>
  <c r="Q2055" i="7"/>
  <c r="O2055" i="7"/>
  <c r="O2103" i="7"/>
  <c r="Q2103" i="7"/>
  <c r="O2002" i="7"/>
  <c r="Q2002" i="7"/>
  <c r="O2044" i="7"/>
  <c r="Q2044" i="7"/>
  <c r="O2136" i="7"/>
  <c r="Q2136" i="7"/>
  <c r="O2001" i="7"/>
  <c r="Q2001" i="7"/>
  <c r="Q2043" i="7"/>
  <c r="O2043" i="7"/>
  <c r="O2146" i="7"/>
  <c r="Q2146" i="7"/>
  <c r="Q2049" i="7"/>
  <c r="O2049" i="7"/>
  <c r="Q2084" i="7"/>
  <c r="O2084" i="7"/>
  <c r="O1968" i="7"/>
  <c r="Q1968" i="7"/>
  <c r="O1341" i="7"/>
  <c r="Q1341" i="7"/>
  <c r="Q992" i="7"/>
  <c r="O992" i="7"/>
  <c r="Q1009" i="7"/>
  <c r="O1009" i="7"/>
  <c r="O478" i="7"/>
  <c r="Q478" i="7"/>
  <c r="O505" i="7"/>
  <c r="Q505" i="7"/>
  <c r="O486" i="7"/>
  <c r="Q486" i="7"/>
  <c r="O14" i="6"/>
  <c r="T14" i="6" s="1"/>
  <c r="E14" i="6"/>
  <c r="N14" i="6"/>
  <c r="S14" i="6" s="1"/>
  <c r="Q503" i="7"/>
  <c r="O503" i="7"/>
  <c r="O494" i="7"/>
  <c r="M493" i="7"/>
  <c r="Q494" i="7"/>
  <c r="Q537" i="7"/>
  <c r="O537" i="7"/>
  <c r="O621" i="7"/>
  <c r="M620" i="7"/>
  <c r="Q621" i="7"/>
  <c r="Q423" i="7"/>
  <c r="O423" i="7"/>
  <c r="O2501" i="7"/>
  <c r="D81" i="10" s="1"/>
  <c r="F81" i="10" s="1"/>
  <c r="Q2501" i="7"/>
  <c r="O2124" i="7"/>
  <c r="Q2124" i="7"/>
  <c r="O708" i="7"/>
  <c r="Q708" i="7"/>
  <c r="O701" i="7"/>
  <c r="Q701" i="7"/>
  <c r="O709" i="7"/>
  <c r="Q709" i="7"/>
  <c r="O665" i="7"/>
  <c r="M664" i="7"/>
  <c r="Q665" i="7"/>
  <c r="O812" i="7"/>
  <c r="M811" i="7"/>
  <c r="Q812" i="7"/>
  <c r="Q675" i="7"/>
  <c r="O675" i="7"/>
  <c r="Q704" i="7"/>
  <c r="O704" i="7"/>
  <c r="Q728" i="7"/>
  <c r="O728" i="7"/>
  <c r="Q792" i="7"/>
  <c r="O792" i="7"/>
  <c r="O691" i="7"/>
  <c r="Q691" i="7"/>
  <c r="O654" i="7"/>
  <c r="Q654" i="7"/>
  <c r="Q793" i="7"/>
  <c r="O793" i="7"/>
  <c r="O3312" i="7"/>
  <c r="Q3906" i="7"/>
  <c r="O3906" i="7"/>
  <c r="O3913" i="7"/>
  <c r="C519" i="11" s="1"/>
  <c r="Q3913" i="7"/>
  <c r="G3978" i="7"/>
  <c r="G3979" i="7" s="1"/>
  <c r="G3980" i="7" s="1"/>
  <c r="M3899" i="7"/>
  <c r="O3900" i="7"/>
  <c r="Q3900" i="7"/>
  <c r="Q4111" i="7"/>
  <c r="O4111" i="7"/>
  <c r="G31" i="6"/>
  <c r="Q3954" i="7"/>
  <c r="O3954" i="7"/>
  <c r="O4101" i="7"/>
  <c r="Q4101" i="7"/>
  <c r="M4149" i="7"/>
  <c r="Q4150" i="7"/>
  <c r="O4150" i="7"/>
  <c r="FN4" i="9"/>
  <c r="M1532" i="7"/>
  <c r="O1251" i="7"/>
  <c r="Q1251" i="7"/>
  <c r="Q1109" i="7"/>
  <c r="O1109" i="7"/>
  <c r="M1139" i="7"/>
  <c r="Q1140" i="7"/>
  <c r="O1140" i="7"/>
  <c r="O969" i="7"/>
  <c r="Q969" i="7"/>
  <c r="M3202" i="7"/>
  <c r="G3202" i="7"/>
  <c r="O125" i="7"/>
  <c r="AB125" i="7" s="1"/>
  <c r="Q125" i="7"/>
  <c r="H52" i="6"/>
  <c r="M856" i="7"/>
  <c r="M975" i="7"/>
  <c r="O976" i="7"/>
  <c r="Q976" i="7"/>
  <c r="O887" i="7"/>
  <c r="Q887" i="7"/>
  <c r="O900" i="7"/>
  <c r="Q900" i="7"/>
  <c r="Q867" i="7"/>
  <c r="O867" i="7"/>
  <c r="O895" i="7"/>
  <c r="Q895" i="7"/>
  <c r="Q881" i="7"/>
  <c r="O881" i="7"/>
  <c r="Q911" i="7"/>
  <c r="O911" i="7"/>
  <c r="M910" i="7"/>
  <c r="Q849" i="7"/>
  <c r="O849" i="7"/>
  <c r="M876" i="7"/>
  <c r="Q877" i="7"/>
  <c r="O877" i="7"/>
  <c r="Q907" i="7"/>
  <c r="O907" i="7"/>
  <c r="Q869" i="7"/>
  <c r="O869" i="7"/>
  <c r="Q1021" i="7"/>
  <c r="O1021" i="7"/>
  <c r="Q3270" i="7"/>
  <c r="O3270" i="7"/>
  <c r="D3996" i="7"/>
  <c r="I3996" i="7" s="1"/>
  <c r="M3996" i="7" s="1"/>
  <c r="I3995" i="7"/>
  <c r="M3995" i="7" s="1"/>
  <c r="C330" i="11"/>
  <c r="G3279" i="7"/>
  <c r="I3279" i="7" s="1"/>
  <c r="M3279" i="7" s="1"/>
  <c r="M3215" i="7"/>
  <c r="I3217" i="7"/>
  <c r="P2965" i="7"/>
  <c r="Q2965" i="7" s="1"/>
  <c r="O2965" i="7"/>
  <c r="I2986" i="7"/>
  <c r="M2986" i="7" s="1"/>
  <c r="M2984" i="7" s="1"/>
  <c r="Q3190" i="7"/>
  <c r="O3190" i="7"/>
  <c r="I2962" i="7"/>
  <c r="P2962" i="7"/>
  <c r="Q3120" i="7"/>
  <c r="O3120" i="7"/>
  <c r="O3152" i="7"/>
  <c r="Q3152" i="7"/>
  <c r="Q3161" i="7"/>
  <c r="O3161" i="7"/>
  <c r="O3014" i="7"/>
  <c r="M3013" i="7"/>
  <c r="Q3014" i="7"/>
  <c r="O3194" i="7"/>
  <c r="P3194" i="7"/>
  <c r="Q3194" i="7" s="1"/>
  <c r="M3104" i="7"/>
  <c r="Q3105" i="7"/>
  <c r="O3105" i="7"/>
  <c r="I3141" i="7"/>
  <c r="P3141" i="7"/>
  <c r="Q3189" i="7"/>
  <c r="O3189" i="7"/>
  <c r="Q3150" i="7"/>
  <c r="O3150" i="7"/>
  <c r="Q3180" i="7"/>
  <c r="O3180" i="7"/>
  <c r="O3203" i="7"/>
  <c r="P3203" i="7"/>
  <c r="Q3203" i="7" s="1"/>
  <c r="Q3210" i="7"/>
  <c r="O3210" i="7"/>
  <c r="P2750" i="7"/>
  <c r="Q2750" i="7" s="1"/>
  <c r="O2750" i="7"/>
  <c r="P2833" i="7"/>
  <c r="Q2833" i="7" s="1"/>
  <c r="O2833" i="7"/>
  <c r="P2742" i="7"/>
  <c r="Q2742" i="7" s="1"/>
  <c r="O2742" i="7"/>
  <c r="P2779" i="7"/>
  <c r="Q2779" i="7" s="1"/>
  <c r="O2779" i="7"/>
  <c r="O2867" i="7"/>
  <c r="Q2867" i="7"/>
  <c r="O2727" i="7"/>
  <c r="Q2727" i="7"/>
  <c r="Q2868" i="7"/>
  <c r="O2868" i="7"/>
  <c r="O2919" i="7"/>
  <c r="Q2919" i="7"/>
  <c r="O2766" i="7"/>
  <c r="Q2766" i="7"/>
  <c r="P2780" i="7"/>
  <c r="Q2780" i="7" s="1"/>
  <c r="O2780" i="7"/>
  <c r="Q2853" i="7"/>
  <c r="O2853" i="7"/>
  <c r="Q2906" i="7"/>
  <c r="M2905" i="7"/>
  <c r="O2906" i="7"/>
  <c r="O2721" i="7"/>
  <c r="Q2721" i="7"/>
  <c r="Q2773" i="7"/>
  <c r="O2773" i="7"/>
  <c r="O2904" i="7"/>
  <c r="Q2904" i="7"/>
  <c r="I2778" i="7"/>
  <c r="M2778" i="7" s="1"/>
  <c r="M2776" i="7" s="1"/>
  <c r="O2880" i="7"/>
  <c r="Q2880" i="7"/>
  <c r="P2561" i="7"/>
  <c r="Q2561" i="7" s="1"/>
  <c r="O2561" i="7"/>
  <c r="C115" i="11" s="1"/>
  <c r="P2653" i="7"/>
  <c r="I2653" i="7"/>
  <c r="Q2660" i="7"/>
  <c r="O2660" i="7"/>
  <c r="P2514" i="7"/>
  <c r="Q2514" i="7" s="1"/>
  <c r="O2514" i="7"/>
  <c r="O2639" i="7"/>
  <c r="Q2639" i="7"/>
  <c r="Q2640" i="7"/>
  <c r="O2640" i="7"/>
  <c r="O2665" i="7"/>
  <c r="Q2665" i="7"/>
  <c r="Q2629" i="7"/>
  <c r="O2629" i="7"/>
  <c r="Q2712" i="7"/>
  <c r="O2712" i="7"/>
  <c r="D141" i="10" s="1"/>
  <c r="Q2661" i="7"/>
  <c r="O2661" i="7"/>
  <c r="M2275" i="7"/>
  <c r="O2276" i="7"/>
  <c r="O2199" i="7"/>
  <c r="Q2199" i="7"/>
  <c r="M2197" i="7"/>
  <c r="O2198" i="7"/>
  <c r="Q2198" i="7"/>
  <c r="O2277" i="7"/>
  <c r="O2201" i="7"/>
  <c r="O2202" i="7"/>
  <c r="M2224" i="7"/>
  <c r="Q2225" i="7"/>
  <c r="O2225" i="7"/>
  <c r="Q1919" i="7"/>
  <c r="O1919" i="7"/>
  <c r="O1590" i="7"/>
  <c r="Q1590" i="7"/>
  <c r="O1527" i="7"/>
  <c r="Q1527" i="7"/>
  <c r="M1575" i="7"/>
  <c r="Q1576" i="7"/>
  <c r="O1576" i="7"/>
  <c r="Q1352" i="7"/>
  <c r="O1352" i="7"/>
  <c r="O1100" i="7"/>
  <c r="Q1100" i="7"/>
  <c r="O1180" i="7"/>
  <c r="Q1180" i="7"/>
  <c r="O1114" i="7"/>
  <c r="Q1114" i="7"/>
  <c r="Q1038" i="7"/>
  <c r="O1038" i="7"/>
  <c r="O1113" i="7"/>
  <c r="Q1113" i="7"/>
  <c r="O1060" i="7"/>
  <c r="Q1060" i="7"/>
  <c r="Q1116" i="7"/>
  <c r="O1116" i="7"/>
  <c r="O1057" i="7"/>
  <c r="Q1057" i="7"/>
  <c r="O1137" i="7"/>
  <c r="Q1137" i="7"/>
  <c r="O1206" i="7"/>
  <c r="M1205" i="7"/>
  <c r="Q1206" i="7"/>
  <c r="O1055" i="7"/>
  <c r="Q1055" i="7"/>
  <c r="O1099" i="7"/>
  <c r="Q1099" i="7"/>
  <c r="Q1074" i="7"/>
  <c r="O1074" i="7"/>
  <c r="Q1104" i="7"/>
  <c r="O1104" i="7"/>
  <c r="M1103" i="7"/>
  <c r="O821" i="7"/>
  <c r="Q821" i="7"/>
  <c r="M394" i="7"/>
  <c r="O395" i="7"/>
  <c r="Q395" i="7"/>
  <c r="Q381" i="7"/>
  <c r="O381" i="7"/>
  <c r="O3339" i="7"/>
  <c r="Q3339" i="7"/>
  <c r="O2299" i="7"/>
  <c r="O2301" i="7"/>
  <c r="O2341" i="7"/>
  <c r="M2340" i="7"/>
  <c r="Q1689" i="7"/>
  <c r="O1689" i="7"/>
  <c r="Q1763" i="7"/>
  <c r="O1763" i="7"/>
  <c r="Q1719" i="7"/>
  <c r="M1718" i="7"/>
  <c r="O1719" i="7"/>
  <c r="Q1546" i="7"/>
  <c r="O1546" i="7"/>
  <c r="Q1241" i="7"/>
  <c r="O1241" i="7"/>
  <c r="Q1227" i="7"/>
  <c r="O1227" i="7"/>
  <c r="M1226" i="7"/>
  <c r="O1276" i="7"/>
  <c r="Q1276" i="7"/>
  <c r="O1225" i="7"/>
  <c r="Q1225" i="7"/>
  <c r="O1253" i="7"/>
  <c r="Q1253" i="7"/>
  <c r="Q1305" i="7"/>
  <c r="O1305" i="7"/>
  <c r="M1304" i="7"/>
  <c r="O1247" i="7"/>
  <c r="M1246" i="7"/>
  <c r="Q1247" i="7"/>
  <c r="Q1228" i="7"/>
  <c r="O1228" i="7"/>
  <c r="Q1257" i="7"/>
  <c r="O1257" i="7"/>
  <c r="Q1285" i="7"/>
  <c r="O1285" i="7"/>
  <c r="M1284" i="7"/>
  <c r="Q1406" i="7"/>
  <c r="O1406" i="7"/>
  <c r="Q1245" i="7"/>
  <c r="O1245" i="7"/>
  <c r="O1295" i="7"/>
  <c r="Q1295" i="7"/>
  <c r="Q1258" i="7"/>
  <c r="O1258" i="7"/>
  <c r="Q1286" i="7"/>
  <c r="O1286" i="7"/>
  <c r="O1393" i="7"/>
  <c r="Q1393" i="7"/>
  <c r="M1392" i="7"/>
  <c r="O1194" i="7"/>
  <c r="M1193" i="7"/>
  <c r="Q1194" i="7"/>
  <c r="H55" i="6"/>
  <c r="I18" i="6"/>
  <c r="O4031" i="7"/>
  <c r="Q4031" i="7"/>
  <c r="O299" i="7"/>
  <c r="Q299" i="7"/>
  <c r="C462" i="11"/>
  <c r="G3725" i="7"/>
  <c r="C261" i="11"/>
  <c r="M3041" i="7"/>
  <c r="O1964" i="7"/>
  <c r="M1963" i="7"/>
  <c r="Q1964" i="7"/>
  <c r="M1973" i="7"/>
  <c r="O1974" i="7"/>
  <c r="Q1974" i="7"/>
  <c r="I1739" i="7"/>
  <c r="M1739" i="7" s="1"/>
  <c r="O1483" i="7"/>
  <c r="Q1483" i="7"/>
  <c r="O1426" i="7"/>
  <c r="M1425" i="7"/>
  <c r="Q1426" i="7"/>
  <c r="O1448" i="7"/>
  <c r="Q1448" i="7"/>
  <c r="Q1427" i="7"/>
  <c r="O1427" i="7"/>
  <c r="O1559" i="7"/>
  <c r="M1558" i="7"/>
  <c r="Q1559" i="7"/>
  <c r="Q1460" i="7"/>
  <c r="O1460" i="7"/>
  <c r="Q1485" i="7"/>
  <c r="O1485" i="7"/>
  <c r="O1438" i="7"/>
  <c r="Q1438" i="7"/>
  <c r="Q1421" i="7"/>
  <c r="O1421" i="7"/>
  <c r="O1461" i="7"/>
  <c r="Q1461" i="7"/>
  <c r="Q1417" i="7"/>
  <c r="O1417" i="7"/>
  <c r="O1504" i="7"/>
  <c r="M1503" i="7"/>
  <c r="Q1504" i="7"/>
  <c r="Q1507" i="7"/>
  <c r="O1507" i="7"/>
  <c r="Q1473" i="7"/>
  <c r="O1473" i="7"/>
  <c r="I767" i="7"/>
  <c r="M767" i="7" s="1"/>
  <c r="O415" i="7"/>
  <c r="Q415" i="7"/>
  <c r="Q337" i="7"/>
  <c r="O337" i="7"/>
  <c r="Q411" i="7"/>
  <c r="O411" i="7"/>
  <c r="M410" i="7"/>
  <c r="G3299" i="7"/>
  <c r="C568" i="11"/>
  <c r="M4026" i="7"/>
  <c r="O3079" i="7"/>
  <c r="I2118" i="7"/>
  <c r="M2118" i="7" s="1"/>
  <c r="I1931" i="7"/>
  <c r="M1931" i="7" s="1"/>
  <c r="O1794" i="7"/>
  <c r="Q1794" i="7"/>
  <c r="O1665" i="7"/>
  <c r="Q1665" i="7"/>
  <c r="O1681" i="7"/>
  <c r="Q1681" i="7"/>
  <c r="O1663" i="7"/>
  <c r="Q1663" i="7"/>
  <c r="Q1698" i="7"/>
  <c r="O1698" i="7"/>
  <c r="O1581" i="7"/>
  <c r="Q1581" i="7"/>
  <c r="I953" i="7"/>
  <c r="O4245" i="7"/>
  <c r="Q4245" i="7"/>
  <c r="C38" i="6"/>
  <c r="Q605" i="7"/>
  <c r="O605" i="7"/>
  <c r="I383" i="7"/>
  <c r="O138" i="7"/>
  <c r="AB138" i="7" s="1"/>
  <c r="M115" i="7"/>
  <c r="O170" i="7"/>
  <c r="AB170" i="7" s="1"/>
  <c r="M169" i="7"/>
  <c r="Q218" i="7"/>
  <c r="O218" i="7"/>
  <c r="AB218" i="7" s="1"/>
  <c r="Q249" i="7"/>
  <c r="O249" i="7"/>
  <c r="AB249" i="7" s="1"/>
  <c r="O248" i="7"/>
  <c r="AB248" i="7" s="1"/>
  <c r="Q2398" i="7"/>
  <c r="O2398" i="7"/>
  <c r="O2439" i="7"/>
  <c r="Q2439" i="7"/>
  <c r="P2404" i="7"/>
  <c r="Q2404" i="7" s="1"/>
  <c r="O2404" i="7"/>
  <c r="P2459" i="7"/>
  <c r="I2459" i="7"/>
  <c r="O2395" i="7"/>
  <c r="M2394" i="7"/>
  <c r="Q2395" i="7"/>
  <c r="I2423" i="7"/>
  <c r="M2423" i="7" s="1"/>
  <c r="I2422" i="7"/>
  <c r="M2422" i="7" s="1"/>
  <c r="M2420" i="7" s="1"/>
  <c r="Q2451" i="7"/>
  <c r="O2451" i="7"/>
  <c r="Q2467" i="7"/>
  <c r="O2467" i="7"/>
  <c r="Q2437" i="7"/>
  <c r="O2437" i="7"/>
  <c r="Q2436" i="7"/>
  <c r="M2435" i="7"/>
  <c r="O2436" i="7"/>
  <c r="I2310" i="7"/>
  <c r="M2310" i="7" s="1"/>
  <c r="O1904" i="7"/>
  <c r="Q1904" i="7"/>
  <c r="Q1899" i="7"/>
  <c r="O1899" i="7"/>
  <c r="I1727" i="7"/>
  <c r="M1727" i="7" s="1"/>
  <c r="Q1381" i="7"/>
  <c r="O1381" i="7"/>
  <c r="O1302" i="7"/>
  <c r="Q1302" i="7"/>
  <c r="Q1378" i="7"/>
  <c r="O1378" i="7"/>
  <c r="G14" i="6"/>
  <c r="O362" i="7"/>
  <c r="Q362" i="7"/>
  <c r="N3888" i="7"/>
  <c r="P3888" i="7" s="1"/>
  <c r="D3878" i="7"/>
  <c r="I3878" i="7" s="1"/>
  <c r="M3878" i="7" s="1"/>
  <c r="N3874" i="7"/>
  <c r="P3874" i="7" s="1"/>
  <c r="D3871" i="7"/>
  <c r="I3871" i="7" s="1"/>
  <c r="M3871" i="7" s="1"/>
  <c r="N3866" i="7"/>
  <c r="P3866" i="7" s="1"/>
  <c r="Q3866" i="7" s="1"/>
  <c r="D3864" i="7"/>
  <c r="I3864" i="7" s="1"/>
  <c r="M3864" i="7" s="1"/>
  <c r="N3859" i="7"/>
  <c r="P3859" i="7" s="1"/>
  <c r="D3857" i="7"/>
  <c r="I3857" i="7" s="1"/>
  <c r="M3857" i="7" s="1"/>
  <c r="N3852" i="7"/>
  <c r="P3852" i="7" s="1"/>
  <c r="D3850" i="7"/>
  <c r="I3850" i="7" s="1"/>
  <c r="M3850" i="7" s="1"/>
  <c r="N3847" i="7"/>
  <c r="N3846" i="7"/>
  <c r="P3846" i="7" s="1"/>
  <c r="N3889" i="7"/>
  <c r="D3887" i="7"/>
  <c r="I3887" i="7" s="1"/>
  <c r="M3887" i="7" s="1"/>
  <c r="N3883" i="7"/>
  <c r="P3883" i="7" s="1"/>
  <c r="N3882" i="7"/>
  <c r="P3882" i="7" s="1"/>
  <c r="N3881" i="7"/>
  <c r="P3881" i="7" s="1"/>
  <c r="D3879" i="7"/>
  <c r="I3879" i="7" s="1"/>
  <c r="M3879" i="7" s="1"/>
  <c r="N3890" i="7"/>
  <c r="D3888" i="7"/>
  <c r="N3884" i="7"/>
  <c r="D3880" i="7"/>
  <c r="I3880" i="7" s="1"/>
  <c r="M3880" i="7" s="1"/>
  <c r="N3875" i="7"/>
  <c r="P3875" i="7" s="1"/>
  <c r="D3883" i="7"/>
  <c r="I3883" i="7" s="1"/>
  <c r="M3883" i="7" s="1"/>
  <c r="D3881" i="7"/>
  <c r="N3879" i="7"/>
  <c r="P3879" i="7" s="1"/>
  <c r="N3877" i="7"/>
  <c r="P3877" i="7" s="1"/>
  <c r="D3869" i="7"/>
  <c r="I3869" i="7" s="1"/>
  <c r="M3869" i="7" s="1"/>
  <c r="D3861" i="7"/>
  <c r="I3861" i="7" s="1"/>
  <c r="M3861" i="7" s="1"/>
  <c r="N3858" i="7"/>
  <c r="P3858" i="7" s="1"/>
  <c r="D3853" i="7"/>
  <c r="I3853" i="7" s="1"/>
  <c r="M3853" i="7" s="1"/>
  <c r="N3841" i="7"/>
  <c r="P3841" i="7" s="1"/>
  <c r="D3839" i="7"/>
  <c r="N3835" i="7"/>
  <c r="P3835" i="7" s="1"/>
  <c r="D3832" i="7"/>
  <c r="I3832" i="7" s="1"/>
  <c r="M3832" i="7" s="1"/>
  <c r="D3831" i="7"/>
  <c r="D3830" i="7"/>
  <c r="D3829" i="7"/>
  <c r="D3828" i="7"/>
  <c r="D3827" i="7"/>
  <c r="D3826" i="7"/>
  <c r="G3826" i="7" s="1"/>
  <c r="D3825" i="7"/>
  <c r="G3825" i="7" s="1"/>
  <c r="D3824" i="7"/>
  <c r="G3824" i="7" s="1"/>
  <c r="N3820" i="7"/>
  <c r="P3820" i="7" s="1"/>
  <c r="D3818" i="7"/>
  <c r="N3812" i="7"/>
  <c r="P3812" i="7" s="1"/>
  <c r="D3809" i="7"/>
  <c r="I3809" i="7" s="1"/>
  <c r="M3809" i="7" s="1"/>
  <c r="D3892" i="7"/>
  <c r="I3892" i="7" s="1"/>
  <c r="M3892" i="7" s="1"/>
  <c r="D3890" i="7"/>
  <c r="G3890" i="7" s="1"/>
  <c r="N3886" i="7"/>
  <c r="P3886" i="7" s="1"/>
  <c r="D3874" i="7"/>
  <c r="I3874" i="7" s="1"/>
  <c r="M3874" i="7" s="1"/>
  <c r="N3871" i="7"/>
  <c r="P3871" i="7" s="1"/>
  <c r="N3867" i="7"/>
  <c r="D3866" i="7"/>
  <c r="N3863" i="7"/>
  <c r="P3863" i="7" s="1"/>
  <c r="D3858" i="7"/>
  <c r="N3855" i="7"/>
  <c r="P3855" i="7" s="1"/>
  <c r="N3851" i="7"/>
  <c r="P3851" i="7" s="1"/>
  <c r="D3846" i="7"/>
  <c r="I3846" i="7" s="1"/>
  <c r="M3846" i="7" s="1"/>
  <c r="N3842" i="7"/>
  <c r="P3842" i="7" s="1"/>
  <c r="D3833" i="7"/>
  <c r="I3833" i="7" s="1"/>
  <c r="M3833" i="7" s="1"/>
  <c r="N3821" i="7"/>
  <c r="P3821" i="7" s="1"/>
  <c r="N3813" i="7"/>
  <c r="P3813" i="7" s="1"/>
  <c r="D3810" i="7"/>
  <c r="I3810" i="7" s="1"/>
  <c r="M3810" i="7" s="1"/>
  <c r="N3891" i="7"/>
  <c r="D3870" i="7"/>
  <c r="I3870" i="7" s="1"/>
  <c r="M3870" i="7" s="1"/>
  <c r="D3862" i="7"/>
  <c r="I3862" i="7" s="1"/>
  <c r="M3862" i="7" s="1"/>
  <c r="D3854" i="7"/>
  <c r="I3854" i="7" s="1"/>
  <c r="M3854" i="7" s="1"/>
  <c r="N3848" i="7"/>
  <c r="P3848" i="7" s="1"/>
  <c r="N3843" i="7"/>
  <c r="P3843" i="7" s="1"/>
  <c r="D3840" i="7"/>
  <c r="I3840" i="7" s="1"/>
  <c r="M3840" i="7" s="1"/>
  <c r="N3836" i="7"/>
  <c r="P3836" i="7" s="1"/>
  <c r="D3835" i="7"/>
  <c r="D3819" i="7"/>
  <c r="G3819" i="7" s="1"/>
  <c r="N3814" i="7"/>
  <c r="P3814" i="7" s="1"/>
  <c r="D3811" i="7"/>
  <c r="I3811" i="7" s="1"/>
  <c r="M3811" i="7" s="1"/>
  <c r="N3806" i="7"/>
  <c r="P3806" i="7" s="1"/>
  <c r="D3804" i="7"/>
  <c r="N3799" i="7"/>
  <c r="P3799" i="7" s="1"/>
  <c r="D3797" i="7"/>
  <c r="N3793" i="7"/>
  <c r="P3793" i="7" s="1"/>
  <c r="D3791" i="7"/>
  <c r="G3791" i="7" s="1"/>
  <c r="N3787" i="7"/>
  <c r="D3785" i="7"/>
  <c r="N3780" i="7"/>
  <c r="N3779" i="7"/>
  <c r="D3885" i="7"/>
  <c r="G3885" i="7" s="1"/>
  <c r="N3861" i="7"/>
  <c r="P3861" i="7" s="1"/>
  <c r="D3855" i="7"/>
  <c r="I3855" i="7" s="1"/>
  <c r="M3855" i="7" s="1"/>
  <c r="D3837" i="7"/>
  <c r="I3837" i="7" s="1"/>
  <c r="M3837" i="7" s="1"/>
  <c r="N3826" i="7"/>
  <c r="P3826" i="7" s="1"/>
  <c r="D3807" i="7"/>
  <c r="I3807" i="7" s="1"/>
  <c r="M3807" i="7" s="1"/>
  <c r="N3802" i="7"/>
  <c r="P3802" i="7" s="1"/>
  <c r="N3782" i="7"/>
  <c r="D3781" i="7"/>
  <c r="D3777" i="7"/>
  <c r="N3772" i="7"/>
  <c r="N3764" i="7"/>
  <c r="P3764" i="7" s="1"/>
  <c r="N3763" i="7"/>
  <c r="N3762" i="7"/>
  <c r="P3762" i="7" s="1"/>
  <c r="D3758" i="7"/>
  <c r="N3749" i="7"/>
  <c r="P3749" i="7" s="1"/>
  <c r="N3748" i="7"/>
  <c r="P3748" i="7" s="1"/>
  <c r="N3747" i="7"/>
  <c r="N3746" i="7"/>
  <c r="P3746" i="7" s="1"/>
  <c r="D3742" i="7"/>
  <c r="N3731" i="7"/>
  <c r="P3731" i="7" s="1"/>
  <c r="N3730" i="7"/>
  <c r="P3730" i="7" s="1"/>
  <c r="D3716" i="7"/>
  <c r="I3716" i="7" s="1"/>
  <c r="M3716" i="7" s="1"/>
  <c r="D3708" i="7"/>
  <c r="G3708" i="7" s="1"/>
  <c r="N3704" i="7"/>
  <c r="N3703" i="7"/>
  <c r="D3700" i="7"/>
  <c r="G3700" i="7" s="1"/>
  <c r="D3693" i="7"/>
  <c r="D3692" i="7"/>
  <c r="G3692" i="7" s="1"/>
  <c r="D3683" i="7"/>
  <c r="I3683" i="7" s="1"/>
  <c r="M3683" i="7" s="1"/>
  <c r="N3677" i="7"/>
  <c r="P3677" i="7" s="1"/>
  <c r="D3673" i="7"/>
  <c r="I3673" i="7" s="1"/>
  <c r="M3673" i="7" s="1"/>
  <c r="D3886" i="7"/>
  <c r="N3869" i="7"/>
  <c r="P3869" i="7" s="1"/>
  <c r="N3865" i="7"/>
  <c r="P3865" i="7" s="1"/>
  <c r="D3859" i="7"/>
  <c r="I3859" i="7" s="1"/>
  <c r="M3859" i="7" s="1"/>
  <c r="D3848" i="7"/>
  <c r="N3838" i="7"/>
  <c r="P3838" i="7" s="1"/>
  <c r="N3829" i="7"/>
  <c r="P3829" i="7" s="1"/>
  <c r="D3821" i="7"/>
  <c r="I3821" i="7" s="1"/>
  <c r="M3821" i="7" s="1"/>
  <c r="N3819" i="7"/>
  <c r="N3817" i="7"/>
  <c r="D3816" i="7"/>
  <c r="I3816" i="7" s="1"/>
  <c r="M3816" i="7" s="1"/>
  <c r="D3814" i="7"/>
  <c r="I3814" i="7" s="1"/>
  <c r="M3814" i="7" s="1"/>
  <c r="D3812" i="7"/>
  <c r="I3812" i="7" s="1"/>
  <c r="M3812" i="7" s="1"/>
  <c r="N3810" i="7"/>
  <c r="P3810" i="7" s="1"/>
  <c r="N3808" i="7"/>
  <c r="P3808" i="7" s="1"/>
  <c r="D3805" i="7"/>
  <c r="I3805" i="7" s="1"/>
  <c r="M3805" i="7" s="1"/>
  <c r="D3801" i="7"/>
  <c r="I3801" i="7" s="1"/>
  <c r="M3801" i="7" s="1"/>
  <c r="N3798" i="7"/>
  <c r="P3798" i="7" s="1"/>
  <c r="N3795" i="7"/>
  <c r="P3795" i="7" s="1"/>
  <c r="Q3795" i="7" s="1"/>
  <c r="N3791" i="7"/>
  <c r="N3783" i="7"/>
  <c r="N3778" i="7"/>
  <c r="P3778" i="7" s="1"/>
  <c r="Q3778" i="7" s="1"/>
  <c r="N3773" i="7"/>
  <c r="N3739" i="7"/>
  <c r="P3739" i="7" s="1"/>
  <c r="D3737" i="7"/>
  <c r="I3737" i="7" s="1"/>
  <c r="M3737" i="7" s="1"/>
  <c r="N3732" i="7"/>
  <c r="D3729" i="7"/>
  <c r="D3728" i="7"/>
  <c r="I3728" i="7" s="1"/>
  <c r="M3728" i="7" s="1"/>
  <c r="D3727" i="7"/>
  <c r="I3727" i="7" s="1"/>
  <c r="M3727" i="7" s="1"/>
  <c r="D3726" i="7"/>
  <c r="I3726" i="7" s="1"/>
  <c r="M3726" i="7" s="1"/>
  <c r="D3725" i="7"/>
  <c r="D3724" i="7"/>
  <c r="I3724" i="7" s="1"/>
  <c r="M3724" i="7" s="1"/>
  <c r="N3721" i="7"/>
  <c r="P3721" i="7" s="1"/>
  <c r="D3717" i="7"/>
  <c r="I3717" i="7" s="1"/>
  <c r="M3717" i="7" s="1"/>
  <c r="N3710" i="7"/>
  <c r="P3710" i="7" s="1"/>
  <c r="D3709" i="7"/>
  <c r="D3702" i="7"/>
  <c r="D3701" i="7"/>
  <c r="G3701" i="7" s="1"/>
  <c r="N3696" i="7"/>
  <c r="P3696" i="7" s="1"/>
  <c r="Q3696" i="7" s="1"/>
  <c r="N3885" i="7"/>
  <c r="D3876" i="7"/>
  <c r="I3876" i="7" s="1"/>
  <c r="M3876" i="7" s="1"/>
  <c r="N3873" i="7"/>
  <c r="P3873" i="7" s="1"/>
  <c r="D3863" i="7"/>
  <c r="I3863" i="7" s="1"/>
  <c r="M3863" i="7" s="1"/>
  <c r="N3856" i="7"/>
  <c r="P3856" i="7" s="1"/>
  <c r="N3850" i="7"/>
  <c r="P3850" i="7" s="1"/>
  <c r="D3844" i="7"/>
  <c r="I3844" i="7" s="1"/>
  <c r="M3844" i="7" s="1"/>
  <c r="D3842" i="7"/>
  <c r="I3842" i="7" s="1"/>
  <c r="M3842" i="7" s="1"/>
  <c r="N3840" i="7"/>
  <c r="P3840" i="7" s="1"/>
  <c r="N3834" i="7"/>
  <c r="N3824" i="7"/>
  <c r="D3823" i="7"/>
  <c r="G3823" i="7" s="1"/>
  <c r="N3815" i="7"/>
  <c r="P3815" i="7" s="1"/>
  <c r="N3803" i="7"/>
  <c r="P3803" i="7" s="1"/>
  <c r="D3790" i="7"/>
  <c r="G3790" i="7" s="1"/>
  <c r="N3788" i="7"/>
  <c r="D3786" i="7"/>
  <c r="G3786" i="7" s="1"/>
  <c r="D3778" i="7"/>
  <c r="N3775" i="7"/>
  <c r="N3774" i="7"/>
  <c r="P3774" i="7" s="1"/>
  <c r="N3765" i="7"/>
  <c r="P3765" i="7" s="1"/>
  <c r="Q3765" i="7" s="1"/>
  <c r="D3762" i="7"/>
  <c r="N3753" i="7"/>
  <c r="P3753" i="7" s="1"/>
  <c r="N3752" i="7"/>
  <c r="P3752" i="7" s="1"/>
  <c r="N3751" i="7"/>
  <c r="N3750" i="7"/>
  <c r="P3750" i="7" s="1"/>
  <c r="D3746" i="7"/>
  <c r="N3740" i="7"/>
  <c r="P3740" i="7" s="1"/>
  <c r="D3738" i="7"/>
  <c r="I3738" i="7" s="1"/>
  <c r="M3738" i="7" s="1"/>
  <c r="N3733" i="7"/>
  <c r="D3718" i="7"/>
  <c r="I3718" i="7" s="1"/>
  <c r="M3718" i="7" s="1"/>
  <c r="N3713" i="7"/>
  <c r="P3713" i="7" s="1"/>
  <c r="N3712" i="7"/>
  <c r="P3712" i="7" s="1"/>
  <c r="N3711" i="7"/>
  <c r="P3711" i="7" s="1"/>
  <c r="N3705" i="7"/>
  <c r="P3705" i="7" s="1"/>
  <c r="Q3705" i="7" s="1"/>
  <c r="N3887" i="7"/>
  <c r="P3887" i="7" s="1"/>
  <c r="N3880" i="7"/>
  <c r="P3880" i="7" s="1"/>
  <c r="N3876" i="7"/>
  <c r="P3876" i="7" s="1"/>
  <c r="D3872" i="7"/>
  <c r="I3872" i="7" s="1"/>
  <c r="M3872" i="7" s="1"/>
  <c r="D3868" i="7"/>
  <c r="G3868" i="7" s="1"/>
  <c r="N3857" i="7"/>
  <c r="P3857" i="7" s="1"/>
  <c r="D3849" i="7"/>
  <c r="N3844" i="7"/>
  <c r="P3844" i="7" s="1"/>
  <c r="N3833" i="7"/>
  <c r="P3833" i="7" s="1"/>
  <c r="N3831" i="7"/>
  <c r="P3831" i="7" s="1"/>
  <c r="N3823" i="7"/>
  <c r="N3805" i="7"/>
  <c r="P3805" i="7" s="1"/>
  <c r="D3800" i="7"/>
  <c r="I3800" i="7" s="1"/>
  <c r="M3800" i="7" s="1"/>
  <c r="N3797" i="7"/>
  <c r="P3797" i="7" s="1"/>
  <c r="N3794" i="7"/>
  <c r="P3794" i="7" s="1"/>
  <c r="Q3794" i="7" s="1"/>
  <c r="D3793" i="7"/>
  <c r="N3790" i="7"/>
  <c r="D3789" i="7"/>
  <c r="N3786" i="7"/>
  <c r="D3780" i="7"/>
  <c r="G3780" i="7" s="1"/>
  <c r="N3771" i="7"/>
  <c r="P3771" i="7" s="1"/>
  <c r="Q3771" i="7" s="1"/>
  <c r="D3769" i="7"/>
  <c r="D3768" i="7"/>
  <c r="G3768" i="7" s="1"/>
  <c r="D3767" i="7"/>
  <c r="G3767" i="7" s="1"/>
  <c r="N3738" i="7"/>
  <c r="P3738" i="7" s="1"/>
  <c r="D3736" i="7"/>
  <c r="N3729" i="7"/>
  <c r="P3729" i="7" s="1"/>
  <c r="D3723" i="7"/>
  <c r="N3720" i="7"/>
  <c r="N3719" i="7"/>
  <c r="P3719" i="7" s="1"/>
  <c r="N3718" i="7"/>
  <c r="P3718" i="7" s="1"/>
  <c r="D3715" i="7"/>
  <c r="I3715" i="7" s="1"/>
  <c r="M3715" i="7" s="1"/>
  <c r="N3709" i="7"/>
  <c r="P3709" i="7" s="1"/>
  <c r="D3707" i="7"/>
  <c r="G3707" i="7" s="1"/>
  <c r="N3702" i="7"/>
  <c r="P3702" i="7" s="1"/>
  <c r="Q3702" i="7" s="1"/>
  <c r="N3892" i="7"/>
  <c r="P3892" i="7" s="1"/>
  <c r="N3845" i="7"/>
  <c r="P3845" i="7" s="1"/>
  <c r="D3838" i="7"/>
  <c r="I3838" i="7" s="1"/>
  <c r="M3838" i="7" s="1"/>
  <c r="N3830" i="7"/>
  <c r="P3830" i="7" s="1"/>
  <c r="N3818" i="7"/>
  <c r="P3818" i="7" s="1"/>
  <c r="N3801" i="7"/>
  <c r="P3801" i="7" s="1"/>
  <c r="D3796" i="7"/>
  <c r="D3784" i="7"/>
  <c r="I3784" i="7" s="1"/>
  <c r="M3784" i="7" s="1"/>
  <c r="D3779" i="7"/>
  <c r="G3779" i="7" s="1"/>
  <c r="D3774" i="7"/>
  <c r="I3774" i="7" s="1"/>
  <c r="M3774" i="7" s="1"/>
  <c r="D3765" i="7"/>
  <c r="N3756" i="7"/>
  <c r="P3756" i="7" s="1"/>
  <c r="N3754" i="7"/>
  <c r="P3754" i="7" s="1"/>
  <c r="D3750" i="7"/>
  <c r="N3741" i="7"/>
  <c r="P3741" i="7" s="1"/>
  <c r="D3730" i="7"/>
  <c r="I3730" i="7" s="1"/>
  <c r="M3730" i="7" s="1"/>
  <c r="D3721" i="7"/>
  <c r="N3717" i="7"/>
  <c r="P3717" i="7" s="1"/>
  <c r="D3713" i="7"/>
  <c r="I3713" i="7" s="1"/>
  <c r="M3713" i="7" s="1"/>
  <c r="D3706" i="7"/>
  <c r="G3706" i="7" s="1"/>
  <c r="D3695" i="7"/>
  <c r="G3695" i="7" s="1"/>
  <c r="N3692" i="7"/>
  <c r="N3688" i="7"/>
  <c r="D3680" i="7"/>
  <c r="I3680" i="7" s="1"/>
  <c r="M3680" i="7" s="1"/>
  <c r="D3676" i="7"/>
  <c r="I3676" i="7" s="1"/>
  <c r="M3676" i="7" s="1"/>
  <c r="D3670" i="7"/>
  <c r="I3670" i="7" s="1"/>
  <c r="M3670" i="7" s="1"/>
  <c r="D3667" i="7"/>
  <c r="N3870" i="7"/>
  <c r="P3870" i="7" s="1"/>
  <c r="N3862" i="7"/>
  <c r="P3862" i="7" s="1"/>
  <c r="N3849" i="7"/>
  <c r="P3849" i="7" s="1"/>
  <c r="N3837" i="7"/>
  <c r="P3837" i="7" s="1"/>
  <c r="D3798" i="7"/>
  <c r="I3798" i="7" s="1"/>
  <c r="M3798" i="7" s="1"/>
  <c r="N3792" i="7"/>
  <c r="D3788" i="7"/>
  <c r="G3788" i="7" s="1"/>
  <c r="N3781" i="7"/>
  <c r="P3781" i="7" s="1"/>
  <c r="Q3781" i="7" s="1"/>
  <c r="D3776" i="7"/>
  <c r="N3769" i="7"/>
  <c r="P3769" i="7" s="1"/>
  <c r="N3736" i="7"/>
  <c r="P3736" i="7" s="1"/>
  <c r="D3732" i="7"/>
  <c r="G3732" i="7" s="1"/>
  <c r="D3719" i="7"/>
  <c r="I3719" i="7" s="1"/>
  <c r="M3719" i="7" s="1"/>
  <c r="N3714" i="7"/>
  <c r="P3714" i="7" s="1"/>
  <c r="D3710" i="7"/>
  <c r="N3701" i="7"/>
  <c r="D3698" i="7"/>
  <c r="G3698" i="7" s="1"/>
  <c r="D3696" i="7"/>
  <c r="D3687" i="7"/>
  <c r="I3687" i="7" s="1"/>
  <c r="M3687" i="7" s="1"/>
  <c r="N3682" i="7"/>
  <c r="P3682" i="7" s="1"/>
  <c r="N3672" i="7"/>
  <c r="P3672" i="7" s="1"/>
  <c r="N3668" i="7"/>
  <c r="P3668" i="7" s="1"/>
  <c r="N3878" i="7"/>
  <c r="P3878" i="7" s="1"/>
  <c r="N3853" i="7"/>
  <c r="P3853" i="7" s="1"/>
  <c r="D3845" i="7"/>
  <c r="I3845" i="7" s="1"/>
  <c r="M3845" i="7" s="1"/>
  <c r="D3841" i="7"/>
  <c r="I3841" i="7" s="1"/>
  <c r="M3841" i="7" s="1"/>
  <c r="D3820" i="7"/>
  <c r="I3820" i="7" s="1"/>
  <c r="M3820" i="7" s="1"/>
  <c r="D3806" i="7"/>
  <c r="I3806" i="7" s="1"/>
  <c r="M3806" i="7" s="1"/>
  <c r="N3800" i="7"/>
  <c r="P3800" i="7" s="1"/>
  <c r="N3760" i="7"/>
  <c r="P3760" i="7" s="1"/>
  <c r="N3758" i="7"/>
  <c r="P3758" i="7" s="1"/>
  <c r="D3754" i="7"/>
  <c r="N3745" i="7"/>
  <c r="P3745" i="7" s="1"/>
  <c r="N3743" i="7"/>
  <c r="D3741" i="7"/>
  <c r="D3734" i="7"/>
  <c r="I3734" i="7" s="1"/>
  <c r="M3734" i="7" s="1"/>
  <c r="N3727" i="7"/>
  <c r="P3727" i="7" s="1"/>
  <c r="N3725" i="7"/>
  <c r="P3725" i="7" s="1"/>
  <c r="N3723" i="7"/>
  <c r="P3723" i="7" s="1"/>
  <c r="N3707" i="7"/>
  <c r="D3705" i="7"/>
  <c r="N3699" i="7"/>
  <c r="N3697" i="7"/>
  <c r="D3691" i="7"/>
  <c r="G3691" i="7" s="1"/>
  <c r="N3689" i="7"/>
  <c r="P3689" i="7" s="1"/>
  <c r="D3681" i="7"/>
  <c r="I3681" i="7" s="1"/>
  <c r="M3681" i="7" s="1"/>
  <c r="N3678" i="7"/>
  <c r="P3678" i="7" s="1"/>
  <c r="D3677" i="7"/>
  <c r="D3671" i="7"/>
  <c r="I3671" i="7" s="1"/>
  <c r="M3671" i="7" s="1"/>
  <c r="D3668" i="7"/>
  <c r="D3891" i="7"/>
  <c r="G3891" i="7" s="1"/>
  <c r="D3873" i="7"/>
  <c r="I3873" i="7" s="1"/>
  <c r="M3873" i="7" s="1"/>
  <c r="N3868" i="7"/>
  <c r="D3865" i="7"/>
  <c r="I3865" i="7" s="1"/>
  <c r="M3865" i="7" s="1"/>
  <c r="N3860" i="7"/>
  <c r="P3860" i="7" s="1"/>
  <c r="D3852" i="7"/>
  <c r="D3836" i="7"/>
  <c r="N3832" i="7"/>
  <c r="P3832" i="7" s="1"/>
  <c r="D3813" i="7"/>
  <c r="I3813" i="7" s="1"/>
  <c r="M3813" i="7" s="1"/>
  <c r="N3809" i="7"/>
  <c r="P3809" i="7" s="1"/>
  <c r="D3803" i="7"/>
  <c r="I3803" i="7" s="1"/>
  <c r="M3803" i="7" s="1"/>
  <c r="D3792" i="7"/>
  <c r="G3792" i="7" s="1"/>
  <c r="D3783" i="7"/>
  <c r="G3783" i="7" s="1"/>
  <c r="N3768" i="7"/>
  <c r="N3766" i="7"/>
  <c r="N3872" i="7"/>
  <c r="P3872" i="7" s="1"/>
  <c r="N3864" i="7"/>
  <c r="P3864" i="7" s="1"/>
  <c r="N3822" i="7"/>
  <c r="P3822" i="7" s="1"/>
  <c r="N3816" i="7"/>
  <c r="P3816" i="7" s="1"/>
  <c r="D3787" i="7"/>
  <c r="G3787" i="7" s="1"/>
  <c r="N3785" i="7"/>
  <c r="P3785" i="7" s="1"/>
  <c r="Q3785" i="7" s="1"/>
  <c r="D3773" i="7"/>
  <c r="G3773" i="7" s="1"/>
  <c r="D3884" i="7"/>
  <c r="G3884" i="7" s="1"/>
  <c r="D3877" i="7"/>
  <c r="I3877" i="7" s="1"/>
  <c r="M3877" i="7" s="1"/>
  <c r="D3856" i="7"/>
  <c r="I3856" i="7" s="1"/>
  <c r="M3856" i="7" s="1"/>
  <c r="N3825" i="7"/>
  <c r="D3802" i="7"/>
  <c r="I3802" i="7" s="1"/>
  <c r="M3802" i="7" s="1"/>
  <c r="N3789" i="7"/>
  <c r="N3784" i="7"/>
  <c r="P3784" i="7" s="1"/>
  <c r="N3777" i="7"/>
  <c r="P3777" i="7" s="1"/>
  <c r="D3875" i="7"/>
  <c r="D3860" i="7"/>
  <c r="I3860" i="7" s="1"/>
  <c r="M3860" i="7" s="1"/>
  <c r="D3851" i="7"/>
  <c r="I3851" i="7" s="1"/>
  <c r="M3851" i="7" s="1"/>
  <c r="D3843" i="7"/>
  <c r="I3843" i="7" s="1"/>
  <c r="M3843" i="7" s="1"/>
  <c r="N3839" i="7"/>
  <c r="P3839" i="7" s="1"/>
  <c r="N3828" i="7"/>
  <c r="P3828" i="7" s="1"/>
  <c r="D3822" i="7"/>
  <c r="D3808" i="7"/>
  <c r="I3808" i="7" s="1"/>
  <c r="M3808" i="7" s="1"/>
  <c r="N3796" i="7"/>
  <c r="P3796" i="7" s="1"/>
  <c r="D3782" i="7"/>
  <c r="G3782" i="7" s="1"/>
  <c r="N3770" i="7"/>
  <c r="P3770" i="7" s="1"/>
  <c r="D3766" i="7"/>
  <c r="G3766" i="7" s="1"/>
  <c r="D3889" i="7"/>
  <c r="G3889" i="7" s="1"/>
  <c r="D3882" i="7"/>
  <c r="I3882" i="7" s="1"/>
  <c r="M3882" i="7" s="1"/>
  <c r="D3867" i="7"/>
  <c r="G3867" i="7" s="1"/>
  <c r="N3854" i="7"/>
  <c r="P3854" i="7" s="1"/>
  <c r="N3827" i="7"/>
  <c r="P3827" i="7" s="1"/>
  <c r="D3815" i="7"/>
  <c r="I3815" i="7" s="1"/>
  <c r="M3815" i="7" s="1"/>
  <c r="N3811" i="7"/>
  <c r="P3811" i="7" s="1"/>
  <c r="N3807" i="7"/>
  <c r="P3807" i="7" s="1"/>
  <c r="N3804" i="7"/>
  <c r="P3804" i="7" s="1"/>
  <c r="D3799" i="7"/>
  <c r="I3799" i="7" s="1"/>
  <c r="M3799" i="7" s="1"/>
  <c r="N3776" i="7"/>
  <c r="P3776" i="7" s="1"/>
  <c r="N3767" i="7"/>
  <c r="D3739" i="7"/>
  <c r="N3734" i="7"/>
  <c r="P3734" i="7" s="1"/>
  <c r="D3711" i="7"/>
  <c r="I3711" i="7" s="1"/>
  <c r="M3711" i="7" s="1"/>
  <c r="N3708" i="7"/>
  <c r="D3704" i="7"/>
  <c r="G3704" i="7" s="1"/>
  <c r="D3694" i="7"/>
  <c r="G3694" i="7" s="1"/>
  <c r="N3691" i="7"/>
  <c r="D3690" i="7"/>
  <c r="N3687" i="7"/>
  <c r="P3687" i="7" s="1"/>
  <c r="D3686" i="7"/>
  <c r="I3686" i="7" s="1"/>
  <c r="M3686" i="7" s="1"/>
  <c r="D3685" i="7"/>
  <c r="I3685" i="7" s="1"/>
  <c r="M3685" i="7" s="1"/>
  <c r="D3684" i="7"/>
  <c r="I3684" i="7" s="1"/>
  <c r="M3684" i="7" s="1"/>
  <c r="D3679" i="7"/>
  <c r="I3679" i="7" s="1"/>
  <c r="M3679" i="7" s="1"/>
  <c r="D3675" i="7"/>
  <c r="I3675" i="7" s="1"/>
  <c r="M3675" i="7" s="1"/>
  <c r="D3674" i="7"/>
  <c r="I3674" i="7" s="1"/>
  <c r="M3674" i="7" s="1"/>
  <c r="N3735" i="7"/>
  <c r="N3728" i="7"/>
  <c r="P3728" i="7" s="1"/>
  <c r="N3724" i="7"/>
  <c r="P3724" i="7" s="1"/>
  <c r="D3703" i="7"/>
  <c r="G3703" i="7" s="1"/>
  <c r="N3700" i="7"/>
  <c r="N3694" i="7"/>
  <c r="N3690" i="7"/>
  <c r="N3675" i="7"/>
  <c r="P3675" i="7" s="1"/>
  <c r="N3757" i="7"/>
  <c r="P3757" i="7" s="1"/>
  <c r="N3715" i="7"/>
  <c r="P3715" i="7" s="1"/>
  <c r="N3706" i="7"/>
  <c r="D3697" i="7"/>
  <c r="G3697" i="7" s="1"/>
  <c r="N3680" i="7"/>
  <c r="P3680" i="7" s="1"/>
  <c r="D3678" i="7"/>
  <c r="I3678" i="7" s="1"/>
  <c r="M3678" i="7" s="1"/>
  <c r="D3740" i="7"/>
  <c r="I3740" i="7" s="1"/>
  <c r="M3740" i="7" s="1"/>
  <c r="N3722" i="7"/>
  <c r="P3722" i="7" s="1"/>
  <c r="N3684" i="7"/>
  <c r="P3684" i="7" s="1"/>
  <c r="D3682" i="7"/>
  <c r="N3670" i="7"/>
  <c r="P3670" i="7" s="1"/>
  <c r="N3761" i="7"/>
  <c r="P3761" i="7" s="1"/>
  <c r="N3744" i="7"/>
  <c r="P3744" i="7" s="1"/>
  <c r="D3731" i="7"/>
  <c r="I3731" i="7" s="1"/>
  <c r="M3731" i="7" s="1"/>
  <c r="D3714" i="7"/>
  <c r="I3714" i="7" s="1"/>
  <c r="M3714" i="7" s="1"/>
  <c r="D3699" i="7"/>
  <c r="N3693" i="7"/>
  <c r="P3693" i="7" s="1"/>
  <c r="D3689" i="7"/>
  <c r="N3679" i="7"/>
  <c r="P3679" i="7" s="1"/>
  <c r="N3674" i="7"/>
  <c r="P3674" i="7" s="1"/>
  <c r="D3672" i="7"/>
  <c r="N3667" i="7"/>
  <c r="P3667" i="7" s="1"/>
  <c r="N3726" i="7"/>
  <c r="P3726" i="7" s="1"/>
  <c r="D3722" i="7"/>
  <c r="N3698" i="7"/>
  <c r="N3686" i="7"/>
  <c r="P3686" i="7" s="1"/>
  <c r="N3669" i="7"/>
  <c r="P3669" i="7" s="1"/>
  <c r="N3666" i="7"/>
  <c r="N3755" i="7"/>
  <c r="N3695" i="7"/>
  <c r="P3695" i="7" s="1"/>
  <c r="Q3695" i="7" s="1"/>
  <c r="N3681" i="7"/>
  <c r="P3681" i="7" s="1"/>
  <c r="D3733" i="7"/>
  <c r="G3733" i="7" s="1"/>
  <c r="N3716" i="7"/>
  <c r="P3716" i="7" s="1"/>
  <c r="N3685" i="7"/>
  <c r="P3685" i="7" s="1"/>
  <c r="N3683" i="7"/>
  <c r="P3683" i="7" s="1"/>
  <c r="N3676" i="7"/>
  <c r="P3676" i="7" s="1"/>
  <c r="N3671" i="7"/>
  <c r="P3671" i="7" s="1"/>
  <c r="D3669" i="7"/>
  <c r="D3666" i="7"/>
  <c r="N3759" i="7"/>
  <c r="N3742" i="7"/>
  <c r="P3742" i="7" s="1"/>
  <c r="N3737" i="7"/>
  <c r="P3737" i="7" s="1"/>
  <c r="D3712" i="7"/>
  <c r="I3712" i="7" s="1"/>
  <c r="M3712" i="7" s="1"/>
  <c r="N3673" i="7"/>
  <c r="P3673" i="7" s="1"/>
  <c r="I90" i="4"/>
  <c r="R90" i="4"/>
  <c r="Q90" i="4"/>
  <c r="O90" i="4"/>
  <c r="I2790" i="7"/>
  <c r="D2791" i="7"/>
  <c r="O2095" i="7"/>
  <c r="Q2095" i="7"/>
  <c r="O2100" i="7"/>
  <c r="Q2100" i="7"/>
  <c r="O2284" i="7"/>
  <c r="O2288" i="7"/>
  <c r="O1520" i="7"/>
  <c r="Q1520" i="7"/>
  <c r="Q1131" i="7"/>
  <c r="O1131" i="7"/>
  <c r="D3518" i="7"/>
  <c r="O1707" i="7"/>
  <c r="Q1707" i="7"/>
  <c r="O1713" i="7"/>
  <c r="Q1713" i="7"/>
  <c r="O943" i="7"/>
  <c r="Q943" i="7"/>
  <c r="Q3926" i="7"/>
  <c r="O3926" i="7"/>
  <c r="O3639" i="7"/>
  <c r="Q3639" i="7"/>
  <c r="O2643" i="7"/>
  <c r="Q2643" i="7"/>
  <c r="O841" i="7"/>
  <c r="M840" i="7"/>
  <c r="Q841" i="7"/>
  <c r="O649" i="7"/>
  <c r="Q649" i="7"/>
  <c r="O545" i="7"/>
  <c r="Q545" i="7"/>
  <c r="I4023" i="7"/>
  <c r="M4023" i="7" s="1"/>
  <c r="D4024" i="7"/>
  <c r="I4024" i="7" s="1"/>
  <c r="M4024" i="7" s="1"/>
  <c r="O3452" i="7"/>
  <c r="Q3452" i="7"/>
  <c r="O3576" i="7"/>
  <c r="Q3576" i="7"/>
  <c r="M3483" i="7"/>
  <c r="Q3484" i="7"/>
  <c r="O3484" i="7"/>
  <c r="M3622" i="7"/>
  <c r="Q3623" i="7"/>
  <c r="O3623" i="7"/>
  <c r="O2353" i="7"/>
  <c r="O1803" i="7"/>
  <c r="Q1803" i="7"/>
  <c r="Q1978" i="7"/>
  <c r="O1978" i="7"/>
  <c r="M1977" i="7"/>
  <c r="Q1867" i="7"/>
  <c r="O1867" i="7"/>
  <c r="Q1328" i="7"/>
  <c r="O1328" i="7"/>
  <c r="O579" i="7"/>
  <c r="Q579" i="7"/>
  <c r="O291" i="7"/>
  <c r="Q291" i="7"/>
  <c r="O284" i="7"/>
  <c r="Q284" i="7"/>
  <c r="O2490" i="7"/>
  <c r="Q2490" i="7"/>
  <c r="O571" i="7"/>
  <c r="Q571" i="7"/>
  <c r="D3047" i="7"/>
  <c r="I3047" i="7" s="1"/>
  <c r="M3047" i="7" s="1"/>
  <c r="I3046" i="7"/>
  <c r="M3046" i="7" s="1"/>
  <c r="O2072" i="7"/>
  <c r="Q2072" i="7"/>
  <c r="O2145" i="7"/>
  <c r="Q2145" i="7"/>
  <c r="Q1786" i="7"/>
  <c r="O1786" i="7"/>
  <c r="O994" i="7"/>
  <c r="Q994" i="7"/>
  <c r="Q504" i="7"/>
  <c r="O504" i="7"/>
  <c r="Q592" i="7"/>
  <c r="O592" i="7"/>
  <c r="O3964" i="7"/>
  <c r="M3963" i="7"/>
  <c r="Q3964" i="7"/>
  <c r="O4116" i="7"/>
  <c r="Q4116" i="7"/>
  <c r="Q4143" i="7"/>
  <c r="O4143" i="7"/>
  <c r="O1536" i="7"/>
  <c r="Q1536" i="7"/>
  <c r="O964" i="7"/>
  <c r="Q964" i="7"/>
  <c r="Q3544" i="7"/>
  <c r="O3544" i="7"/>
  <c r="Q880" i="7"/>
  <c r="O880" i="7"/>
  <c r="M879" i="7"/>
  <c r="Q884" i="7"/>
  <c r="O884" i="7"/>
  <c r="O883" i="7"/>
  <c r="Q883" i="7"/>
  <c r="O777" i="7"/>
  <c r="Q777" i="7"/>
  <c r="O149" i="7"/>
  <c r="AB149" i="7" s="1"/>
  <c r="I4007" i="7"/>
  <c r="M4007" i="7" s="1"/>
  <c r="D4008" i="7"/>
  <c r="I4008" i="7" s="1"/>
  <c r="M4008" i="7" s="1"/>
  <c r="I3030" i="7"/>
  <c r="M3030" i="7" s="1"/>
  <c r="D3031" i="7"/>
  <c r="I3031" i="7" s="1"/>
  <c r="M3031" i="7" s="1"/>
  <c r="O3148" i="7"/>
  <c r="Q3148" i="7"/>
  <c r="Q3157" i="7"/>
  <c r="O3157" i="7"/>
  <c r="M3156" i="7"/>
  <c r="O3127" i="7"/>
  <c r="Q3127" i="7"/>
  <c r="G3017" i="7"/>
  <c r="P3017" i="7"/>
  <c r="O3106" i="7"/>
  <c r="Q3106" i="7"/>
  <c r="Q2948" i="7"/>
  <c r="O2948" i="7"/>
  <c r="P3130" i="7"/>
  <c r="Q3130" i="7" s="1"/>
  <c r="O3130" i="7"/>
  <c r="O3089" i="7"/>
  <c r="P3089" i="7"/>
  <c r="Q3089" i="7" s="1"/>
  <c r="Q3165" i="7"/>
  <c r="O3165" i="7"/>
  <c r="M3164" i="7"/>
  <c r="Q3151" i="7"/>
  <c r="O3151" i="7"/>
  <c r="Q2959" i="7"/>
  <c r="O2959" i="7"/>
  <c r="Q3081" i="7"/>
  <c r="O3081" i="7"/>
  <c r="Q3158" i="7"/>
  <c r="O3158" i="7"/>
  <c r="Q3153" i="7"/>
  <c r="O3153" i="7"/>
  <c r="O2888" i="7"/>
  <c r="Q2888" i="7"/>
  <c r="O4194" i="7"/>
  <c r="Q4194" i="7"/>
  <c r="Q4216" i="7"/>
  <c r="O4216" i="7"/>
  <c r="O797" i="7"/>
  <c r="M796" i="7"/>
  <c r="Q797" i="7"/>
  <c r="Q3584" i="7"/>
  <c r="O3584" i="7"/>
  <c r="Q3491" i="7"/>
  <c r="O3491" i="7"/>
  <c r="Q3571" i="7"/>
  <c r="O3571" i="7"/>
  <c r="M3570" i="7"/>
  <c r="Q3643" i="7"/>
  <c r="O3643" i="7"/>
  <c r="O1952" i="7"/>
  <c r="Q1952" i="7"/>
  <c r="O1742" i="7"/>
  <c r="Q1742" i="7"/>
  <c r="Q1322" i="7"/>
  <c r="O1322" i="7"/>
  <c r="O442" i="7"/>
  <c r="Q442" i="7"/>
  <c r="O292" i="7"/>
  <c r="Q292" i="7"/>
  <c r="O312" i="7"/>
  <c r="Q312" i="7"/>
  <c r="O304" i="7"/>
  <c r="Q304" i="7"/>
  <c r="Q309" i="7"/>
  <c r="O309" i="7"/>
  <c r="O2499" i="7"/>
  <c r="Q2499" i="7"/>
  <c r="Q2505" i="7"/>
  <c r="O2505" i="7"/>
  <c r="M3793" i="7"/>
  <c r="Q2153" i="7"/>
  <c r="O2153" i="7"/>
  <c r="O2058" i="7"/>
  <c r="Q2058" i="7"/>
  <c r="O995" i="7"/>
  <c r="Q995" i="7"/>
  <c r="Q522" i="7"/>
  <c r="O522" i="7"/>
  <c r="O516" i="7"/>
  <c r="Q516" i="7"/>
  <c r="Q681" i="7"/>
  <c r="O681" i="7"/>
  <c r="M680" i="7"/>
  <c r="O715" i="7"/>
  <c r="Q715" i="7"/>
  <c r="M788" i="7"/>
  <c r="O789" i="7"/>
  <c r="Q789" i="7"/>
  <c r="Q903" i="7"/>
  <c r="O903" i="7"/>
  <c r="O4162" i="7"/>
  <c r="Q4162" i="7"/>
  <c r="Q3466" i="7"/>
  <c r="O3466" i="7"/>
  <c r="O3367" i="7"/>
  <c r="M3431" i="7"/>
  <c r="Q3468" i="7"/>
  <c r="O3468" i="7"/>
  <c r="O2970" i="7"/>
  <c r="Q2970" i="7"/>
  <c r="Q2610" i="7"/>
  <c r="O2610" i="7"/>
  <c r="O926" i="7"/>
  <c r="Q926" i="7"/>
  <c r="M3512" i="7"/>
  <c r="O3513" i="7"/>
  <c r="Q3513" i="7"/>
  <c r="Q3638" i="7"/>
  <c r="O3638" i="7"/>
  <c r="P3528" i="7"/>
  <c r="G3528" i="7"/>
  <c r="G3529" i="7" s="1"/>
  <c r="G3530" i="7" s="1"/>
  <c r="O4240" i="7"/>
  <c r="M4239" i="7"/>
  <c r="Q4240" i="7"/>
  <c r="Q3478" i="7"/>
  <c r="O3478" i="7"/>
  <c r="C385" i="11" s="1"/>
  <c r="O3559" i="7"/>
  <c r="Q2935" i="7"/>
  <c r="O2935" i="7"/>
  <c r="O3007" i="7"/>
  <c r="O2708" i="7"/>
  <c r="O540" i="7"/>
  <c r="Q540" i="7"/>
  <c r="O747" i="7"/>
  <c r="Q747" i="7"/>
  <c r="O108" i="7"/>
  <c r="AB108" i="7" s="1"/>
  <c r="Q108" i="7"/>
  <c r="O167" i="7"/>
  <c r="AB167" i="7" s="1"/>
  <c r="Q167" i="7"/>
  <c r="C548" i="11"/>
  <c r="C546" i="11"/>
  <c r="M3986" i="7"/>
  <c r="D3752" i="7"/>
  <c r="P3474" i="7"/>
  <c r="Q3474" i="7" s="1"/>
  <c r="O3474" i="7"/>
  <c r="Q3449" i="7"/>
  <c r="O3449" i="7"/>
  <c r="O3500" i="7"/>
  <c r="C396" i="11" s="1"/>
  <c r="Q3500" i="7"/>
  <c r="O3501" i="7"/>
  <c r="Q3501" i="7"/>
  <c r="O3605" i="7"/>
  <c r="Q3605" i="7"/>
  <c r="P3553" i="7"/>
  <c r="Q3553" i="7" s="1"/>
  <c r="O3553" i="7"/>
  <c r="M3450" i="7"/>
  <c r="Q3451" i="7"/>
  <c r="O3451" i="7"/>
  <c r="P3493" i="7"/>
  <c r="I3493" i="7"/>
  <c r="O3618" i="7"/>
  <c r="Q3618" i="7"/>
  <c r="O3653" i="7"/>
  <c r="Q3653" i="7"/>
  <c r="O3470" i="7"/>
  <c r="P3470" i="7"/>
  <c r="Q3470" i="7" s="1"/>
  <c r="O3665" i="7"/>
  <c r="Q3665" i="7"/>
  <c r="I3548" i="7"/>
  <c r="P3548" i="7"/>
  <c r="Q3628" i="7"/>
  <c r="O3628" i="7"/>
  <c r="Q3580" i="7"/>
  <c r="O3580" i="7"/>
  <c r="Q3617" i="7"/>
  <c r="O3617" i="7"/>
  <c r="Q3652" i="7"/>
  <c r="O3652" i="7"/>
  <c r="Q3504" i="7"/>
  <c r="O3504" i="7"/>
  <c r="Q3572" i="7"/>
  <c r="O3572" i="7"/>
  <c r="Q3644" i="7"/>
  <c r="O3644" i="7"/>
  <c r="Q3586" i="7"/>
  <c r="O3586" i="7"/>
  <c r="D3039" i="7"/>
  <c r="O2352" i="7"/>
  <c r="M2351" i="7"/>
  <c r="O1864" i="7"/>
  <c r="M1863" i="7"/>
  <c r="Q1864" i="7"/>
  <c r="O1909" i="7"/>
  <c r="Q1909" i="7"/>
  <c r="O1872" i="7"/>
  <c r="Q1872" i="7"/>
  <c r="Q1853" i="7"/>
  <c r="O1853" i="7"/>
  <c r="Q1814" i="7"/>
  <c r="O1814" i="7"/>
  <c r="Q1865" i="7"/>
  <c r="O1865" i="7"/>
  <c r="O1819" i="7"/>
  <c r="M1818" i="7"/>
  <c r="Q1819" i="7"/>
  <c r="O1892" i="7"/>
  <c r="Q1892" i="7"/>
  <c r="Q1829" i="7"/>
  <c r="O1829" i="7"/>
  <c r="M1821" i="7"/>
  <c r="Q1824" i="7"/>
  <c r="O1824" i="7"/>
  <c r="Q1858" i="7"/>
  <c r="O1858" i="7"/>
  <c r="O1986" i="7"/>
  <c r="Q1986" i="7"/>
  <c r="Q1972" i="7"/>
  <c r="O1972" i="7"/>
  <c r="M1971" i="7"/>
  <c r="M1948" i="7"/>
  <c r="O1949" i="7"/>
  <c r="Q1949" i="7"/>
  <c r="O1937" i="7"/>
  <c r="Q1937" i="7"/>
  <c r="Q1593" i="7"/>
  <c r="O1593" i="7"/>
  <c r="O1326" i="7"/>
  <c r="Q1326" i="7"/>
  <c r="EH4" i="9"/>
  <c r="M1146" i="7"/>
  <c r="O263" i="7"/>
  <c r="Q263" i="7"/>
  <c r="O3866" i="7"/>
  <c r="O3479" i="7"/>
  <c r="O3662" i="7"/>
  <c r="O3551" i="7"/>
  <c r="O3562" i="7"/>
  <c r="C419" i="11" s="1"/>
  <c r="Q3562" i="7"/>
  <c r="M3550" i="7"/>
  <c r="O3472" i="7"/>
  <c r="Q3472" i="7"/>
  <c r="O3093" i="7"/>
  <c r="M3092" i="7"/>
  <c r="Q3093" i="7"/>
  <c r="O3086" i="7"/>
  <c r="Q2999" i="7"/>
  <c r="O2999" i="7"/>
  <c r="O3172" i="7"/>
  <c r="Q3172" i="7"/>
  <c r="M2644" i="7"/>
  <c r="I2645" i="7"/>
  <c r="G2644" i="7"/>
  <c r="Q2558" i="7"/>
  <c r="O2558" i="7"/>
  <c r="M2557" i="7"/>
  <c r="D33" i="10"/>
  <c r="F33" i="10" s="1"/>
  <c r="C127" i="11"/>
  <c r="M576" i="7"/>
  <c r="O940" i="7"/>
  <c r="Q940" i="7"/>
  <c r="O457" i="7"/>
  <c r="Q457" i="7"/>
  <c r="Q557" i="7"/>
  <c r="O557" i="7"/>
  <c r="M196" i="7"/>
  <c r="O197" i="7"/>
  <c r="AB197" i="7" s="1"/>
  <c r="I3987" i="7"/>
  <c r="M3987" i="7" s="1"/>
  <c r="D3988" i="7"/>
  <c r="I3988" i="7" s="1"/>
  <c r="M3988" i="7" s="1"/>
  <c r="D3749" i="7"/>
  <c r="Q3454" i="7"/>
  <c r="O3454" i="7"/>
  <c r="I3498" i="7"/>
  <c r="M3498" i="7" s="1"/>
  <c r="G3520" i="7"/>
  <c r="P3520" i="7"/>
  <c r="P3663" i="7"/>
  <c r="Q3663" i="7" s="1"/>
  <c r="O3663" i="7"/>
  <c r="P3560" i="7"/>
  <c r="Q3560" i="7" s="1"/>
  <c r="O3560" i="7"/>
  <c r="Q3593" i="7"/>
  <c r="O3593" i="7"/>
  <c r="Q3635" i="7"/>
  <c r="O3635" i="7"/>
  <c r="Q3624" i="7"/>
  <c r="O3624" i="7"/>
  <c r="P3620" i="7"/>
  <c r="I3620" i="7"/>
  <c r="Q3503" i="7"/>
  <c r="M3502" i="7"/>
  <c r="O3503" i="7"/>
  <c r="Q3629" i="7"/>
  <c r="O3629" i="7"/>
  <c r="D2796" i="7"/>
  <c r="O2354" i="7"/>
  <c r="O1820" i="7"/>
  <c r="Q1820" i="7"/>
  <c r="Q1893" i="7"/>
  <c r="O1893" i="7"/>
  <c r="O1856" i="7"/>
  <c r="Q1856" i="7"/>
  <c r="Q1885" i="7"/>
  <c r="O1885" i="7"/>
  <c r="Q1869" i="7"/>
  <c r="O1869" i="7"/>
  <c r="Q1828" i="7"/>
  <c r="O1828" i="7"/>
  <c r="O1826" i="7"/>
  <c r="M1825" i="7"/>
  <c r="Q1826" i="7"/>
  <c r="Q1870" i="7"/>
  <c r="O1870" i="7"/>
  <c r="O1855" i="7"/>
  <c r="Q1855" i="7"/>
  <c r="E21" i="6"/>
  <c r="O21" i="6"/>
  <c r="T21" i="6" s="1"/>
  <c r="N21" i="6"/>
  <c r="S21" i="6" s="1"/>
  <c r="Q1866" i="7"/>
  <c r="O1866" i="7"/>
  <c r="O1860" i="7"/>
  <c r="Q1860" i="7"/>
  <c r="O1324" i="7"/>
  <c r="Q1324" i="7"/>
  <c r="Q1320" i="7"/>
  <c r="O1320" i="7"/>
  <c r="Q1147" i="7"/>
  <c r="O1147" i="7"/>
  <c r="O4246" i="7"/>
  <c r="Q4246" i="7"/>
  <c r="C39" i="6"/>
  <c r="O722" i="7"/>
  <c r="Q722" i="7"/>
  <c r="O817" i="7"/>
  <c r="Q817" i="7"/>
  <c r="Q801" i="7"/>
  <c r="O801" i="7"/>
  <c r="O408" i="7"/>
  <c r="Q408" i="7"/>
  <c r="Q315" i="7"/>
  <c r="O315" i="7"/>
  <c r="O270" i="7"/>
  <c r="Q270" i="7"/>
  <c r="Q330" i="7"/>
  <c r="O330" i="7"/>
  <c r="O269" i="7"/>
  <c r="Q269" i="7"/>
  <c r="Q272" i="7"/>
  <c r="O272" i="7"/>
  <c r="O341" i="7"/>
  <c r="Q341" i="7"/>
  <c r="Q280" i="7"/>
  <c r="O280" i="7"/>
  <c r="O290" i="7"/>
  <c r="Q290" i="7"/>
  <c r="O302" i="7"/>
  <c r="Q302" i="7"/>
  <c r="Q332" i="7"/>
  <c r="O332" i="7"/>
  <c r="M331" i="7"/>
  <c r="Q393" i="7"/>
  <c r="O393" i="7"/>
  <c r="O2614" i="7"/>
  <c r="Q2614" i="7"/>
  <c r="Q2566" i="7"/>
  <c r="O2566" i="7"/>
  <c r="M2565" i="7"/>
  <c r="I2553" i="7"/>
  <c r="M2553" i="7" s="1"/>
  <c r="Q2542" i="7"/>
  <c r="O2542" i="7"/>
  <c r="O2445" i="7"/>
  <c r="Q2445" i="7"/>
  <c r="O572" i="7"/>
  <c r="Q572" i="7"/>
  <c r="O252" i="7"/>
  <c r="AB252" i="7" s="1"/>
  <c r="M251" i="7"/>
  <c r="D4020" i="7"/>
  <c r="I4020" i="7" s="1"/>
  <c r="M4020" i="7" s="1"/>
  <c r="I4019" i="7"/>
  <c r="M4019" i="7" s="1"/>
  <c r="C263" i="11"/>
  <c r="M3045" i="7"/>
  <c r="O2073" i="7"/>
  <c r="Q2073" i="7"/>
  <c r="Q2168" i="7"/>
  <c r="O2168" i="7"/>
  <c r="Q2157" i="7"/>
  <c r="O2157" i="7"/>
  <c r="M2156" i="7"/>
  <c r="Q2069" i="7"/>
  <c r="O2069" i="7"/>
  <c r="M2068" i="7"/>
  <c r="O2081" i="7"/>
  <c r="Q2081" i="7"/>
  <c r="O2017" i="7"/>
  <c r="Q2017" i="7"/>
  <c r="M2139" i="7"/>
  <c r="O2140" i="7"/>
  <c r="Q2140" i="7"/>
  <c r="Q2005" i="7"/>
  <c r="M2004" i="7"/>
  <c r="O2005" i="7"/>
  <c r="Q2063" i="7"/>
  <c r="O2063" i="7"/>
  <c r="O2008" i="7"/>
  <c r="Q2008" i="7"/>
  <c r="O2079" i="7"/>
  <c r="Q2079" i="7"/>
  <c r="O2021" i="7"/>
  <c r="Q2021" i="7"/>
  <c r="Q2050" i="7"/>
  <c r="O2050" i="7"/>
  <c r="Q2085" i="7"/>
  <c r="O2085" i="7"/>
  <c r="Q2013" i="7"/>
  <c r="O2013" i="7"/>
  <c r="Q2163" i="7"/>
  <c r="M2162" i="7"/>
  <c r="O2163" i="7"/>
  <c r="Q1967" i="7"/>
  <c r="O1967" i="7"/>
  <c r="I1345" i="7"/>
  <c r="M1345" i="7" s="1"/>
  <c r="O1058" i="7"/>
  <c r="Q1058" i="7"/>
  <c r="O915" i="7"/>
  <c r="Q915" i="7"/>
  <c r="Q947" i="7"/>
  <c r="O947" i="7"/>
  <c r="M946" i="7"/>
  <c r="O492" i="7"/>
  <c r="Q492" i="7"/>
  <c r="O500" i="7"/>
  <c r="Q500" i="7"/>
  <c r="Q481" i="7"/>
  <c r="O481" i="7"/>
  <c r="Q496" i="7"/>
  <c r="O496" i="7"/>
  <c r="Q518" i="7"/>
  <c r="O518" i="7"/>
  <c r="Q482" i="7"/>
  <c r="O482" i="7"/>
  <c r="Q523" i="7"/>
  <c r="O523" i="7"/>
  <c r="M450" i="7"/>
  <c r="Q451" i="7"/>
  <c r="O451" i="7"/>
  <c r="O508" i="7"/>
  <c r="Q508" i="7"/>
  <c r="O559" i="7"/>
  <c r="Q559" i="7"/>
  <c r="Q476" i="7"/>
  <c r="O476" i="7"/>
  <c r="Q468" i="7"/>
  <c r="M467" i="7"/>
  <c r="O468" i="7"/>
  <c r="Q598" i="7"/>
  <c r="O598" i="7"/>
  <c r="M597" i="7"/>
  <c r="Q498" i="7"/>
  <c r="O498" i="7"/>
  <c r="Q424" i="7"/>
  <c r="O424" i="7"/>
  <c r="Q2125" i="7"/>
  <c r="O2125" i="7"/>
  <c r="O734" i="7"/>
  <c r="Q734" i="7"/>
  <c r="Q695" i="7"/>
  <c r="O695" i="7"/>
  <c r="Q674" i="7"/>
  <c r="O674" i="7"/>
  <c r="O666" i="7"/>
  <c r="Q666" i="7"/>
  <c r="Q710" i="7"/>
  <c r="O710" i="7"/>
  <c r="O735" i="7"/>
  <c r="Q735" i="7"/>
  <c r="Q727" i="7"/>
  <c r="O727" i="7"/>
  <c r="O679" i="7"/>
  <c r="Q679" i="7"/>
  <c r="M643" i="7"/>
  <c r="Q644" i="7"/>
  <c r="O644" i="7"/>
  <c r="O698" i="7"/>
  <c r="Q698" i="7"/>
  <c r="Q668" i="7"/>
  <c r="M667" i="7"/>
  <c r="O668" i="7"/>
  <c r="Q697" i="7"/>
  <c r="O697" i="7"/>
  <c r="O584" i="7"/>
  <c r="Q584" i="7"/>
  <c r="C347" i="11"/>
  <c r="M3311" i="7"/>
  <c r="O4102" i="7"/>
  <c r="Q4102" i="7"/>
  <c r="Q3907" i="7"/>
  <c r="O3907" i="7"/>
  <c r="O3914" i="7"/>
  <c r="C520" i="11" s="1"/>
  <c r="Q3914" i="7"/>
  <c r="I3951" i="7"/>
  <c r="M3951" i="7" s="1"/>
  <c r="O3912" i="7"/>
  <c r="Q3912" i="7"/>
  <c r="O3903" i="7"/>
  <c r="Q3903" i="7"/>
  <c r="Q3943" i="7"/>
  <c r="O3943" i="7"/>
  <c r="O4058" i="7"/>
  <c r="Q4058" i="7"/>
  <c r="M4057" i="7"/>
  <c r="M4077" i="7"/>
  <c r="Q4034" i="7"/>
  <c r="O4034" i="7"/>
  <c r="O4137" i="7"/>
  <c r="Q4137" i="7"/>
  <c r="O4103" i="7"/>
  <c r="Q4103" i="7"/>
  <c r="Q4121" i="7"/>
  <c r="O4121" i="7"/>
  <c r="M4112" i="7"/>
  <c r="O4113" i="7"/>
  <c r="Q4113" i="7"/>
  <c r="O4135" i="7"/>
  <c r="Q4135" i="7"/>
  <c r="Q4106" i="7"/>
  <c r="O4106" i="7"/>
  <c r="O1534" i="7"/>
  <c r="Q1534" i="7"/>
  <c r="Q1164" i="7"/>
  <c r="O1164" i="7"/>
  <c r="Q1110" i="7"/>
  <c r="O1110" i="7"/>
  <c r="Q1185" i="7"/>
  <c r="O1185" i="7"/>
  <c r="BW4" i="9"/>
  <c r="O229" i="7"/>
  <c r="AB229" i="7" s="1"/>
  <c r="I4011" i="7"/>
  <c r="M4011" i="7" s="1"/>
  <c r="D4012" i="7"/>
  <c r="I4012" i="7" s="1"/>
  <c r="M4012" i="7" s="1"/>
  <c r="C416" i="11"/>
  <c r="M3543" i="7"/>
  <c r="Q845" i="7"/>
  <c r="O845" i="7"/>
  <c r="O844" i="7"/>
  <c r="Q844" i="7"/>
  <c r="Q874" i="7"/>
  <c r="O874" i="7"/>
  <c r="M873" i="7"/>
  <c r="O902" i="7"/>
  <c r="Q902" i="7"/>
  <c r="O886" i="7"/>
  <c r="Q886" i="7"/>
  <c r="M981" i="7"/>
  <c r="O982" i="7"/>
  <c r="Q982" i="7"/>
  <c r="Q1026" i="7"/>
  <c r="O1026" i="7"/>
  <c r="M1025" i="7"/>
  <c r="Q870" i="7"/>
  <c r="O870" i="7"/>
  <c r="O3225" i="7"/>
  <c r="Q3225" i="7"/>
  <c r="O3289" i="7"/>
  <c r="Q3289" i="7"/>
  <c r="O3271" i="7"/>
  <c r="C558" i="11"/>
  <c r="M4006" i="7"/>
  <c r="I3226" i="7"/>
  <c r="M3224" i="7"/>
  <c r="P2968" i="7"/>
  <c r="Q2968" i="7" s="1"/>
  <c r="O2968" i="7"/>
  <c r="I2987" i="7"/>
  <c r="M2987" i="7" s="1"/>
  <c r="O3119" i="7"/>
  <c r="Q3119" i="7"/>
  <c r="O3149" i="7"/>
  <c r="Q3149" i="7"/>
  <c r="P3154" i="7"/>
  <c r="I3154" i="7"/>
  <c r="P3201" i="7"/>
  <c r="Q3201" i="7" s="1"/>
  <c r="O3201" i="7"/>
  <c r="Q3116" i="7"/>
  <c r="O3116" i="7"/>
  <c r="O3147" i="7"/>
  <c r="M3146" i="7"/>
  <c r="Q3147" i="7"/>
  <c r="Q3171" i="7"/>
  <c r="O3171" i="7"/>
  <c r="I3002" i="7"/>
  <c r="M3002" i="7" s="1"/>
  <c r="Q2958" i="7"/>
  <c r="O2958" i="7"/>
  <c r="Q3184" i="7"/>
  <c r="O3184" i="7"/>
  <c r="Q3206" i="7"/>
  <c r="O3206" i="7"/>
  <c r="G2802" i="7"/>
  <c r="G2803" i="7" s="1"/>
  <c r="G2804" i="7" s="1"/>
  <c r="P2802" i="7"/>
  <c r="O2781" i="7"/>
  <c r="Q2781" i="7"/>
  <c r="Q2730" i="7"/>
  <c r="O2730" i="7"/>
  <c r="M2729" i="7"/>
  <c r="Q2890" i="7"/>
  <c r="O2890" i="7"/>
  <c r="O2931" i="7"/>
  <c r="P2931" i="7"/>
  <c r="Q2931" i="7" s="1"/>
  <c r="P2743" i="7"/>
  <c r="Q2743" i="7" s="1"/>
  <c r="O2743" i="7"/>
  <c r="Q2785" i="7"/>
  <c r="O2785" i="7"/>
  <c r="Q2722" i="7"/>
  <c r="O2722" i="7"/>
  <c r="Q2777" i="7"/>
  <c r="O2777" i="7"/>
  <c r="C192" i="11"/>
  <c r="P2813" i="7"/>
  <c r="Q2813" i="7" s="1"/>
  <c r="Q2847" i="7"/>
  <c r="O2847" i="7"/>
  <c r="O2927" i="7"/>
  <c r="Q2927" i="7"/>
  <c r="O2679" i="7"/>
  <c r="Q2679" i="7"/>
  <c r="O2697" i="7"/>
  <c r="Q2697" i="7"/>
  <c r="Q2627" i="7"/>
  <c r="O2627" i="7"/>
  <c r="Q2656" i="7"/>
  <c r="O2656" i="7"/>
  <c r="M2655" i="7"/>
  <c r="Q2669" i="7"/>
  <c r="O2669" i="7"/>
  <c r="M2668" i="7"/>
  <c r="Q2695" i="7"/>
  <c r="O2695" i="7"/>
  <c r="P2548" i="7"/>
  <c r="I2548" i="7"/>
  <c r="Q2620" i="7"/>
  <c r="O2620" i="7"/>
  <c r="Q2589" i="7"/>
  <c r="O2589" i="7"/>
  <c r="O2257" i="7"/>
  <c r="O2242" i="7"/>
  <c r="O2241" i="7"/>
  <c r="Q2241" i="7"/>
  <c r="O2206" i="7"/>
  <c r="M2204" i="7"/>
  <c r="O2205" i="7"/>
  <c r="O2215" i="7"/>
  <c r="Q2259" i="7"/>
  <c r="O2259" i="7"/>
  <c r="Q2237" i="7"/>
  <c r="O2237" i="7"/>
  <c r="O2273" i="7"/>
  <c r="Q2327" i="7"/>
  <c r="M2326" i="7"/>
  <c r="O2327" i="7"/>
  <c r="O2364" i="7"/>
  <c r="M2363" i="7"/>
  <c r="O2232" i="7"/>
  <c r="Q2232" i="7"/>
  <c r="M2261" i="7"/>
  <c r="Q2262" i="7"/>
  <c r="O2262" i="7"/>
  <c r="O2323" i="7"/>
  <c r="O2203" i="7"/>
  <c r="O2246" i="7"/>
  <c r="I1922" i="7"/>
  <c r="M1922" i="7" s="1"/>
  <c r="I1918" i="7"/>
  <c r="M1587" i="7"/>
  <c r="O1588" i="7"/>
  <c r="Q1588" i="7"/>
  <c r="O1572" i="7"/>
  <c r="Q1572" i="7"/>
  <c r="O1495" i="7"/>
  <c r="Q1495" i="7"/>
  <c r="Q1353" i="7"/>
  <c r="O1353" i="7"/>
  <c r="O1036" i="7"/>
  <c r="Q1036" i="7"/>
  <c r="O1044" i="7"/>
  <c r="Q1044" i="7"/>
  <c r="E17" i="6"/>
  <c r="O17" i="6"/>
  <c r="T17" i="6" s="1"/>
  <c r="N17" i="6"/>
  <c r="S17" i="6" s="1"/>
  <c r="O1121" i="7"/>
  <c r="Q1121" i="7"/>
  <c r="O1120" i="7"/>
  <c r="Q1120" i="7"/>
  <c r="O1213" i="7"/>
  <c r="Q1213" i="7"/>
  <c r="DR4" i="9"/>
  <c r="M374" i="7"/>
  <c r="D3019" i="7"/>
  <c r="O2344" i="7"/>
  <c r="O2346" i="7"/>
  <c r="Q1762" i="7"/>
  <c r="O1762" i="7"/>
  <c r="M1761" i="7"/>
  <c r="Q1781" i="7"/>
  <c r="M1780" i="7"/>
  <c r="O1781" i="7"/>
  <c r="Q1764" i="7"/>
  <c r="O1764" i="7"/>
  <c r="Q1547" i="7"/>
  <c r="O1547" i="7"/>
  <c r="O1412" i="7"/>
  <c r="M1411" i="7"/>
  <c r="Q1412" i="7"/>
  <c r="Q1269" i="7"/>
  <c r="O1269" i="7"/>
  <c r="O1290" i="7"/>
  <c r="Q1290" i="7"/>
  <c r="Q1292" i="7"/>
  <c r="O1292" i="7"/>
  <c r="M1265" i="7"/>
  <c r="O1266" i="7"/>
  <c r="Q1266" i="7"/>
  <c r="Q1234" i="7"/>
  <c r="O1234" i="7"/>
  <c r="M1259" i="7"/>
  <c r="O1260" i="7"/>
  <c r="Q1260" i="7"/>
  <c r="O1358" i="7"/>
  <c r="Q1358" i="7"/>
  <c r="Q1312" i="7"/>
  <c r="O1312" i="7"/>
  <c r="O1237" i="7"/>
  <c r="Q1237" i="7"/>
  <c r="Q1196" i="7"/>
  <c r="O1196" i="7"/>
  <c r="H53" i="6"/>
  <c r="I16" i="6"/>
  <c r="C570" i="11"/>
  <c r="M4030" i="7"/>
  <c r="C267" i="11"/>
  <c r="M3053" i="7"/>
  <c r="I2315" i="7"/>
  <c r="M2315" i="7" s="1"/>
  <c r="O1880" i="7"/>
  <c r="Q1880" i="7"/>
  <c r="O1976" i="7"/>
  <c r="Q1976" i="7"/>
  <c r="M1954" i="7"/>
  <c r="Q1955" i="7"/>
  <c r="O1955" i="7"/>
  <c r="GE4" i="9"/>
  <c r="M1734" i="7"/>
  <c r="Q1468" i="7"/>
  <c r="O1468" i="7"/>
  <c r="O1447" i="7"/>
  <c r="Q1447" i="7"/>
  <c r="O1434" i="7"/>
  <c r="Q1434" i="7"/>
  <c r="O1443" i="7"/>
  <c r="Q1443" i="7"/>
  <c r="Q1464" i="7"/>
  <c r="O1464" i="7"/>
  <c r="O1470" i="7"/>
  <c r="Q1470" i="7"/>
  <c r="O1429" i="7"/>
  <c r="Q1429" i="7"/>
  <c r="Q1557" i="7"/>
  <c r="O1557" i="7"/>
  <c r="O1524" i="7"/>
  <c r="Q1524" i="7"/>
  <c r="O19" i="6"/>
  <c r="T19" i="6" s="1"/>
  <c r="E19" i="6"/>
  <c r="N19" i="6"/>
  <c r="S19" i="6" s="1"/>
  <c r="Q781" i="7"/>
  <c r="O781" i="7"/>
  <c r="M780" i="7"/>
  <c r="M419" i="7"/>
  <c r="O420" i="7"/>
  <c r="Q420" i="7"/>
  <c r="Q392" i="7"/>
  <c r="O392" i="7"/>
  <c r="Q418" i="7"/>
  <c r="O418" i="7"/>
  <c r="M417" i="7"/>
  <c r="O140" i="7"/>
  <c r="AB140" i="7" s="1"/>
  <c r="Q140" i="7"/>
  <c r="C122" i="11"/>
  <c r="G2581" i="7"/>
  <c r="G2582" i="7" s="1"/>
  <c r="I2582" i="7" s="1"/>
  <c r="M2582" i="7" s="1"/>
  <c r="I3999" i="7"/>
  <c r="M3999" i="7" s="1"/>
  <c r="D4000" i="7"/>
  <c r="I4000" i="7" s="1"/>
  <c r="M4000" i="7" s="1"/>
  <c r="I2111" i="7"/>
  <c r="Q2132" i="7"/>
  <c r="M2131" i="7"/>
  <c r="O2132" i="7"/>
  <c r="I1933" i="7"/>
  <c r="M1933" i="7" s="1"/>
  <c r="Q1675" i="7"/>
  <c r="O1675" i="7"/>
  <c r="O1622" i="7"/>
  <c r="Q1622" i="7"/>
  <c r="Q1750" i="7"/>
  <c r="O1750" i="7"/>
  <c r="O1659" i="7"/>
  <c r="Q1659" i="7"/>
  <c r="O1672" i="7"/>
  <c r="Q1672" i="7"/>
  <c r="Q1611" i="7"/>
  <c r="O1611" i="7"/>
  <c r="Q1639" i="7"/>
  <c r="O1639" i="7"/>
  <c r="O1630" i="7"/>
  <c r="M1629" i="7"/>
  <c r="Q1630" i="7"/>
  <c r="Q1661" i="7"/>
  <c r="O1661" i="7"/>
  <c r="Q1756" i="7"/>
  <c r="O1756" i="7"/>
  <c r="M1755" i="7"/>
  <c r="O1635" i="7"/>
  <c r="Q1635" i="7"/>
  <c r="Q1664" i="7"/>
  <c r="O1664" i="7"/>
  <c r="Q1699" i="7"/>
  <c r="O1699" i="7"/>
  <c r="O1627" i="7"/>
  <c r="Q1627" i="7"/>
  <c r="O1777" i="7"/>
  <c r="Q1777" i="7"/>
  <c r="M1776" i="7"/>
  <c r="Q1619" i="7"/>
  <c r="M1618" i="7"/>
  <c r="O1619" i="7"/>
  <c r="Q1677" i="7"/>
  <c r="O1677" i="7"/>
  <c r="Q1549" i="7"/>
  <c r="O1549" i="7"/>
  <c r="I957" i="7"/>
  <c r="M957" i="7" s="1"/>
  <c r="O530" i="7"/>
  <c r="Q530" i="7"/>
  <c r="O624" i="7"/>
  <c r="Q624" i="7"/>
  <c r="I387" i="7"/>
  <c r="M387" i="7" s="1"/>
  <c r="Q120" i="7"/>
  <c r="O120" i="7"/>
  <c r="AB120" i="7" s="1"/>
  <c r="M119" i="7"/>
  <c r="O127" i="7"/>
  <c r="AB127" i="7" s="1"/>
  <c r="Q127" i="7"/>
  <c r="O121" i="7"/>
  <c r="AB121" i="7" s="1"/>
  <c r="Q172" i="7"/>
  <c r="O172" i="7"/>
  <c r="AB172" i="7" s="1"/>
  <c r="M171" i="7"/>
  <c r="Q144" i="7"/>
  <c r="O144" i="7"/>
  <c r="AB144" i="7" s="1"/>
  <c r="Q122" i="7"/>
  <c r="O122" i="7"/>
  <c r="AB122" i="7" s="1"/>
  <c r="Q247" i="7"/>
  <c r="O247" i="7"/>
  <c r="AB247" i="7" s="1"/>
  <c r="M246" i="7"/>
  <c r="O250" i="7"/>
  <c r="AB250" i="7" s="1"/>
  <c r="Q250" i="7"/>
  <c r="O220" i="7"/>
  <c r="AB220" i="7" s="1"/>
  <c r="Q207" i="7"/>
  <c r="O207" i="7"/>
  <c r="AB207" i="7" s="1"/>
  <c r="O2397" i="7"/>
  <c r="Q2397" i="7"/>
  <c r="Q2457" i="7"/>
  <c r="O2457" i="7"/>
  <c r="O2434" i="7"/>
  <c r="Q2434" i="7"/>
  <c r="P2378" i="7"/>
  <c r="F24" i="6" s="1"/>
  <c r="G24" i="6" s="1"/>
  <c r="D24" i="6"/>
  <c r="O2462" i="7"/>
  <c r="M2461" i="7"/>
  <c r="Q2462" i="7"/>
  <c r="O2470" i="7"/>
  <c r="Q2470" i="7"/>
  <c r="O2438" i="7"/>
  <c r="Q2438" i="7"/>
  <c r="Q2465" i="7"/>
  <c r="O2465" i="7"/>
  <c r="M2464" i="7"/>
  <c r="Q1901" i="7"/>
  <c r="O1901" i="7"/>
  <c r="Q1903" i="7"/>
  <c r="O1903" i="7"/>
  <c r="O1395" i="7"/>
  <c r="M1394" i="7"/>
  <c r="Q1395" i="7"/>
  <c r="O1357" i="7"/>
  <c r="Q1357" i="7"/>
  <c r="Q1396" i="7"/>
  <c r="O1396" i="7"/>
  <c r="I1161" i="7"/>
  <c r="M1161" i="7" s="1"/>
  <c r="Q358" i="7"/>
  <c r="O358" i="7"/>
  <c r="Q2089" i="7"/>
  <c r="O2089" i="7"/>
  <c r="Q2091" i="7"/>
  <c r="O2091" i="7"/>
  <c r="O2291" i="7"/>
  <c r="O1511" i="7"/>
  <c r="Q1511" i="7"/>
  <c r="O1136" i="7"/>
  <c r="Q1136" i="7"/>
  <c r="O1126" i="7"/>
  <c r="Q1126" i="7"/>
  <c r="CB96" i="4"/>
  <c r="CC96" i="4" s="1"/>
  <c r="Q1702" i="7"/>
  <c r="O1702" i="7"/>
  <c r="M1701" i="7"/>
  <c r="Q1704" i="7"/>
  <c r="O1704" i="7"/>
  <c r="M4304" i="7"/>
  <c r="Q1941" i="7"/>
  <c r="O1941" i="7"/>
  <c r="M1940" i="7"/>
  <c r="I2881" i="7"/>
  <c r="P2881" i="7"/>
  <c r="O2765" i="7"/>
  <c r="Q2765" i="7"/>
  <c r="P2834" i="7"/>
  <c r="Q2834" i="7" s="1"/>
  <c r="O2834" i="7"/>
  <c r="Q2900" i="7"/>
  <c r="O2900" i="7"/>
  <c r="M2899" i="7"/>
  <c r="Q2898" i="7"/>
  <c r="O2898" i="7"/>
  <c r="Q2772" i="7"/>
  <c r="O2772" i="7"/>
  <c r="Q2860" i="7"/>
  <c r="O2860" i="7"/>
  <c r="Q2861" i="7"/>
  <c r="O2861" i="7"/>
  <c r="O2723" i="7"/>
  <c r="Q2723" i="7"/>
  <c r="Q2759" i="7"/>
  <c r="O2759" i="7"/>
  <c r="Q2849" i="7"/>
  <c r="O2849" i="7"/>
  <c r="M2886" i="7"/>
  <c r="Q2887" i="7"/>
  <c r="O2887" i="7"/>
  <c r="Q2848" i="7"/>
  <c r="O2848" i="7"/>
  <c r="Q2907" i="7"/>
  <c r="O2907" i="7"/>
  <c r="O2911" i="7"/>
  <c r="Q2911" i="7"/>
  <c r="O2932" i="7"/>
  <c r="P2932" i="7"/>
  <c r="Q2932" i="7" s="1"/>
  <c r="M2492" i="7"/>
  <c r="O2493" i="7"/>
  <c r="Q2493" i="7"/>
  <c r="P2596" i="7"/>
  <c r="Q2596" i="7" s="1"/>
  <c r="O2596" i="7"/>
  <c r="Q2631" i="7"/>
  <c r="O2631" i="7"/>
  <c r="Q2506" i="7"/>
  <c r="O2506" i="7"/>
  <c r="O2624" i="7"/>
  <c r="M2623" i="7"/>
  <c r="Q2624" i="7"/>
  <c r="O2630" i="7"/>
  <c r="Q2630" i="7"/>
  <c r="O2675" i="7"/>
  <c r="Q2675" i="7"/>
  <c r="O2251" i="7"/>
  <c r="O2244" i="7"/>
  <c r="O2221" i="7"/>
  <c r="Q2221" i="7"/>
  <c r="O2213" i="7"/>
  <c r="Q2213" i="7"/>
  <c r="M2211" i="7"/>
  <c r="O2212" i="7"/>
  <c r="O2229" i="7"/>
  <c r="O2336" i="7"/>
  <c r="Q2336" i="7"/>
  <c r="Q2209" i="7"/>
  <c r="O2209" i="7"/>
  <c r="M2208" i="7"/>
  <c r="Q2333" i="7"/>
  <c r="O2333" i="7"/>
  <c r="M2332" i="7"/>
  <c r="O2231" i="7"/>
  <c r="M2230" i="7"/>
  <c r="Q2372" i="7"/>
  <c r="O2372" i="7"/>
  <c r="O2253" i="7"/>
  <c r="Q2296" i="7"/>
  <c r="O2296" i="7"/>
  <c r="Q1924" i="7"/>
  <c r="O1924" i="7"/>
  <c r="O1526" i="7"/>
  <c r="M1525" i="7"/>
  <c r="Q1526" i="7"/>
  <c r="O1589" i="7"/>
  <c r="Q1589" i="7"/>
  <c r="O1550" i="7"/>
  <c r="Q1550" i="7"/>
  <c r="Q1354" i="7"/>
  <c r="O1354" i="7"/>
  <c r="Q1056" i="7"/>
  <c r="O1056" i="7"/>
  <c r="O1215" i="7"/>
  <c r="Q1215" i="7"/>
  <c r="O1071" i="7"/>
  <c r="Q1071" i="7"/>
  <c r="O1086" i="7"/>
  <c r="Q1086" i="7"/>
  <c r="Q1096" i="7"/>
  <c r="O1096" i="7"/>
  <c r="Q1034" i="7"/>
  <c r="M1033" i="7"/>
  <c r="O1034" i="7"/>
  <c r="O1063" i="7"/>
  <c r="Q1063" i="7"/>
  <c r="M1172" i="7"/>
  <c r="Q1173" i="7"/>
  <c r="O1173" i="7"/>
  <c r="M1218" i="7"/>
  <c r="O1219" i="7"/>
  <c r="Q1219" i="7"/>
  <c r="Q1098" i="7"/>
  <c r="O1098" i="7"/>
  <c r="Q1082" i="7"/>
  <c r="O1082" i="7"/>
  <c r="Q1177" i="7"/>
  <c r="O1177" i="7"/>
  <c r="M1176" i="7"/>
  <c r="O970" i="7"/>
  <c r="Q970" i="7"/>
  <c r="Q375" i="7"/>
  <c r="O375" i="7"/>
  <c r="Q2265" i="7"/>
  <c r="O2265" i="7"/>
  <c r="O2266" i="7"/>
  <c r="O2267" i="7"/>
  <c r="O1687" i="7"/>
  <c r="Q1687" i="7"/>
  <c r="M1684" i="7"/>
  <c r="Q1685" i="7"/>
  <c r="O1685" i="7"/>
  <c r="Q1782" i="7"/>
  <c r="O1782" i="7"/>
  <c r="Q1548" i="7"/>
  <c r="O1548" i="7"/>
  <c r="O1283" i="7"/>
  <c r="Q1283" i="7"/>
  <c r="Q1248" i="7"/>
  <c r="O1248" i="7"/>
  <c r="O1268" i="7"/>
  <c r="Q1268" i="7"/>
  <c r="Q1235" i="7"/>
  <c r="O1235" i="7"/>
  <c r="Q1263" i="7"/>
  <c r="O1263" i="7"/>
  <c r="M1262" i="7"/>
  <c r="Q1293" i="7"/>
  <c r="O1293" i="7"/>
  <c r="O1224" i="7"/>
  <c r="Q1224" i="7"/>
  <c r="O1272" i="7"/>
  <c r="Q1272" i="7"/>
  <c r="Q1308" i="7"/>
  <c r="O1308" i="7"/>
  <c r="M1361" i="7"/>
  <c r="Q1362" i="7"/>
  <c r="O1362" i="7"/>
  <c r="O1407" i="7"/>
  <c r="Q1407" i="7"/>
  <c r="Q1264" i="7"/>
  <c r="O1264" i="7"/>
  <c r="Q1294" i="7"/>
  <c r="O1294" i="7"/>
  <c r="Q1410" i="7"/>
  <c r="O1410" i="7"/>
  <c r="M1409" i="7"/>
  <c r="C556" i="11"/>
  <c r="M4002" i="7"/>
  <c r="O3338" i="7"/>
  <c r="D3055" i="7"/>
  <c r="I3055" i="7" s="1"/>
  <c r="M3055" i="7" s="1"/>
  <c r="I3054" i="7"/>
  <c r="M3054" i="7" s="1"/>
  <c r="O2319" i="7"/>
  <c r="M1911" i="7"/>
  <c r="O1912" i="7"/>
  <c r="Q1912" i="7"/>
  <c r="Q1879" i="7"/>
  <c r="O1879" i="7"/>
  <c r="M1961" i="7"/>
  <c r="Q1962" i="7"/>
  <c r="O1962" i="7"/>
  <c r="O1736" i="7"/>
  <c r="Q1736" i="7"/>
  <c r="O1462" i="7"/>
  <c r="Q1462" i="7"/>
  <c r="Q1476" i="7"/>
  <c r="O1476" i="7"/>
  <c r="Q1442" i="7"/>
  <c r="O1442" i="7"/>
  <c r="Q1459" i="7"/>
  <c r="O1459" i="7"/>
  <c r="M1458" i="7"/>
  <c r="O1446" i="7"/>
  <c r="Q1446" i="7"/>
  <c r="Q1478" i="7"/>
  <c r="M1477" i="7"/>
  <c r="O1478" i="7"/>
  <c r="O1433" i="7"/>
  <c r="M1432" i="7"/>
  <c r="Q1433" i="7"/>
  <c r="O1474" i="7"/>
  <c r="Q1474" i="7"/>
  <c r="Q1449" i="7"/>
  <c r="O1449" i="7"/>
  <c r="M1602" i="7"/>
  <c r="Q1603" i="7"/>
  <c r="O1603" i="7"/>
  <c r="Q1416" i="7"/>
  <c r="M1415" i="7"/>
  <c r="O1416" i="7"/>
  <c r="Q1480" i="7"/>
  <c r="O1480" i="7"/>
  <c r="O1387" i="7"/>
  <c r="M1386" i="7"/>
  <c r="Q1387" i="7"/>
  <c r="O335" i="7"/>
  <c r="Q335" i="7"/>
  <c r="M367" i="7"/>
  <c r="Q368" i="7"/>
  <c r="O368" i="7"/>
  <c r="C554" i="11"/>
  <c r="M3998" i="7"/>
  <c r="C279" i="11"/>
  <c r="M3077" i="7"/>
  <c r="Q2112" i="7"/>
  <c r="O2112" i="7"/>
  <c r="GU4" i="9"/>
  <c r="M1927" i="7"/>
  <c r="Q1796" i="7"/>
  <c r="O1796" i="7"/>
  <c r="M1795" i="7"/>
  <c r="O1717" i="7"/>
  <c r="Q1717" i="7"/>
  <c r="O1650" i="7"/>
  <c r="Q1650" i="7"/>
  <c r="O1760" i="7"/>
  <c r="Q1760" i="7"/>
  <c r="O1779" i="7"/>
  <c r="M1778" i="7"/>
  <c r="Q1779" i="7"/>
  <c r="O1693" i="7"/>
  <c r="Q1693" i="7"/>
  <c r="Q1646" i="7"/>
  <c r="O1646" i="7"/>
  <c r="M1645" i="7"/>
  <c r="Q1744" i="7"/>
  <c r="O1744" i="7"/>
  <c r="O1759" i="7"/>
  <c r="Q1759" i="7"/>
  <c r="O1793" i="7"/>
  <c r="Q1793" i="7"/>
  <c r="Q1580" i="7"/>
  <c r="M1579" i="7"/>
  <c r="O1580" i="7"/>
  <c r="I954" i="7"/>
  <c r="M954" i="7" s="1"/>
  <c r="O673" i="7"/>
  <c r="Q673" i="7"/>
  <c r="Q585" i="7"/>
  <c r="O585" i="7"/>
  <c r="Q564" i="7"/>
  <c r="O564" i="7"/>
  <c r="I385" i="7"/>
  <c r="M385" i="7" s="1"/>
  <c r="O126" i="7"/>
  <c r="AB126" i="7" s="1"/>
  <c r="Q126" i="7"/>
  <c r="O157" i="7"/>
  <c r="AB157" i="7" s="1"/>
  <c r="Q114" i="7"/>
  <c r="O114" i="7"/>
  <c r="AB114" i="7" s="1"/>
  <c r="Q156" i="7"/>
  <c r="O156" i="7"/>
  <c r="AB156" i="7" s="1"/>
  <c r="Q159" i="7"/>
  <c r="O159" i="7"/>
  <c r="AB159" i="7" s="1"/>
  <c r="Q2399" i="7"/>
  <c r="O2399" i="7"/>
  <c r="O2433" i="7"/>
  <c r="Q2433" i="7"/>
  <c r="I2383" i="7"/>
  <c r="M2383" i="7" s="1"/>
  <c r="M2381" i="7" s="1"/>
  <c r="I2425" i="7"/>
  <c r="M2425" i="7" s="1"/>
  <c r="Q2458" i="7"/>
  <c r="O2458" i="7"/>
  <c r="M2480" i="7"/>
  <c r="O2481" i="7"/>
  <c r="Q2481" i="7"/>
  <c r="Q2444" i="7"/>
  <c r="O2444" i="7"/>
  <c r="Q1908" i="7"/>
  <c r="O1908" i="7"/>
  <c r="Q1907" i="7"/>
  <c r="O1907" i="7"/>
  <c r="I1729" i="7"/>
  <c r="M1729" i="7" s="1"/>
  <c r="Q1376" i="7"/>
  <c r="O1376" i="7"/>
  <c r="M1375" i="7"/>
  <c r="Q1383" i="7"/>
  <c r="M1382" i="7"/>
  <c r="O1383" i="7"/>
  <c r="I1162" i="7"/>
  <c r="M1162" i="7" s="1"/>
  <c r="O353" i="7"/>
  <c r="Q353" i="7"/>
  <c r="O2096" i="7"/>
  <c r="Q2096" i="7"/>
  <c r="Q2099" i="7"/>
  <c r="O2099" i="7"/>
  <c r="G21" i="6"/>
  <c r="O550" i="7"/>
  <c r="Q550" i="7"/>
  <c r="Q2294" i="7"/>
  <c r="O2294" i="7"/>
  <c r="O1512" i="7"/>
  <c r="Q1512" i="7"/>
  <c r="Q1514" i="7"/>
  <c r="O1514" i="7"/>
  <c r="O1129" i="7"/>
  <c r="Q1129" i="7"/>
  <c r="O1134" i="7"/>
  <c r="Q1134" i="7"/>
  <c r="O1709" i="7"/>
  <c r="Q1709" i="7"/>
  <c r="Q1712" i="7"/>
  <c r="O1712" i="7"/>
  <c r="M4306" i="7"/>
  <c r="O935" i="7"/>
  <c r="Q935" i="7"/>
  <c r="Q742" i="7" l="1"/>
  <c r="M961" i="7"/>
  <c r="Q578" i="7"/>
  <c r="Q2287" i="7"/>
  <c r="M929" i="7"/>
  <c r="Q2291" i="7"/>
  <c r="M566" i="7"/>
  <c r="O573" i="7"/>
  <c r="D68" i="8"/>
  <c r="F68" i="8" s="1"/>
  <c r="AB244" i="7"/>
  <c r="D66" i="8"/>
  <c r="F66" i="8" s="1"/>
  <c r="AB151" i="7"/>
  <c r="Q2127" i="7"/>
  <c r="Q744" i="7"/>
  <c r="Q748" i="7"/>
  <c r="O657" i="7"/>
  <c r="D49" i="25"/>
  <c r="Q657" i="7"/>
  <c r="Q741" i="7"/>
  <c r="O739" i="7"/>
  <c r="Q2318" i="7"/>
  <c r="Q2320" i="7"/>
  <c r="O746" i="7"/>
  <c r="O738" i="7"/>
  <c r="D56" i="8"/>
  <c r="F56" i="8" s="1"/>
  <c r="D62" i="10"/>
  <c r="F62" i="10" s="1"/>
  <c r="Q750" i="7"/>
  <c r="Q2284" i="7"/>
  <c r="Q2281" i="7"/>
  <c r="Q737" i="7"/>
  <c r="Q2285" i="7"/>
  <c r="Q2290" i="7"/>
  <c r="Q655" i="7"/>
  <c r="O655" i="7"/>
  <c r="M653" i="7"/>
  <c r="D663" i="7" s="1"/>
  <c r="G663" i="7" s="1"/>
  <c r="Q2348" i="7"/>
  <c r="D78" i="5"/>
  <c r="O2290" i="7"/>
  <c r="N18" i="17"/>
  <c r="O18" i="17" s="1"/>
  <c r="N20" i="17"/>
  <c r="O20" i="17" s="1"/>
  <c r="N6" i="17"/>
  <c r="O6" i="17" s="1"/>
  <c r="N15" i="17"/>
  <c r="O15" i="17" s="1"/>
  <c r="N13" i="17"/>
  <c r="O13" i="17" s="1"/>
  <c r="N11" i="17"/>
  <c r="O11" i="17" s="1"/>
  <c r="N19" i="17"/>
  <c r="O19" i="17" s="1"/>
  <c r="N8" i="17"/>
  <c r="O8" i="17" s="1"/>
  <c r="N17" i="17"/>
  <c r="O17" i="17" s="1"/>
  <c r="N14" i="17"/>
  <c r="O14" i="17" s="1"/>
  <c r="N12" i="17"/>
  <c r="O12" i="17" s="1"/>
  <c r="N10" i="17"/>
  <c r="O10" i="17" s="1"/>
  <c r="N7" i="17"/>
  <c r="O7" i="17" s="1"/>
  <c r="N16" i="17"/>
  <c r="O16" i="17" s="1"/>
  <c r="N5" i="17"/>
  <c r="O5" i="17" s="1"/>
  <c r="N22" i="17"/>
  <c r="N4" i="17"/>
  <c r="O4" i="17" s="1"/>
  <c r="N21" i="17"/>
  <c r="O21" i="17" s="1"/>
  <c r="N9" i="17"/>
  <c r="O9" i="17" s="1"/>
  <c r="O3" i="17"/>
  <c r="M806" i="7"/>
  <c r="M804" i="7"/>
  <c r="O98" i="7"/>
  <c r="AB98" i="7" s="1"/>
  <c r="M2347" i="7"/>
  <c r="Q2286" i="7"/>
  <c r="M96" i="7"/>
  <c r="Q762" i="7"/>
  <c r="CL4" i="9"/>
  <c r="Q764" i="7"/>
  <c r="O254" i="7"/>
  <c r="AB254" i="7" s="1"/>
  <c r="Q254" i="7"/>
  <c r="M253" i="7"/>
  <c r="Q253" i="7" s="1"/>
  <c r="Q2293" i="7"/>
  <c r="I4183" i="7"/>
  <c r="K4183" i="7"/>
  <c r="M2280" i="7"/>
  <c r="O2280" i="7" s="1"/>
  <c r="M100" i="7"/>
  <c r="O100" i="7" s="1"/>
  <c r="AB100" i="7" s="1"/>
  <c r="Q102" i="7"/>
  <c r="Q2292" i="7"/>
  <c r="O176" i="7"/>
  <c r="AB176" i="7" s="1"/>
  <c r="O760" i="7"/>
  <c r="M759" i="7"/>
  <c r="O759" i="7" s="1"/>
  <c r="O740" i="7"/>
  <c r="Q1538" i="7"/>
  <c r="O3705" i="7"/>
  <c r="C454" i="11" s="1"/>
  <c r="M736" i="7"/>
  <c r="Q736" i="7" s="1"/>
  <c r="J9" i="16"/>
  <c r="K9" i="16" s="1"/>
  <c r="J12" i="16"/>
  <c r="K12" i="16" s="1"/>
  <c r="J14" i="16"/>
  <c r="J8" i="16"/>
  <c r="K8" i="16" s="1"/>
  <c r="J13" i="16"/>
  <c r="K13" i="16" s="1"/>
  <c r="J5" i="16"/>
  <c r="K5" i="16" s="1"/>
  <c r="J4" i="16"/>
  <c r="K4" i="16" s="1"/>
  <c r="J10" i="16"/>
  <c r="K10" i="16" s="1"/>
  <c r="J11" i="16"/>
  <c r="K11" i="16" s="1"/>
  <c r="J7" i="16"/>
  <c r="K7" i="16" s="1"/>
  <c r="J6" i="16"/>
  <c r="K6" i="16" s="1"/>
  <c r="K3" i="16"/>
  <c r="J9" i="15"/>
  <c r="J28" i="15"/>
  <c r="K28" i="15" s="1"/>
  <c r="K42" i="7" s="1"/>
  <c r="J4" i="15"/>
  <c r="J10" i="15" s="1"/>
  <c r="J7" i="15"/>
  <c r="J8" i="15" s="1"/>
  <c r="O2580" i="7"/>
  <c r="Q2580" i="7"/>
  <c r="O3426" i="7"/>
  <c r="O2554" i="7"/>
  <c r="O1149" i="7"/>
  <c r="O3319" i="7"/>
  <c r="D10" i="4"/>
  <c r="D11" i="4" s="1"/>
  <c r="G2573" i="7"/>
  <c r="D205" i="5"/>
  <c r="M3198" i="7"/>
  <c r="O3198" i="7" s="1"/>
  <c r="Q930" i="7"/>
  <c r="C103" i="11"/>
  <c r="O3794" i="7"/>
  <c r="O3340" i="7"/>
  <c r="O3425" i="7"/>
  <c r="O3335" i="7"/>
  <c r="D772" i="7"/>
  <c r="I772" i="7" s="1"/>
  <c r="M772" i="7" s="1"/>
  <c r="O772" i="7" s="1"/>
  <c r="D776" i="7"/>
  <c r="I776" i="7" s="1"/>
  <c r="M776" i="7" s="1"/>
  <c r="D769" i="7"/>
  <c r="I769" i="7" s="1"/>
  <c r="D775" i="7"/>
  <c r="I775" i="7" s="1"/>
  <c r="M775" i="7" s="1"/>
  <c r="O775" i="7" s="1"/>
  <c r="D774" i="7"/>
  <c r="I774" i="7" s="1"/>
  <c r="M774" i="7" s="1"/>
  <c r="D770" i="7"/>
  <c r="I770" i="7" s="1"/>
  <c r="M770" i="7" s="1"/>
  <c r="D771" i="7"/>
  <c r="I771" i="7" s="1"/>
  <c r="M771" i="7" s="1"/>
  <c r="Q771" i="7" s="1"/>
  <c r="D768" i="7"/>
  <c r="D773" i="7"/>
  <c r="I773" i="7" s="1"/>
  <c r="M773" i="7" s="1"/>
  <c r="O3702" i="7"/>
  <c r="M4281" i="7"/>
  <c r="C46" i="6" s="1"/>
  <c r="N4" i="12" s="1"/>
  <c r="I3725" i="7"/>
  <c r="M3725" i="7" s="1"/>
  <c r="L12" i="6"/>
  <c r="O12" i="6" s="1"/>
  <c r="T12" i="6" s="1"/>
  <c r="O3326" i="7"/>
  <c r="M3191" i="7"/>
  <c r="O3231" i="7"/>
  <c r="O3410" i="7"/>
  <c r="O779" i="7"/>
  <c r="Q779" i="7"/>
  <c r="G37" i="6"/>
  <c r="E37" i="6"/>
  <c r="O2582" i="7"/>
  <c r="Q2582" i="7"/>
  <c r="D2994" i="7"/>
  <c r="O2984" i="7"/>
  <c r="C235" i="11" s="1"/>
  <c r="Q2984" i="7"/>
  <c r="Q1726" i="7"/>
  <c r="O1726" i="7"/>
  <c r="O2308" i="7"/>
  <c r="Q2308" i="7"/>
  <c r="O1160" i="7"/>
  <c r="Q1160" i="7"/>
  <c r="Q3952" i="7"/>
  <c r="O3952" i="7"/>
  <c r="O1156" i="7"/>
  <c r="Q1156" i="7"/>
  <c r="O2963" i="7"/>
  <c r="C231" i="11" s="1"/>
  <c r="Q2963" i="7"/>
  <c r="O2420" i="7"/>
  <c r="C58" i="11" s="1"/>
  <c r="Q2420" i="7"/>
  <c r="D2426" i="7"/>
  <c r="Q3279" i="7"/>
  <c r="O3279" i="7"/>
  <c r="M3277" i="7"/>
  <c r="Q1730" i="7"/>
  <c r="O1730" i="7"/>
  <c r="O2307" i="7"/>
  <c r="Q2307" i="7"/>
  <c r="EI4" i="9"/>
  <c r="M1155" i="7"/>
  <c r="Q1731" i="7"/>
  <c r="O1731" i="7"/>
  <c r="O2309" i="7"/>
  <c r="Q2309" i="7"/>
  <c r="N4312" i="7"/>
  <c r="P4312" i="7" s="1"/>
  <c r="N4307" i="7"/>
  <c r="N4306" i="7"/>
  <c r="O4306" i="7" s="1"/>
  <c r="N4300" i="7"/>
  <c r="N4313" i="7"/>
  <c r="P4313" i="7" s="1"/>
  <c r="D4311" i="7"/>
  <c r="N4301" i="7"/>
  <c r="N4289" i="7"/>
  <c r="D4313" i="7"/>
  <c r="I4313" i="7" s="1"/>
  <c r="M4313" i="7" s="1"/>
  <c r="N4303" i="7"/>
  <c r="N4294" i="7"/>
  <c r="N4284" i="7"/>
  <c r="D4277" i="7"/>
  <c r="N4273" i="7"/>
  <c r="P4273" i="7" s="1"/>
  <c r="N4268" i="7"/>
  <c r="P4268" i="7" s="1"/>
  <c r="D4266" i="7"/>
  <c r="I4266" i="7" s="1"/>
  <c r="M4266" i="7" s="1"/>
  <c r="D4261" i="7"/>
  <c r="N4257" i="7"/>
  <c r="P4257" i="7" s="1"/>
  <c r="N4252" i="7"/>
  <c r="I4" i="9"/>
  <c r="N4311" i="7"/>
  <c r="P4311" i="7" s="1"/>
  <c r="N4309" i="7"/>
  <c r="N4290" i="7"/>
  <c r="N4285" i="7"/>
  <c r="N4279" i="7"/>
  <c r="N4274" i="7"/>
  <c r="P4274" i="7" s="1"/>
  <c r="D4272" i="7"/>
  <c r="I4272" i="7" s="1"/>
  <c r="M4272" i="7" s="1"/>
  <c r="D4267" i="7"/>
  <c r="N4263" i="7"/>
  <c r="P4263" i="7" s="1"/>
  <c r="N4258" i="7"/>
  <c r="P4258" i="7" s="1"/>
  <c r="D4256" i="7"/>
  <c r="I4256" i="7" s="1"/>
  <c r="M4256" i="7" s="1"/>
  <c r="N4298" i="7"/>
  <c r="N4291" i="7"/>
  <c r="N4287" i="7"/>
  <c r="N4275" i="7"/>
  <c r="P4275" i="7" s="1"/>
  <c r="N4270" i="7"/>
  <c r="P4270" i="7" s="1"/>
  <c r="D4268" i="7"/>
  <c r="I4268" i="7" s="1"/>
  <c r="M4268" i="7" s="1"/>
  <c r="D4263" i="7"/>
  <c r="N4259" i="7"/>
  <c r="P4259" i="7" s="1"/>
  <c r="N4254" i="7"/>
  <c r="P4254" i="7" s="1"/>
  <c r="N4308" i="7"/>
  <c r="N4296" i="7"/>
  <c r="N4278" i="7"/>
  <c r="P4278" i="7" s="1"/>
  <c r="N4272" i="7"/>
  <c r="P4272" i="7" s="1"/>
  <c r="N4266" i="7"/>
  <c r="P4266" i="7" s="1"/>
  <c r="N4264" i="7"/>
  <c r="P4264" i="7" s="1"/>
  <c r="N4260" i="7"/>
  <c r="P4260" i="7" s="1"/>
  <c r="N4187" i="7"/>
  <c r="P4187" i="7" s="1"/>
  <c r="D4178" i="7"/>
  <c r="I4178" i="7" s="1"/>
  <c r="M4178" i="7" s="1"/>
  <c r="N4173" i="7"/>
  <c r="P4173" i="7" s="1"/>
  <c r="D4171" i="7"/>
  <c r="I4171" i="7" s="1"/>
  <c r="M4171" i="7" s="1"/>
  <c r="N4167" i="7"/>
  <c r="P4167" i="7" s="1"/>
  <c r="D4165" i="7"/>
  <c r="D4278" i="7"/>
  <c r="I4278" i="7" s="1"/>
  <c r="M4278" i="7" s="1"/>
  <c r="D4274" i="7"/>
  <c r="I4274" i="7" s="1"/>
  <c r="M4274" i="7" s="1"/>
  <c r="N4262" i="7"/>
  <c r="P4262" i="7" s="1"/>
  <c r="N4256" i="7"/>
  <c r="P4256" i="7" s="1"/>
  <c r="D4186" i="7"/>
  <c r="N4310" i="7"/>
  <c r="N4305" i="7"/>
  <c r="N4292" i="7"/>
  <c r="D4276" i="7"/>
  <c r="I4276" i="7" s="1"/>
  <c r="M4276" i="7" s="1"/>
  <c r="D4270" i="7"/>
  <c r="I4270" i="7" s="1"/>
  <c r="M4270" i="7" s="1"/>
  <c r="D4264" i="7"/>
  <c r="I4264" i="7" s="1"/>
  <c r="M4264" i="7" s="1"/>
  <c r="D4262" i="7"/>
  <c r="G4262" i="7" s="1"/>
  <c r="I4262" i="7" s="1"/>
  <c r="D4258" i="7"/>
  <c r="I4258" i="7" s="1"/>
  <c r="M4258" i="7" s="1"/>
  <c r="D4252" i="7"/>
  <c r="N4189" i="7"/>
  <c r="P4189" i="7" s="1"/>
  <c r="N4188" i="7"/>
  <c r="P4188" i="7" s="1"/>
  <c r="N4182" i="7"/>
  <c r="D4180" i="7"/>
  <c r="I4180" i="7" s="1"/>
  <c r="M4180" i="7" s="1"/>
  <c r="N4175" i="7"/>
  <c r="P4175" i="7" s="1"/>
  <c r="D4173" i="7"/>
  <c r="N4169" i="7"/>
  <c r="P4169" i="7" s="1"/>
  <c r="D4166" i="7"/>
  <c r="I4166" i="7" s="1"/>
  <c r="M4166" i="7" s="1"/>
  <c r="N4282" i="7"/>
  <c r="N4280" i="7"/>
  <c r="N4276" i="7"/>
  <c r="P4276" i="7" s="1"/>
  <c r="D4255" i="7"/>
  <c r="D4312" i="7"/>
  <c r="I4312" i="7" s="1"/>
  <c r="M4312" i="7" s="1"/>
  <c r="N4297" i="7"/>
  <c r="N4288" i="7"/>
  <c r="N4283" i="7"/>
  <c r="D4265" i="7"/>
  <c r="D4257" i="7"/>
  <c r="D4253" i="7"/>
  <c r="D4188" i="7"/>
  <c r="N4186" i="7"/>
  <c r="P4186" i="7" s="1"/>
  <c r="D4181" i="7"/>
  <c r="N4176" i="7"/>
  <c r="P4176" i="7" s="1"/>
  <c r="D4175" i="7"/>
  <c r="I4175" i="7" s="1"/>
  <c r="M4175" i="7" s="1"/>
  <c r="D4167" i="7"/>
  <c r="I4167" i="7" s="1"/>
  <c r="M4167" i="7" s="1"/>
  <c r="N4302" i="7"/>
  <c r="N4299" i="7"/>
  <c r="N4293" i="7"/>
  <c r="D4260" i="7"/>
  <c r="N4179" i="7"/>
  <c r="P4179" i="7" s="1"/>
  <c r="D4170" i="7"/>
  <c r="N4168" i="7"/>
  <c r="P4168" i="7" s="1"/>
  <c r="N4165" i="7"/>
  <c r="P4165" i="7" s="1"/>
  <c r="D4310" i="7"/>
  <c r="N4271" i="7"/>
  <c r="P4271" i="7" s="1"/>
  <c r="N4171" i="7"/>
  <c r="P4171" i="7" s="1"/>
  <c r="D4273" i="7"/>
  <c r="D4269" i="7"/>
  <c r="N4261" i="7"/>
  <c r="P4261" i="7" s="1"/>
  <c r="N4253" i="7"/>
  <c r="P4253" i="7" s="1"/>
  <c r="N4184" i="7"/>
  <c r="N4181" i="7"/>
  <c r="P4181" i="7" s="1"/>
  <c r="D4172" i="7"/>
  <c r="I4172" i="7" s="1"/>
  <c r="M4172" i="7" s="1"/>
  <c r="N4170" i="7"/>
  <c r="P4170" i="7" s="1"/>
  <c r="D4164" i="7"/>
  <c r="N4164" i="7"/>
  <c r="N4265" i="7"/>
  <c r="P4265" i="7" s="1"/>
  <c r="D4177" i="7"/>
  <c r="I4177" i="7" s="1"/>
  <c r="M4177" i="7" s="1"/>
  <c r="N4286" i="7"/>
  <c r="N4255" i="7"/>
  <c r="P4255" i="7" s="1"/>
  <c r="N4185" i="7"/>
  <c r="D4179" i="7"/>
  <c r="I4179" i="7" s="1"/>
  <c r="M4179" i="7" s="1"/>
  <c r="D4176" i="7"/>
  <c r="I4176" i="7" s="1"/>
  <c r="M4176" i="7" s="1"/>
  <c r="N4295" i="7"/>
  <c r="N4281" i="7"/>
  <c r="D4259" i="7"/>
  <c r="D4187" i="7"/>
  <c r="I4187" i="7" s="1"/>
  <c r="M4187" i="7" s="1"/>
  <c r="N4183" i="7"/>
  <c r="P4183" i="7" s="1"/>
  <c r="N4180" i="7"/>
  <c r="P4180" i="7" s="1"/>
  <c r="N4304" i="7"/>
  <c r="O4304" i="7" s="1"/>
  <c r="D4271" i="7"/>
  <c r="N4177" i="7"/>
  <c r="P4177" i="7" s="1"/>
  <c r="N4172" i="7"/>
  <c r="P4172" i="7" s="1"/>
  <c r="D4254" i="7"/>
  <c r="I4254" i="7" s="1"/>
  <c r="M4254" i="7" s="1"/>
  <c r="N4269" i="7"/>
  <c r="P4269" i="7" s="1"/>
  <c r="D4189" i="7"/>
  <c r="I4189" i="7" s="1"/>
  <c r="M4189" i="7" s="1"/>
  <c r="D4275" i="7"/>
  <c r="N4178" i="7"/>
  <c r="P4178" i="7" s="1"/>
  <c r="N4166" i="7"/>
  <c r="P4166" i="7" s="1"/>
  <c r="N4267" i="7"/>
  <c r="P4267" i="7" s="1"/>
  <c r="D4169" i="7"/>
  <c r="I4169" i="7" s="1"/>
  <c r="M4169" i="7" s="1"/>
  <c r="D4168" i="7"/>
  <c r="I4168" i="7" s="1"/>
  <c r="M4168" i="7" s="1"/>
  <c r="N4277" i="7"/>
  <c r="P4277" i="7" s="1"/>
  <c r="N4174" i="7"/>
  <c r="N92" i="7"/>
  <c r="D90" i="7"/>
  <c r="I90" i="7" s="1"/>
  <c r="M90" i="7" s="1"/>
  <c r="N87" i="7"/>
  <c r="N75" i="7"/>
  <c r="O75" i="7" s="1"/>
  <c r="D74" i="7"/>
  <c r="I74" i="7" s="1"/>
  <c r="M74" i="7" s="1"/>
  <c r="M61" i="7" s="1"/>
  <c r="N70" i="7"/>
  <c r="O70" i="7" s="1"/>
  <c r="N62" i="7"/>
  <c r="O62" i="7" s="1"/>
  <c r="D46" i="7"/>
  <c r="I46" i="7" s="1"/>
  <c r="M46" i="7" s="1"/>
  <c r="D41" i="7"/>
  <c r="N36" i="7"/>
  <c r="O36" i="7" s="1"/>
  <c r="D33" i="7"/>
  <c r="G33" i="7" s="1"/>
  <c r="N29" i="7"/>
  <c r="D9" i="6" s="1"/>
  <c r="I28" i="7"/>
  <c r="N24" i="7"/>
  <c r="D22" i="7"/>
  <c r="D17" i="7"/>
  <c r="N13" i="7"/>
  <c r="I12" i="7"/>
  <c r="N8" i="7"/>
  <c r="D6" i="7"/>
  <c r="N3" i="7"/>
  <c r="D91" i="7"/>
  <c r="D85" i="7"/>
  <c r="I85" i="7" s="1"/>
  <c r="M85" i="7" s="1"/>
  <c r="N82" i="7"/>
  <c r="O82" i="7" s="1"/>
  <c r="N71" i="7"/>
  <c r="O71" i="7" s="1"/>
  <c r="N63" i="7"/>
  <c r="O63" i="7" s="1"/>
  <c r="D61" i="7"/>
  <c r="N48" i="7"/>
  <c r="O48" i="7" s="1"/>
  <c r="D47" i="7"/>
  <c r="N43" i="7"/>
  <c r="N37" i="7"/>
  <c r="O37" i="7" s="1"/>
  <c r="D34" i="7"/>
  <c r="G34" i="7" s="1"/>
  <c r="D28" i="7"/>
  <c r="D23" i="7"/>
  <c r="N19" i="7"/>
  <c r="I18" i="7"/>
  <c r="M18" i="7" s="1"/>
  <c r="N14" i="7"/>
  <c r="D12" i="7"/>
  <c r="D7" i="7"/>
  <c r="N93" i="7"/>
  <c r="D11" i="6" s="1"/>
  <c r="D86" i="7"/>
  <c r="I86" i="7" s="1"/>
  <c r="M86" i="7" s="1"/>
  <c r="N76" i="7"/>
  <c r="O76" i="7" s="1"/>
  <c r="D75" i="7"/>
  <c r="N72" i="7"/>
  <c r="O72" i="7" s="1"/>
  <c r="N64" i="7"/>
  <c r="O64" i="7" s="1"/>
  <c r="N49" i="7"/>
  <c r="O49" i="7" s="1"/>
  <c r="N44" i="7"/>
  <c r="D42" i="7"/>
  <c r="I42" i="7" s="1"/>
  <c r="N38" i="7"/>
  <c r="O38" i="7" s="1"/>
  <c r="D35" i="7"/>
  <c r="G35" i="7" s="1"/>
  <c r="N30" i="7"/>
  <c r="O30" i="7" s="1"/>
  <c r="D29" i="7"/>
  <c r="N25" i="7"/>
  <c r="I24" i="7"/>
  <c r="M24" i="7" s="1"/>
  <c r="N20" i="7"/>
  <c r="D18" i="7"/>
  <c r="D13" i="7"/>
  <c r="N9" i="7"/>
  <c r="I8" i="7"/>
  <c r="M8" i="7" s="1"/>
  <c r="N4" i="7"/>
  <c r="D8" i="6" s="1"/>
  <c r="D3" i="7"/>
  <c r="N91" i="7"/>
  <c r="D89" i="7"/>
  <c r="I89" i="7" s="1"/>
  <c r="M89" i="7" s="1"/>
  <c r="N86" i="7"/>
  <c r="D84" i="7"/>
  <c r="N81" i="7"/>
  <c r="O81" i="7" s="1"/>
  <c r="N69" i="7"/>
  <c r="O69" i="7" s="1"/>
  <c r="N61" i="7"/>
  <c r="N54" i="7"/>
  <c r="O54" i="7" s="1"/>
  <c r="N47" i="7"/>
  <c r="D10" i="6" s="1"/>
  <c r="N42" i="7"/>
  <c r="D40" i="7"/>
  <c r="G40" i="7" s="1"/>
  <c r="N35" i="7"/>
  <c r="O35" i="7" s="1"/>
  <c r="D32" i="7"/>
  <c r="G32" i="7" s="1"/>
  <c r="D27" i="7"/>
  <c r="N23" i="7"/>
  <c r="I22" i="7"/>
  <c r="M22" i="7" s="1"/>
  <c r="N18" i="7"/>
  <c r="D16" i="7"/>
  <c r="D11" i="7"/>
  <c r="N7" i="7"/>
  <c r="I6" i="7"/>
  <c r="M6" i="7" s="1"/>
  <c r="N88" i="7"/>
  <c r="N83" i="7"/>
  <c r="O83" i="7" s="1"/>
  <c r="N67" i="7"/>
  <c r="O67" i="7" s="1"/>
  <c r="N52" i="7"/>
  <c r="O52" i="7" s="1"/>
  <c r="N41" i="7"/>
  <c r="D39" i="7"/>
  <c r="G39" i="7" s="1"/>
  <c r="D31" i="7"/>
  <c r="G31" i="7" s="1"/>
  <c r="N28" i="7"/>
  <c r="D26" i="7"/>
  <c r="D21" i="7"/>
  <c r="I16" i="7"/>
  <c r="D93" i="7"/>
  <c r="N78" i="7"/>
  <c r="O78" i="7" s="1"/>
  <c r="N74" i="7"/>
  <c r="N65" i="7"/>
  <c r="O65" i="7" s="1"/>
  <c r="N50" i="7"/>
  <c r="O50" i="7" s="1"/>
  <c r="D48" i="7"/>
  <c r="D43" i="7"/>
  <c r="N15" i="7"/>
  <c r="N10" i="7"/>
  <c r="D8" i="7"/>
  <c r="N90" i="7"/>
  <c r="D83" i="7"/>
  <c r="D76" i="7"/>
  <c r="N45" i="7"/>
  <c r="N40" i="7"/>
  <c r="O40" i="7" s="1"/>
  <c r="N32" i="7"/>
  <c r="O32" i="7" s="1"/>
  <c r="D30" i="7"/>
  <c r="D25" i="7"/>
  <c r="I20" i="7"/>
  <c r="M20" i="7" s="1"/>
  <c r="N5" i="7"/>
  <c r="N85" i="7"/>
  <c r="N68" i="7"/>
  <c r="O68" i="7" s="1"/>
  <c r="N53" i="7"/>
  <c r="O53" i="7" s="1"/>
  <c r="D38" i="7"/>
  <c r="G38" i="7" s="1"/>
  <c r="D36" i="7"/>
  <c r="G36" i="7" s="1"/>
  <c r="N34" i="7"/>
  <c r="O34" i="7" s="1"/>
  <c r="N27" i="7"/>
  <c r="N22" i="7"/>
  <c r="D20" i="7"/>
  <c r="D15" i="7"/>
  <c r="I10" i="7"/>
  <c r="N80" i="7"/>
  <c r="O80" i="7" s="1"/>
  <c r="N46" i="7"/>
  <c r="D44" i="7"/>
  <c r="I44" i="7" s="1"/>
  <c r="D37" i="7"/>
  <c r="G37" i="7" s="1"/>
  <c r="N33" i="7"/>
  <c r="O33" i="7" s="1"/>
  <c r="I26" i="7"/>
  <c r="M26" i="7" s="1"/>
  <c r="N11" i="7"/>
  <c r="N6" i="7"/>
  <c r="D87" i="7"/>
  <c r="I87" i="7" s="1"/>
  <c r="M87" i="7" s="1"/>
  <c r="D82" i="7"/>
  <c r="N21" i="7"/>
  <c r="I14" i="7"/>
  <c r="M14" i="7" s="1"/>
  <c r="N77" i="7"/>
  <c r="O77" i="7" s="1"/>
  <c r="N73" i="7"/>
  <c r="O73" i="7" s="1"/>
  <c r="N26" i="7"/>
  <c r="D14" i="7"/>
  <c r="D5" i="4"/>
  <c r="D92" i="7"/>
  <c r="I92" i="7" s="1"/>
  <c r="M92" i="7" s="1"/>
  <c r="N79" i="7"/>
  <c r="O79" i="7" s="1"/>
  <c r="D45" i="7"/>
  <c r="N39" i="7"/>
  <c r="O39" i="7" s="1"/>
  <c r="D19" i="7"/>
  <c r="N12" i="7"/>
  <c r="D73" i="7"/>
  <c r="N31" i="7"/>
  <c r="O31" i="7" s="1"/>
  <c r="D5" i="7"/>
  <c r="F4" i="6"/>
  <c r="D24" i="7"/>
  <c r="N17" i="7"/>
  <c r="D350" i="5"/>
  <c r="N84" i="7"/>
  <c r="D10" i="7"/>
  <c r="D4" i="7"/>
  <c r="N89" i="7"/>
  <c r="N51" i="7"/>
  <c r="O51" i="7" s="1"/>
  <c r="N16" i="7"/>
  <c r="N66" i="7"/>
  <c r="O66" i="7" s="1"/>
  <c r="D9" i="7"/>
  <c r="G4" i="9"/>
  <c r="Q3306" i="7"/>
  <c r="O3306" i="7"/>
  <c r="Q1728" i="7"/>
  <c r="O1728" i="7"/>
  <c r="O1158" i="7"/>
  <c r="Q1158" i="7"/>
  <c r="Q3198" i="7"/>
  <c r="O2305" i="7"/>
  <c r="Q2305" i="7"/>
  <c r="O2311" i="7"/>
  <c r="Q2311" i="7"/>
  <c r="O4006" i="7"/>
  <c r="M4005" i="7"/>
  <c r="Q4006" i="7"/>
  <c r="Q4112" i="7"/>
  <c r="O4112" i="7"/>
  <c r="O643" i="7"/>
  <c r="Q643" i="7"/>
  <c r="Q2162" i="7"/>
  <c r="O2162" i="7"/>
  <c r="O1477" i="7"/>
  <c r="Q1477" i="7"/>
  <c r="Q2886" i="7"/>
  <c r="O2886" i="7"/>
  <c r="D122" i="8"/>
  <c r="I53" i="6"/>
  <c r="G122" i="8" s="1"/>
  <c r="O1411" i="7"/>
  <c r="Q1411" i="7"/>
  <c r="O1922" i="7"/>
  <c r="Q1922" i="7"/>
  <c r="Q2326" i="7"/>
  <c r="O2326" i="7"/>
  <c r="O2655" i="7"/>
  <c r="D2666" i="7"/>
  <c r="G2666" i="7" s="1"/>
  <c r="C611" i="11" s="1"/>
  <c r="Q2655" i="7"/>
  <c r="Q2776" i="7"/>
  <c r="O2776" i="7"/>
  <c r="Q1025" i="7"/>
  <c r="O1025" i="7"/>
  <c r="Q4077" i="7"/>
  <c r="O4077" i="7"/>
  <c r="Q667" i="7"/>
  <c r="O667" i="7"/>
  <c r="O2068" i="7"/>
  <c r="Q2068" i="7"/>
  <c r="O3988" i="7"/>
  <c r="Q3988" i="7"/>
  <c r="O3431" i="7"/>
  <c r="C361" i="11" s="1"/>
  <c r="Q3431" i="7"/>
  <c r="Q3047" i="7"/>
  <c r="O3047" i="7"/>
  <c r="Q3622" i="7"/>
  <c r="O3622" i="7"/>
  <c r="M3621" i="7"/>
  <c r="O4024" i="7"/>
  <c r="Q4024" i="7"/>
  <c r="Q3714" i="7"/>
  <c r="O3714" i="7"/>
  <c r="O3740" i="7"/>
  <c r="M3739" i="7"/>
  <c r="Q3740" i="7"/>
  <c r="P3690" i="7"/>
  <c r="Q3690" i="7" s="1"/>
  <c r="O3690" i="7"/>
  <c r="Q3675" i="7"/>
  <c r="O3675" i="7"/>
  <c r="Q3799" i="7"/>
  <c r="O3799" i="7"/>
  <c r="O3882" i="7"/>
  <c r="M3881" i="7"/>
  <c r="Q3882" i="7"/>
  <c r="P3789" i="7"/>
  <c r="Q3789" i="7" s="1"/>
  <c r="O3789" i="7"/>
  <c r="C488" i="11" s="1"/>
  <c r="Q3865" i="7"/>
  <c r="O3865" i="7"/>
  <c r="Q3681" i="7"/>
  <c r="O3681" i="7"/>
  <c r="P3792" i="7"/>
  <c r="Q3792" i="7" s="1"/>
  <c r="O3792" i="7"/>
  <c r="Q3676" i="7"/>
  <c r="O3676" i="7"/>
  <c r="Q3872" i="7"/>
  <c r="O3872" i="7"/>
  <c r="Q3718" i="7"/>
  <c r="O3718" i="7"/>
  <c r="Q3844" i="7"/>
  <c r="O3844" i="7"/>
  <c r="Q3726" i="7"/>
  <c r="O3726" i="7"/>
  <c r="Q3683" i="7"/>
  <c r="O3683" i="7"/>
  <c r="M3682" i="7"/>
  <c r="Q3807" i="7"/>
  <c r="O3807" i="7"/>
  <c r="Q3811" i="7"/>
  <c r="O3811" i="7"/>
  <c r="Q3854" i="7"/>
  <c r="O3854" i="7"/>
  <c r="Q3869" i="7"/>
  <c r="O3869" i="7"/>
  <c r="O3871" i="7"/>
  <c r="Q3871" i="7"/>
  <c r="O1159" i="7"/>
  <c r="Q1159" i="7"/>
  <c r="C342" i="11"/>
  <c r="G3300" i="7"/>
  <c r="G3301" i="7" s="1"/>
  <c r="O767" i="7"/>
  <c r="Q767" i="7"/>
  <c r="O1739" i="7"/>
  <c r="Q1739" i="7"/>
  <c r="Z4" i="9"/>
  <c r="Q14" i="6"/>
  <c r="Q345" i="7"/>
  <c r="O345" i="7"/>
  <c r="O2943" i="7"/>
  <c r="C212" i="11" s="1"/>
  <c r="D2962" i="7"/>
  <c r="G2962" i="7" s="1"/>
  <c r="C621" i="11" s="1"/>
  <c r="Q2943" i="7"/>
  <c r="Q3896" i="7"/>
  <c r="D3915" i="7"/>
  <c r="G3915" i="7" s="1"/>
  <c r="C653" i="11" s="1"/>
  <c r="O3896" i="7"/>
  <c r="C503" i="11" s="1"/>
  <c r="M3895" i="7"/>
  <c r="Q830" i="7"/>
  <c r="O830" i="7"/>
  <c r="Q2840" i="7"/>
  <c r="O2840" i="7"/>
  <c r="O4018" i="7"/>
  <c r="M4017" i="7"/>
  <c r="Q4018" i="7"/>
  <c r="Q1122" i="7"/>
  <c r="O1122" i="7"/>
  <c r="O1894" i="7"/>
  <c r="Q1894" i="7"/>
  <c r="O390" i="7"/>
  <c r="Q390" i="7"/>
  <c r="Q1455" i="7"/>
  <c r="O1455" i="7"/>
  <c r="Q4053" i="7"/>
  <c r="O4053" i="7"/>
  <c r="C574" i="11" s="1"/>
  <c r="Q1242" i="7"/>
  <c r="O1242" i="7"/>
  <c r="EP4" i="9" s="1"/>
  <c r="Q2473" i="7"/>
  <c r="O2473" i="7"/>
  <c r="C67" i="11" s="1"/>
  <c r="Q1053" i="7"/>
  <c r="O1053" i="7"/>
  <c r="Q1046" i="7"/>
  <c r="O1046" i="7"/>
  <c r="O2355" i="7"/>
  <c r="Q2355" i="7"/>
  <c r="G27" i="6"/>
  <c r="D3154" i="7"/>
  <c r="Q3143" i="7"/>
  <c r="O3143" i="7"/>
  <c r="M3266" i="7"/>
  <c r="M3263" i="7" s="1"/>
  <c r="G3266" i="7"/>
  <c r="G3267" i="7" s="1"/>
  <c r="O339" i="7"/>
  <c r="Q339" i="7"/>
  <c r="Q2480" i="7"/>
  <c r="O2480" i="7"/>
  <c r="C69" i="11" s="1"/>
  <c r="Q1961" i="7"/>
  <c r="O1961" i="7"/>
  <c r="Q3054" i="7"/>
  <c r="O3054" i="7"/>
  <c r="Q1176" i="7"/>
  <c r="O1176" i="7"/>
  <c r="O1033" i="7"/>
  <c r="Q1033" i="7"/>
  <c r="Q2332" i="7"/>
  <c r="O2332" i="7"/>
  <c r="O119" i="7"/>
  <c r="AB119" i="7" s="1"/>
  <c r="Q119" i="7"/>
  <c r="O957" i="7"/>
  <c r="Q957" i="7"/>
  <c r="Q1776" i="7"/>
  <c r="O1776" i="7"/>
  <c r="M1733" i="7"/>
  <c r="O1734" i="7"/>
  <c r="Q1734" i="7"/>
  <c r="O1761" i="7"/>
  <c r="Q1761" i="7"/>
  <c r="O2261" i="7"/>
  <c r="Q2261" i="7"/>
  <c r="M2548" i="7"/>
  <c r="Q3002" i="7"/>
  <c r="O3002" i="7"/>
  <c r="C247" i="11" s="1"/>
  <c r="Q2987" i="7"/>
  <c r="O2987" i="7"/>
  <c r="Q3543" i="7"/>
  <c r="O3543" i="7"/>
  <c r="M3542" i="7"/>
  <c r="D4077" i="7"/>
  <c r="G4077" i="7" s="1"/>
  <c r="C657" i="11" s="1"/>
  <c r="M4056" i="7"/>
  <c r="Q4057" i="7"/>
  <c r="O4057" i="7"/>
  <c r="M3310" i="7"/>
  <c r="O3311" i="7"/>
  <c r="Q3311" i="7"/>
  <c r="Q467" i="7"/>
  <c r="O467" i="7"/>
  <c r="Q2553" i="7"/>
  <c r="O2553" i="7"/>
  <c r="Q331" i="7"/>
  <c r="O331" i="7"/>
  <c r="O3987" i="7"/>
  <c r="Q3987" i="7"/>
  <c r="O680" i="7"/>
  <c r="Q680" i="7"/>
  <c r="O3031" i="7"/>
  <c r="Q3031" i="7"/>
  <c r="O3963" i="7"/>
  <c r="Q3963" i="7"/>
  <c r="Q4023" i="7"/>
  <c r="O4023" i="7"/>
  <c r="O3731" i="7"/>
  <c r="Q3731" i="7"/>
  <c r="O3678" i="7"/>
  <c r="Q3678" i="7"/>
  <c r="M3677" i="7"/>
  <c r="P3694" i="7"/>
  <c r="Q3694" i="7" s="1"/>
  <c r="O3694" i="7"/>
  <c r="O3679" i="7"/>
  <c r="Q3679" i="7"/>
  <c r="Q3802" i="7"/>
  <c r="O3802" i="7"/>
  <c r="O3803" i="7"/>
  <c r="Q3803" i="7"/>
  <c r="P3868" i="7"/>
  <c r="Q3868" i="7" s="1"/>
  <c r="O3868" i="7"/>
  <c r="O3719" i="7"/>
  <c r="Q3719" i="7"/>
  <c r="O3798" i="7"/>
  <c r="M3797" i="7"/>
  <c r="Q3798" i="7"/>
  <c r="O3680" i="7"/>
  <c r="Q3680" i="7"/>
  <c r="M3729" i="7"/>
  <c r="O3730" i="7"/>
  <c r="Q3730" i="7"/>
  <c r="Q3784" i="7"/>
  <c r="O3784" i="7"/>
  <c r="P3786" i="7"/>
  <c r="Q3786" i="7" s="1"/>
  <c r="O3786" i="7"/>
  <c r="P3823" i="7"/>
  <c r="Q3823" i="7" s="1"/>
  <c r="O3823" i="7"/>
  <c r="P3733" i="7"/>
  <c r="Q3733" i="7" s="1"/>
  <c r="O3733" i="7"/>
  <c r="Q3727" i="7"/>
  <c r="O3727" i="7"/>
  <c r="P3783" i="7"/>
  <c r="Q3783" i="7" s="1"/>
  <c r="O3783" i="7"/>
  <c r="O3812" i="7"/>
  <c r="Q3812" i="7"/>
  <c r="G3763" i="7"/>
  <c r="G3764" i="7" s="1"/>
  <c r="P3763" i="7"/>
  <c r="P3787" i="7"/>
  <c r="Q3787" i="7" s="1"/>
  <c r="O3787" i="7"/>
  <c r="Q3862" i="7"/>
  <c r="O3862" i="7"/>
  <c r="O3846" i="7"/>
  <c r="Q3846" i="7"/>
  <c r="O3874" i="7"/>
  <c r="Q3874" i="7"/>
  <c r="Q3832" i="7"/>
  <c r="O3832" i="7"/>
  <c r="P3890" i="7"/>
  <c r="Q3890" i="7" s="1"/>
  <c r="O3890" i="7"/>
  <c r="I3847" i="7"/>
  <c r="P3847" i="7"/>
  <c r="Q2394" i="7"/>
  <c r="O2394" i="7"/>
  <c r="Q169" i="7"/>
  <c r="O169" i="7"/>
  <c r="AB169" i="7" s="1"/>
  <c r="Q410" i="7"/>
  <c r="O410" i="7"/>
  <c r="M3040" i="7"/>
  <c r="Q3041" i="7"/>
  <c r="O3041" i="7"/>
  <c r="Q394" i="7"/>
  <c r="O394" i="7"/>
  <c r="M2653" i="7"/>
  <c r="Q3074" i="7"/>
  <c r="O3074" i="7"/>
  <c r="Q294" i="7"/>
  <c r="O294" i="7"/>
  <c r="Q261" i="7"/>
  <c r="O261" i="7"/>
  <c r="D39" i="10"/>
  <c r="F39" i="10" s="1"/>
  <c r="C139" i="11"/>
  <c r="Q1201" i="7"/>
  <c r="O1201" i="7"/>
  <c r="Q705" i="7"/>
  <c r="O705" i="7"/>
  <c r="C538" i="11"/>
  <c r="Q1298" i="7"/>
  <c r="O1298" i="7"/>
  <c r="O233" i="7"/>
  <c r="AB233" i="7" s="1"/>
  <c r="Q233" i="7"/>
  <c r="O1651" i="7"/>
  <c r="Q1651" i="7"/>
  <c r="D119" i="8"/>
  <c r="I50" i="6"/>
  <c r="G119" i="8" s="1"/>
  <c r="Q1489" i="7"/>
  <c r="O1489" i="7"/>
  <c r="Q1117" i="7"/>
  <c r="O1117" i="7"/>
  <c r="M2782" i="7"/>
  <c r="M2769" i="7" s="1"/>
  <c r="Q3264" i="7"/>
  <c r="O3264" i="7"/>
  <c r="Q4160" i="7"/>
  <c r="O4160" i="7"/>
  <c r="C273" i="11"/>
  <c r="M3065" i="7"/>
  <c r="Q1105" i="7"/>
  <c r="O1105" i="7"/>
  <c r="O782" i="7"/>
  <c r="Q782" i="7"/>
  <c r="O1343" i="7"/>
  <c r="Q1343" i="7"/>
  <c r="O3445" i="7"/>
  <c r="C371" i="11" s="1"/>
  <c r="Q3445" i="7"/>
  <c r="O3765" i="7"/>
  <c r="I3828" i="7"/>
  <c r="M3827" i="7"/>
  <c r="G3827" i="7"/>
  <c r="O153" i="7"/>
  <c r="AB153" i="7" s="1"/>
  <c r="Q153" i="7"/>
  <c r="Q526" i="7"/>
  <c r="O526" i="7"/>
  <c r="D48" i="8" s="1"/>
  <c r="Q2116" i="7"/>
  <c r="O2116" i="7"/>
  <c r="Q429" i="7"/>
  <c r="O429" i="7"/>
  <c r="O1741" i="7"/>
  <c r="Q1741" i="7"/>
  <c r="Q1544" i="7"/>
  <c r="O1544" i="7"/>
  <c r="Q2158" i="7"/>
  <c r="O2158" i="7"/>
  <c r="HC4" i="9" s="1"/>
  <c r="Q3282" i="7"/>
  <c r="O3282" i="7"/>
  <c r="Q4117" i="7"/>
  <c r="O4117" i="7"/>
  <c r="Q683" i="7"/>
  <c r="O683" i="7"/>
  <c r="O1359" i="7"/>
  <c r="Q1359" i="7"/>
  <c r="Q2082" i="7"/>
  <c r="O2082" i="7"/>
  <c r="O257" i="7"/>
  <c r="M256" i="7"/>
  <c r="Q257" i="7"/>
  <c r="D277" i="7"/>
  <c r="G277" i="7" s="1"/>
  <c r="Q996" i="7"/>
  <c r="O996" i="7"/>
  <c r="Q1998" i="7"/>
  <c r="O1998" i="7"/>
  <c r="M2119" i="7"/>
  <c r="O2120" i="7"/>
  <c r="Q2120" i="7"/>
  <c r="O433" i="7"/>
  <c r="Q433" i="7"/>
  <c r="Q2824" i="7"/>
  <c r="O2824" i="7"/>
  <c r="M2823" i="7"/>
  <c r="Q300" i="7"/>
  <c r="O300" i="7"/>
  <c r="Q134" i="7"/>
  <c r="O134" i="7"/>
  <c r="AB134" i="7" s="1"/>
  <c r="Q612" i="7"/>
  <c r="O612" i="7"/>
  <c r="Q3230" i="7"/>
  <c r="O3230" i="7"/>
  <c r="M3229" i="7"/>
  <c r="P3257" i="7"/>
  <c r="Q3257" i="7" s="1"/>
  <c r="O3257" i="7"/>
  <c r="P3324" i="7"/>
  <c r="Q3324" i="7" s="1"/>
  <c r="O3324" i="7"/>
  <c r="Q3378" i="7"/>
  <c r="O3378" i="7"/>
  <c r="O3390" i="7"/>
  <c r="Q3390" i="7"/>
  <c r="P3314" i="7"/>
  <c r="Q3314" i="7" s="1"/>
  <c r="O3314" i="7"/>
  <c r="P3364" i="7"/>
  <c r="Q3364" i="7" s="1"/>
  <c r="O3364" i="7"/>
  <c r="O3391" i="7"/>
  <c r="Q3391" i="7"/>
  <c r="O3389" i="7"/>
  <c r="Q3389" i="7"/>
  <c r="P3251" i="7"/>
  <c r="Q3251" i="7" s="1"/>
  <c r="O3251" i="7"/>
  <c r="P3261" i="7"/>
  <c r="Q3261" i="7" s="1"/>
  <c r="O3261" i="7"/>
  <c r="Q3398" i="7"/>
  <c r="O3398" i="7"/>
  <c r="M3397" i="7"/>
  <c r="M3342" i="7"/>
  <c r="Q3343" i="7"/>
  <c r="O3343" i="7"/>
  <c r="P3368" i="7"/>
  <c r="Q3368" i="7" s="1"/>
  <c r="O3368" i="7"/>
  <c r="P3376" i="7"/>
  <c r="Q3376" i="7" s="1"/>
  <c r="O3376" i="7"/>
  <c r="P3428" i="7"/>
  <c r="Q3428" i="7" s="1"/>
  <c r="O3428" i="7"/>
  <c r="Q3365" i="7"/>
  <c r="O3365" i="7"/>
  <c r="D3379" i="7"/>
  <c r="Q3420" i="7"/>
  <c r="O3420" i="7"/>
  <c r="AD4" i="9"/>
  <c r="Q18" i="6"/>
  <c r="O1000" i="7"/>
  <c r="Q1000" i="7"/>
  <c r="Q1072" i="7"/>
  <c r="O1072" i="7"/>
  <c r="Q2928" i="7"/>
  <c r="O2928" i="7"/>
  <c r="O3063" i="7"/>
  <c r="Q3063" i="7"/>
  <c r="O857" i="7"/>
  <c r="Q857" i="7"/>
  <c r="AB4" i="9"/>
  <c r="Q16" i="6"/>
  <c r="O639" i="7"/>
  <c r="Q639" i="7"/>
  <c r="I2798" i="7"/>
  <c r="Q566" i="7"/>
  <c r="O566" i="7"/>
  <c r="O2770" i="7"/>
  <c r="D2782" i="7"/>
  <c r="G2782" i="7" s="1"/>
  <c r="C615" i="11" s="1"/>
  <c r="Q2770" i="7"/>
  <c r="Q3050" i="7"/>
  <c r="O3050" i="7"/>
  <c r="O60" i="6"/>
  <c r="T60" i="6" s="1"/>
  <c r="M60" i="6"/>
  <c r="R60" i="6" s="1"/>
  <c r="C282" i="11"/>
  <c r="D55" i="10"/>
  <c r="F55" i="10" s="1"/>
  <c r="Q1018" i="7"/>
  <c r="O1018" i="7"/>
  <c r="Q1625" i="7"/>
  <c r="O1625" i="7"/>
  <c r="Q1670" i="7"/>
  <c r="O1670" i="7"/>
  <c r="Q2113" i="7"/>
  <c r="O2113" i="7"/>
  <c r="O1435" i="7"/>
  <c r="FF4" i="9" s="1"/>
  <c r="Q1435" i="7"/>
  <c r="O4003" i="7"/>
  <c r="Q4003" i="7"/>
  <c r="O2207" i="7"/>
  <c r="HR4" i="9" s="1"/>
  <c r="Q2207" i="7"/>
  <c r="O25" i="6"/>
  <c r="E25" i="6"/>
  <c r="Q25" i="6" s="1"/>
  <c r="N25" i="6"/>
  <c r="H25" i="6"/>
  <c r="Q979" i="7"/>
  <c r="O979" i="7"/>
  <c r="D3533" i="7"/>
  <c r="I3532" i="7"/>
  <c r="O210" i="7"/>
  <c r="AB210" i="7" s="1"/>
  <c r="Q210" i="7"/>
  <c r="Q2056" i="7"/>
  <c r="O2056" i="7"/>
  <c r="M3056" i="7"/>
  <c r="O3057" i="7"/>
  <c r="Q3057" i="7"/>
  <c r="Q1946" i="7"/>
  <c r="O1946" i="7"/>
  <c r="O4022" i="7"/>
  <c r="M4021" i="7"/>
  <c r="Q4022" i="7"/>
  <c r="O989" i="7"/>
  <c r="D37" i="8" s="1"/>
  <c r="F37" i="8" s="1"/>
  <c r="Q989" i="7"/>
  <c r="O1382" i="7"/>
  <c r="Q1382" i="7"/>
  <c r="Q1361" i="7"/>
  <c r="O1361" i="7"/>
  <c r="O1701" i="7"/>
  <c r="Q1701" i="7"/>
  <c r="Q171" i="7"/>
  <c r="O171" i="7"/>
  <c r="AB171" i="7" s="1"/>
  <c r="O1629" i="7"/>
  <c r="Q1629" i="7"/>
  <c r="Q1933" i="7"/>
  <c r="O1933" i="7"/>
  <c r="Q2315" i="7"/>
  <c r="O2315" i="7"/>
  <c r="O873" i="7"/>
  <c r="Q873" i="7"/>
  <c r="O3951" i="7"/>
  <c r="M3950" i="7"/>
  <c r="Q3951" i="7"/>
  <c r="O3806" i="7"/>
  <c r="Q3806" i="7"/>
  <c r="Q2381" i="7"/>
  <c r="O2381" i="7"/>
  <c r="C34" i="11" s="1"/>
  <c r="D2393" i="7"/>
  <c r="P3240" i="7"/>
  <c r="Q3240" i="7" s="1"/>
  <c r="O3240" i="7"/>
  <c r="P3239" i="7"/>
  <c r="Q3239" i="7" s="1"/>
  <c r="O3239" i="7"/>
  <c r="O3361" i="7"/>
  <c r="Q3361" i="7"/>
  <c r="Q3400" i="7"/>
  <c r="O3400" i="7"/>
  <c r="P3323" i="7"/>
  <c r="Q3323" i="7" s="1"/>
  <c r="O3323" i="7"/>
  <c r="O3403" i="7"/>
  <c r="M3402" i="7"/>
  <c r="Q3403" i="7"/>
  <c r="P3316" i="7"/>
  <c r="I3316" i="7"/>
  <c r="M3394" i="7"/>
  <c r="O3395" i="7"/>
  <c r="Q3395" i="7"/>
  <c r="P3321" i="7"/>
  <c r="Q3321" i="7" s="1"/>
  <c r="O3321" i="7"/>
  <c r="O3396" i="7"/>
  <c r="Q3396" i="7"/>
  <c r="P3258" i="7"/>
  <c r="Q3258" i="7" s="1"/>
  <c r="O3258" i="7"/>
  <c r="C321" i="11" s="1"/>
  <c r="P3331" i="7"/>
  <c r="Q3331" i="7" s="1"/>
  <c r="O3331" i="7"/>
  <c r="Q3401" i="7"/>
  <c r="O3401" i="7"/>
  <c r="Q3421" i="7"/>
  <c r="O3421" i="7"/>
  <c r="Q3359" i="7"/>
  <c r="O3359" i="7"/>
  <c r="P3260" i="7"/>
  <c r="Q3260" i="7" s="1"/>
  <c r="O3260" i="7"/>
  <c r="P3369" i="7"/>
  <c r="Q3369" i="7" s="1"/>
  <c r="O3369" i="7"/>
  <c r="P3259" i="7"/>
  <c r="Q3259" i="7" s="1"/>
  <c r="O3259" i="7"/>
  <c r="P3302" i="7"/>
  <c r="Q3302" i="7" s="1"/>
  <c r="O3302" i="7"/>
  <c r="O3435" i="7"/>
  <c r="P3435" i="7"/>
  <c r="Q3435" i="7" s="1"/>
  <c r="Q1369" i="7"/>
  <c r="O1369" i="7"/>
  <c r="Q3062" i="7"/>
  <c r="O3062" i="7"/>
  <c r="C527" i="11"/>
  <c r="Q4094" i="7"/>
  <c r="O4094" i="7"/>
  <c r="Q719" i="7"/>
  <c r="O719" i="7"/>
  <c r="D40" i="8" s="1"/>
  <c r="Q3659" i="7"/>
  <c r="O3659" i="7"/>
  <c r="C429" i="11" s="1"/>
  <c r="I2802" i="7"/>
  <c r="D2803" i="7"/>
  <c r="O131" i="7"/>
  <c r="AB131" i="7" s="1"/>
  <c r="Q131" i="7"/>
  <c r="O958" i="7"/>
  <c r="Q958" i="7"/>
  <c r="Q1585" i="7"/>
  <c r="O1585" i="7"/>
  <c r="O1604" i="7"/>
  <c r="Q1604" i="7"/>
  <c r="Q377" i="7"/>
  <c r="O377" i="7"/>
  <c r="M2666" i="7"/>
  <c r="M2654" i="7" s="1"/>
  <c r="O214" i="7"/>
  <c r="AB214" i="7" s="1"/>
  <c r="Q214" i="7"/>
  <c r="AF4" i="9"/>
  <c r="Q20" i="6"/>
  <c r="G25" i="6"/>
  <c r="O2724" i="7"/>
  <c r="C150" i="11" s="1"/>
  <c r="Q2724" i="7"/>
  <c r="O2883" i="7"/>
  <c r="Q2883" i="7"/>
  <c r="D2894" i="7"/>
  <c r="I3524" i="7"/>
  <c r="Q1189" i="7"/>
  <c r="O1189" i="7"/>
  <c r="Q4099" i="7"/>
  <c r="O4099" i="7"/>
  <c r="O589" i="7"/>
  <c r="Q589" i="7"/>
  <c r="O278" i="7"/>
  <c r="Q278" i="7"/>
  <c r="O297" i="7"/>
  <c r="Q297" i="7"/>
  <c r="O3631" i="7"/>
  <c r="Q3631" i="7"/>
  <c r="Q560" i="7"/>
  <c r="O560" i="7"/>
  <c r="D51" i="8" s="1"/>
  <c r="F51" i="8" s="1"/>
  <c r="Q929" i="7"/>
  <c r="O929" i="7"/>
  <c r="D34" i="8" s="1"/>
  <c r="F34" i="8" s="1"/>
  <c r="Q918" i="7"/>
  <c r="O918" i="7"/>
  <c r="D33" i="8" s="1"/>
  <c r="F33" i="8" s="1"/>
  <c r="O1345" i="7"/>
  <c r="Q1345" i="7"/>
  <c r="O3045" i="7"/>
  <c r="M3044" i="7"/>
  <c r="Q3045" i="7"/>
  <c r="O2565" i="7"/>
  <c r="Q2565" i="7"/>
  <c r="Q3502" i="7"/>
  <c r="O3502" i="7"/>
  <c r="G3521" i="7"/>
  <c r="I3520" i="7"/>
  <c r="M2645" i="7"/>
  <c r="I2646" i="7"/>
  <c r="G2645" i="7"/>
  <c r="O3092" i="7"/>
  <c r="Q3092" i="7"/>
  <c r="M1145" i="7"/>
  <c r="O1146" i="7"/>
  <c r="Q1146" i="7"/>
  <c r="O1863" i="7"/>
  <c r="Q1863" i="7"/>
  <c r="M3548" i="7"/>
  <c r="O3030" i="7"/>
  <c r="Q3030" i="7"/>
  <c r="P3791" i="7"/>
  <c r="Q3791" i="7" s="1"/>
  <c r="O3791" i="7"/>
  <c r="O818" i="7"/>
  <c r="Q818" i="7"/>
  <c r="O765" i="7"/>
  <c r="Q765" i="7"/>
  <c r="Q3994" i="7"/>
  <c r="O3994" i="7"/>
  <c r="M3993" i="7"/>
  <c r="D3067" i="7"/>
  <c r="I3067" i="7" s="1"/>
  <c r="M3067" i="7" s="1"/>
  <c r="I3066" i="7"/>
  <c r="M3066" i="7" s="1"/>
  <c r="G2500" i="7"/>
  <c r="M2500" i="7"/>
  <c r="O2037" i="7"/>
  <c r="Q2037" i="7"/>
  <c r="M2735" i="7"/>
  <c r="O524" i="7"/>
  <c r="Q524" i="7"/>
  <c r="O2133" i="7"/>
  <c r="Q2133" i="7"/>
  <c r="O2154" i="7"/>
  <c r="Q2154" i="7"/>
  <c r="Q2698" i="7"/>
  <c r="O2698" i="7"/>
  <c r="Q2817" i="7"/>
  <c r="M2816" i="7"/>
  <c r="O2817" i="7"/>
  <c r="O2946" i="7"/>
  <c r="C218" i="11" s="1"/>
  <c r="Q2946" i="7"/>
  <c r="Q3232" i="7"/>
  <c r="O3232" i="7"/>
  <c r="D2472" i="7"/>
  <c r="O2461" i="7"/>
  <c r="Q2461" i="7"/>
  <c r="Q246" i="7"/>
  <c r="O246" i="7"/>
  <c r="AB246" i="7" s="1"/>
  <c r="G3154" i="7"/>
  <c r="C627" i="11" s="1"/>
  <c r="M3154" i="7"/>
  <c r="M3142" i="7" s="1"/>
  <c r="D470" i="7"/>
  <c r="G470" i="7" s="1"/>
  <c r="Q450" i="7"/>
  <c r="O450" i="7"/>
  <c r="M449" i="7"/>
  <c r="O3498" i="7"/>
  <c r="Q3498" i="7"/>
  <c r="O196" i="7"/>
  <c r="AB196" i="7" s="1"/>
  <c r="Q196" i="7"/>
  <c r="O576" i="7"/>
  <c r="M575" i="7"/>
  <c r="Q576" i="7"/>
  <c r="O2644" i="7"/>
  <c r="Q2644" i="7"/>
  <c r="M3493" i="7"/>
  <c r="M3482" i="7" s="1"/>
  <c r="Q3164" i="7"/>
  <c r="O3164" i="7"/>
  <c r="Q4008" i="7"/>
  <c r="O4008" i="7"/>
  <c r="O3278" i="7"/>
  <c r="O879" i="7"/>
  <c r="Q879" i="7"/>
  <c r="D3493" i="7"/>
  <c r="G3493" i="7" s="1"/>
  <c r="C638" i="11" s="1"/>
  <c r="O3483" i="7"/>
  <c r="C388" i="11" s="1"/>
  <c r="Q3483" i="7"/>
  <c r="C25" i="11"/>
  <c r="P3666" i="7"/>
  <c r="F30" i="6" s="1"/>
  <c r="D30" i="6"/>
  <c r="Q3685" i="7"/>
  <c r="O3685" i="7"/>
  <c r="O3711" i="7"/>
  <c r="M3710" i="7"/>
  <c r="Q3711" i="7"/>
  <c r="O3851" i="7"/>
  <c r="Q3851" i="7"/>
  <c r="Q3856" i="7"/>
  <c r="O3856" i="7"/>
  <c r="O3813" i="7"/>
  <c r="Q3813" i="7"/>
  <c r="P3697" i="7"/>
  <c r="Q3697" i="7" s="1"/>
  <c r="O3697" i="7"/>
  <c r="Q3820" i="7"/>
  <c r="O3820" i="7"/>
  <c r="O3687" i="7"/>
  <c r="C451" i="11" s="1"/>
  <c r="Q3687" i="7"/>
  <c r="O3692" i="7"/>
  <c r="P3692" i="7"/>
  <c r="Q3692" i="7" s="1"/>
  <c r="P3790" i="7"/>
  <c r="Q3790" i="7" s="1"/>
  <c r="O3790" i="7"/>
  <c r="O3863" i="7"/>
  <c r="Q3863" i="7"/>
  <c r="Q3816" i="7"/>
  <c r="O3816" i="7"/>
  <c r="P3772" i="7"/>
  <c r="Q3772" i="7" s="1"/>
  <c r="O3772" i="7"/>
  <c r="Q3855" i="7"/>
  <c r="O3855" i="7"/>
  <c r="P3891" i="7"/>
  <c r="Q3891" i="7" s="1"/>
  <c r="O3891" i="7"/>
  <c r="G2459" i="7"/>
  <c r="C602" i="11" s="1"/>
  <c r="M2459" i="7"/>
  <c r="Q1931" i="7"/>
  <c r="O1931" i="7"/>
  <c r="O1973" i="7"/>
  <c r="Q1973" i="7"/>
  <c r="Q1284" i="7"/>
  <c r="O1284" i="7"/>
  <c r="O1246" i="7"/>
  <c r="Q1246" i="7"/>
  <c r="O3013" i="7"/>
  <c r="Q3013" i="7"/>
  <c r="O3215" i="7"/>
  <c r="Q3215" i="7"/>
  <c r="Q1139" i="7"/>
  <c r="O1139" i="7"/>
  <c r="Q493" i="7"/>
  <c r="O493" i="7"/>
  <c r="O319" i="7"/>
  <c r="Q319" i="7"/>
  <c r="Q2386" i="7"/>
  <c r="O2386" i="7"/>
  <c r="C41" i="11" s="1"/>
  <c r="Q2736" i="7"/>
  <c r="O2736" i="7"/>
  <c r="C162" i="11" s="1"/>
  <c r="O3033" i="7"/>
  <c r="Q3033" i="7"/>
  <c r="M3032" i="7"/>
  <c r="O3981" i="7"/>
  <c r="Q3981" i="7"/>
  <c r="O4138" i="7"/>
  <c r="Q4138" i="7"/>
  <c r="O614" i="7"/>
  <c r="Q614" i="7"/>
  <c r="O3207" i="7"/>
  <c r="Q3207" i="7"/>
  <c r="Q586" i="7"/>
  <c r="O586" i="7"/>
  <c r="O1597" i="7"/>
  <c r="Q1597" i="7"/>
  <c r="Q1216" i="7"/>
  <c r="O1216" i="7"/>
  <c r="O2191" i="7"/>
  <c r="Q2191" i="7"/>
  <c r="O4151" i="7"/>
  <c r="C584" i="11" s="1"/>
  <c r="Q4151" i="7"/>
  <c r="O421" i="7"/>
  <c r="DK4" i="9" s="1"/>
  <c r="Q421" i="7"/>
  <c r="Q912" i="7"/>
  <c r="O912" i="7"/>
  <c r="D32" i="8" s="1"/>
  <c r="Q1965" i="7"/>
  <c r="O1965" i="7"/>
  <c r="GM4" i="9" s="1"/>
  <c r="O396" i="7"/>
  <c r="Q396" i="7"/>
  <c r="Q1166" i="7"/>
  <c r="O1166" i="7"/>
  <c r="O1811" i="7"/>
  <c r="Q1811" i="7"/>
  <c r="O116" i="7"/>
  <c r="Q116" i="7"/>
  <c r="GD4" i="9"/>
  <c r="M1725" i="7"/>
  <c r="Q2428" i="7"/>
  <c r="O2428" i="7"/>
  <c r="D2448" i="7"/>
  <c r="G2448" i="7" s="1"/>
  <c r="C601" i="11" s="1"/>
  <c r="O625" i="7"/>
  <c r="Q625" i="7"/>
  <c r="Q1696" i="7"/>
  <c r="O1696" i="7"/>
  <c r="Q1222" i="7"/>
  <c r="D1242" i="7"/>
  <c r="G1242" i="7" s="1"/>
  <c r="M1221" i="7"/>
  <c r="O1222" i="7"/>
  <c r="O1232" i="7"/>
  <c r="Q1232" i="7"/>
  <c r="O2227" i="7"/>
  <c r="Q2227" i="7"/>
  <c r="D7" i="4"/>
  <c r="I96" i="4"/>
  <c r="O96" i="4"/>
  <c r="O3294" i="7"/>
  <c r="Q3294" i="7"/>
  <c r="Q898" i="7"/>
  <c r="O898" i="7"/>
  <c r="O1537" i="7"/>
  <c r="Q1537" i="7"/>
  <c r="AH4" i="9"/>
  <c r="Q22" i="6"/>
  <c r="O427" i="7"/>
  <c r="Q427" i="7"/>
  <c r="Q1315" i="7"/>
  <c r="O1315" i="7"/>
  <c r="G3517" i="7"/>
  <c r="I3516" i="7"/>
  <c r="O3237" i="7"/>
  <c r="G2540" i="7"/>
  <c r="G2541" i="7" s="1"/>
  <c r="I2541" i="7" s="1"/>
  <c r="M2541" i="7" s="1"/>
  <c r="M2540" i="7"/>
  <c r="M2537" i="7" s="1"/>
  <c r="Q2137" i="7"/>
  <c r="O2137" i="7"/>
  <c r="O2141" i="7"/>
  <c r="Q2141" i="7"/>
  <c r="O1772" i="7"/>
  <c r="FW4" i="9" s="1"/>
  <c r="Q1772" i="7"/>
  <c r="M243" i="7"/>
  <c r="G243" i="7"/>
  <c r="Q3693" i="7"/>
  <c r="O3693" i="7"/>
  <c r="M3689" i="7"/>
  <c r="Q1745" i="7"/>
  <c r="O1745" i="7"/>
  <c r="Q112" i="7"/>
  <c r="O112" i="7"/>
  <c r="AB112" i="7" s="1"/>
  <c r="Q1632" i="7"/>
  <c r="O1632" i="7"/>
  <c r="O3220" i="7"/>
  <c r="Q3220" i="7"/>
  <c r="P3255" i="7"/>
  <c r="Q3255" i="7" s="1"/>
  <c r="O3255" i="7"/>
  <c r="I3235" i="7"/>
  <c r="P3235" i="7"/>
  <c r="O3219" i="7"/>
  <c r="M3218" i="7"/>
  <c r="Q3219" i="7"/>
  <c r="P3412" i="7"/>
  <c r="Q3412" i="7" s="1"/>
  <c r="O3412" i="7"/>
  <c r="P3329" i="7"/>
  <c r="Q3329" i="7" s="1"/>
  <c r="O3329" i="7"/>
  <c r="Q3404" i="7"/>
  <c r="O3404" i="7"/>
  <c r="P3322" i="7"/>
  <c r="Q3322" i="7" s="1"/>
  <c r="O3322" i="7"/>
  <c r="P3328" i="7"/>
  <c r="Q3328" i="7" s="1"/>
  <c r="O3328" i="7"/>
  <c r="O3407" i="7"/>
  <c r="Q3407" i="7"/>
  <c r="Q3325" i="7"/>
  <c r="O3325" i="7"/>
  <c r="P3432" i="7"/>
  <c r="Q3432" i="7" s="1"/>
  <c r="O3432" i="7"/>
  <c r="M3349" i="7"/>
  <c r="Q3350" i="7"/>
  <c r="O3350" i="7"/>
  <c r="P3370" i="7"/>
  <c r="Q3370" i="7" s="1"/>
  <c r="O3370" i="7"/>
  <c r="P3411" i="7"/>
  <c r="Q3411" i="7" s="1"/>
  <c r="O3411" i="7"/>
  <c r="P3332" i="7"/>
  <c r="Q3332" i="7" s="1"/>
  <c r="O3332" i="7"/>
  <c r="O1768" i="7"/>
  <c r="Q1768" i="7"/>
  <c r="Q2658" i="7"/>
  <c r="O2658" i="7"/>
  <c r="Q2933" i="7"/>
  <c r="O2933" i="7"/>
  <c r="Q3196" i="7"/>
  <c r="O3196" i="7"/>
  <c r="O3265" i="7"/>
  <c r="I3978" i="7"/>
  <c r="O1533" i="7"/>
  <c r="Q1533" i="7"/>
  <c r="O4144" i="7"/>
  <c r="C582" i="11" s="1"/>
  <c r="Q4144" i="7"/>
  <c r="Q4014" i="7"/>
  <c r="O4014" i="7"/>
  <c r="M4013" i="7"/>
  <c r="I3026" i="7"/>
  <c r="M3026" i="7" s="1"/>
  <c r="D3027" i="7"/>
  <c r="I3027" i="7" s="1"/>
  <c r="M3027" i="7" s="1"/>
  <c r="D2800" i="7"/>
  <c r="I2800" i="7" s="1"/>
  <c r="M2800" i="7" s="1"/>
  <c r="I2799" i="7"/>
  <c r="M2799" i="7" s="1"/>
  <c r="O3696" i="7"/>
  <c r="O1365" i="7"/>
  <c r="Q1365" i="7"/>
  <c r="O2896" i="7"/>
  <c r="M2895" i="7"/>
  <c r="Q2896" i="7"/>
  <c r="O2783" i="7"/>
  <c r="Q2783" i="7"/>
  <c r="Q3061" i="7"/>
  <c r="M3060" i="7"/>
  <c r="O3061" i="7"/>
  <c r="Q1801" i="7"/>
  <c r="D1821" i="7"/>
  <c r="G1821" i="7" s="1"/>
  <c r="M1800" i="7"/>
  <c r="O1801" i="7"/>
  <c r="O106" i="7"/>
  <c r="AB106" i="7" s="1"/>
  <c r="Q106" i="7"/>
  <c r="O389" i="7"/>
  <c r="Q389" i="7"/>
  <c r="O956" i="7"/>
  <c r="Q956" i="7"/>
  <c r="O1784" i="7"/>
  <c r="Q1784" i="7"/>
  <c r="O1296" i="7"/>
  <c r="Q1296" i="7"/>
  <c r="O1111" i="7"/>
  <c r="Q1111" i="7"/>
  <c r="O26" i="6"/>
  <c r="E26" i="6"/>
  <c r="Q26" i="6" s="1"/>
  <c r="N26" i="6"/>
  <c r="H26" i="6"/>
  <c r="O3216" i="7"/>
  <c r="D3537" i="7"/>
  <c r="I3537" i="7" s="1"/>
  <c r="M3537" i="7" s="1"/>
  <c r="I3536" i="7"/>
  <c r="O1841" i="7"/>
  <c r="Q1841" i="7"/>
  <c r="O2951" i="7"/>
  <c r="C219" i="11" s="1"/>
  <c r="Q2951" i="7"/>
  <c r="M3600" i="7"/>
  <c r="I3601" i="7"/>
  <c r="G3600" i="7"/>
  <c r="P3755" i="7"/>
  <c r="G3755" i="7"/>
  <c r="G3756" i="7" s="1"/>
  <c r="G3757" i="7" s="1"/>
  <c r="P3700" i="7"/>
  <c r="Q3700" i="7" s="1"/>
  <c r="O3700" i="7"/>
  <c r="Q3684" i="7"/>
  <c r="O3684" i="7"/>
  <c r="P3708" i="7"/>
  <c r="Q3708" i="7" s="1"/>
  <c r="O3708" i="7"/>
  <c r="O3843" i="7"/>
  <c r="Q3843" i="7"/>
  <c r="P3825" i="7"/>
  <c r="Q3825" i="7" s="1"/>
  <c r="O3825" i="7"/>
  <c r="Q3873" i="7"/>
  <c r="O3873" i="7"/>
  <c r="Q3734" i="7"/>
  <c r="O3734" i="7"/>
  <c r="I3688" i="7"/>
  <c r="P3688" i="7"/>
  <c r="Q3738" i="7"/>
  <c r="O3738" i="7"/>
  <c r="Q3728" i="7"/>
  <c r="O3728" i="7"/>
  <c r="O3814" i="7"/>
  <c r="Q3814" i="7"/>
  <c r="M3858" i="7"/>
  <c r="O3859" i="7"/>
  <c r="Q3859" i="7"/>
  <c r="Q3837" i="7"/>
  <c r="O3837" i="7"/>
  <c r="M3836" i="7"/>
  <c r="O3870" i="7"/>
  <c r="Q3870" i="7"/>
  <c r="O3879" i="7"/>
  <c r="Q3879" i="7"/>
  <c r="O3850" i="7"/>
  <c r="Q3850" i="7"/>
  <c r="M3849" i="7"/>
  <c r="Q3878" i="7"/>
  <c r="O3878" i="7"/>
  <c r="D124" i="8"/>
  <c r="I55" i="6"/>
  <c r="G124" i="8" s="1"/>
  <c r="M3217" i="7"/>
  <c r="M3214" i="7" s="1"/>
  <c r="G3217" i="7"/>
  <c r="D121" i="8"/>
  <c r="O3075" i="7"/>
  <c r="Q3075" i="7"/>
  <c r="O1535" i="7"/>
  <c r="Q1535" i="7"/>
  <c r="O2031" i="7"/>
  <c r="Q2031" i="7"/>
  <c r="Q2357" i="7"/>
  <c r="O2357" i="7"/>
  <c r="Q1822" i="7"/>
  <c r="O1822" i="7"/>
  <c r="Q3826" i="7"/>
  <c r="O3826" i="7"/>
  <c r="Q2359" i="7"/>
  <c r="O2359" i="7"/>
  <c r="O1029" i="7"/>
  <c r="M1028" i="7"/>
  <c r="D1049" i="7"/>
  <c r="G1049" i="7" s="1"/>
  <c r="Q1029" i="7"/>
  <c r="Q3566" i="7"/>
  <c r="O3566" i="7"/>
  <c r="C420" i="11" s="1"/>
  <c r="Q4107" i="7"/>
  <c r="O4107" i="7"/>
  <c r="O400" i="7"/>
  <c r="Q400" i="7"/>
  <c r="O3654" i="7"/>
  <c r="C428" i="11" s="1"/>
  <c r="Q3654" i="7"/>
  <c r="Q3236" i="7"/>
  <c r="O3236" i="7"/>
  <c r="C320" i="11" s="1"/>
  <c r="Q2538" i="7"/>
  <c r="O2538" i="7"/>
  <c r="Q2070" i="7"/>
  <c r="O2070" i="7"/>
  <c r="Q1889" i="7"/>
  <c r="O1889" i="7"/>
  <c r="Q4035" i="7"/>
  <c r="O4035" i="7"/>
  <c r="Q1732" i="7"/>
  <c r="O1732" i="7"/>
  <c r="Q1751" i="7"/>
  <c r="O1751" i="7"/>
  <c r="O1747" i="7"/>
  <c r="Q1747" i="7"/>
  <c r="O954" i="7"/>
  <c r="Q954" i="7"/>
  <c r="O1778" i="7"/>
  <c r="Q1778" i="7"/>
  <c r="O1795" i="7"/>
  <c r="Q1795" i="7"/>
  <c r="M1414" i="7"/>
  <c r="O1415" i="7"/>
  <c r="Q1415" i="7"/>
  <c r="D1435" i="7"/>
  <c r="G1435" i="7" s="1"/>
  <c r="Q1262" i="7"/>
  <c r="O1262" i="7"/>
  <c r="Q2623" i="7"/>
  <c r="O2623" i="7"/>
  <c r="Q1394" i="7"/>
  <c r="O1394" i="7"/>
  <c r="Q2464" i="7"/>
  <c r="O2464" i="7"/>
  <c r="AE4" i="9"/>
  <c r="Q19" i="6"/>
  <c r="Q3053" i="7"/>
  <c r="O3053" i="7"/>
  <c r="M3052" i="7"/>
  <c r="Q1259" i="7"/>
  <c r="O1259" i="7"/>
  <c r="O4012" i="7"/>
  <c r="Q4012" i="7"/>
  <c r="Q946" i="7"/>
  <c r="O946" i="7"/>
  <c r="D35" i="8" s="1"/>
  <c r="F35" i="8" s="1"/>
  <c r="Q2139" i="7"/>
  <c r="O2139" i="7"/>
  <c r="Q2156" i="7"/>
  <c r="O2156" i="7"/>
  <c r="O1375" i="7"/>
  <c r="Q1375" i="7"/>
  <c r="O2425" i="7"/>
  <c r="Q2425" i="7"/>
  <c r="O385" i="7"/>
  <c r="Q385" i="7"/>
  <c r="M3997" i="7"/>
  <c r="O3998" i="7"/>
  <c r="Q3998" i="7"/>
  <c r="O1458" i="7"/>
  <c r="Q1458" i="7"/>
  <c r="Q1684" i="7"/>
  <c r="O1684" i="7"/>
  <c r="O1525" i="7"/>
  <c r="Q1525" i="7"/>
  <c r="Q2208" i="7"/>
  <c r="O2208" i="7"/>
  <c r="O387" i="7"/>
  <c r="Q387" i="7"/>
  <c r="Q1755" i="7"/>
  <c r="O1755" i="7"/>
  <c r="Q2131" i="7"/>
  <c r="O2131" i="7"/>
  <c r="O419" i="7"/>
  <c r="Q419" i="7"/>
  <c r="M3620" i="7"/>
  <c r="Q1948" i="7"/>
  <c r="O1948" i="7"/>
  <c r="Q2351" i="7"/>
  <c r="O2351" i="7"/>
  <c r="HS4" i="9" s="1"/>
  <c r="O3156" i="7"/>
  <c r="M3155" i="7"/>
  <c r="Q3156" i="7"/>
  <c r="P3706" i="7"/>
  <c r="Q3706" i="7" s="1"/>
  <c r="O3706" i="7"/>
  <c r="Q3877" i="7"/>
  <c r="O3877" i="7"/>
  <c r="P3699" i="7"/>
  <c r="Q3699" i="7" s="1"/>
  <c r="O3699" i="7"/>
  <c r="G3743" i="7"/>
  <c r="P3743" i="7"/>
  <c r="P3824" i="7"/>
  <c r="Q3824" i="7" s="1"/>
  <c r="O3824" i="7"/>
  <c r="P3732" i="7"/>
  <c r="Q3732" i="7" s="1"/>
  <c r="O3732" i="7"/>
  <c r="P3817" i="7"/>
  <c r="I3817" i="7"/>
  <c r="P3703" i="7"/>
  <c r="Q3703" i="7" s="1"/>
  <c r="O3703" i="7"/>
  <c r="O3810" i="7"/>
  <c r="Q3810" i="7"/>
  <c r="Q3857" i="7"/>
  <c r="O3857" i="7"/>
  <c r="O2310" i="7"/>
  <c r="Q2310" i="7"/>
  <c r="Q1425" i="7"/>
  <c r="O1425" i="7"/>
  <c r="Q1103" i="7"/>
  <c r="O1103" i="7"/>
  <c r="M3141" i="7"/>
  <c r="M2962" i="7"/>
  <c r="O876" i="7"/>
  <c r="Q876" i="7"/>
  <c r="Q1008" i="7"/>
  <c r="O1008" i="7"/>
  <c r="Q3648" i="7"/>
  <c r="O3648" i="7"/>
  <c r="O790" i="7"/>
  <c r="Q790" i="7"/>
  <c r="G4087" i="7"/>
  <c r="I4088" i="7"/>
  <c r="M4087" i="7"/>
  <c r="Q2478" i="7"/>
  <c r="O2478" i="7"/>
  <c r="C68" i="11" s="1"/>
  <c r="Q1682" i="7"/>
  <c r="O1682" i="7"/>
  <c r="Q1929" i="7"/>
  <c r="O1929" i="7"/>
  <c r="Q1560" i="7"/>
  <c r="O1560" i="7"/>
  <c r="O1239" i="7"/>
  <c r="Q1239" i="7"/>
  <c r="O1050" i="7"/>
  <c r="Q1050" i="7"/>
  <c r="Q2993" i="7"/>
  <c r="O2993" i="7"/>
  <c r="O3947" i="7"/>
  <c r="Q3947" i="7"/>
  <c r="H67" i="6"/>
  <c r="I67" i="6" s="1"/>
  <c r="I31" i="6"/>
  <c r="H74" i="6"/>
  <c r="I74" i="6" s="1"/>
  <c r="M3769" i="7"/>
  <c r="Q3770" i="7"/>
  <c r="O3770" i="7"/>
  <c r="O3971" i="7"/>
  <c r="Q3971" i="7"/>
  <c r="Q2280" i="7"/>
  <c r="O2087" i="7"/>
  <c r="Q2087" i="7"/>
  <c r="O1753" i="7"/>
  <c r="Q1753" i="7"/>
  <c r="D123" i="8"/>
  <c r="I54" i="6"/>
  <c r="G123" i="8" s="1"/>
  <c r="Q1591" i="7"/>
  <c r="O1591" i="7"/>
  <c r="O1390" i="7"/>
  <c r="Q1390" i="7"/>
  <c r="Q1770" i="7"/>
  <c r="O1770" i="7"/>
  <c r="Q1197" i="7"/>
  <c r="O1197" i="7"/>
  <c r="O1199" i="7"/>
  <c r="Q1199" i="7"/>
  <c r="O1168" i="7"/>
  <c r="Q1168" i="7"/>
  <c r="M2822" i="7"/>
  <c r="Q2956" i="7"/>
  <c r="O2956" i="7"/>
  <c r="C225" i="11" s="1"/>
  <c r="M3009" i="7"/>
  <c r="M2996" i="7" s="1"/>
  <c r="O3071" i="7"/>
  <c r="Q3071" i="7"/>
  <c r="O4109" i="7"/>
  <c r="M4108" i="7"/>
  <c r="Q4109" i="7"/>
  <c r="O686" i="7"/>
  <c r="Q686" i="7"/>
  <c r="O59" i="6"/>
  <c r="T59" i="6" s="1"/>
  <c r="N59" i="6"/>
  <c r="S59" i="6" s="1"/>
  <c r="E59" i="6"/>
  <c r="M59" i="6"/>
  <c r="R59" i="6" s="1"/>
  <c r="O2592" i="7"/>
  <c r="M2591" i="7"/>
  <c r="Q2592" i="7"/>
  <c r="O3318" i="7"/>
  <c r="M3317" i="7"/>
  <c r="Q3318" i="7"/>
  <c r="Q626" i="7"/>
  <c r="O626" i="7"/>
  <c r="O2147" i="7"/>
  <c r="Q2147" i="7"/>
  <c r="M3607" i="7"/>
  <c r="O733" i="7"/>
  <c r="Q733" i="7"/>
  <c r="O3252" i="7"/>
  <c r="Q3111" i="7"/>
  <c r="O3111" i="7"/>
  <c r="O242" i="7"/>
  <c r="AB242" i="7" s="1"/>
  <c r="Q242" i="7"/>
  <c r="O3915" i="7"/>
  <c r="C521" i="11" s="1"/>
  <c r="Q3915" i="7"/>
  <c r="Q1844" i="7"/>
  <c r="O1844" i="7"/>
  <c r="O3695" i="7"/>
  <c r="M2426" i="7"/>
  <c r="M2419" i="7" s="1"/>
  <c r="G2426" i="7"/>
  <c r="C600" i="11" s="1"/>
  <c r="O960" i="7"/>
  <c r="Q960" i="7"/>
  <c r="O1648" i="7"/>
  <c r="Q1648" i="7"/>
  <c r="O1497" i="7"/>
  <c r="Q1497" i="7"/>
  <c r="C23" i="11"/>
  <c r="P3211" i="7"/>
  <c r="F28" i="6" s="1"/>
  <c r="D28" i="6"/>
  <c r="O3347" i="7"/>
  <c r="Q3347" i="7"/>
  <c r="O3415" i="7"/>
  <c r="Q3415" i="7"/>
  <c r="Q3408" i="7"/>
  <c r="O3408" i="7"/>
  <c r="O3345" i="7"/>
  <c r="Q3345" i="7"/>
  <c r="O3241" i="7"/>
  <c r="P3241" i="7"/>
  <c r="Q3241" i="7" s="1"/>
  <c r="P3427" i="7"/>
  <c r="Q3427" i="7" s="1"/>
  <c r="O3427" i="7"/>
  <c r="P3290" i="7"/>
  <c r="I3290" i="7"/>
  <c r="P3327" i="7"/>
  <c r="Q3327" i="7" s="1"/>
  <c r="O3327" i="7"/>
  <c r="Q3273" i="7"/>
  <c r="O3273" i="7"/>
  <c r="P3371" i="7"/>
  <c r="Q3371" i="7" s="1"/>
  <c r="O3371" i="7"/>
  <c r="Q3387" i="7"/>
  <c r="O3387" i="7"/>
  <c r="Q3414" i="7"/>
  <c r="O3414" i="7"/>
  <c r="O3233" i="7"/>
  <c r="C317" i="11" s="1"/>
  <c r="Q3233" i="7"/>
  <c r="Q3386" i="7"/>
  <c r="O3386" i="7"/>
  <c r="O3399" i="7"/>
  <c r="Q3399" i="7"/>
  <c r="Q2187" i="7"/>
  <c r="O2187" i="7"/>
  <c r="M2186" i="7"/>
  <c r="D2207" i="7"/>
  <c r="G2207" i="7" s="1"/>
  <c r="C167" i="11"/>
  <c r="D3980" i="7"/>
  <c r="I3980" i="7" s="1"/>
  <c r="M3980" i="7" s="1"/>
  <c r="I3979" i="7"/>
  <c r="M3979" i="7" s="1"/>
  <c r="O3034" i="7"/>
  <c r="Q3034" i="7"/>
  <c r="O487" i="7"/>
  <c r="Q487" i="7"/>
  <c r="I3025" i="7"/>
  <c r="M3025" i="7" s="1"/>
  <c r="Q3283" i="7"/>
  <c r="O3283" i="7"/>
  <c r="Q4010" i="7"/>
  <c r="M4009" i="7"/>
  <c r="O4010" i="7"/>
  <c r="O2164" i="7"/>
  <c r="Q2164" i="7"/>
  <c r="Q236" i="7"/>
  <c r="O236" i="7"/>
  <c r="AB236" i="7" s="1"/>
  <c r="O384" i="7"/>
  <c r="Q384" i="7"/>
  <c r="Q1628" i="7"/>
  <c r="O1628" i="7"/>
  <c r="FV4" i="9" s="1"/>
  <c r="O3280" i="7"/>
  <c r="Q2313" i="7"/>
  <c r="O2313" i="7"/>
  <c r="M2312" i="7"/>
  <c r="O1367" i="7"/>
  <c r="Q1367" i="7"/>
  <c r="Q4241" i="7"/>
  <c r="O4241" i="7"/>
  <c r="C34" i="6"/>
  <c r="C105" i="8" s="1"/>
  <c r="O2334" i="7"/>
  <c r="Q2334" i="7"/>
  <c r="G26" i="6"/>
  <c r="I3763" i="7"/>
  <c r="D3764" i="7"/>
  <c r="Q813" i="7"/>
  <c r="O813" i="7"/>
  <c r="O961" i="7"/>
  <c r="Q961" i="7"/>
  <c r="C197" i="11"/>
  <c r="D44" i="10"/>
  <c r="F44" i="10" s="1"/>
  <c r="O3599" i="7"/>
  <c r="Q3599" i="7"/>
  <c r="O454" i="7"/>
  <c r="Q454" i="7"/>
  <c r="Q753" i="7"/>
  <c r="O753" i="7"/>
  <c r="D43" i="8" s="1"/>
  <c r="F43" i="8" s="1"/>
  <c r="O3077" i="7"/>
  <c r="M3076" i="7"/>
  <c r="Q3077" i="7"/>
  <c r="HZ4" i="9"/>
  <c r="M2304" i="7"/>
  <c r="Q2347" i="7"/>
  <c r="O2347" i="7"/>
  <c r="Q2363" i="7"/>
  <c r="O2363" i="7"/>
  <c r="O2204" i="7"/>
  <c r="Q2204" i="7"/>
  <c r="O2729" i="7"/>
  <c r="C156" i="11" s="1"/>
  <c r="Q2729" i="7"/>
  <c r="O3224" i="7"/>
  <c r="Q3224" i="7"/>
  <c r="O4011" i="7"/>
  <c r="Q4011" i="7"/>
  <c r="O4019" i="7"/>
  <c r="Q4019" i="7"/>
  <c r="O3785" i="7"/>
  <c r="Q4007" i="7"/>
  <c r="O4007" i="7"/>
  <c r="O3712" i="7"/>
  <c r="Q3712" i="7"/>
  <c r="Q3686" i="7"/>
  <c r="O3686" i="7"/>
  <c r="C450" i="11" s="1"/>
  <c r="Q3815" i="7"/>
  <c r="O3815" i="7"/>
  <c r="O3860" i="7"/>
  <c r="Q3860" i="7"/>
  <c r="O3841" i="7"/>
  <c r="Q3841" i="7"/>
  <c r="Q3715" i="7"/>
  <c r="O3715" i="7"/>
  <c r="P3775" i="7"/>
  <c r="I3775" i="7"/>
  <c r="O3717" i="7"/>
  <c r="Q3717" i="7"/>
  <c r="P3747" i="7"/>
  <c r="G3747" i="7"/>
  <c r="Q3892" i="7"/>
  <c r="O3892" i="7"/>
  <c r="M3888" i="7"/>
  <c r="O3883" i="7"/>
  <c r="Q3883" i="7"/>
  <c r="O115" i="7"/>
  <c r="Q115" i="7"/>
  <c r="Q2118" i="7"/>
  <c r="O2118" i="7"/>
  <c r="O1193" i="7"/>
  <c r="EA4" i="9" s="1"/>
  <c r="Q1193" i="7"/>
  <c r="Q4149" i="7"/>
  <c r="O4149" i="7"/>
  <c r="C583" i="11" s="1"/>
  <c r="O811" i="7"/>
  <c r="Q811" i="7"/>
  <c r="Q2383" i="7"/>
  <c r="O2383" i="7"/>
  <c r="Q1579" i="7"/>
  <c r="O1579" i="7"/>
  <c r="FG4" i="9" s="1"/>
  <c r="O1645" i="7"/>
  <c r="Q1645" i="7"/>
  <c r="Q1432" i="7"/>
  <c r="O1432" i="7"/>
  <c r="Q4002" i="7"/>
  <c r="M4001" i="7"/>
  <c r="O4002" i="7"/>
  <c r="O1172" i="7"/>
  <c r="Q1172" i="7"/>
  <c r="Q2211" i="7"/>
  <c r="O2211" i="7"/>
  <c r="O2492" i="7"/>
  <c r="C82" i="11" s="1"/>
  <c r="Q2492" i="7"/>
  <c r="O1161" i="7"/>
  <c r="Q1161" i="7"/>
  <c r="N24" i="6"/>
  <c r="S24" i="6" s="1"/>
  <c r="H24" i="6"/>
  <c r="I24" i="6" s="1"/>
  <c r="E24" i="6"/>
  <c r="Q24" i="6" s="1"/>
  <c r="O24" i="6"/>
  <c r="T24" i="6" s="1"/>
  <c r="Q417" i="7"/>
  <c r="O417" i="7"/>
  <c r="Q780" i="7"/>
  <c r="O780" i="7"/>
  <c r="Q1954" i="7"/>
  <c r="O1954" i="7"/>
  <c r="M4029" i="7"/>
  <c r="O4030" i="7"/>
  <c r="Q4030" i="7"/>
  <c r="M373" i="7"/>
  <c r="O374" i="7"/>
  <c r="Q374" i="7"/>
  <c r="Q2668" i="7"/>
  <c r="M2667" i="7"/>
  <c r="O2668" i="7"/>
  <c r="Q3146" i="7"/>
  <c r="O3146" i="7"/>
  <c r="M3226" i="7"/>
  <c r="M3223" i="7" s="1"/>
  <c r="G3226" i="7"/>
  <c r="Q981" i="7"/>
  <c r="O981" i="7"/>
  <c r="Q597" i="7"/>
  <c r="O597" i="7"/>
  <c r="Q4020" i="7"/>
  <c r="O4020" i="7"/>
  <c r="O1825" i="7"/>
  <c r="Q1825" i="7"/>
  <c r="Q1971" i="7"/>
  <c r="O1971" i="7"/>
  <c r="O1818" i="7"/>
  <c r="Q1818" i="7"/>
  <c r="C400" i="11"/>
  <c r="D3753" i="7"/>
  <c r="D2792" i="7"/>
  <c r="I2792" i="7" s="1"/>
  <c r="M2792" i="7" s="1"/>
  <c r="I2791" i="7"/>
  <c r="M2791" i="7" s="1"/>
  <c r="C483" i="11"/>
  <c r="P3766" i="7"/>
  <c r="Q3766" i="7" s="1"/>
  <c r="O3766" i="7"/>
  <c r="Q3671" i="7"/>
  <c r="O3671" i="7"/>
  <c r="Q3845" i="7"/>
  <c r="O3845" i="7"/>
  <c r="I3834" i="7"/>
  <c r="P3834" i="7"/>
  <c r="Q3876" i="7"/>
  <c r="O3876" i="7"/>
  <c r="M3875" i="7"/>
  <c r="M3736" i="7"/>
  <c r="Q3737" i="7"/>
  <c r="O3737" i="7"/>
  <c r="Q3801" i="7"/>
  <c r="O3801" i="7"/>
  <c r="O3819" i="7"/>
  <c r="P3819" i="7"/>
  <c r="Q3819" i="7" s="1"/>
  <c r="P3704" i="7"/>
  <c r="Q3704" i="7" s="1"/>
  <c r="O3704" i="7"/>
  <c r="O3840" i="7"/>
  <c r="Q3840" i="7"/>
  <c r="M3839" i="7"/>
  <c r="Q3809" i="7"/>
  <c r="O3809" i="7"/>
  <c r="O3853" i="7"/>
  <c r="M3852" i="7"/>
  <c r="Q3853" i="7"/>
  <c r="O1558" i="7"/>
  <c r="Q1558" i="7"/>
  <c r="O1963" i="7"/>
  <c r="Q1963" i="7"/>
  <c r="O1304" i="7"/>
  <c r="Q1304" i="7"/>
  <c r="Q2340" i="7"/>
  <c r="O2340" i="7"/>
  <c r="O2275" i="7"/>
  <c r="Q2275" i="7"/>
  <c r="Q587" i="7"/>
  <c r="O587" i="7"/>
  <c r="O1969" i="7"/>
  <c r="Q1969" i="7"/>
  <c r="Q819" i="7"/>
  <c r="O819" i="7"/>
  <c r="O2181" i="7"/>
  <c r="Q2181" i="7"/>
  <c r="N29" i="6"/>
  <c r="S29" i="6" s="1"/>
  <c r="E29" i="6"/>
  <c r="Q29" i="6" s="1"/>
  <c r="O29" i="6"/>
  <c r="T29" i="6" s="1"/>
  <c r="H29" i="6"/>
  <c r="Q4086" i="7"/>
  <c r="O4086" i="7"/>
  <c r="M3590" i="7"/>
  <c r="O2324" i="7"/>
  <c r="Q2324" i="7"/>
  <c r="Q2117" i="7"/>
  <c r="O2117" i="7"/>
  <c r="O380" i="7"/>
  <c r="Q380" i="7"/>
  <c r="O1568" i="7"/>
  <c r="Q1568" i="7"/>
  <c r="M2636" i="7"/>
  <c r="O983" i="7"/>
  <c r="Q983" i="7"/>
  <c r="D125" i="8"/>
  <c r="I56" i="6"/>
  <c r="G125" i="8" s="1"/>
  <c r="O1552" i="7"/>
  <c r="Q1552" i="7"/>
  <c r="Q660" i="7"/>
  <c r="O660" i="7"/>
  <c r="O281" i="7"/>
  <c r="Q281" i="7"/>
  <c r="Q1875" i="7"/>
  <c r="O1875" i="7"/>
  <c r="C485" i="11"/>
  <c r="C114" i="11"/>
  <c r="Y4" i="9"/>
  <c r="Q13" i="6"/>
  <c r="O3972" i="7"/>
  <c r="Q3972" i="7"/>
  <c r="Q973" i="7"/>
  <c r="O973" i="7"/>
  <c r="Q860" i="7"/>
  <c r="O860" i="7"/>
  <c r="O3070" i="7"/>
  <c r="Q3070" i="7"/>
  <c r="Q1011" i="7"/>
  <c r="O1011" i="7"/>
  <c r="G2873" i="7"/>
  <c r="I2874" i="7"/>
  <c r="M2873" i="7"/>
  <c r="Q825" i="7"/>
  <c r="O825" i="7"/>
  <c r="Q2018" i="7"/>
  <c r="O2018" i="7"/>
  <c r="O470" i="7"/>
  <c r="CT4" i="9" s="1"/>
  <c r="Q470" i="7"/>
  <c r="O3904" i="7"/>
  <c r="C510" i="11" s="1"/>
  <c r="Q3904" i="7"/>
  <c r="O386" i="7"/>
  <c r="Q386" i="7"/>
  <c r="Q1612" i="7"/>
  <c r="O1612" i="7"/>
  <c r="Q2314" i="7"/>
  <c r="O2314" i="7"/>
  <c r="P3433" i="7"/>
  <c r="Q3433" i="7" s="1"/>
  <c r="O3433" i="7"/>
  <c r="O3352" i="7"/>
  <c r="Q3352" i="7"/>
  <c r="Q3416" i="7"/>
  <c r="O3416" i="7"/>
  <c r="I3299" i="7"/>
  <c r="M3299" i="7" s="1"/>
  <c r="Q3348" i="7"/>
  <c r="O3348" i="7"/>
  <c r="O3419" i="7"/>
  <c r="M3418" i="7"/>
  <c r="Q3419" i="7"/>
  <c r="P3238" i="7"/>
  <c r="Q3238" i="7" s="1"/>
  <c r="O3238" i="7"/>
  <c r="O3242" i="7"/>
  <c r="P3242" i="7"/>
  <c r="Q3242" i="7" s="1"/>
  <c r="I3300" i="7"/>
  <c r="M3300" i="7" s="1"/>
  <c r="Q3315" i="7"/>
  <c r="O3315" i="7"/>
  <c r="Q3385" i="7"/>
  <c r="M3384" i="7"/>
  <c r="O3385" i="7"/>
  <c r="Q3409" i="7"/>
  <c r="O3409" i="7"/>
  <c r="Q3388" i="7"/>
  <c r="O3388" i="7"/>
  <c r="P3244" i="7"/>
  <c r="Q3244" i="7" s="1"/>
  <c r="O3244" i="7"/>
  <c r="Q3358" i="7"/>
  <c r="O3358" i="7"/>
  <c r="P3372" i="7"/>
  <c r="Q3372" i="7" s="1"/>
  <c r="O3372" i="7"/>
  <c r="Q3406" i="7"/>
  <c r="O3406" i="7"/>
  <c r="Q3992" i="7"/>
  <c r="O3992" i="7"/>
  <c r="O2349" i="7"/>
  <c r="Q2349" i="7"/>
  <c r="O2671" i="7"/>
  <c r="Q2671" i="7"/>
  <c r="Q3291" i="7"/>
  <c r="O3291" i="7"/>
  <c r="O3035" i="7"/>
  <c r="Q3035" i="7"/>
  <c r="G2491" i="7"/>
  <c r="M2491" i="7"/>
  <c r="Q444" i="7"/>
  <c r="O444" i="7"/>
  <c r="O3284" i="7"/>
  <c r="M2400" i="7"/>
  <c r="Q2401" i="7"/>
  <c r="O2401" i="7"/>
  <c r="O1508" i="7"/>
  <c r="Q1508" i="7"/>
  <c r="Q610" i="7"/>
  <c r="O610" i="7"/>
  <c r="Q2317" i="7"/>
  <c r="O2317" i="7"/>
  <c r="Q2786" i="7"/>
  <c r="O2786" i="7"/>
  <c r="O2844" i="7"/>
  <c r="D2864" i="7"/>
  <c r="G2864" i="7" s="1"/>
  <c r="C617" i="11" s="1"/>
  <c r="Q2844" i="7"/>
  <c r="Q3010" i="7"/>
  <c r="O3010" i="7"/>
  <c r="Q1004" i="7"/>
  <c r="O1004" i="7"/>
  <c r="Q853" i="7"/>
  <c r="O853" i="7"/>
  <c r="Q1452" i="7"/>
  <c r="O1452" i="7"/>
  <c r="O1738" i="7"/>
  <c r="Q1738" i="7"/>
  <c r="Q1243" i="7"/>
  <c r="O1243" i="7"/>
  <c r="Q1541" i="7"/>
  <c r="M1540" i="7"/>
  <c r="O1541" i="7"/>
  <c r="M2864" i="7"/>
  <c r="G2795" i="7"/>
  <c r="I2794" i="7"/>
  <c r="Q846" i="7"/>
  <c r="O846" i="7"/>
  <c r="D3760" i="7"/>
  <c r="O632" i="7"/>
  <c r="Q632" i="7"/>
  <c r="O3795" i="7"/>
  <c r="O277" i="7"/>
  <c r="DJ4" i="9" s="1"/>
  <c r="Q277" i="7"/>
  <c r="O1944" i="7"/>
  <c r="Q1944" i="7"/>
  <c r="O3084" i="7"/>
  <c r="M3083" i="7"/>
  <c r="Q3084" i="7"/>
  <c r="G3308" i="7"/>
  <c r="I3308" i="7" s="1"/>
  <c r="M3308" i="7" s="1"/>
  <c r="I3307" i="7"/>
  <c r="M3307" i="7" s="1"/>
  <c r="M3305" i="7" s="1"/>
  <c r="Q3864" i="7"/>
  <c r="O3864" i="7"/>
  <c r="Q2435" i="7"/>
  <c r="O2435" i="7"/>
  <c r="Q2422" i="7"/>
  <c r="O2422" i="7"/>
  <c r="BV4" i="9"/>
  <c r="M953" i="7"/>
  <c r="Q4026" i="7"/>
  <c r="O4026" i="7"/>
  <c r="M4025" i="7"/>
  <c r="O1503" i="7"/>
  <c r="Q1503" i="7"/>
  <c r="Q1392" i="7"/>
  <c r="O1392" i="7"/>
  <c r="O1226" i="7"/>
  <c r="Q1226" i="7"/>
  <c r="Q1718" i="7"/>
  <c r="O1718" i="7"/>
  <c r="O1205" i="7"/>
  <c r="Q1205" i="7"/>
  <c r="Q1575" i="7"/>
  <c r="O1575" i="7"/>
  <c r="Q3995" i="7"/>
  <c r="O3995" i="7"/>
  <c r="O975" i="7"/>
  <c r="Q975" i="7"/>
  <c r="Q3202" i="7"/>
  <c r="O3202" i="7"/>
  <c r="Q620" i="7"/>
  <c r="O620" i="7"/>
  <c r="M2551" i="7"/>
  <c r="Q2552" i="7"/>
  <c r="O2552" i="7"/>
  <c r="Q2608" i="7"/>
  <c r="O2608" i="7"/>
  <c r="Q3909" i="7"/>
  <c r="O3909" i="7"/>
  <c r="C516" i="11" s="1"/>
  <c r="G29" i="6"/>
  <c r="O3956" i="7"/>
  <c r="Q3956" i="7"/>
  <c r="O1157" i="7"/>
  <c r="Q1157" i="7"/>
  <c r="Q4027" i="7"/>
  <c r="O4027" i="7"/>
  <c r="Q1436" i="7"/>
  <c r="O1436" i="7"/>
  <c r="Q1562" i="7"/>
  <c r="O1562" i="7"/>
  <c r="K10" i="4"/>
  <c r="Q3043" i="7"/>
  <c r="O3043" i="7"/>
  <c r="D127" i="8"/>
  <c r="I58" i="6"/>
  <c r="G127" i="8" s="1"/>
  <c r="Q1066" i="7"/>
  <c r="O1066" i="7"/>
  <c r="O1491" i="7"/>
  <c r="Q1491" i="7"/>
  <c r="O2269" i="7"/>
  <c r="Q2269" i="7"/>
  <c r="O3185" i="7"/>
  <c r="Q3185" i="7"/>
  <c r="O1006" i="7"/>
  <c r="Q1006" i="7"/>
  <c r="Q3073" i="7"/>
  <c r="M3072" i="7"/>
  <c r="O3073" i="7"/>
  <c r="M815" i="7"/>
  <c r="O1990" i="7"/>
  <c r="Q1990" i="7"/>
  <c r="C389" i="11"/>
  <c r="O538" i="7"/>
  <c r="D94" i="8" s="1"/>
  <c r="F94" i="8" s="1"/>
  <c r="F88" i="8" s="1"/>
  <c r="I145" i="8" s="1"/>
  <c r="Q538" i="7"/>
  <c r="Q2684" i="7"/>
  <c r="O2684" i="7"/>
  <c r="C136" i="11" s="1"/>
  <c r="G2393" i="7"/>
  <c r="C599" i="11" s="1"/>
  <c r="M2393" i="7"/>
  <c r="Q1554" i="7"/>
  <c r="O1554" i="7"/>
  <c r="Q2316" i="7"/>
  <c r="O2316" i="7"/>
  <c r="Q2297" i="7"/>
  <c r="O2297" i="7"/>
  <c r="Q1350" i="7"/>
  <c r="O1350" i="7"/>
  <c r="M2767" i="7"/>
  <c r="M2756" i="7" s="1"/>
  <c r="Q2757" i="7"/>
  <c r="D2767" i="7"/>
  <c r="G2767" i="7" s="1"/>
  <c r="C614" i="11" s="1"/>
  <c r="O2757" i="7"/>
  <c r="C166" i="11" s="1"/>
  <c r="Q4064" i="7"/>
  <c r="O4064" i="7"/>
  <c r="Q3937" i="7"/>
  <c r="O3937" i="7"/>
  <c r="C526" i="11" s="1"/>
  <c r="M3936" i="7"/>
  <c r="D3947" i="7"/>
  <c r="G3947" i="7" s="1"/>
  <c r="C654" i="11" s="1"/>
  <c r="Q4015" i="7"/>
  <c r="O4015" i="7"/>
  <c r="Q595" i="7"/>
  <c r="O595" i="7"/>
  <c r="Q2076" i="7"/>
  <c r="O2076" i="7"/>
  <c r="G3038" i="7"/>
  <c r="I3037" i="7"/>
  <c r="Q3577" i="7"/>
  <c r="O3577" i="7"/>
  <c r="O3625" i="7"/>
  <c r="Q3625" i="7"/>
  <c r="Q2872" i="7"/>
  <c r="O2872" i="7"/>
  <c r="Q2973" i="7"/>
  <c r="O2973" i="7"/>
  <c r="O3541" i="7"/>
  <c r="Q3541" i="7"/>
  <c r="M3538" i="7"/>
  <c r="Q460" i="7"/>
  <c r="O460" i="7"/>
  <c r="O618" i="7"/>
  <c r="Q618" i="7"/>
  <c r="O1805" i="7"/>
  <c r="Q1805" i="7"/>
  <c r="Q3131" i="7"/>
  <c r="O3131" i="7"/>
  <c r="O3159" i="7"/>
  <c r="Q3159" i="7"/>
  <c r="D4107" i="7"/>
  <c r="G4107" i="7" s="1"/>
  <c r="C659" i="11" s="1"/>
  <c r="O4096" i="7"/>
  <c r="M4095" i="7"/>
  <c r="Q4096" i="7"/>
  <c r="O3455" i="7"/>
  <c r="C378" i="11" s="1"/>
  <c r="Q3455" i="7"/>
  <c r="O216" i="7"/>
  <c r="AB216" i="7" s="1"/>
  <c r="Q216" i="7"/>
  <c r="Q1790" i="7"/>
  <c r="O1790" i="7"/>
  <c r="Q1928" i="7"/>
  <c r="O1928" i="7"/>
  <c r="Q1439" i="7"/>
  <c r="O1439" i="7"/>
  <c r="P3247" i="7"/>
  <c r="Q3247" i="7" s="1"/>
  <c r="O3247" i="7"/>
  <c r="O3234" i="7"/>
  <c r="C318" i="11" s="1"/>
  <c r="Q3234" i="7"/>
  <c r="O3354" i="7"/>
  <c r="Q3354" i="7"/>
  <c r="O3423" i="7"/>
  <c r="Q3423" i="7"/>
  <c r="Q3438" i="7"/>
  <c r="O3438" i="7"/>
  <c r="I3301" i="7"/>
  <c r="M3301" i="7" s="1"/>
  <c r="P3434" i="7"/>
  <c r="Q3434" i="7" s="1"/>
  <c r="O3434" i="7"/>
  <c r="P3256" i="7"/>
  <c r="Q3256" i="7" s="1"/>
  <c r="O3256" i="7"/>
  <c r="O3377" i="7"/>
  <c r="Q3377" i="7"/>
  <c r="P3379" i="7"/>
  <c r="I3379" i="7"/>
  <c r="P3286" i="7"/>
  <c r="Q3286" i="7" s="1"/>
  <c r="O3286" i="7"/>
  <c r="P3304" i="7"/>
  <c r="Q3304" i="7" s="1"/>
  <c r="O3304" i="7"/>
  <c r="O3344" i="7"/>
  <c r="Q3344" i="7"/>
  <c r="P3245" i="7"/>
  <c r="Q3245" i="7" s="1"/>
  <c r="O3245" i="7"/>
  <c r="P3373" i="7"/>
  <c r="Q3373" i="7" s="1"/>
  <c r="O3373" i="7"/>
  <c r="Q3309" i="7"/>
  <c r="O3309" i="7"/>
  <c r="Q3991" i="7"/>
  <c r="O3991" i="7"/>
  <c r="Q1039" i="7"/>
  <c r="O1039" i="7"/>
  <c r="Q2676" i="7"/>
  <c r="O2676" i="7"/>
  <c r="O2503" i="7"/>
  <c r="C91" i="11" s="1"/>
  <c r="Q2503" i="7"/>
  <c r="M2894" i="7"/>
  <c r="M2882" i="7" s="1"/>
  <c r="G2894" i="7"/>
  <c r="C619" i="11" s="1"/>
  <c r="O3292" i="7"/>
  <c r="Q3966" i="7"/>
  <c r="O3966" i="7"/>
  <c r="O2384" i="7"/>
  <c r="C40" i="11" s="1"/>
  <c r="Q2384" i="7"/>
  <c r="M3777" i="7"/>
  <c r="Q2015" i="7"/>
  <c r="O2015" i="7"/>
  <c r="Q1182" i="7"/>
  <c r="O1182" i="7"/>
  <c r="O3612" i="7"/>
  <c r="Q3612" i="7"/>
  <c r="Q165" i="7"/>
  <c r="O165" i="7"/>
  <c r="AB165" i="7" s="1"/>
  <c r="D1628" i="7"/>
  <c r="G1628" i="7" s="1"/>
  <c r="O1608" i="7"/>
  <c r="M1607" i="7"/>
  <c r="Q1608" i="7"/>
  <c r="Q1934" i="7"/>
  <c r="O1934" i="7"/>
  <c r="O1740" i="7"/>
  <c r="Q1740" i="7"/>
  <c r="O1404" i="7"/>
  <c r="Q1404" i="7"/>
  <c r="O2369" i="7"/>
  <c r="Q2369" i="7"/>
  <c r="Q2775" i="7"/>
  <c r="O2775" i="7"/>
  <c r="C178" i="11" s="1"/>
  <c r="Q3191" i="7"/>
  <c r="O3191" i="7"/>
  <c r="C236" i="11"/>
  <c r="G3022" i="7"/>
  <c r="I3021" i="7"/>
  <c r="M3021" i="7" s="1"/>
  <c r="O3228" i="7"/>
  <c r="O972" i="7"/>
  <c r="Q972" i="7"/>
  <c r="O1419" i="7"/>
  <c r="Q1419" i="7"/>
  <c r="O3337" i="7"/>
  <c r="M2590" i="7"/>
  <c r="D3756" i="7"/>
  <c r="O3984" i="7"/>
  <c r="Q3984" i="7"/>
  <c r="Q474" i="7"/>
  <c r="O474" i="7"/>
  <c r="Q404" i="7"/>
  <c r="O404" i="7"/>
  <c r="M3508" i="7"/>
  <c r="M3461" i="7"/>
  <c r="M3441" i="7" s="1"/>
  <c r="O543" i="7"/>
  <c r="D50" i="8" s="1"/>
  <c r="F50" i="8" s="1"/>
  <c r="Q543" i="7"/>
  <c r="O2584" i="7"/>
  <c r="Q2584" i="7"/>
  <c r="Q3246" i="7"/>
  <c r="O3246" i="7"/>
  <c r="O2997" i="7"/>
  <c r="D3009" i="7"/>
  <c r="G3009" i="7" s="1"/>
  <c r="C623" i="11" s="1"/>
  <c r="Q2997" i="7"/>
  <c r="M731" i="7"/>
  <c r="AG4" i="9"/>
  <c r="Q21" i="6"/>
  <c r="Q2557" i="7"/>
  <c r="O2557" i="7"/>
  <c r="Q3550" i="7"/>
  <c r="O3550" i="7"/>
  <c r="M3549" i="7"/>
  <c r="O1821" i="7"/>
  <c r="GL4" i="9" s="1"/>
  <c r="Q1821" i="7"/>
  <c r="O3986" i="7"/>
  <c r="M3985" i="7"/>
  <c r="Q3986" i="7"/>
  <c r="Q788" i="7"/>
  <c r="O788" i="7"/>
  <c r="C180" i="11"/>
  <c r="M2790" i="7"/>
  <c r="P3698" i="7"/>
  <c r="Q3698" i="7" s="1"/>
  <c r="O3698" i="7"/>
  <c r="P3735" i="7"/>
  <c r="I3735" i="7"/>
  <c r="P3767" i="7"/>
  <c r="Q3767" i="7" s="1"/>
  <c r="O3767" i="7"/>
  <c r="Q3808" i="7"/>
  <c r="O3808" i="7"/>
  <c r="P3768" i="7"/>
  <c r="Q3768" i="7" s="1"/>
  <c r="O3768" i="7"/>
  <c r="P3707" i="7"/>
  <c r="Q3707" i="7" s="1"/>
  <c r="O3707" i="7"/>
  <c r="P3701" i="7"/>
  <c r="Q3701" i="7" s="1"/>
  <c r="O3701" i="7"/>
  <c r="O3713" i="7"/>
  <c r="Q3713" i="7"/>
  <c r="Q3838" i="7"/>
  <c r="O3838" i="7"/>
  <c r="P3751" i="7"/>
  <c r="G3751" i="7"/>
  <c r="P3885" i="7"/>
  <c r="Q3885" i="7" s="1"/>
  <c r="O3885" i="7"/>
  <c r="Q3724" i="7"/>
  <c r="M3723" i="7"/>
  <c r="O3724" i="7"/>
  <c r="O3805" i="7"/>
  <c r="M3804" i="7"/>
  <c r="Q3805" i="7"/>
  <c r="O3821" i="7"/>
  <c r="Q3821" i="7"/>
  <c r="Q3673" i="7"/>
  <c r="O3673" i="7"/>
  <c r="M3672" i="7"/>
  <c r="O3782" i="7"/>
  <c r="P3782" i="7"/>
  <c r="Q3782" i="7" s="1"/>
  <c r="P3779" i="7"/>
  <c r="Q3779" i="7" s="1"/>
  <c r="O3779" i="7"/>
  <c r="Q3880" i="7"/>
  <c r="O3880" i="7"/>
  <c r="Q3887" i="7"/>
  <c r="M3886" i="7"/>
  <c r="O3887" i="7"/>
  <c r="Q1729" i="7"/>
  <c r="O1729" i="7"/>
  <c r="O1602" i="7"/>
  <c r="Q1602" i="7"/>
  <c r="Q1409" i="7"/>
  <c r="O1409" i="7"/>
  <c r="Q2899" i="7"/>
  <c r="O2899" i="7"/>
  <c r="M2881" i="7"/>
  <c r="Q1618" i="7"/>
  <c r="O1618" i="7"/>
  <c r="O4000" i="7"/>
  <c r="Q4000" i="7"/>
  <c r="Q1780" i="7"/>
  <c r="O1780" i="7"/>
  <c r="AC4" i="9"/>
  <c r="Q17" i="6"/>
  <c r="GT4" i="9"/>
  <c r="M1918" i="7"/>
  <c r="Q2004" i="7"/>
  <c r="O2004" i="7"/>
  <c r="O251" i="7"/>
  <c r="AB251" i="7" s="1"/>
  <c r="Q251" i="7"/>
  <c r="Q3450" i="7"/>
  <c r="O3450" i="7"/>
  <c r="C372" i="11" s="1"/>
  <c r="D50" i="10"/>
  <c r="F50" i="10" s="1"/>
  <c r="C208" i="11"/>
  <c r="O4239" i="7"/>
  <c r="Q4239" i="7"/>
  <c r="Q3512" i="7"/>
  <c r="O3512" i="7"/>
  <c r="Q3793" i="7"/>
  <c r="O3793" i="7"/>
  <c r="C489" i="11" s="1"/>
  <c r="Q3570" i="7"/>
  <c r="D3590" i="7"/>
  <c r="G3590" i="7" s="1"/>
  <c r="C641" i="11" s="1"/>
  <c r="O3570" i="7"/>
  <c r="O796" i="7"/>
  <c r="D45" i="8" s="1"/>
  <c r="F45" i="8" s="1"/>
  <c r="Q796" i="7"/>
  <c r="G3018" i="7"/>
  <c r="I3017" i="7"/>
  <c r="O3046" i="7"/>
  <c r="Q3046" i="7"/>
  <c r="Q1977" i="7"/>
  <c r="O1977" i="7"/>
  <c r="O840" i="7"/>
  <c r="Q840" i="7"/>
  <c r="G3759" i="7"/>
  <c r="G3760" i="7" s="1"/>
  <c r="G3761" i="7" s="1"/>
  <c r="P3759" i="7"/>
  <c r="Q3674" i="7"/>
  <c r="O3674" i="7"/>
  <c r="P3691" i="7"/>
  <c r="Q3691" i="7" s="1"/>
  <c r="O3691" i="7"/>
  <c r="Q3670" i="7"/>
  <c r="O3670" i="7"/>
  <c r="M3669" i="7"/>
  <c r="O3774" i="7"/>
  <c r="Q3774" i="7"/>
  <c r="I3720" i="7"/>
  <c r="P3720" i="7"/>
  <c r="O3800" i="7"/>
  <c r="Q3800" i="7"/>
  <c r="P3788" i="7"/>
  <c r="Q3788" i="7" s="1"/>
  <c r="O3788" i="7"/>
  <c r="O3842" i="7"/>
  <c r="Q3842" i="7"/>
  <c r="Q3725" i="7"/>
  <c r="O3725" i="7"/>
  <c r="P3773" i="7"/>
  <c r="Q3773" i="7" s="1"/>
  <c r="O3773" i="7"/>
  <c r="Q3716" i="7"/>
  <c r="O3716" i="7"/>
  <c r="P3780" i="7"/>
  <c r="Q3780" i="7" s="1"/>
  <c r="O3780" i="7"/>
  <c r="Q3833" i="7"/>
  <c r="O3833" i="7"/>
  <c r="P3867" i="7"/>
  <c r="Q3867" i="7" s="1"/>
  <c r="O3867" i="7"/>
  <c r="O3861" i="7"/>
  <c r="Q3861" i="7"/>
  <c r="P3884" i="7"/>
  <c r="Q3884" i="7" s="1"/>
  <c r="O3884" i="7"/>
  <c r="P3889" i="7"/>
  <c r="Q3889" i="7" s="1"/>
  <c r="O3889" i="7"/>
  <c r="Q1727" i="7"/>
  <c r="O1727" i="7"/>
  <c r="O2423" i="7"/>
  <c r="Q2423" i="7"/>
  <c r="Q2224" i="7"/>
  <c r="O2224" i="7"/>
  <c r="Q2778" i="7"/>
  <c r="O2778" i="7"/>
  <c r="O2905" i="7"/>
  <c r="Q2905" i="7"/>
  <c r="Q3104" i="7"/>
  <c r="D3124" i="7"/>
  <c r="G3124" i="7" s="1"/>
  <c r="C625" i="11" s="1"/>
  <c r="O3104" i="7"/>
  <c r="Q2986" i="7"/>
  <c r="O2986" i="7"/>
  <c r="Q3996" i="7"/>
  <c r="O3996" i="7"/>
  <c r="Q910" i="7"/>
  <c r="O910" i="7"/>
  <c r="Q856" i="7"/>
  <c r="O856" i="7"/>
  <c r="BN4" i="9" s="1"/>
  <c r="O3899" i="7"/>
  <c r="C509" i="11" s="1"/>
  <c r="Q3899" i="7"/>
  <c r="O664" i="7"/>
  <c r="Q664" i="7"/>
  <c r="Q425" i="7"/>
  <c r="O425" i="7"/>
  <c r="Q3962" i="7"/>
  <c r="O3962" i="7"/>
  <c r="Q717" i="7"/>
  <c r="O717" i="7"/>
  <c r="D3461" i="7"/>
  <c r="G3461" i="7" s="1"/>
  <c r="C637" i="11" s="1"/>
  <c r="Q3442" i="7"/>
  <c r="O3442" i="7"/>
  <c r="C365" i="11" s="1"/>
  <c r="C540" i="11"/>
  <c r="M3970" i="7"/>
  <c r="O959" i="7"/>
  <c r="Q959" i="7"/>
  <c r="Q4028" i="7"/>
  <c r="O4028" i="7"/>
  <c r="O3042" i="7"/>
  <c r="Q3042" i="7"/>
  <c r="Q1091" i="7"/>
  <c r="O1091" i="7"/>
  <c r="N27" i="6"/>
  <c r="E27" i="6"/>
  <c r="Q27" i="6" s="1"/>
  <c r="O27" i="6"/>
  <c r="H27" i="6"/>
  <c r="F70" i="6"/>
  <c r="Q3003" i="7"/>
  <c r="O3003" i="7"/>
  <c r="M3068" i="7"/>
  <c r="Q3069" i="7"/>
  <c r="O3069" i="7"/>
  <c r="Q2104" i="7"/>
  <c r="O2104" i="7"/>
  <c r="O1983" i="7"/>
  <c r="Q1983" i="7"/>
  <c r="Q2034" i="7"/>
  <c r="O2034" i="7"/>
  <c r="O274" i="7"/>
  <c r="Q274" i="7"/>
  <c r="Q350" i="7"/>
  <c r="O350" i="7"/>
  <c r="O1332" i="7"/>
  <c r="Q1332" i="7"/>
  <c r="O2306" i="7"/>
  <c r="Q2306" i="7"/>
  <c r="M2472" i="7"/>
  <c r="M2460" i="7" s="1"/>
  <c r="G2472" i="7"/>
  <c r="C603" i="11" s="1"/>
  <c r="O388" i="7"/>
  <c r="Q388" i="7"/>
  <c r="Q3334" i="7"/>
  <c r="O3334" i="7"/>
  <c r="C351" i="11" s="1"/>
  <c r="O1310" i="7"/>
  <c r="Q1310" i="7"/>
  <c r="Q1211" i="7"/>
  <c r="O1211" i="7"/>
  <c r="Q3424" i="7"/>
  <c r="O3424" i="7"/>
  <c r="C359" i="11" s="1"/>
  <c r="O4016" i="7"/>
  <c r="Q4016" i="7"/>
  <c r="Q490" i="7"/>
  <c r="O490" i="7"/>
  <c r="D126" i="8"/>
  <c r="I57" i="6"/>
  <c r="G126" i="8" s="1"/>
  <c r="O1883" i="7"/>
  <c r="Q1883" i="7"/>
  <c r="D3620" i="7"/>
  <c r="G3620" i="7" s="1"/>
  <c r="C643" i="11" s="1"/>
  <c r="M3608" i="7"/>
  <c r="Q3609" i="7"/>
  <c r="O3609" i="7"/>
  <c r="O3771" i="7"/>
  <c r="O2510" i="7"/>
  <c r="Q2510" i="7"/>
  <c r="O512" i="7"/>
  <c r="Q512" i="7"/>
  <c r="EX4" i="9"/>
  <c r="M1339" i="7"/>
  <c r="Q2176" i="7"/>
  <c r="O2176" i="7"/>
  <c r="Q2014" i="7"/>
  <c r="O2014" i="7"/>
  <c r="HB4" i="9" s="1"/>
  <c r="Q663" i="7"/>
  <c r="O663" i="7"/>
  <c r="CD4" i="9" s="1"/>
  <c r="O446" i="7"/>
  <c r="Q446" i="7"/>
  <c r="Q2389" i="7"/>
  <c r="O2389" i="7"/>
  <c r="C47" i="11" s="1"/>
  <c r="Q1797" i="7"/>
  <c r="O1797" i="7"/>
  <c r="Q2115" i="7"/>
  <c r="O2115" i="7"/>
  <c r="O333" i="7"/>
  <c r="Q333" i="7"/>
  <c r="Q3222" i="7"/>
  <c r="O3222" i="7"/>
  <c r="O3383" i="7"/>
  <c r="Q3383" i="7"/>
  <c r="O3303" i="7"/>
  <c r="Q3303" i="7"/>
  <c r="Q3355" i="7"/>
  <c r="O3355" i="7"/>
  <c r="O3346" i="7"/>
  <c r="Q3346" i="7"/>
  <c r="M3381" i="7"/>
  <c r="O3382" i="7"/>
  <c r="Q3382" i="7"/>
  <c r="P3253" i="7"/>
  <c r="Q3253" i="7" s="1"/>
  <c r="O3253" i="7"/>
  <c r="P3313" i="7"/>
  <c r="Q3313" i="7" s="1"/>
  <c r="O3313" i="7"/>
  <c r="P3392" i="7"/>
  <c r="I3392" i="7"/>
  <c r="P3288" i="7"/>
  <c r="Q3288" i="7" s="1"/>
  <c r="O3288" i="7"/>
  <c r="P3333" i="7"/>
  <c r="Q3333" i="7" s="1"/>
  <c r="O3333" i="7"/>
  <c r="P3362" i="7"/>
  <c r="I3362" i="7"/>
  <c r="P3374" i="7"/>
  <c r="Q3374" i="7" s="1"/>
  <c r="O3374" i="7"/>
  <c r="Q3272" i="7"/>
  <c r="O3272" i="7"/>
  <c r="C326" i="11" s="1"/>
  <c r="Q3357" i="7"/>
  <c r="O3357" i="7"/>
  <c r="Q3405" i="7"/>
  <c r="O3405" i="7"/>
  <c r="Q3413" i="7"/>
  <c r="O3413" i="7"/>
  <c r="O1577" i="7"/>
  <c r="Q1577" i="7"/>
  <c r="Q2374" i="7"/>
  <c r="O2374" i="7"/>
  <c r="D2636" i="7"/>
  <c r="G2636" i="7" s="1"/>
  <c r="C609" i="11" s="1"/>
  <c r="O2616" i="7"/>
  <c r="M2615" i="7"/>
  <c r="Q2616" i="7"/>
  <c r="Q2692" i="7"/>
  <c r="O2692" i="7"/>
  <c r="O2851" i="7"/>
  <c r="Q2851" i="7"/>
  <c r="O3778" i="7"/>
  <c r="O3058" i="7"/>
  <c r="Q3058" i="7"/>
  <c r="I2806" i="7"/>
  <c r="D2807" i="7"/>
  <c r="Q2114" i="7"/>
  <c r="O2114" i="7"/>
  <c r="O1398" i="7"/>
  <c r="Q1398" i="7"/>
  <c r="Q1348" i="7"/>
  <c r="O1348" i="7"/>
  <c r="M1347" i="7"/>
  <c r="O603" i="7"/>
  <c r="D53" i="8" s="1"/>
  <c r="F53" i="8" s="1"/>
  <c r="Q603" i="7"/>
  <c r="O1174" i="7"/>
  <c r="Q1174" i="7"/>
  <c r="Q1069" i="7"/>
  <c r="O1069" i="7"/>
  <c r="O2330" i="7"/>
  <c r="Q2330" i="7"/>
  <c r="I2581" i="7"/>
  <c r="M2581" i="7" s="1"/>
  <c r="Q2719" i="7"/>
  <c r="O2719" i="7"/>
  <c r="C149" i="11" s="1"/>
  <c r="Q807" i="7"/>
  <c r="O807" i="7"/>
  <c r="I3528" i="7"/>
  <c r="D3529" i="7"/>
  <c r="Q3976" i="7"/>
  <c r="O3976" i="7"/>
  <c r="Q3983" i="7"/>
  <c r="O3983" i="7"/>
  <c r="O2166" i="7"/>
  <c r="Q2166" i="7"/>
  <c r="Q2568" i="7"/>
  <c r="O2568" i="7"/>
  <c r="O267" i="7"/>
  <c r="Q267" i="7"/>
  <c r="Q1988" i="7"/>
  <c r="O1988" i="7"/>
  <c r="O3100" i="7"/>
  <c r="Q3100" i="7"/>
  <c r="O832" i="7"/>
  <c r="Q832" i="7"/>
  <c r="Q3055" i="7"/>
  <c r="O3055" i="7"/>
  <c r="O1218" i="7"/>
  <c r="Q1218" i="7"/>
  <c r="Q1927" i="7"/>
  <c r="O1927" i="7"/>
  <c r="M1926" i="7"/>
  <c r="Q1386" i="7"/>
  <c r="O1386" i="7"/>
  <c r="EQ4" i="9" s="1"/>
  <c r="O1911" i="7"/>
  <c r="Q1911" i="7"/>
  <c r="Q2230" i="7"/>
  <c r="O2230" i="7"/>
  <c r="HJ4" i="9"/>
  <c r="M2111" i="7"/>
  <c r="O1587" i="7"/>
  <c r="Q1587" i="7"/>
  <c r="O1162" i="7"/>
  <c r="Q1162" i="7"/>
  <c r="O367" i="7"/>
  <c r="Q367" i="7"/>
  <c r="Q1940" i="7"/>
  <c r="O1940" i="7"/>
  <c r="O3999" i="7"/>
  <c r="Q3999" i="7"/>
  <c r="O1265" i="7"/>
  <c r="Q1265" i="7"/>
  <c r="DS4" i="9"/>
  <c r="M383" i="7"/>
  <c r="Q2197" i="7"/>
  <c r="O2197" i="7"/>
  <c r="O1532" i="7"/>
  <c r="M1531" i="7"/>
  <c r="Q1532" i="7"/>
  <c r="Q637" i="7"/>
  <c r="O637" i="7"/>
  <c r="O471" i="7"/>
  <c r="Q471" i="7"/>
  <c r="D2014" i="7"/>
  <c r="G2014" i="7" s="1"/>
  <c r="M1993" i="7"/>
  <c r="O1994" i="7"/>
  <c r="Q1994" i="7"/>
  <c r="Q439" i="7"/>
  <c r="O439" i="7"/>
  <c r="O402" i="7"/>
  <c r="Q402" i="7"/>
  <c r="O532" i="7"/>
  <c r="D49" i="8" s="1"/>
  <c r="F49" i="8" s="1"/>
  <c r="Q532" i="7"/>
  <c r="O955" i="7"/>
  <c r="Q955" i="7"/>
  <c r="Q1690" i="7"/>
  <c r="O1690" i="7"/>
  <c r="Q1932" i="7"/>
  <c r="O1932" i="7"/>
  <c r="O763" i="7"/>
  <c r="Q763" i="7"/>
  <c r="Q1049" i="7"/>
  <c r="O1049" i="7"/>
  <c r="DZ4" i="9" s="1"/>
  <c r="M2994" i="7"/>
  <c r="M2983" i="7" s="1"/>
  <c r="G2994" i="7"/>
  <c r="C622" i="11" s="1"/>
  <c r="O1012" i="7"/>
  <c r="Q1012" i="7"/>
  <c r="O1191" i="7"/>
  <c r="Q1191" i="7"/>
  <c r="Q786" i="7"/>
  <c r="O786" i="7"/>
  <c r="O2170" i="7"/>
  <c r="Q2170" i="7"/>
  <c r="O3497" i="7"/>
  <c r="Q3497" i="7"/>
  <c r="M3496" i="7"/>
  <c r="M3028" i="7"/>
  <c r="O3781" i="7"/>
  <c r="Q2183" i="7"/>
  <c r="O2183" i="7"/>
  <c r="O1838" i="7"/>
  <c r="Q1838" i="7"/>
  <c r="M3132" i="7"/>
  <c r="I3133" i="7"/>
  <c r="G3132" i="7"/>
  <c r="M3082" i="7"/>
  <c r="O1384" i="7"/>
  <c r="Q1384" i="7"/>
  <c r="M622" i="7"/>
  <c r="O3049" i="7"/>
  <c r="M3048" i="7"/>
  <c r="Q3049" i="7"/>
  <c r="O1583" i="7"/>
  <c r="Q1583" i="7"/>
  <c r="O1877" i="7"/>
  <c r="Q1877" i="7"/>
  <c r="Q3221" i="7"/>
  <c r="O3221" i="7"/>
  <c r="P3320" i="7"/>
  <c r="Q3320" i="7" s="1"/>
  <c r="O3320" i="7"/>
  <c r="I3274" i="7"/>
  <c r="P3274" i="7"/>
  <c r="I3267" i="7"/>
  <c r="M3267" i="7" s="1"/>
  <c r="O3353" i="7"/>
  <c r="Q3353" i="7"/>
  <c r="O3360" i="7"/>
  <c r="Q3360" i="7"/>
  <c r="O3250" i="7"/>
  <c r="P3250" i="7"/>
  <c r="Q3250" i="7" s="1"/>
  <c r="Q3356" i="7"/>
  <c r="O3356" i="7"/>
  <c r="O3417" i="7"/>
  <c r="Q3417" i="7"/>
  <c r="P3254" i="7"/>
  <c r="Q3254" i="7" s="1"/>
  <c r="O3254" i="7"/>
  <c r="O3351" i="7"/>
  <c r="Q3351" i="7"/>
  <c r="Q3366" i="7"/>
  <c r="O3366" i="7"/>
  <c r="P3375" i="7"/>
  <c r="Q3375" i="7" s="1"/>
  <c r="O3375" i="7"/>
  <c r="Q3422" i="7"/>
  <c r="O3422" i="7"/>
  <c r="P3287" i="7"/>
  <c r="Q3287" i="7" s="1"/>
  <c r="O3287" i="7"/>
  <c r="C338" i="11" s="1"/>
  <c r="M3429" i="7"/>
  <c r="Q3430" i="7"/>
  <c r="O3430" i="7"/>
  <c r="O2249" i="7"/>
  <c r="Q2249" i="7"/>
  <c r="M3124" i="7"/>
  <c r="M3103" i="7" s="1"/>
  <c r="O3281" i="7"/>
  <c r="O998" i="7"/>
  <c r="Q998" i="7"/>
  <c r="O4038" i="7"/>
  <c r="M4037" i="7"/>
  <c r="Q4038" i="7"/>
  <c r="O3059" i="7"/>
  <c r="Q3059" i="7"/>
  <c r="I2810" i="7"/>
  <c r="D2811" i="7"/>
  <c r="I2811" i="7" s="1"/>
  <c r="M2811" i="7" s="1"/>
  <c r="M2448" i="7"/>
  <c r="M2427" i="7" s="1"/>
  <c r="O3051" i="7"/>
  <c r="Q3051" i="7"/>
  <c r="Q3990" i="7"/>
  <c r="O3990" i="7"/>
  <c r="M3989" i="7"/>
  <c r="O2263" i="7"/>
  <c r="Q2263" i="7"/>
  <c r="O1921" i="7"/>
  <c r="Q1921" i="7"/>
  <c r="Q2703" i="7"/>
  <c r="O2703" i="7"/>
  <c r="O2922" i="7"/>
  <c r="Q2922" i="7"/>
  <c r="D2735" i="7"/>
  <c r="G2735" i="7" s="1"/>
  <c r="C613" i="11" s="1"/>
  <c r="O2716" i="7"/>
  <c r="C143" i="11" s="1"/>
  <c r="Q2716" i="7"/>
  <c r="M2715" i="7"/>
  <c r="O3227" i="7"/>
  <c r="Q1023" i="7"/>
  <c r="O1023" i="7"/>
  <c r="C542" i="11"/>
  <c r="M3974" i="7"/>
  <c r="Q128" i="7"/>
  <c r="O128" i="7"/>
  <c r="AB128" i="7" s="1"/>
  <c r="Q1930" i="7"/>
  <c r="O1930" i="7"/>
  <c r="Q4004" i="7"/>
  <c r="O4004" i="7"/>
  <c r="Q1355" i="7"/>
  <c r="O1355" i="7"/>
  <c r="O1938" i="7"/>
  <c r="Q1938" i="7"/>
  <c r="O2376" i="7"/>
  <c r="Q2376" i="7"/>
  <c r="M2564" i="7"/>
  <c r="M2509" i="7"/>
  <c r="O3293" i="7"/>
  <c r="D856" i="7"/>
  <c r="G856" i="7" s="1"/>
  <c r="O836" i="7"/>
  <c r="Q836" i="7"/>
  <c r="M835" i="7"/>
  <c r="I3525" i="7"/>
  <c r="M3525" i="7" s="1"/>
  <c r="D3526" i="7"/>
  <c r="I3526" i="7" s="1"/>
  <c r="M3526" i="7" s="1"/>
  <c r="Q3975" i="7"/>
  <c r="O3975" i="7"/>
  <c r="O593" i="7"/>
  <c r="Q593" i="7"/>
  <c r="Q2011" i="7"/>
  <c r="O2011" i="7"/>
  <c r="O3509" i="7"/>
  <c r="Q3509" i="7"/>
  <c r="O3249" i="7"/>
  <c r="O3248" i="7"/>
  <c r="O647" i="7"/>
  <c r="Q647" i="7"/>
  <c r="O924" i="7"/>
  <c r="Q924" i="7"/>
  <c r="BC4" i="9" l="1"/>
  <c r="AB115" i="7"/>
  <c r="D65" i="8"/>
  <c r="F65" i="8" s="1"/>
  <c r="AB116" i="7"/>
  <c r="F57" i="6"/>
  <c r="G57" i="6" s="1"/>
  <c r="G4260" i="7"/>
  <c r="I4260" i="7" s="1"/>
  <c r="M4260" i="7" s="1"/>
  <c r="O653" i="7"/>
  <c r="G726" i="7"/>
  <c r="CK4" i="9" s="1"/>
  <c r="Q653" i="7"/>
  <c r="M642" i="7"/>
  <c r="O642" i="7" s="1"/>
  <c r="O253" i="7"/>
  <c r="AB253" i="7" s="1"/>
  <c r="N23" i="17"/>
  <c r="O23" i="17" s="1"/>
  <c r="O22" i="17"/>
  <c r="M803" i="7"/>
  <c r="Q804" i="7"/>
  <c r="O804" i="7"/>
  <c r="Q806" i="7"/>
  <c r="M805" i="7"/>
  <c r="O806" i="7"/>
  <c r="M95" i="7"/>
  <c r="Q95" i="7" s="1"/>
  <c r="O96" i="7"/>
  <c r="AB96" i="7" s="1"/>
  <c r="D115" i="7"/>
  <c r="G115" i="7" s="1"/>
  <c r="Q96" i="7"/>
  <c r="Q759" i="7"/>
  <c r="Q772" i="7"/>
  <c r="Q775" i="7"/>
  <c r="Q100" i="7"/>
  <c r="M4183" i="7"/>
  <c r="Q4183" i="7" s="1"/>
  <c r="O74" i="7"/>
  <c r="M42" i="7"/>
  <c r="M41" i="7" s="1"/>
  <c r="O736" i="7"/>
  <c r="O61" i="7"/>
  <c r="F51" i="6"/>
  <c r="G51" i="6" s="1"/>
  <c r="D74" i="6"/>
  <c r="E74" i="6" s="1"/>
  <c r="K10" i="7"/>
  <c r="M10" i="7" s="1"/>
  <c r="J6" i="15"/>
  <c r="J12" i="15"/>
  <c r="H4" i="6"/>
  <c r="K12" i="7"/>
  <c r="M12" i="7" s="1"/>
  <c r="J13" i="15"/>
  <c r="K14" i="16"/>
  <c r="J15" i="16"/>
  <c r="K15" i="16" s="1"/>
  <c r="K16" i="7"/>
  <c r="M16" i="7" s="1"/>
  <c r="K28" i="7"/>
  <c r="M28" i="7" s="1"/>
  <c r="J30" i="15"/>
  <c r="K8" i="15"/>
  <c r="O771" i="7"/>
  <c r="I2573" i="7"/>
  <c r="M2573" i="7" s="1"/>
  <c r="C119" i="11"/>
  <c r="G2574" i="7"/>
  <c r="O770" i="7"/>
  <c r="Q770" i="7"/>
  <c r="O774" i="7"/>
  <c r="Q774" i="7"/>
  <c r="M769" i="7"/>
  <c r="CM4" i="9"/>
  <c r="O776" i="7"/>
  <c r="Q776" i="7"/>
  <c r="D67" i="6"/>
  <c r="M67" i="6" s="1"/>
  <c r="O773" i="7"/>
  <c r="Q773" i="7"/>
  <c r="D70" i="6"/>
  <c r="C121" i="10" s="1"/>
  <c r="D50" i="6"/>
  <c r="N50" i="6" s="1"/>
  <c r="S50" i="6" s="1"/>
  <c r="F67" i="6"/>
  <c r="G67" i="6" s="1"/>
  <c r="D65" i="6"/>
  <c r="N65" i="6" s="1"/>
  <c r="D63" i="6"/>
  <c r="E63" i="6" s="1"/>
  <c r="I3755" i="7"/>
  <c r="I3764" i="7"/>
  <c r="M3764" i="7" s="1"/>
  <c r="O3764" i="7" s="1"/>
  <c r="G34" i="6"/>
  <c r="E34" i="6"/>
  <c r="D105" i="8" s="1"/>
  <c r="I34" i="6"/>
  <c r="E105" i="8" s="1"/>
  <c r="O2460" i="7"/>
  <c r="C66" i="11" s="1"/>
  <c r="Q2460" i="7"/>
  <c r="Q3142" i="7"/>
  <c r="O3142" i="7"/>
  <c r="Q2419" i="7"/>
  <c r="O2419" i="7"/>
  <c r="C56" i="11" s="1"/>
  <c r="Q2654" i="7"/>
  <c r="O2654" i="7"/>
  <c r="O3214" i="7"/>
  <c r="C297" i="11" s="1"/>
  <c r="Q3214" i="7"/>
  <c r="D3235" i="7"/>
  <c r="Q2983" i="7"/>
  <c r="O2983" i="7"/>
  <c r="C233" i="11" s="1"/>
  <c r="Q3305" i="7"/>
  <c r="O3305" i="7"/>
  <c r="O2427" i="7"/>
  <c r="C61" i="11" s="1"/>
  <c r="Q2427" i="7"/>
  <c r="O3549" i="7"/>
  <c r="C418" i="11" s="1"/>
  <c r="Q3549" i="7"/>
  <c r="O4095" i="7"/>
  <c r="C580" i="11" s="1"/>
  <c r="Q4095" i="7"/>
  <c r="F50" i="6"/>
  <c r="G50" i="6" s="1"/>
  <c r="Q815" i="7"/>
  <c r="O815" i="7"/>
  <c r="C182" i="11"/>
  <c r="M2794" i="7"/>
  <c r="Q3418" i="7"/>
  <c r="O3418" i="7"/>
  <c r="Q3736" i="7"/>
  <c r="O3736" i="7"/>
  <c r="F56" i="6"/>
  <c r="G56" i="6" s="1"/>
  <c r="AU4" i="9"/>
  <c r="Q59" i="6"/>
  <c r="O4108" i="7"/>
  <c r="C581" i="11" s="1"/>
  <c r="Q4108" i="7"/>
  <c r="M4088" i="7"/>
  <c r="G4088" i="7"/>
  <c r="I4089" i="7"/>
  <c r="O3620" i="7"/>
  <c r="Q3620" i="7"/>
  <c r="Q3849" i="7"/>
  <c r="M3848" i="7"/>
  <c r="O3849" i="7"/>
  <c r="O3600" i="7"/>
  <c r="Q3600" i="7"/>
  <c r="H62" i="6"/>
  <c r="I62" i="6" s="1"/>
  <c r="X62" i="6" s="1"/>
  <c r="H69" i="6"/>
  <c r="I26" i="6"/>
  <c r="X26" i="6" s="1"/>
  <c r="Q2800" i="7"/>
  <c r="O2800" i="7"/>
  <c r="Q2540" i="7"/>
  <c r="O2540" i="7"/>
  <c r="F66" i="6"/>
  <c r="G66" i="6" s="1"/>
  <c r="G30" i="6"/>
  <c r="D58" i="6"/>
  <c r="Q2500" i="7"/>
  <c r="O2500" i="7"/>
  <c r="M2497" i="7"/>
  <c r="D61" i="6"/>
  <c r="C184" i="11"/>
  <c r="M2798" i="7"/>
  <c r="BO4" i="9"/>
  <c r="D38" i="8"/>
  <c r="F38" i="8" s="1"/>
  <c r="O256" i="7"/>
  <c r="K13" i="6"/>
  <c r="Q256" i="7"/>
  <c r="O3895" i="7"/>
  <c r="C502" i="11" s="1"/>
  <c r="M3894" i="7"/>
  <c r="Q3895" i="7"/>
  <c r="O4005" i="7"/>
  <c r="Q4005" i="7"/>
  <c r="C101" i="8"/>
  <c r="C113" i="8" s="1"/>
  <c r="C114" i="8" s="1"/>
  <c r="C118" i="8"/>
  <c r="O33" i="6"/>
  <c r="T33" i="6" s="1"/>
  <c r="M88" i="7"/>
  <c r="O89" i="7"/>
  <c r="O85" i="7"/>
  <c r="M4186" i="7"/>
  <c r="Q4187" i="7"/>
  <c r="O4187" i="7"/>
  <c r="P4286" i="7"/>
  <c r="Q4286" i="7" s="1"/>
  <c r="O4286" i="7"/>
  <c r="D4184" i="7"/>
  <c r="I4184" i="7" s="1"/>
  <c r="M4184" i="7" s="1"/>
  <c r="P4184" i="7"/>
  <c r="O4167" i="7"/>
  <c r="Q4167" i="7"/>
  <c r="P4282" i="7"/>
  <c r="Q4282" i="7" s="1"/>
  <c r="O4282" i="7"/>
  <c r="D4305" i="7"/>
  <c r="G4305" i="7" s="1"/>
  <c r="P4305" i="7"/>
  <c r="Q4305" i="7" s="1"/>
  <c r="O4305" i="7"/>
  <c r="O4284" i="7"/>
  <c r="P4284" i="7"/>
  <c r="Q4284" i="7" s="1"/>
  <c r="P4300" i="7"/>
  <c r="Q4300" i="7" s="1"/>
  <c r="O4300" i="7"/>
  <c r="O1155" i="7"/>
  <c r="M1154" i="7"/>
  <c r="Q1155" i="7"/>
  <c r="Q622" i="7"/>
  <c r="O622" i="7"/>
  <c r="I2807" i="7"/>
  <c r="M2807" i="7" s="1"/>
  <c r="D2808" i="7"/>
  <c r="I2808" i="7" s="1"/>
  <c r="M2808" i="7" s="1"/>
  <c r="Z27" i="6"/>
  <c r="S27" i="6" s="1"/>
  <c r="Q3103" i="7"/>
  <c r="O3103" i="7"/>
  <c r="O3669" i="7"/>
  <c r="C434" i="11" s="1"/>
  <c r="Q3669" i="7"/>
  <c r="D3688" i="7"/>
  <c r="G3688" i="7" s="1"/>
  <c r="C645" i="11" s="1"/>
  <c r="C249" i="11"/>
  <c r="M3017" i="7"/>
  <c r="Q2881" i="7"/>
  <c r="O2881" i="7"/>
  <c r="O731" i="7"/>
  <c r="D85" i="8" s="1"/>
  <c r="F85" i="8" s="1"/>
  <c r="F79" i="8" s="1"/>
  <c r="I147" i="8" s="1"/>
  <c r="Q731" i="7"/>
  <c r="C477" i="11"/>
  <c r="M3755" i="7"/>
  <c r="G2796" i="7"/>
  <c r="I2796" i="7" s="1"/>
  <c r="M2796" i="7" s="1"/>
  <c r="I2795" i="7"/>
  <c r="M2795" i="7" s="1"/>
  <c r="O2400" i="7"/>
  <c r="C54" i="11" s="1"/>
  <c r="Q2400" i="7"/>
  <c r="Q2873" i="7"/>
  <c r="O2873" i="7"/>
  <c r="Q2636" i="7"/>
  <c r="O2636" i="7"/>
  <c r="Q3852" i="7"/>
  <c r="O3852" i="7"/>
  <c r="Q3875" i="7"/>
  <c r="O3875" i="7"/>
  <c r="Q4001" i="7"/>
  <c r="O4001" i="7"/>
  <c r="F55" i="6"/>
  <c r="G55" i="6" s="1"/>
  <c r="M3024" i="7"/>
  <c r="Q3025" i="7"/>
  <c r="O3025" i="7"/>
  <c r="O2822" i="7"/>
  <c r="Q2822" i="7"/>
  <c r="G3744" i="7"/>
  <c r="I3743" i="7"/>
  <c r="O3155" i="7"/>
  <c r="Q3155" i="7"/>
  <c r="Z26" i="6"/>
  <c r="S26" i="6" s="1"/>
  <c r="D53" i="6"/>
  <c r="O243" i="7"/>
  <c r="AB243" i="7" s="1"/>
  <c r="Q243" i="7"/>
  <c r="Q2541" i="7"/>
  <c r="O2541" i="7"/>
  <c r="O3032" i="7"/>
  <c r="Q3032" i="7"/>
  <c r="Q449" i="7"/>
  <c r="O449" i="7"/>
  <c r="K14" i="6"/>
  <c r="Q3548" i="7"/>
  <c r="O3548" i="7"/>
  <c r="M3524" i="7"/>
  <c r="F61" i="6"/>
  <c r="G61" i="6" s="1"/>
  <c r="F40" i="8"/>
  <c r="O3402" i="7"/>
  <c r="Q3402" i="7"/>
  <c r="O3056" i="7"/>
  <c r="Q3056" i="7"/>
  <c r="D68" i="6"/>
  <c r="C206" i="11"/>
  <c r="D48" i="10"/>
  <c r="F48" i="10" s="1"/>
  <c r="D162" i="10"/>
  <c r="D220" i="10" s="1"/>
  <c r="Q3342" i="7"/>
  <c r="D3362" i="7"/>
  <c r="O3342" i="7"/>
  <c r="O3229" i="7"/>
  <c r="C314" i="11" s="1"/>
  <c r="Q3229" i="7"/>
  <c r="O2119" i="7"/>
  <c r="Q2119" i="7"/>
  <c r="D3274" i="7"/>
  <c r="Q3263" i="7"/>
  <c r="O3263" i="7"/>
  <c r="C325" i="11" s="1"/>
  <c r="Q3729" i="7"/>
  <c r="O3729" i="7"/>
  <c r="D55" i="6"/>
  <c r="M91" i="7"/>
  <c r="O92" i="7"/>
  <c r="M23" i="7"/>
  <c r="O24" i="7"/>
  <c r="O4168" i="7"/>
  <c r="Q4168" i="7"/>
  <c r="Q4254" i="7"/>
  <c r="M4253" i="7"/>
  <c r="O4254" i="7"/>
  <c r="Q4177" i="7"/>
  <c r="O4177" i="7"/>
  <c r="Q4175" i="7"/>
  <c r="O4175" i="7"/>
  <c r="M4173" i="7"/>
  <c r="P4283" i="7"/>
  <c r="Q4283" i="7" s="1"/>
  <c r="O4283" i="7"/>
  <c r="Q4166" i="7"/>
  <c r="M4165" i="7"/>
  <c r="O4166" i="7"/>
  <c r="D47" i="6"/>
  <c r="P4310" i="7"/>
  <c r="F47" i="6" s="1"/>
  <c r="Q4171" i="7"/>
  <c r="M4170" i="7"/>
  <c r="O4171" i="7"/>
  <c r="Q4272" i="7"/>
  <c r="O4272" i="7"/>
  <c r="M4271" i="7"/>
  <c r="D45" i="6"/>
  <c r="P4252" i="7"/>
  <c r="F45" i="6" s="1"/>
  <c r="P4294" i="7"/>
  <c r="Q4294" i="7" s="1"/>
  <c r="O4294" i="7"/>
  <c r="D4306" i="7"/>
  <c r="P4306" i="7"/>
  <c r="Q4306" i="7" s="1"/>
  <c r="G3019" i="7"/>
  <c r="I3019" i="7" s="1"/>
  <c r="M3019" i="7" s="1"/>
  <c r="I3018" i="7"/>
  <c r="M3018" i="7" s="1"/>
  <c r="O3508" i="7"/>
  <c r="Q3508" i="7"/>
  <c r="D3757" i="7"/>
  <c r="I3757" i="7" s="1"/>
  <c r="M3757" i="7" s="1"/>
  <c r="I3756" i="7"/>
  <c r="M3756" i="7" s="1"/>
  <c r="M3379" i="7"/>
  <c r="G3379" i="7"/>
  <c r="C634" i="11" s="1"/>
  <c r="Q3301" i="7"/>
  <c r="O3301" i="7"/>
  <c r="C259" i="11"/>
  <c r="M3037" i="7"/>
  <c r="Q3072" i="7"/>
  <c r="O3072" i="7"/>
  <c r="D137" i="10"/>
  <c r="D207" i="10" s="1"/>
  <c r="C128" i="11"/>
  <c r="D34" i="10"/>
  <c r="F34" i="10" s="1"/>
  <c r="Q2864" i="7"/>
  <c r="O2864" i="7"/>
  <c r="Q3300" i="7"/>
  <c r="O3300" i="7"/>
  <c r="G2874" i="7"/>
  <c r="M2874" i="7"/>
  <c r="I2875" i="7"/>
  <c r="Q4029" i="7"/>
  <c r="O4029" i="7"/>
  <c r="G3748" i="7"/>
  <c r="I3747" i="7"/>
  <c r="O3076" i="7"/>
  <c r="Q3076" i="7"/>
  <c r="F52" i="6"/>
  <c r="O2186" i="7"/>
  <c r="Q2186" i="7"/>
  <c r="O3317" i="7"/>
  <c r="C349" i="11" s="1"/>
  <c r="Q3317" i="7"/>
  <c r="M3817" i="7"/>
  <c r="Q2537" i="7"/>
  <c r="O2537" i="7"/>
  <c r="C102" i="11" s="1"/>
  <c r="D2548" i="7"/>
  <c r="G2548" i="7" s="1"/>
  <c r="C606" i="11" s="1"/>
  <c r="M2536" i="7"/>
  <c r="F69" i="6"/>
  <c r="Q3060" i="7"/>
  <c r="O3060" i="7"/>
  <c r="Q3027" i="7"/>
  <c r="O3027" i="7"/>
  <c r="M3235" i="7"/>
  <c r="G3235" i="7"/>
  <c r="C629" i="11" s="1"/>
  <c r="D51" i="6"/>
  <c r="Q3482" i="7"/>
  <c r="O3482" i="7"/>
  <c r="C386" i="11" s="1"/>
  <c r="Q575" i="7"/>
  <c r="O575" i="7"/>
  <c r="Q2816" i="7"/>
  <c r="O2816" i="7"/>
  <c r="Q3066" i="7"/>
  <c r="O3066" i="7"/>
  <c r="G2646" i="7"/>
  <c r="I2647" i="7"/>
  <c r="M2646" i="7"/>
  <c r="H61" i="6"/>
  <c r="I61" i="6" s="1"/>
  <c r="X61" i="6" s="1"/>
  <c r="H68" i="6"/>
  <c r="I25" i="6"/>
  <c r="X25" i="6" s="1"/>
  <c r="D57" i="6"/>
  <c r="Q3397" i="7"/>
  <c r="O3397" i="7"/>
  <c r="Q2823" i="7"/>
  <c r="O2823" i="7"/>
  <c r="C337" i="11"/>
  <c r="O3040" i="7"/>
  <c r="Q3040" i="7"/>
  <c r="M3847" i="7"/>
  <c r="Q3310" i="7"/>
  <c r="O3310" i="7"/>
  <c r="D54" i="6"/>
  <c r="F58" i="6"/>
  <c r="G58" i="6" s="1"/>
  <c r="O4017" i="7"/>
  <c r="Q4017" i="7"/>
  <c r="O87" i="7"/>
  <c r="O22" i="7"/>
  <c r="M21" i="7"/>
  <c r="N55" i="7"/>
  <c r="N56" i="7"/>
  <c r="N57" i="7"/>
  <c r="N59" i="7"/>
  <c r="N58" i="7"/>
  <c r="N60" i="7"/>
  <c r="P49" i="7"/>
  <c r="Q49" i="7" s="1"/>
  <c r="P88" i="7"/>
  <c r="P26" i="7"/>
  <c r="Q26" i="7" s="1"/>
  <c r="P51" i="7"/>
  <c r="Q51" i="7" s="1"/>
  <c r="P71" i="7"/>
  <c r="Q71" i="7" s="1"/>
  <c r="P90" i="7"/>
  <c r="Q90" i="7" s="1"/>
  <c r="P36" i="7"/>
  <c r="Q36" i="7" s="1"/>
  <c r="P87" i="7"/>
  <c r="Q87" i="7" s="1"/>
  <c r="P74" i="7"/>
  <c r="Q74" i="7" s="1"/>
  <c r="P86" i="7"/>
  <c r="Q86" i="7" s="1"/>
  <c r="P75" i="7"/>
  <c r="Q75" i="7" s="1"/>
  <c r="P44" i="7"/>
  <c r="P83" i="7"/>
  <c r="Q83" i="7" s="1"/>
  <c r="P15" i="7"/>
  <c r="P45" i="7"/>
  <c r="P63" i="7"/>
  <c r="Q63" i="7" s="1"/>
  <c r="P13" i="7"/>
  <c r="P34" i="7"/>
  <c r="Q34" i="7" s="1"/>
  <c r="P69" i="7"/>
  <c r="Q69" i="7" s="1"/>
  <c r="P70" i="7"/>
  <c r="Q70" i="7" s="1"/>
  <c r="P67" i="7"/>
  <c r="Q67" i="7" s="1"/>
  <c r="P29" i="7"/>
  <c r="F9" i="6" s="1"/>
  <c r="P38" i="7"/>
  <c r="Q38" i="7" s="1"/>
  <c r="P77" i="7"/>
  <c r="Q77" i="7" s="1"/>
  <c r="P10" i="7"/>
  <c r="P40" i="7"/>
  <c r="Q40" i="7" s="1"/>
  <c r="P56" i="7"/>
  <c r="Q56" i="7" s="1"/>
  <c r="P8" i="7"/>
  <c r="Q8" i="7" s="1"/>
  <c r="P27" i="7"/>
  <c r="P60" i="7"/>
  <c r="Q60" i="7" s="1"/>
  <c r="P55" i="7"/>
  <c r="Q55" i="7" s="1"/>
  <c r="P35" i="7"/>
  <c r="Q35" i="7" s="1"/>
  <c r="P80" i="7"/>
  <c r="Q80" i="7" s="1"/>
  <c r="P93" i="7"/>
  <c r="F11" i="6" s="1"/>
  <c r="P30" i="7"/>
  <c r="Q30" i="7" s="1"/>
  <c r="P65" i="7"/>
  <c r="Q65" i="7" s="1"/>
  <c r="P89" i="7"/>
  <c r="Q89" i="7" s="1"/>
  <c r="P32" i="7"/>
  <c r="Q32" i="7" s="1"/>
  <c r="P48" i="7"/>
  <c r="Q48" i="7" s="1"/>
  <c r="P3" i="7"/>
  <c r="P22" i="7"/>
  <c r="Q22" i="7" s="1"/>
  <c r="P54" i="7"/>
  <c r="Q54" i="7" s="1"/>
  <c r="P23" i="7"/>
  <c r="P84" i="7"/>
  <c r="P33" i="7"/>
  <c r="Q33" i="7" s="1"/>
  <c r="P76" i="7"/>
  <c r="Q76" i="7" s="1"/>
  <c r="P25" i="7"/>
  <c r="P58" i="7"/>
  <c r="Q58" i="7" s="1"/>
  <c r="P78" i="7"/>
  <c r="Q78" i="7" s="1"/>
  <c r="P21" i="7"/>
  <c r="P43" i="7"/>
  <c r="P85" i="7"/>
  <c r="Q85" i="7" s="1"/>
  <c r="P79" i="7"/>
  <c r="Q79" i="7" s="1"/>
  <c r="P47" i="7"/>
  <c r="F10" i="6" s="1"/>
  <c r="P18" i="7"/>
  <c r="Q18" i="7" s="1"/>
  <c r="P62" i="7"/>
  <c r="Q62" i="7" s="1"/>
  <c r="P41" i="7"/>
  <c r="P72" i="7"/>
  <c r="Q72" i="7" s="1"/>
  <c r="P20" i="7"/>
  <c r="Q20" i="7" s="1"/>
  <c r="P50" i="7"/>
  <c r="Q50" i="7" s="1"/>
  <c r="P73" i="7"/>
  <c r="Q73" i="7" s="1"/>
  <c r="P16" i="7"/>
  <c r="P37" i="7"/>
  <c r="Q37" i="7" s="1"/>
  <c r="P68" i="7"/>
  <c r="Q68" i="7" s="1"/>
  <c r="P17" i="7"/>
  <c r="P42" i="7"/>
  <c r="P46" i="7"/>
  <c r="Q46" i="7" s="1"/>
  <c r="P24" i="7"/>
  <c r="Q24" i="7" s="1"/>
  <c r="P28" i="7"/>
  <c r="P64" i="7"/>
  <c r="Q64" i="7" s="1"/>
  <c r="P9" i="7"/>
  <c r="P39" i="7"/>
  <c r="Q39" i="7" s="1"/>
  <c r="P66" i="7"/>
  <c r="Q66" i="7" s="1"/>
  <c r="P5" i="7"/>
  <c r="P19" i="7"/>
  <c r="P61" i="7"/>
  <c r="Q61" i="7" s="1"/>
  <c r="P12" i="7"/>
  <c r="P7" i="7"/>
  <c r="P52" i="7"/>
  <c r="Q52" i="7" s="1"/>
  <c r="P11" i="7"/>
  <c r="P57" i="7"/>
  <c r="Q57" i="7" s="1"/>
  <c r="P4" i="7"/>
  <c r="F8" i="6" s="1"/>
  <c r="P31" i="7"/>
  <c r="Q31" i="7" s="1"/>
  <c r="P59" i="7"/>
  <c r="Q59" i="7" s="1"/>
  <c r="P82" i="7"/>
  <c r="Q82" i="7" s="1"/>
  <c r="P14" i="7"/>
  <c r="Q14" i="7" s="1"/>
  <c r="P53" i="7"/>
  <c r="Q53" i="7" s="1"/>
  <c r="P92" i="7"/>
  <c r="Q92" i="7" s="1"/>
  <c r="P81" i="7"/>
  <c r="Q81" i="7" s="1"/>
  <c r="P6" i="7"/>
  <c r="Q6" i="7" s="1"/>
  <c r="P91" i="7"/>
  <c r="Q4169" i="7"/>
  <c r="O4169" i="7"/>
  <c r="D46" i="6"/>
  <c r="E46" i="6" s="1"/>
  <c r="P4281" i="7"/>
  <c r="P4288" i="7"/>
  <c r="Q4288" i="7" s="1"/>
  <c r="O4288" i="7"/>
  <c r="O4258" i="7"/>
  <c r="M4257" i="7"/>
  <c r="Q4258" i="7"/>
  <c r="P4296" i="7"/>
  <c r="Q4296" i="7" s="1"/>
  <c r="O4296" i="7"/>
  <c r="O4287" i="7"/>
  <c r="P4287" i="7"/>
  <c r="Q4287" i="7" s="1"/>
  <c r="O4303" i="7"/>
  <c r="P4303" i="7"/>
  <c r="Q4303" i="7" s="1"/>
  <c r="D4307" i="7"/>
  <c r="G4307" i="7" s="1"/>
  <c r="P4307" i="7"/>
  <c r="Q4307" i="7" s="1"/>
  <c r="O4307" i="7"/>
  <c r="O3132" i="7"/>
  <c r="Q3132" i="7"/>
  <c r="O4025" i="7"/>
  <c r="Q4025" i="7"/>
  <c r="O3590" i="7"/>
  <c r="Q3590" i="7"/>
  <c r="Q2667" i="7"/>
  <c r="O2667" i="7"/>
  <c r="C481" i="11"/>
  <c r="M3763" i="7"/>
  <c r="D71" i="6"/>
  <c r="E71" i="6" s="1"/>
  <c r="D64" i="6"/>
  <c r="N28" i="6"/>
  <c r="S28" i="6" s="1"/>
  <c r="F71" i="6"/>
  <c r="G71" i="6" s="1"/>
  <c r="O28" i="6"/>
  <c r="T28" i="6" s="1"/>
  <c r="H28" i="6"/>
  <c r="E28" i="6"/>
  <c r="Q28" i="6" s="1"/>
  <c r="D52" i="6"/>
  <c r="Q3769" i="7"/>
  <c r="O3769" i="7"/>
  <c r="Q2962" i="7"/>
  <c r="O2962" i="7"/>
  <c r="C230" i="11" s="1"/>
  <c r="Q3217" i="7"/>
  <c r="O3217" i="7"/>
  <c r="Q3026" i="7"/>
  <c r="O3026" i="7"/>
  <c r="C544" i="11"/>
  <c r="M3978" i="7"/>
  <c r="C402" i="11"/>
  <c r="M3516" i="7"/>
  <c r="Q1221" i="7"/>
  <c r="O1221" i="7"/>
  <c r="K18" i="6"/>
  <c r="F32" i="8"/>
  <c r="O3710" i="7"/>
  <c r="C457" i="11" s="1"/>
  <c r="Q3710" i="7"/>
  <c r="D3720" i="7"/>
  <c r="Q3067" i="7"/>
  <c r="O3067" i="7"/>
  <c r="O2645" i="7"/>
  <c r="Q2645" i="7"/>
  <c r="O3044" i="7"/>
  <c r="Q3044" i="7"/>
  <c r="Q4021" i="7"/>
  <c r="O4021" i="7"/>
  <c r="Q2769" i="7"/>
  <c r="O2769" i="7"/>
  <c r="M2768" i="7"/>
  <c r="O3065" i="7"/>
  <c r="M3064" i="7"/>
  <c r="Q3065" i="7"/>
  <c r="O2782" i="7"/>
  <c r="Q2782" i="7"/>
  <c r="O3677" i="7"/>
  <c r="C441" i="11" s="1"/>
  <c r="Q3677" i="7"/>
  <c r="Q3621" i="7"/>
  <c r="O3621" i="7"/>
  <c r="C427" i="11" s="1"/>
  <c r="D49" i="6"/>
  <c r="C108" i="10" s="1"/>
  <c r="D48" i="6"/>
  <c r="M17" i="7"/>
  <c r="O18" i="7"/>
  <c r="O4295" i="7"/>
  <c r="P4295" i="7"/>
  <c r="Q4295" i="7" s="1"/>
  <c r="D32" i="6"/>
  <c r="P4164" i="7"/>
  <c r="F32" i="6" s="1"/>
  <c r="O4297" i="7"/>
  <c r="P4297" i="7"/>
  <c r="Q4297" i="7" s="1"/>
  <c r="Q4178" i="7"/>
  <c r="O4178" i="7"/>
  <c r="D4308" i="7"/>
  <c r="O4308" i="7"/>
  <c r="P4308" i="7"/>
  <c r="Q4308" i="7" s="1"/>
  <c r="P4291" i="7"/>
  <c r="Q4291" i="7" s="1"/>
  <c r="O4291" i="7"/>
  <c r="D4279" i="7"/>
  <c r="P4279" i="7"/>
  <c r="O4313" i="7"/>
  <c r="Q4313" i="7"/>
  <c r="Q2715" i="7"/>
  <c r="M2714" i="7"/>
  <c r="O2715" i="7"/>
  <c r="C142" i="11" s="1"/>
  <c r="CE4" i="9"/>
  <c r="D46" i="8"/>
  <c r="F46" i="8" s="1"/>
  <c r="O2448" i="7"/>
  <c r="Q2448" i="7"/>
  <c r="O3267" i="7"/>
  <c r="Q3267" i="7"/>
  <c r="Q1347" i="7"/>
  <c r="O1347" i="7"/>
  <c r="C188" i="11"/>
  <c r="M2806" i="7"/>
  <c r="M3392" i="7"/>
  <c r="M3380" i="7" s="1"/>
  <c r="Q3381" i="7"/>
  <c r="O3381" i="7"/>
  <c r="D3392" i="7"/>
  <c r="G3392" i="7" s="1"/>
  <c r="C635" i="11" s="1"/>
  <c r="Q3974" i="7"/>
  <c r="O3974" i="7"/>
  <c r="M3973" i="7"/>
  <c r="Q2811" i="7"/>
  <c r="O2811" i="7"/>
  <c r="Q3429" i="7"/>
  <c r="O3429" i="7"/>
  <c r="C360" i="11" s="1"/>
  <c r="Q2994" i="7"/>
  <c r="O2994" i="7"/>
  <c r="O1531" i="7"/>
  <c r="M1530" i="7"/>
  <c r="M1413" i="7" s="1"/>
  <c r="Q1531" i="7"/>
  <c r="G28" i="6"/>
  <c r="F64" i="6"/>
  <c r="G64" i="6" s="1"/>
  <c r="O3607" i="7"/>
  <c r="Q3607" i="7"/>
  <c r="Q3009" i="7"/>
  <c r="O3009" i="7"/>
  <c r="Q3997" i="7"/>
  <c r="O3997" i="7"/>
  <c r="Q3858" i="7"/>
  <c r="O3858" i="7"/>
  <c r="M3688" i="7"/>
  <c r="Q4013" i="7"/>
  <c r="O4013" i="7"/>
  <c r="G3518" i="7"/>
  <c r="I3518" i="7" s="1"/>
  <c r="M3518" i="7" s="1"/>
  <c r="I3517" i="7"/>
  <c r="M3517" i="7" s="1"/>
  <c r="CU4" i="9"/>
  <c r="D54" i="8"/>
  <c r="F54" i="8" s="1"/>
  <c r="Q2459" i="7"/>
  <c r="O2459" i="7"/>
  <c r="M2449" i="7"/>
  <c r="D37" i="10"/>
  <c r="F37" i="10" s="1"/>
  <c r="D140" i="10"/>
  <c r="D210" i="10" s="1"/>
  <c r="C137" i="11"/>
  <c r="Q2735" i="7"/>
  <c r="O2735" i="7"/>
  <c r="C161" i="11" s="1"/>
  <c r="Q3993" i="7"/>
  <c r="O3993" i="7"/>
  <c r="M3520" i="7"/>
  <c r="O2882" i="7"/>
  <c r="Q2882" i="7"/>
  <c r="D2804" i="7"/>
  <c r="I2804" i="7" s="1"/>
  <c r="M2804" i="7" s="1"/>
  <c r="I2803" i="7"/>
  <c r="M2803" i="7" s="1"/>
  <c r="F68" i="6"/>
  <c r="Q3827" i="7"/>
  <c r="O3827" i="7"/>
  <c r="F63" i="6"/>
  <c r="G63" i="6" s="1"/>
  <c r="C198" i="11"/>
  <c r="D159" i="10"/>
  <c r="D217" i="10" s="1"/>
  <c r="D45" i="10"/>
  <c r="F45" i="10" s="1"/>
  <c r="O3881" i="7"/>
  <c r="C497" i="11" s="1"/>
  <c r="Q3881" i="7"/>
  <c r="M7" i="7"/>
  <c r="O8" i="7"/>
  <c r="Q4176" i="7"/>
  <c r="O4176" i="7"/>
  <c r="M4311" i="7"/>
  <c r="Q4312" i="7"/>
  <c r="O4312" i="7"/>
  <c r="O4264" i="7"/>
  <c r="Q4264" i="7"/>
  <c r="M4263" i="7"/>
  <c r="O4298" i="7"/>
  <c r="P4298" i="7"/>
  <c r="Q4298" i="7" s="1"/>
  <c r="P4285" i="7"/>
  <c r="Q4285" i="7" s="1"/>
  <c r="O4285" i="7"/>
  <c r="O4266" i="7"/>
  <c r="M4265" i="7"/>
  <c r="Q4266" i="7"/>
  <c r="P4289" i="7"/>
  <c r="Q4289" i="7" s="1"/>
  <c r="O4289" i="7"/>
  <c r="O2590" i="7"/>
  <c r="Q2590" i="7"/>
  <c r="O1607" i="7"/>
  <c r="Q1607" i="7"/>
  <c r="K20" i="6"/>
  <c r="Q2756" i="7"/>
  <c r="O2756" i="7"/>
  <c r="Q3083" i="7"/>
  <c r="O3083" i="7"/>
  <c r="Q3223" i="7"/>
  <c r="O3223" i="7"/>
  <c r="C306" i="11" s="1"/>
  <c r="AA26" i="6"/>
  <c r="T26" i="6" s="1"/>
  <c r="F54" i="6"/>
  <c r="G54" i="6" s="1"/>
  <c r="Q3525" i="7"/>
  <c r="O3525" i="7"/>
  <c r="Q2111" i="7"/>
  <c r="M2110" i="7"/>
  <c r="O2111" i="7"/>
  <c r="Q1926" i="7"/>
  <c r="O1926" i="7"/>
  <c r="AA27" i="6"/>
  <c r="T27" i="6" s="1"/>
  <c r="Q3441" i="7"/>
  <c r="M3440" i="7"/>
  <c r="O3441" i="7"/>
  <c r="C364" i="11" s="1"/>
  <c r="Q2894" i="7"/>
  <c r="O2894" i="7"/>
  <c r="O2767" i="7"/>
  <c r="Q2767" i="7"/>
  <c r="I3759" i="7"/>
  <c r="Q1540" i="7"/>
  <c r="O1540" i="7"/>
  <c r="M2843" i="7"/>
  <c r="Q2491" i="7"/>
  <c r="O2491" i="7"/>
  <c r="M2488" i="7"/>
  <c r="D72" i="6"/>
  <c r="E72" i="6" s="1"/>
  <c r="Q3839" i="7"/>
  <c r="O3839" i="7"/>
  <c r="M3834" i="7"/>
  <c r="O2791" i="7"/>
  <c r="Q2791" i="7"/>
  <c r="D56" i="6"/>
  <c r="F62" i="6"/>
  <c r="G62" i="6" s="1"/>
  <c r="Q2312" i="7"/>
  <c r="O2312" i="7"/>
  <c r="O4009" i="7"/>
  <c r="Q4009" i="7"/>
  <c r="M3290" i="7"/>
  <c r="M3276" i="7" s="1"/>
  <c r="Q2426" i="7"/>
  <c r="O2426" i="7"/>
  <c r="M241" i="7"/>
  <c r="Q2591" i="7"/>
  <c r="O2591" i="7"/>
  <c r="O3141" i="7"/>
  <c r="Q3141" i="7"/>
  <c r="O3052" i="7"/>
  <c r="Q3052" i="7"/>
  <c r="Q1414" i="7"/>
  <c r="O1414" i="7"/>
  <c r="K19" i="6"/>
  <c r="C412" i="11"/>
  <c r="M3536" i="7"/>
  <c r="D62" i="6"/>
  <c r="C292" i="11"/>
  <c r="D60" i="10"/>
  <c r="F60" i="10" s="1"/>
  <c r="Q3349" i="7"/>
  <c r="O3349" i="7"/>
  <c r="O3689" i="7"/>
  <c r="C453" i="11" s="1"/>
  <c r="Q3689" i="7"/>
  <c r="D8" i="4"/>
  <c r="J4" i="6"/>
  <c r="H49" i="6"/>
  <c r="D108" i="10" s="1"/>
  <c r="H48" i="6"/>
  <c r="Q3493" i="7"/>
  <c r="O3493" i="7"/>
  <c r="Q3154" i="7"/>
  <c r="O3154" i="7"/>
  <c r="G3522" i="7"/>
  <c r="I3522" i="7" s="1"/>
  <c r="M3522" i="7" s="1"/>
  <c r="I3521" i="7"/>
  <c r="M3521" i="7" s="1"/>
  <c r="C186" i="11"/>
  <c r="M2802" i="7"/>
  <c r="M3393" i="7"/>
  <c r="Q3394" i="7"/>
  <c r="O3394" i="7"/>
  <c r="Z25" i="6"/>
  <c r="S25" i="6" s="1"/>
  <c r="G3828" i="7"/>
  <c r="M3828" i="7"/>
  <c r="I3829" i="7"/>
  <c r="Q2653" i="7"/>
  <c r="O2653" i="7"/>
  <c r="D3817" i="7"/>
  <c r="G3817" i="7" s="1"/>
  <c r="C649" i="11" s="1"/>
  <c r="Q3797" i="7"/>
  <c r="O3797" i="7"/>
  <c r="M3796" i="7"/>
  <c r="Q4056" i="7"/>
  <c r="O4056" i="7"/>
  <c r="C575" i="11" s="1"/>
  <c r="O3739" i="7"/>
  <c r="Q3739" i="7"/>
  <c r="O26" i="7"/>
  <c r="M25" i="7"/>
  <c r="M5" i="7"/>
  <c r="O6" i="7"/>
  <c r="O90" i="7"/>
  <c r="D4304" i="7"/>
  <c r="P4304" i="7"/>
  <c r="Q4304" i="7" s="1"/>
  <c r="O4179" i="7"/>
  <c r="Q4179" i="7"/>
  <c r="O4293" i="7"/>
  <c r="P4293" i="7"/>
  <c r="Q4293" i="7" s="1"/>
  <c r="Q4180" i="7"/>
  <c r="O4180" i="7"/>
  <c r="Q4270" i="7"/>
  <c r="M4269" i="7"/>
  <c r="O4270" i="7"/>
  <c r="O4274" i="7"/>
  <c r="M4273" i="7"/>
  <c r="Q4274" i="7"/>
  <c r="Q4256" i="7"/>
  <c r="O4256" i="7"/>
  <c r="M4255" i="7"/>
  <c r="P4290" i="7"/>
  <c r="Q4290" i="7" s="1"/>
  <c r="O4290" i="7"/>
  <c r="P4301" i="7"/>
  <c r="Q4301" i="7" s="1"/>
  <c r="O4301" i="7"/>
  <c r="Q2615" i="7"/>
  <c r="O2615" i="7"/>
  <c r="O3970" i="7"/>
  <c r="M3969" i="7"/>
  <c r="Q3970" i="7"/>
  <c r="G3752" i="7"/>
  <c r="I3751" i="7"/>
  <c r="M3735" i="7"/>
  <c r="M3722" i="7" s="1"/>
  <c r="Q3021" i="7"/>
  <c r="O3021" i="7"/>
  <c r="G3039" i="7"/>
  <c r="I3039" i="7" s="1"/>
  <c r="M3039" i="7" s="1"/>
  <c r="I3038" i="7"/>
  <c r="M3038" i="7" s="1"/>
  <c r="O2581" i="7"/>
  <c r="Q2581" i="7"/>
  <c r="M2579" i="7"/>
  <c r="M3362" i="7"/>
  <c r="M3341" i="7" s="1"/>
  <c r="G3362" i="7"/>
  <c r="C633" i="11" s="1"/>
  <c r="Q2472" i="7"/>
  <c r="O2472" i="7"/>
  <c r="O50" i="6"/>
  <c r="T50" i="6" s="1"/>
  <c r="H63" i="6"/>
  <c r="I63" i="6" s="1"/>
  <c r="X63" i="6" s="1"/>
  <c r="I27" i="6"/>
  <c r="X27" i="6" s="1"/>
  <c r="H70" i="6"/>
  <c r="Q3804" i="7"/>
  <c r="O3804" i="7"/>
  <c r="O3985" i="7"/>
  <c r="Q3985" i="7"/>
  <c r="M2995" i="7"/>
  <c r="Q2996" i="7"/>
  <c r="O2996" i="7"/>
  <c r="G3023" i="7"/>
  <c r="I3023" i="7" s="1"/>
  <c r="M3023" i="7" s="1"/>
  <c r="I3022" i="7"/>
  <c r="M3022" i="7" s="1"/>
  <c r="I3760" i="7"/>
  <c r="M3760" i="7" s="1"/>
  <c r="D3761" i="7"/>
  <c r="I3761" i="7" s="1"/>
  <c r="M3761" i="7" s="1"/>
  <c r="M3298" i="7"/>
  <c r="Q3299" i="7"/>
  <c r="O3299" i="7"/>
  <c r="M3720" i="7"/>
  <c r="G3720" i="7"/>
  <c r="C646" i="11" s="1"/>
  <c r="Q3886" i="7"/>
  <c r="O3886" i="7"/>
  <c r="C498" i="11" s="1"/>
  <c r="O3672" i="7"/>
  <c r="C440" i="11" s="1"/>
  <c r="Q3672" i="7"/>
  <c r="H65" i="6"/>
  <c r="I65" i="6" s="1"/>
  <c r="H72" i="6"/>
  <c r="I72" i="6" s="1"/>
  <c r="I29" i="6"/>
  <c r="O2792" i="7"/>
  <c r="Q2792" i="7"/>
  <c r="M3775" i="7"/>
  <c r="Q3979" i="7"/>
  <c r="O3979" i="7"/>
  <c r="Q3537" i="7"/>
  <c r="O3537" i="7"/>
  <c r="O1800" i="7"/>
  <c r="Q1800" i="7"/>
  <c r="K21" i="6"/>
  <c r="Q1725" i="7"/>
  <c r="O1725" i="7"/>
  <c r="M1724" i="7"/>
  <c r="Q1145" i="7"/>
  <c r="M1144" i="7"/>
  <c r="M1027" i="7" s="1"/>
  <c r="O1145" i="7"/>
  <c r="O2666" i="7"/>
  <c r="Q2666" i="7"/>
  <c r="M3316" i="7"/>
  <c r="C410" i="11"/>
  <c r="M3532" i="7"/>
  <c r="M565" i="7"/>
  <c r="M448" i="7" s="1"/>
  <c r="F53" i="6"/>
  <c r="G53" i="6" s="1"/>
  <c r="O3266" i="7"/>
  <c r="Q3266" i="7"/>
  <c r="M2942" i="7"/>
  <c r="O3682" i="7"/>
  <c r="C447" i="11" s="1"/>
  <c r="Q3682" i="7"/>
  <c r="C106" i="8"/>
  <c r="C114" i="10"/>
  <c r="I46" i="6"/>
  <c r="O86" i="7"/>
  <c r="D4185" i="7"/>
  <c r="G4185" i="7" s="1"/>
  <c r="P4185" i="7"/>
  <c r="Q4185" i="7" s="1"/>
  <c r="O4185" i="7"/>
  <c r="Q4172" i="7"/>
  <c r="O4172" i="7"/>
  <c r="O4299" i="7"/>
  <c r="P4299" i="7"/>
  <c r="Q4299" i="7" s="1"/>
  <c r="O4182" i="7"/>
  <c r="P4182" i="7"/>
  <c r="Q4182" i="7" s="1"/>
  <c r="Q4276" i="7"/>
  <c r="O4276" i="7"/>
  <c r="M4275" i="7"/>
  <c r="O4278" i="7"/>
  <c r="M4277" i="7"/>
  <c r="Q4278" i="7"/>
  <c r="D4309" i="7"/>
  <c r="G4309" i="7" s="1"/>
  <c r="O4309" i="7"/>
  <c r="P4309" i="7"/>
  <c r="Q4309" i="7" s="1"/>
  <c r="O4037" i="7"/>
  <c r="Q4037" i="7"/>
  <c r="M4036" i="7"/>
  <c r="G121" i="10"/>
  <c r="G70" i="6"/>
  <c r="O3936" i="7"/>
  <c r="C524" i="11" s="1"/>
  <c r="Q3936" i="7"/>
  <c r="O3526" i="7"/>
  <c r="Q3526" i="7"/>
  <c r="Q2509" i="7"/>
  <c r="O2509" i="7"/>
  <c r="C96" i="11" s="1"/>
  <c r="Q3989" i="7"/>
  <c r="O3989" i="7"/>
  <c r="C190" i="11"/>
  <c r="M2810" i="7"/>
  <c r="G3274" i="7"/>
  <c r="C630" i="11" s="1"/>
  <c r="M3274" i="7"/>
  <c r="M3262" i="7" s="1"/>
  <c r="Q3082" i="7"/>
  <c r="O3082" i="7"/>
  <c r="Q835" i="7"/>
  <c r="O835" i="7"/>
  <c r="K16" i="6"/>
  <c r="O2564" i="7"/>
  <c r="Q2564" i="7"/>
  <c r="D146" i="10"/>
  <c r="D38" i="10"/>
  <c r="F38" i="10" s="1"/>
  <c r="C138" i="11"/>
  <c r="O3124" i="7"/>
  <c r="Q3124" i="7"/>
  <c r="O3028" i="7"/>
  <c r="Q3028" i="7"/>
  <c r="D3530" i="7"/>
  <c r="I3530" i="7" s="1"/>
  <c r="M3530" i="7" s="1"/>
  <c r="I3529" i="7"/>
  <c r="M3529" i="7" s="1"/>
  <c r="O1339" i="7"/>
  <c r="Q1339" i="7"/>
  <c r="M1338" i="7"/>
  <c r="C291" i="11"/>
  <c r="D59" i="10"/>
  <c r="F59" i="10" s="1"/>
  <c r="M3776" i="7"/>
  <c r="Q3777" i="7"/>
  <c r="O3777" i="7"/>
  <c r="Q3538" i="7"/>
  <c r="O3538" i="7"/>
  <c r="Q2393" i="7"/>
  <c r="O2393" i="7"/>
  <c r="C52" i="11" s="1"/>
  <c r="Q2551" i="7"/>
  <c r="D2564" i="7"/>
  <c r="G2564" i="7" s="1"/>
  <c r="C607" i="11" s="1"/>
  <c r="O2551" i="7"/>
  <c r="M2550" i="7"/>
  <c r="M952" i="7"/>
  <c r="O953" i="7"/>
  <c r="Q953" i="7"/>
  <c r="Q3307" i="7"/>
  <c r="O3307" i="7"/>
  <c r="Q3384" i="7"/>
  <c r="O3384" i="7"/>
  <c r="Q3048" i="7"/>
  <c r="O3048" i="7"/>
  <c r="M3133" i="7"/>
  <c r="I3134" i="7"/>
  <c r="G3133" i="7"/>
  <c r="O3496" i="7"/>
  <c r="M3495" i="7"/>
  <c r="Q3496" i="7"/>
  <c r="D3508" i="7"/>
  <c r="G3508" i="7" s="1"/>
  <c r="C639" i="11" s="1"/>
  <c r="Q1993" i="7"/>
  <c r="O1993" i="7"/>
  <c r="O383" i="7"/>
  <c r="Q383" i="7"/>
  <c r="M382" i="7"/>
  <c r="C283" i="11"/>
  <c r="D56" i="10"/>
  <c r="F56" i="10" s="1"/>
  <c r="M3528" i="7"/>
  <c r="Q3608" i="7"/>
  <c r="O3608" i="7"/>
  <c r="C426" i="11" s="1"/>
  <c r="O3068" i="7"/>
  <c r="Q3068" i="7"/>
  <c r="M3569" i="7"/>
  <c r="O1918" i="7"/>
  <c r="Q1918" i="7"/>
  <c r="M1917" i="7"/>
  <c r="Q3723" i="7"/>
  <c r="D3735" i="7"/>
  <c r="G3735" i="7" s="1"/>
  <c r="C647" i="11" s="1"/>
  <c r="O3723" i="7"/>
  <c r="O2790" i="7"/>
  <c r="Q2790" i="7"/>
  <c r="M2789" i="7"/>
  <c r="Q3461" i="7"/>
  <c r="O3461" i="7"/>
  <c r="C383" i="11" s="1"/>
  <c r="F65" i="6"/>
  <c r="G65" i="6" s="1"/>
  <c r="Q3308" i="7"/>
  <c r="O3308" i="7"/>
  <c r="F72" i="6"/>
  <c r="G72" i="6" s="1"/>
  <c r="Q3226" i="7"/>
  <c r="O3226" i="7"/>
  <c r="Q373" i="7"/>
  <c r="O373" i="7"/>
  <c r="O3888" i="7"/>
  <c r="C499" i="11" s="1"/>
  <c r="Q3888" i="7"/>
  <c r="M2303" i="7"/>
  <c r="O2304" i="7"/>
  <c r="Q2304" i="7"/>
  <c r="Q3980" i="7"/>
  <c r="O3980" i="7"/>
  <c r="Q4087" i="7"/>
  <c r="O4087" i="7"/>
  <c r="Q1028" i="7"/>
  <c r="O1028" i="7"/>
  <c r="K17" i="6"/>
  <c r="O3836" i="7"/>
  <c r="M3835" i="7"/>
  <c r="Q3836" i="7"/>
  <c r="D3847" i="7"/>
  <c r="G3847" i="7" s="1"/>
  <c r="C651" i="11" s="1"/>
  <c r="C469" i="11"/>
  <c r="M3601" i="7"/>
  <c r="I3602" i="7"/>
  <c r="G3601" i="7"/>
  <c r="D69" i="6"/>
  <c r="Q2895" i="7"/>
  <c r="O2895" i="7"/>
  <c r="Q2799" i="7"/>
  <c r="O2799" i="7"/>
  <c r="D168" i="10"/>
  <c r="D49" i="10"/>
  <c r="F49" i="10" s="1"/>
  <c r="C207" i="11"/>
  <c r="O3218" i="7"/>
  <c r="C305" i="11" s="1"/>
  <c r="Q3218" i="7"/>
  <c r="D73" i="6"/>
  <c r="E73" i="6" s="1"/>
  <c r="O30" i="6"/>
  <c r="T30" i="6" s="1"/>
  <c r="E30" i="6"/>
  <c r="Q30" i="6" s="1"/>
  <c r="N30" i="6"/>
  <c r="S30" i="6" s="1"/>
  <c r="F73" i="6"/>
  <c r="G73" i="6" s="1"/>
  <c r="D66" i="6"/>
  <c r="H30" i="6"/>
  <c r="M2380" i="7"/>
  <c r="D3962" i="7"/>
  <c r="G3962" i="7" s="1"/>
  <c r="C655" i="11" s="1"/>
  <c r="O3950" i="7"/>
  <c r="M3949" i="7"/>
  <c r="Q3950" i="7"/>
  <c r="D3534" i="7"/>
  <c r="I3534" i="7" s="1"/>
  <c r="M3534" i="7" s="1"/>
  <c r="I3533" i="7"/>
  <c r="M3533" i="7" s="1"/>
  <c r="AA25" i="6"/>
  <c r="T25" i="6" s="1"/>
  <c r="F48" i="8"/>
  <c r="F74" i="6"/>
  <c r="G74" i="6" s="1"/>
  <c r="D70" i="10"/>
  <c r="F70" i="10" s="1"/>
  <c r="C53" i="11"/>
  <c r="O3542" i="7"/>
  <c r="Q3542" i="7"/>
  <c r="O2548" i="7"/>
  <c r="Q2548" i="7"/>
  <c r="O1733" i="7"/>
  <c r="Q1733" i="7"/>
  <c r="C458" i="11"/>
  <c r="C293" i="11"/>
  <c r="D61" i="10"/>
  <c r="F61" i="10" s="1"/>
  <c r="O4281" i="7"/>
  <c r="C588" i="11" s="1"/>
  <c r="O14" i="7"/>
  <c r="M13" i="7"/>
  <c r="O20" i="7"/>
  <c r="M19" i="7"/>
  <c r="M45" i="7"/>
  <c r="O46" i="7"/>
  <c r="O4174" i="7"/>
  <c r="P4174" i="7"/>
  <c r="Q4174" i="7" s="1"/>
  <c r="O4189" i="7"/>
  <c r="Q4189" i="7"/>
  <c r="M4188" i="7"/>
  <c r="O4302" i="7"/>
  <c r="P4302" i="7"/>
  <c r="Q4302" i="7" s="1"/>
  <c r="D4280" i="7"/>
  <c r="I4280" i="7" s="1"/>
  <c r="M4280" i="7" s="1"/>
  <c r="P4280" i="7"/>
  <c r="P4292" i="7"/>
  <c r="Q4292" i="7" s="1"/>
  <c r="O4292" i="7"/>
  <c r="M4267" i="7"/>
  <c r="O4268" i="7"/>
  <c r="Q4268" i="7"/>
  <c r="Q3277" i="7"/>
  <c r="O3277" i="7"/>
  <c r="D3290" i="7"/>
  <c r="G3290" i="7" s="1"/>
  <c r="C631" i="11" s="1"/>
  <c r="Q4260" i="7" l="1"/>
  <c r="O4260" i="7"/>
  <c r="M4259" i="7"/>
  <c r="M50" i="6"/>
  <c r="R50" i="6" s="1"/>
  <c r="I726" i="7"/>
  <c r="M726" i="7" s="1"/>
  <c r="Q726" i="7" s="1"/>
  <c r="Q642" i="7"/>
  <c r="K15" i="6"/>
  <c r="N15" i="6" s="1"/>
  <c r="S15" i="6" s="1"/>
  <c r="O65" i="6"/>
  <c r="C119" i="8"/>
  <c r="N67" i="6"/>
  <c r="O4183" i="7"/>
  <c r="M63" i="6"/>
  <c r="Y63" i="6" s="1"/>
  <c r="E65" i="6"/>
  <c r="C595" i="11" s="1"/>
  <c r="Q803" i="7"/>
  <c r="O803" i="7"/>
  <c r="N63" i="6"/>
  <c r="Z63" i="6" s="1"/>
  <c r="O805" i="7"/>
  <c r="Q805" i="7"/>
  <c r="O95" i="7"/>
  <c r="AB95" i="7" s="1"/>
  <c r="O42" i="7"/>
  <c r="Q42" i="7"/>
  <c r="E50" i="6"/>
  <c r="F119" i="8" s="1"/>
  <c r="D42" i="8"/>
  <c r="F42" i="8" s="1"/>
  <c r="M11" i="7"/>
  <c r="Q11" i="7" s="1"/>
  <c r="O12" i="7"/>
  <c r="E67" i="6"/>
  <c r="O28" i="7"/>
  <c r="M27" i="7"/>
  <c r="Q27" i="7" s="1"/>
  <c r="M15" i="7"/>
  <c r="Q15" i="7" s="1"/>
  <c r="O16" i="7"/>
  <c r="O10" i="7"/>
  <c r="M9" i="7"/>
  <c r="Q9" i="7" s="1"/>
  <c r="M65" i="6"/>
  <c r="Q10" i="7"/>
  <c r="O63" i="6"/>
  <c r="AA63" i="6" s="1"/>
  <c r="Q16" i="7"/>
  <c r="E70" i="6"/>
  <c r="F121" i="10" s="1"/>
  <c r="O67" i="6"/>
  <c r="I30" i="15"/>
  <c r="J31" i="15"/>
  <c r="M4262" i="7"/>
  <c r="Q12" i="7"/>
  <c r="Q28" i="7"/>
  <c r="J14" i="15"/>
  <c r="G2575" i="7"/>
  <c r="I2575" i="7" s="1"/>
  <c r="M2575" i="7" s="1"/>
  <c r="I2574" i="7"/>
  <c r="M2574" i="7" s="1"/>
  <c r="Q2573" i="7"/>
  <c r="O2573" i="7"/>
  <c r="Q769" i="7"/>
  <c r="O769" i="7"/>
  <c r="M768" i="7"/>
  <c r="Q3764" i="7"/>
  <c r="Q3341" i="7"/>
  <c r="O3341" i="7"/>
  <c r="C352" i="11" s="1"/>
  <c r="O448" i="7"/>
  <c r="Q448" i="7"/>
  <c r="C14" i="6"/>
  <c r="Q3262" i="7"/>
  <c r="O3262" i="7"/>
  <c r="C322" i="11" s="1"/>
  <c r="D101" i="8"/>
  <c r="D113" i="8" s="1"/>
  <c r="D114" i="8" s="1"/>
  <c r="D118" i="8"/>
  <c r="M4" i="6"/>
  <c r="F4" i="9" s="1"/>
  <c r="O2303" i="7"/>
  <c r="Q2303" i="7"/>
  <c r="M2302" i="7"/>
  <c r="Q2550" i="7"/>
  <c r="M2549" i="7"/>
  <c r="O2550" i="7"/>
  <c r="Q3316" i="7"/>
  <c r="O3316" i="7"/>
  <c r="Q3022" i="7"/>
  <c r="O3022" i="7"/>
  <c r="Q3038" i="7"/>
  <c r="O3038" i="7"/>
  <c r="G3753" i="7"/>
  <c r="I3753" i="7" s="1"/>
  <c r="M3753" i="7" s="1"/>
  <c r="I3752" i="7"/>
  <c r="M3752" i="7" s="1"/>
  <c r="M3829" i="7"/>
  <c r="I3830" i="7"/>
  <c r="G3829" i="7"/>
  <c r="Q2802" i="7"/>
  <c r="M2801" i="7"/>
  <c r="O2802" i="7"/>
  <c r="O241" i="7"/>
  <c r="Q241" i="7"/>
  <c r="C479" i="11"/>
  <c r="M3759" i="7"/>
  <c r="Q4259" i="7"/>
  <c r="O4259" i="7"/>
  <c r="O2449" i="7"/>
  <c r="C63" i="11" s="1"/>
  <c r="Q2449" i="7"/>
  <c r="L24" i="6"/>
  <c r="O3688" i="7"/>
  <c r="C452" i="11" s="1"/>
  <c r="Q3688" i="7"/>
  <c r="Q1530" i="7"/>
  <c r="O1530" i="7"/>
  <c r="L19" i="6"/>
  <c r="Q3973" i="7"/>
  <c r="O3973" i="7"/>
  <c r="O3392" i="7"/>
  <c r="Q3392" i="7"/>
  <c r="O4257" i="7"/>
  <c r="Q4257" i="7"/>
  <c r="D59" i="7"/>
  <c r="G59" i="7" s="1"/>
  <c r="O59" i="7"/>
  <c r="M94" i="7"/>
  <c r="Q3235" i="7"/>
  <c r="O3235" i="7"/>
  <c r="C319" i="11" s="1"/>
  <c r="Q3018" i="7"/>
  <c r="O3018" i="7"/>
  <c r="C119" i="10"/>
  <c r="E68" i="6"/>
  <c r="F119" i="10" s="1"/>
  <c r="C284" i="11"/>
  <c r="D98" i="10"/>
  <c r="F98" i="10" s="1"/>
  <c r="Q3848" i="7"/>
  <c r="O3848" i="7"/>
  <c r="C496" i="11" s="1"/>
  <c r="Q2794" i="7"/>
  <c r="O2794" i="7"/>
  <c r="M2793" i="7"/>
  <c r="Q4255" i="7"/>
  <c r="O4255" i="7"/>
  <c r="M3948" i="7"/>
  <c r="Q3949" i="7"/>
  <c r="O3949" i="7"/>
  <c r="M2809" i="7"/>
  <c r="Q2810" i="7"/>
  <c r="O2810" i="7"/>
  <c r="Q1724" i="7"/>
  <c r="M1723" i="7"/>
  <c r="O1724" i="7"/>
  <c r="O3760" i="7"/>
  <c r="Q3760" i="7"/>
  <c r="C475" i="11"/>
  <c r="M3751" i="7"/>
  <c r="Q3393" i="7"/>
  <c r="O3393" i="7"/>
  <c r="C358" i="11" s="1"/>
  <c r="O3440" i="7"/>
  <c r="C363" i="11" s="1"/>
  <c r="Q3440" i="7"/>
  <c r="K29" i="6"/>
  <c r="D54" i="10"/>
  <c r="F54" i="10" s="1"/>
  <c r="C281" i="11"/>
  <c r="O4311" i="7"/>
  <c r="Q4311" i="7"/>
  <c r="M4310" i="7"/>
  <c r="Q7" i="7"/>
  <c r="O7" i="7"/>
  <c r="Q3520" i="7"/>
  <c r="M3519" i="7"/>
  <c r="O3520" i="7"/>
  <c r="C404" i="11" s="1"/>
  <c r="Q4267" i="7"/>
  <c r="O4267" i="7"/>
  <c r="O13" i="7"/>
  <c r="Q13" i="7"/>
  <c r="O3569" i="7"/>
  <c r="C421" i="11" s="1"/>
  <c r="Q3569" i="7"/>
  <c r="M1337" i="7"/>
  <c r="O1338" i="7"/>
  <c r="Q1338" i="7"/>
  <c r="M2941" i="7"/>
  <c r="Q2942" i="7"/>
  <c r="O2942" i="7"/>
  <c r="C211" i="11" s="1"/>
  <c r="Q3023" i="7"/>
  <c r="O3023" i="7"/>
  <c r="D121" i="10"/>
  <c r="I70" i="6"/>
  <c r="D18" i="10" s="1"/>
  <c r="D15" i="10" s="1"/>
  <c r="Q3039" i="7"/>
  <c r="O3039" i="7"/>
  <c r="O4269" i="7"/>
  <c r="Q4269" i="7"/>
  <c r="Q5" i="7"/>
  <c r="O5" i="7"/>
  <c r="Q3828" i="7"/>
  <c r="O3828" i="7"/>
  <c r="Q1413" i="7"/>
  <c r="O1413" i="7"/>
  <c r="C19" i="6"/>
  <c r="D165" i="10"/>
  <c r="C164" i="11"/>
  <c r="G119" i="10"/>
  <c r="G68" i="6"/>
  <c r="M2805" i="7"/>
  <c r="Q2806" i="7"/>
  <c r="O2806" i="7"/>
  <c r="Q3978" i="7"/>
  <c r="M3977" i="7"/>
  <c r="O3978" i="7"/>
  <c r="D57" i="7"/>
  <c r="G57" i="7" s="1"/>
  <c r="O57" i="7"/>
  <c r="Q3019" i="7"/>
  <c r="O3019" i="7"/>
  <c r="O91" i="7"/>
  <c r="Q91" i="7"/>
  <c r="C122" i="8"/>
  <c r="N53" i="6"/>
  <c r="M53" i="6"/>
  <c r="E53" i="6"/>
  <c r="O53" i="6"/>
  <c r="O1154" i="7"/>
  <c r="Q1154" i="7"/>
  <c r="Q88" i="7"/>
  <c r="O88" i="7"/>
  <c r="M3213" i="7"/>
  <c r="Q3776" i="7"/>
  <c r="O3776" i="7"/>
  <c r="C487" i="11" s="1"/>
  <c r="G2875" i="7"/>
  <c r="I2876" i="7"/>
  <c r="M2875" i="7"/>
  <c r="Q4271" i="7"/>
  <c r="O4271" i="7"/>
  <c r="C124" i="8"/>
  <c r="M55" i="6"/>
  <c r="R55" i="6" s="1"/>
  <c r="E55" i="6"/>
  <c r="O55" i="6"/>
  <c r="T55" i="6" s="1"/>
  <c r="N55" i="6"/>
  <c r="S55" i="6" s="1"/>
  <c r="M3523" i="7"/>
  <c r="O3524" i="7"/>
  <c r="C406" i="11" s="1"/>
  <c r="Q3524" i="7"/>
  <c r="Q2795" i="7"/>
  <c r="O2795" i="7"/>
  <c r="Q3017" i="7"/>
  <c r="M3016" i="7"/>
  <c r="O3017" i="7"/>
  <c r="C127" i="8"/>
  <c r="O58" i="6"/>
  <c r="T58" i="6" s="1"/>
  <c r="M58" i="6"/>
  <c r="R58" i="6" s="1"/>
  <c r="N58" i="6"/>
  <c r="S58" i="6" s="1"/>
  <c r="E58" i="6"/>
  <c r="D120" i="10"/>
  <c r="I69" i="6"/>
  <c r="D17" i="10" s="1"/>
  <c r="D14" i="10" s="1"/>
  <c r="E114" i="10"/>
  <c r="E106" i="8"/>
  <c r="C125" i="8"/>
  <c r="N56" i="6"/>
  <c r="S56" i="6" s="1"/>
  <c r="M56" i="6"/>
  <c r="R56" i="6" s="1"/>
  <c r="O56" i="6"/>
  <c r="T56" i="6" s="1"/>
  <c r="E56" i="6"/>
  <c r="O25" i="7"/>
  <c r="Q25" i="7"/>
  <c r="C121" i="8"/>
  <c r="D55" i="7"/>
  <c r="G55" i="7" s="1"/>
  <c r="O55" i="7"/>
  <c r="Q3847" i="7"/>
  <c r="O3847" i="7"/>
  <c r="C126" i="8"/>
  <c r="M57" i="6"/>
  <c r="R57" i="6" s="1"/>
  <c r="N57" i="6"/>
  <c r="S57" i="6" s="1"/>
  <c r="O57" i="6"/>
  <c r="T57" i="6" s="1"/>
  <c r="E57" i="6"/>
  <c r="Q2646" i="7"/>
  <c r="O2646" i="7"/>
  <c r="Q3817" i="7"/>
  <c r="O3817" i="7"/>
  <c r="Q2874" i="7"/>
  <c r="O2874" i="7"/>
  <c r="Q3379" i="7"/>
  <c r="O3379" i="7"/>
  <c r="M3363" i="7"/>
  <c r="O4165" i="7"/>
  <c r="Q4165" i="7"/>
  <c r="O23" i="7"/>
  <c r="Q23" i="7"/>
  <c r="Q2796" i="7"/>
  <c r="O2796" i="7"/>
  <c r="D72" i="10"/>
  <c r="F72" i="10" s="1"/>
  <c r="C134" i="11"/>
  <c r="D145" i="10"/>
  <c r="D83" i="10"/>
  <c r="F83" i="10" s="1"/>
  <c r="M2379" i="7"/>
  <c r="O2380" i="7"/>
  <c r="C33" i="11" s="1"/>
  <c r="Q2380" i="7"/>
  <c r="Q3722" i="7"/>
  <c r="O3722" i="7"/>
  <c r="M3721" i="7"/>
  <c r="O382" i="7"/>
  <c r="Q382" i="7"/>
  <c r="M64" i="6"/>
  <c r="E64" i="6"/>
  <c r="C594" i="11" s="1"/>
  <c r="N64" i="6"/>
  <c r="O64" i="6"/>
  <c r="D56" i="7"/>
  <c r="G56" i="7" s="1"/>
  <c r="O56" i="7"/>
  <c r="H66" i="6"/>
  <c r="I66" i="6" s="1"/>
  <c r="H73" i="6"/>
  <c r="I73" i="6" s="1"/>
  <c r="I30" i="6"/>
  <c r="Q3835" i="7"/>
  <c r="O3835" i="7"/>
  <c r="C495" i="11" s="1"/>
  <c r="Q4036" i="7"/>
  <c r="O4036" i="7"/>
  <c r="C572" i="11" s="1"/>
  <c r="D114" i="10"/>
  <c r="D106" i="8"/>
  <c r="O3775" i="7"/>
  <c r="Q3775" i="7"/>
  <c r="Q3522" i="7"/>
  <c r="O3522" i="7"/>
  <c r="O62" i="6"/>
  <c r="AA62" i="6" s="1"/>
  <c r="N62" i="6"/>
  <c r="Z62" i="6" s="1"/>
  <c r="E62" i="6"/>
  <c r="M62" i="6"/>
  <c r="Y62" i="6" s="1"/>
  <c r="Q2803" i="7"/>
  <c r="O2803" i="7"/>
  <c r="Q3380" i="7"/>
  <c r="O3380" i="7"/>
  <c r="C357" i="11" s="1"/>
  <c r="O4280" i="7"/>
  <c r="Q4280" i="7"/>
  <c r="M4279" i="7"/>
  <c r="O41" i="7"/>
  <c r="Q41" i="7"/>
  <c r="Q3533" i="7"/>
  <c r="O3533" i="7"/>
  <c r="O66" i="6"/>
  <c r="N66" i="6"/>
  <c r="M66" i="6"/>
  <c r="E66" i="6"/>
  <c r="C596" i="11" s="1"/>
  <c r="C120" i="10"/>
  <c r="E69" i="6"/>
  <c r="F120" i="10" s="1"/>
  <c r="M372" i="7"/>
  <c r="O3529" i="7"/>
  <c r="Q3529" i="7"/>
  <c r="Q4275" i="7"/>
  <c r="O4275" i="7"/>
  <c r="O2995" i="7"/>
  <c r="Q2995" i="7"/>
  <c r="O3362" i="7"/>
  <c r="Q3362" i="7"/>
  <c r="M3020" i="7"/>
  <c r="C129" i="11"/>
  <c r="D71" i="10"/>
  <c r="F71" i="10" s="1"/>
  <c r="D82" i="10"/>
  <c r="F82" i="10" s="1"/>
  <c r="D144" i="10"/>
  <c r="Q3536" i="7"/>
  <c r="M3535" i="7"/>
  <c r="O3536" i="7"/>
  <c r="O3290" i="7"/>
  <c r="Q3290" i="7"/>
  <c r="Q4265" i="7"/>
  <c r="O4265" i="7"/>
  <c r="Q2804" i="7"/>
  <c r="O2804" i="7"/>
  <c r="Q2714" i="7"/>
  <c r="O2714" i="7"/>
  <c r="K26" i="6"/>
  <c r="M3762" i="7"/>
  <c r="O3763" i="7"/>
  <c r="Q3763" i="7"/>
  <c r="F46" i="6"/>
  <c r="G46" i="6" s="1"/>
  <c r="Q4281" i="7"/>
  <c r="F49" i="6"/>
  <c r="F48" i="6"/>
  <c r="Q21" i="7"/>
  <c r="O21" i="7"/>
  <c r="I2648" i="7"/>
  <c r="M2647" i="7"/>
  <c r="G2647" i="7"/>
  <c r="Q3756" i="7"/>
  <c r="O3756" i="7"/>
  <c r="O3024" i="7"/>
  <c r="Q3024" i="7"/>
  <c r="Q3755" i="7"/>
  <c r="M3754" i="7"/>
  <c r="O3755" i="7"/>
  <c r="Q2808" i="7"/>
  <c r="O2808" i="7"/>
  <c r="O4186" i="7"/>
  <c r="Q4186" i="7"/>
  <c r="O3894" i="7"/>
  <c r="C501" i="11" s="1"/>
  <c r="Q3894" i="7"/>
  <c r="K31" i="6"/>
  <c r="Q2798" i="7"/>
  <c r="M2797" i="7"/>
  <c r="O2798" i="7"/>
  <c r="I4090" i="7"/>
  <c r="G4089" i="7"/>
  <c r="M4089" i="7"/>
  <c r="D47" i="10"/>
  <c r="F47" i="10" s="1"/>
  <c r="C205" i="11"/>
  <c r="D161" i="10"/>
  <c r="D219" i="10" s="1"/>
  <c r="D286" i="5"/>
  <c r="O3495" i="7"/>
  <c r="M3494" i="7"/>
  <c r="Q3495" i="7"/>
  <c r="D4035" i="7"/>
  <c r="G4035" i="7" s="1"/>
  <c r="C656" i="11" s="1"/>
  <c r="O3969" i="7"/>
  <c r="M3968" i="7"/>
  <c r="Q3969" i="7"/>
  <c r="O2488" i="7"/>
  <c r="C74" i="11" s="1"/>
  <c r="M2487" i="7"/>
  <c r="Q2488" i="7"/>
  <c r="D2509" i="7"/>
  <c r="G2509" i="7" s="1"/>
  <c r="C605" i="11" s="1"/>
  <c r="O4263" i="7"/>
  <c r="Q4263" i="7"/>
  <c r="O3276" i="7"/>
  <c r="M3275" i="7"/>
  <c r="Q3276" i="7"/>
  <c r="Q45" i="7"/>
  <c r="O45" i="7"/>
  <c r="Q3534" i="7"/>
  <c r="O3534" i="7"/>
  <c r="M3134" i="7"/>
  <c r="G3134" i="7"/>
  <c r="I3135" i="7"/>
  <c r="C593" i="11"/>
  <c r="W63" i="6"/>
  <c r="O3530" i="7"/>
  <c r="Q3530" i="7"/>
  <c r="Q3274" i="7"/>
  <c r="O3274" i="7"/>
  <c r="O565" i="7"/>
  <c r="D52" i="8" s="1"/>
  <c r="Q565" i="7"/>
  <c r="L14" i="6"/>
  <c r="Q1144" i="7"/>
  <c r="O1144" i="7"/>
  <c r="L17" i="6"/>
  <c r="M3297" i="7"/>
  <c r="Q3298" i="7"/>
  <c r="O3298" i="7"/>
  <c r="O2579" i="7"/>
  <c r="Q2579" i="7"/>
  <c r="O3834" i="7"/>
  <c r="Q3834" i="7"/>
  <c r="O2843" i="7"/>
  <c r="Q2843" i="7"/>
  <c r="Q3517" i="7"/>
  <c r="O3517" i="7"/>
  <c r="O3064" i="7"/>
  <c r="Q3064" i="7"/>
  <c r="H64" i="6"/>
  <c r="I64" i="6" s="1"/>
  <c r="I28" i="6"/>
  <c r="H71" i="6"/>
  <c r="I71" i="6" s="1"/>
  <c r="D119" i="10"/>
  <c r="I68" i="6"/>
  <c r="D16" i="10" s="1"/>
  <c r="D13" i="10" s="1"/>
  <c r="G120" i="10"/>
  <c r="G69" i="6"/>
  <c r="Q3757" i="7"/>
  <c r="O3757" i="7"/>
  <c r="O4253" i="7"/>
  <c r="Q4253" i="7"/>
  <c r="C290" i="11"/>
  <c r="D58" i="10"/>
  <c r="F58" i="10" s="1"/>
  <c r="D340" i="5"/>
  <c r="Q2807" i="7"/>
  <c r="O2807" i="7"/>
  <c r="M84" i="7"/>
  <c r="Q4277" i="7"/>
  <c r="O4277" i="7"/>
  <c r="M3602" i="7"/>
  <c r="I3603" i="7"/>
  <c r="G3602" i="7"/>
  <c r="Q1917" i="7"/>
  <c r="M1916" i="7"/>
  <c r="O1917" i="7"/>
  <c r="O3528" i="7"/>
  <c r="C408" i="11" s="1"/>
  <c r="M3527" i="7"/>
  <c r="Q3528" i="7"/>
  <c r="O3133" i="7"/>
  <c r="Q3133" i="7"/>
  <c r="Q3532" i="7"/>
  <c r="O3532" i="7"/>
  <c r="M3531" i="7"/>
  <c r="Q3720" i="7"/>
  <c r="O3720" i="7"/>
  <c r="Q3761" i="7"/>
  <c r="O3761" i="7"/>
  <c r="Q3735" i="7"/>
  <c r="O3735" i="7"/>
  <c r="Q4273" i="7"/>
  <c r="O4273" i="7"/>
  <c r="D32" i="10"/>
  <c r="F32" i="10" s="1"/>
  <c r="D136" i="10"/>
  <c r="C126" i="11"/>
  <c r="Q2110" i="7"/>
  <c r="M2109" i="7"/>
  <c r="O2110" i="7"/>
  <c r="D91" i="10"/>
  <c r="F91" i="10" s="1"/>
  <c r="D167" i="10"/>
  <c r="C204" i="11"/>
  <c r="Q3518" i="7"/>
  <c r="O3518" i="7"/>
  <c r="C135" i="11"/>
  <c r="D139" i="10"/>
  <c r="D209" i="10" s="1"/>
  <c r="D36" i="10"/>
  <c r="F36" i="10" s="1"/>
  <c r="D230" i="5"/>
  <c r="D60" i="7"/>
  <c r="G60" i="7" s="1"/>
  <c r="O60" i="7"/>
  <c r="C120" i="8"/>
  <c r="O51" i="6"/>
  <c r="N51" i="6"/>
  <c r="M51" i="6"/>
  <c r="E51" i="6"/>
  <c r="Q2536" i="7"/>
  <c r="O2536" i="7"/>
  <c r="C99" i="11" s="1"/>
  <c r="C473" i="11"/>
  <c r="M3747" i="7"/>
  <c r="Q3037" i="7"/>
  <c r="M3036" i="7"/>
  <c r="O3037" i="7"/>
  <c r="Q4170" i="7"/>
  <c r="O4170" i="7"/>
  <c r="C471" i="11"/>
  <c r="M3743" i="7"/>
  <c r="M3668" i="7"/>
  <c r="M61" i="6"/>
  <c r="Y61" i="6" s="1"/>
  <c r="E61" i="6"/>
  <c r="N61" i="6"/>
  <c r="Z61" i="6" s="1"/>
  <c r="O61" i="6"/>
  <c r="AA61" i="6" s="1"/>
  <c r="Q4088" i="7"/>
  <c r="O4088" i="7"/>
  <c r="Q3796" i="7"/>
  <c r="O3796" i="7"/>
  <c r="C490" i="11" s="1"/>
  <c r="Q3521" i="7"/>
  <c r="O3521" i="7"/>
  <c r="O19" i="7"/>
  <c r="Q19" i="7"/>
  <c r="O4188" i="7"/>
  <c r="Q4188" i="7"/>
  <c r="O3601" i="7"/>
  <c r="Q3601" i="7"/>
  <c r="Q1027" i="7"/>
  <c r="O1027" i="7"/>
  <c r="C17" i="6"/>
  <c r="Q2789" i="7"/>
  <c r="O2789" i="7"/>
  <c r="O952" i="7"/>
  <c r="M951" i="7"/>
  <c r="Q952" i="7"/>
  <c r="Q17" i="7"/>
  <c r="O17" i="7"/>
  <c r="Q2768" i="7"/>
  <c r="O2768" i="7"/>
  <c r="M3709" i="7"/>
  <c r="Q3516" i="7"/>
  <c r="O3516" i="7"/>
  <c r="M3515" i="7"/>
  <c r="D58" i="7"/>
  <c r="G58" i="7" s="1"/>
  <c r="O58" i="7"/>
  <c r="C123" i="8"/>
  <c r="M54" i="6"/>
  <c r="R54" i="6" s="1"/>
  <c r="E54" i="6"/>
  <c r="N54" i="6"/>
  <c r="S54" i="6" s="1"/>
  <c r="O54" i="6"/>
  <c r="T54" i="6" s="1"/>
  <c r="D158" i="10"/>
  <c r="D43" i="10"/>
  <c r="F43" i="10" s="1"/>
  <c r="C196" i="11"/>
  <c r="K12" i="6"/>
  <c r="N12" i="6" s="1"/>
  <c r="S12" i="6" s="1"/>
  <c r="G3749" i="7"/>
  <c r="I3749" i="7" s="1"/>
  <c r="M3749" i="7" s="1"/>
  <c r="I3748" i="7"/>
  <c r="M3748" i="7" s="1"/>
  <c r="O4173" i="7"/>
  <c r="Q4173" i="7"/>
  <c r="G3745" i="7"/>
  <c r="I3745" i="7" s="1"/>
  <c r="M3745" i="7" s="1"/>
  <c r="I3744" i="7"/>
  <c r="M3744" i="7" s="1"/>
  <c r="Q4184" i="7"/>
  <c r="O4184" i="7"/>
  <c r="M4181" i="7"/>
  <c r="M4164" i="7" s="1"/>
  <c r="O2497" i="7"/>
  <c r="C83" i="11" s="1"/>
  <c r="Q2497" i="7"/>
  <c r="C289" i="11"/>
  <c r="D99" i="10"/>
  <c r="F99" i="10" s="1"/>
  <c r="D67" i="8" l="1"/>
  <c r="F67" i="8" s="1"/>
  <c r="F58" i="8" s="1"/>
  <c r="I143" i="8" s="1"/>
  <c r="AB241" i="7"/>
  <c r="O726" i="7"/>
  <c r="M725" i="7"/>
  <c r="O725" i="7" s="1"/>
  <c r="F82" i="5" s="1"/>
  <c r="O9" i="7"/>
  <c r="O27" i="7"/>
  <c r="O11" i="7"/>
  <c r="Q50" i="6"/>
  <c r="AL4" i="9"/>
  <c r="M4" i="7"/>
  <c r="Q4" i="7" s="1"/>
  <c r="O4262" i="7"/>
  <c r="Q4262" i="7"/>
  <c r="M4261" i="7"/>
  <c r="M4252" i="7" s="1"/>
  <c r="K30" i="15"/>
  <c r="K44" i="7" s="1"/>
  <c r="M44" i="7" s="1"/>
  <c r="K31" i="15"/>
  <c r="O15" i="7"/>
  <c r="J15" i="15"/>
  <c r="K15" i="15" s="1"/>
  <c r="K14" i="15"/>
  <c r="L54" i="6"/>
  <c r="L51" i="6"/>
  <c r="M2788" i="7"/>
  <c r="O768" i="7"/>
  <c r="Q768" i="7"/>
  <c r="M758" i="7"/>
  <c r="M2572" i="7"/>
  <c r="Q2574" i="7"/>
  <c r="O2574" i="7"/>
  <c r="Q2575" i="7"/>
  <c r="O2575" i="7"/>
  <c r="D2822" i="7"/>
  <c r="G2822" i="7" s="1"/>
  <c r="C616" i="11" s="1"/>
  <c r="F64" i="10"/>
  <c r="O4164" i="7"/>
  <c r="Q4164" i="7"/>
  <c r="C32" i="6"/>
  <c r="I32" i="6" s="1"/>
  <c r="C141" i="11"/>
  <c r="D164" i="10"/>
  <c r="O3020" i="7"/>
  <c r="Q3020" i="7"/>
  <c r="Q3523" i="7"/>
  <c r="O3523" i="7"/>
  <c r="Q2875" i="7"/>
  <c r="O2875" i="7"/>
  <c r="Q2805" i="7"/>
  <c r="O2805" i="7"/>
  <c r="Q4310" i="7"/>
  <c r="O4310" i="7"/>
  <c r="C589" i="11" s="1"/>
  <c r="C47" i="6"/>
  <c r="M3758" i="7"/>
  <c r="Q3759" i="7"/>
  <c r="O3759" i="7"/>
  <c r="I3831" i="7"/>
  <c r="G3830" i="7"/>
  <c r="M3830" i="7"/>
  <c r="O3748" i="7"/>
  <c r="Q3748" i="7"/>
  <c r="F123" i="8"/>
  <c r="AP4" i="9"/>
  <c r="Q54" i="6"/>
  <c r="Q3709" i="7"/>
  <c r="O3709" i="7"/>
  <c r="C455" i="11" s="1"/>
  <c r="AM4" i="9"/>
  <c r="D21" i="8"/>
  <c r="D18" i="8" s="1"/>
  <c r="C132" i="8"/>
  <c r="E132" i="8" s="1"/>
  <c r="F120" i="8"/>
  <c r="Q51" i="6"/>
  <c r="Q3531" i="7"/>
  <c r="O3531" i="7"/>
  <c r="G2876" i="7"/>
  <c r="M2876" i="7"/>
  <c r="I2877" i="7"/>
  <c r="Q3977" i="7"/>
  <c r="O3977" i="7"/>
  <c r="Q2941" i="7"/>
  <c r="O2941" i="7"/>
  <c r="C210" i="11" s="1"/>
  <c r="K27" i="6"/>
  <c r="Q3829" i="7"/>
  <c r="O3829" i="7"/>
  <c r="D222" i="10"/>
  <c r="D212" i="10"/>
  <c r="C591" i="11"/>
  <c r="W61" i="6"/>
  <c r="E18" i="10"/>
  <c r="E15" i="10" s="1"/>
  <c r="E21" i="8"/>
  <c r="E18" i="8" s="1"/>
  <c r="R51" i="6"/>
  <c r="O1916" i="7"/>
  <c r="Q1916" i="7"/>
  <c r="L21" i="6"/>
  <c r="L58" i="6" s="1"/>
  <c r="M1799" i="7"/>
  <c r="Q84" i="7"/>
  <c r="O84" i="7"/>
  <c r="M47" i="7"/>
  <c r="G3135" i="7"/>
  <c r="I3136" i="7"/>
  <c r="M3135" i="7"/>
  <c r="Q4089" i="7"/>
  <c r="O4089" i="7"/>
  <c r="Q2647" i="7"/>
  <c r="O2647" i="7"/>
  <c r="Q3535" i="7"/>
  <c r="O3535" i="7"/>
  <c r="Q372" i="7"/>
  <c r="O372" i="7"/>
  <c r="L13" i="6"/>
  <c r="M255" i="7"/>
  <c r="C592" i="11"/>
  <c r="W62" i="6"/>
  <c r="O3721" i="7"/>
  <c r="C460" i="11" s="1"/>
  <c r="Q3721" i="7"/>
  <c r="D3082" i="7"/>
  <c r="G3082" i="7" s="1"/>
  <c r="C624" i="11" s="1"/>
  <c r="O3016" i="7"/>
  <c r="M3015" i="7"/>
  <c r="Q3016" i="7"/>
  <c r="O1723" i="7"/>
  <c r="Q1723" i="7"/>
  <c r="L20" i="6"/>
  <c r="L57" i="6" s="1"/>
  <c r="M1606" i="7"/>
  <c r="Q3948" i="7"/>
  <c r="O3948" i="7"/>
  <c r="C529" i="11" s="1"/>
  <c r="F92" i="10"/>
  <c r="Q94" i="7"/>
  <c r="C12" i="6"/>
  <c r="I12" i="6" s="1"/>
  <c r="O94" i="7"/>
  <c r="O3752" i="7"/>
  <c r="Q3752" i="7"/>
  <c r="O4181" i="7"/>
  <c r="Q4181" i="7"/>
  <c r="F124" i="8"/>
  <c r="AQ4" i="9"/>
  <c r="Q55" i="6"/>
  <c r="G16" i="10"/>
  <c r="G13" i="10" s="1"/>
  <c r="G19" i="8"/>
  <c r="G15" i="8" s="1"/>
  <c r="T53" i="6"/>
  <c r="D125" i="10"/>
  <c r="D128" i="10"/>
  <c r="O3753" i="7"/>
  <c r="Q3753" i="7"/>
  <c r="Q3754" i="7"/>
  <c r="O3754" i="7"/>
  <c r="I2649" i="7"/>
  <c r="G2648" i="7"/>
  <c r="M2648" i="7"/>
  <c r="AR4" i="9"/>
  <c r="F125" i="8"/>
  <c r="Q56" i="6"/>
  <c r="AO4" i="9"/>
  <c r="D19" i="8"/>
  <c r="D15" i="8" s="1"/>
  <c r="C130" i="8"/>
  <c r="E130" i="8" s="1"/>
  <c r="F122" i="8"/>
  <c r="Q53" i="6"/>
  <c r="O1337" i="7"/>
  <c r="Q1337" i="7"/>
  <c r="L18" i="6"/>
  <c r="L55" i="6" s="1"/>
  <c r="M1220" i="7"/>
  <c r="Q3519" i="7"/>
  <c r="O3519" i="7"/>
  <c r="O3749" i="7"/>
  <c r="Q3749" i="7"/>
  <c r="C169" i="11"/>
  <c r="D156" i="10"/>
  <c r="D41" i="10"/>
  <c r="Q951" i="7"/>
  <c r="O951" i="7"/>
  <c r="D36" i="8" s="1"/>
  <c r="L16" i="6"/>
  <c r="L53" i="6" s="1"/>
  <c r="M834" i="7"/>
  <c r="Q3036" i="7"/>
  <c r="O3036" i="7"/>
  <c r="F18" i="10"/>
  <c r="F15" i="10" s="1"/>
  <c r="F21" i="8"/>
  <c r="F18" i="8" s="1"/>
  <c r="S51" i="6"/>
  <c r="O2109" i="7"/>
  <c r="Q2109" i="7"/>
  <c r="M1992" i="7"/>
  <c r="O3134" i="7"/>
  <c r="Q3134" i="7"/>
  <c r="Q3494" i="7"/>
  <c r="O3494" i="7"/>
  <c r="C391" i="11" s="1"/>
  <c r="G4090" i="7"/>
  <c r="I4091" i="7"/>
  <c r="M4090" i="7"/>
  <c r="Q3363" i="7"/>
  <c r="O3363" i="7"/>
  <c r="C354" i="11" s="1"/>
  <c r="Q3744" i="7"/>
  <c r="O3744" i="7"/>
  <c r="F73" i="10"/>
  <c r="D52" i="10"/>
  <c r="C238" i="11"/>
  <c r="E16" i="10"/>
  <c r="E13" i="10" s="1"/>
  <c r="E19" i="8"/>
  <c r="E15" i="8" s="1"/>
  <c r="R53" i="6"/>
  <c r="O3751" i="7"/>
  <c r="Q3751" i="7"/>
  <c r="M3750" i="7"/>
  <c r="Q2793" i="7"/>
  <c r="O2793" i="7"/>
  <c r="L56" i="6"/>
  <c r="Q2801" i="7"/>
  <c r="O2801" i="7"/>
  <c r="Q2549" i="7"/>
  <c r="O2549" i="7"/>
  <c r="D166" i="10"/>
  <c r="C199" i="11"/>
  <c r="D90" i="10"/>
  <c r="F90" i="10" s="1"/>
  <c r="F84" i="10" s="1"/>
  <c r="F52" i="8"/>
  <c r="D55" i="8"/>
  <c r="F55" i="8" s="1"/>
  <c r="Q3275" i="7"/>
  <c r="O3275" i="7"/>
  <c r="C328" i="11" s="1"/>
  <c r="O2487" i="7"/>
  <c r="C73" i="11" s="1"/>
  <c r="M2486" i="7"/>
  <c r="Q2487" i="7"/>
  <c r="O3668" i="7"/>
  <c r="C433" i="11" s="1"/>
  <c r="M3667" i="7"/>
  <c r="Q3668" i="7"/>
  <c r="G18" i="10"/>
  <c r="G15" i="10" s="1"/>
  <c r="G21" i="8"/>
  <c r="G18" i="8" s="1"/>
  <c r="T51" i="6"/>
  <c r="AT4" i="9"/>
  <c r="F127" i="8"/>
  <c r="Q58" i="6"/>
  <c r="O3602" i="7"/>
  <c r="Q3602" i="7"/>
  <c r="O4279" i="7"/>
  <c r="Q4279" i="7"/>
  <c r="Q3213" i="7"/>
  <c r="M3212" i="7"/>
  <c r="O3213" i="7"/>
  <c r="C296" i="11" s="1"/>
  <c r="F19" i="8"/>
  <c r="F15" i="8" s="1"/>
  <c r="F16" i="10"/>
  <c r="F13" i="10" s="1"/>
  <c r="S53" i="6"/>
  <c r="O2809" i="7"/>
  <c r="Q2809" i="7"/>
  <c r="M3742" i="7"/>
  <c r="O3743" i="7"/>
  <c r="Q3743" i="7"/>
  <c r="M3746" i="7"/>
  <c r="O3747" i="7"/>
  <c r="Q3747" i="7"/>
  <c r="M3603" i="7"/>
  <c r="I3604" i="7"/>
  <c r="G3603" i="7"/>
  <c r="D3316" i="7"/>
  <c r="G3316" i="7" s="1"/>
  <c r="C632" i="11" s="1"/>
  <c r="Q3297" i="7"/>
  <c r="O3297" i="7"/>
  <c r="M3296" i="7"/>
  <c r="L28" i="6" s="1"/>
  <c r="L64" i="6" s="1"/>
  <c r="O3762" i="7"/>
  <c r="Q3762" i="7"/>
  <c r="O3745" i="7"/>
  <c r="Q3745" i="7"/>
  <c r="Q3515" i="7"/>
  <c r="O3515" i="7"/>
  <c r="M3514" i="7"/>
  <c r="D3548" i="7"/>
  <c r="G3548" i="7" s="1"/>
  <c r="C640" i="11" s="1"/>
  <c r="O2788" i="7"/>
  <c r="Q2788" i="7"/>
  <c r="Q2797" i="7"/>
  <c r="O2797" i="7"/>
  <c r="O3527" i="7"/>
  <c r="Q3527" i="7"/>
  <c r="O3968" i="7"/>
  <c r="C539" i="11" s="1"/>
  <c r="Q3968" i="7"/>
  <c r="Q2379" i="7"/>
  <c r="O2379" i="7"/>
  <c r="C32" i="11" s="1"/>
  <c r="M2378" i="7"/>
  <c r="K24" i="6"/>
  <c r="K56" i="6" s="1"/>
  <c r="F126" i="8"/>
  <c r="AS4" i="9"/>
  <c r="Q57" i="6"/>
  <c r="Q2302" i="7"/>
  <c r="O2302" i="7"/>
  <c r="M2185" i="7"/>
  <c r="Q725" i="7" l="1"/>
  <c r="O4" i="7"/>
  <c r="C8" i="6"/>
  <c r="I8" i="6" s="1"/>
  <c r="D41" i="8"/>
  <c r="F41" i="8" s="1"/>
  <c r="O4252" i="7"/>
  <c r="C587" i="11" s="1"/>
  <c r="Q4252" i="7"/>
  <c r="C45" i="6"/>
  <c r="G45" i="6" s="1"/>
  <c r="O44" i="7"/>
  <c r="M43" i="7"/>
  <c r="Q44" i="7"/>
  <c r="Q4261" i="7"/>
  <c r="O4261" i="7"/>
  <c r="O2572" i="7"/>
  <c r="M2571" i="7"/>
  <c r="Q2572" i="7"/>
  <c r="Q758" i="7"/>
  <c r="O758" i="7"/>
  <c r="D44" i="8" s="1"/>
  <c r="L15" i="6"/>
  <c r="M641" i="7"/>
  <c r="E8" i="6"/>
  <c r="G8" i="6"/>
  <c r="J32" i="6"/>
  <c r="M32" i="6" s="1"/>
  <c r="R32" i="6" s="1"/>
  <c r="E32" i="6"/>
  <c r="G32" i="6"/>
  <c r="G12" i="6"/>
  <c r="E12" i="6"/>
  <c r="O2185" i="7"/>
  <c r="Q2185" i="7"/>
  <c r="C23" i="6"/>
  <c r="K53" i="6"/>
  <c r="K54" i="6"/>
  <c r="O3603" i="7"/>
  <c r="Q3603" i="7"/>
  <c r="O1220" i="7"/>
  <c r="Q1220" i="7"/>
  <c r="C18" i="6"/>
  <c r="I2650" i="7"/>
  <c r="G2649" i="7"/>
  <c r="M2649" i="7"/>
  <c r="M3831" i="7"/>
  <c r="M3822" i="7" s="1"/>
  <c r="G3831" i="7"/>
  <c r="Q2378" i="7"/>
  <c r="O2378" i="7"/>
  <c r="C31" i="11" s="1"/>
  <c r="C24" i="6"/>
  <c r="M3604" i="7"/>
  <c r="G3604" i="7"/>
  <c r="O3212" i="7"/>
  <c r="C295" i="11" s="1"/>
  <c r="M3211" i="7"/>
  <c r="Q3212" i="7"/>
  <c r="K28" i="6"/>
  <c r="K64" i="6" s="1"/>
  <c r="Q3667" i="7"/>
  <c r="O3667" i="7"/>
  <c r="C432" i="11" s="1"/>
  <c r="K30" i="6"/>
  <c r="K66" i="6" s="1"/>
  <c r="K65" i="6"/>
  <c r="F41" i="10"/>
  <c r="C179" i="11"/>
  <c r="D157" i="10"/>
  <c r="D42" i="10"/>
  <c r="F42" i="10" s="1"/>
  <c r="K52" i="6"/>
  <c r="N52" i="6" s="1"/>
  <c r="K57" i="6"/>
  <c r="K62" i="6"/>
  <c r="K51" i="6"/>
  <c r="Q3296" i="7"/>
  <c r="O3296" i="7"/>
  <c r="C341" i="11" s="1"/>
  <c r="O2486" i="7"/>
  <c r="C72" i="11" s="1"/>
  <c r="Q2486" i="7"/>
  <c r="K25" i="6"/>
  <c r="K61" i="6" s="1"/>
  <c r="Q1606" i="7"/>
  <c r="O1606" i="7"/>
  <c r="C20" i="6"/>
  <c r="O255" i="7"/>
  <c r="Q255" i="7"/>
  <c r="C13" i="6"/>
  <c r="K67" i="6"/>
  <c r="O3514" i="7"/>
  <c r="C401" i="11" s="1"/>
  <c r="Q3514" i="7"/>
  <c r="O3746" i="7"/>
  <c r="Q3746" i="7"/>
  <c r="D211" i="10"/>
  <c r="D221" i="10"/>
  <c r="L50" i="6"/>
  <c r="Q47" i="7"/>
  <c r="C10" i="6"/>
  <c r="I10" i="6" s="1"/>
  <c r="O47" i="7"/>
  <c r="K50" i="6"/>
  <c r="O3758" i="7"/>
  <c r="Q3758" i="7"/>
  <c r="K55" i="6"/>
  <c r="Q4090" i="7"/>
  <c r="O4090" i="7"/>
  <c r="Q1992" i="7"/>
  <c r="O1992" i="7"/>
  <c r="C22" i="6"/>
  <c r="O834" i="7"/>
  <c r="Q834" i="7"/>
  <c r="C16" i="6"/>
  <c r="J8" i="6"/>
  <c r="G2877" i="7"/>
  <c r="I2878" i="7"/>
  <c r="M2877" i="7"/>
  <c r="C108" i="8"/>
  <c r="C115" i="10"/>
  <c r="G47" i="6"/>
  <c r="I47" i="6"/>
  <c r="E47" i="6"/>
  <c r="O3135" i="7"/>
  <c r="Q3135" i="7"/>
  <c r="Q2876" i="7"/>
  <c r="O2876" i="7"/>
  <c r="O3750" i="7"/>
  <c r="Q3750" i="7"/>
  <c r="M4091" i="7"/>
  <c r="G4091" i="7"/>
  <c r="M3741" i="7"/>
  <c r="D3775" i="7"/>
  <c r="G3775" i="7" s="1"/>
  <c r="C648" i="11" s="1"/>
  <c r="Q3742" i="7"/>
  <c r="O3742" i="7"/>
  <c r="C105" i="11"/>
  <c r="D30" i="10"/>
  <c r="D134" i="10"/>
  <c r="F52" i="10"/>
  <c r="F36" i="8"/>
  <c r="D39" i="8"/>
  <c r="F39" i="8" s="1"/>
  <c r="Q2648" i="7"/>
  <c r="O2648" i="7"/>
  <c r="I3137" i="7"/>
  <c r="M3136" i="7"/>
  <c r="G3136" i="7"/>
  <c r="O1799" i="7"/>
  <c r="Q1799" i="7"/>
  <c r="C21" i="6"/>
  <c r="K63" i="6"/>
  <c r="Q3830" i="7"/>
  <c r="O3830" i="7"/>
  <c r="C585" i="11"/>
  <c r="C26" i="10"/>
  <c r="E26" i="10" s="1"/>
  <c r="C29" i="8"/>
  <c r="E29" i="8" s="1"/>
  <c r="C27" i="11"/>
  <c r="D102" i="10"/>
  <c r="F102" i="10" s="1"/>
  <c r="Q3015" i="7"/>
  <c r="O3015" i="7"/>
  <c r="K58" i="6"/>
  <c r="C113" i="10" l="1"/>
  <c r="C107" i="8"/>
  <c r="E45" i="6"/>
  <c r="D113" i="10" s="1"/>
  <c r="I45" i="6"/>
  <c r="E113" i="10" s="1"/>
  <c r="M29" i="7"/>
  <c r="O43" i="7"/>
  <c r="Q43" i="7"/>
  <c r="O641" i="7"/>
  <c r="Q641" i="7"/>
  <c r="C15" i="6"/>
  <c r="O15" i="6"/>
  <c r="T15" i="6" s="1"/>
  <c r="L52" i="6"/>
  <c r="O52" i="6" s="1"/>
  <c r="F44" i="8"/>
  <c r="D47" i="8"/>
  <c r="F47" i="8" s="1"/>
  <c r="Q2571" i="7"/>
  <c r="O2571" i="7"/>
  <c r="D2590" i="7"/>
  <c r="G2590" i="7" s="1"/>
  <c r="C608" i="11" s="1"/>
  <c r="M2570" i="7"/>
  <c r="G23" i="6"/>
  <c r="E23" i="6"/>
  <c r="F17" i="10"/>
  <c r="F14" i="10" s="1"/>
  <c r="F20" i="8"/>
  <c r="F17" i="8" s="1"/>
  <c r="S52" i="6"/>
  <c r="AJ4" i="9"/>
  <c r="Q32" i="6"/>
  <c r="E139" i="8"/>
  <c r="G139" i="8" s="1"/>
  <c r="E10" i="6"/>
  <c r="G10" i="6"/>
  <c r="X4" i="9"/>
  <c r="Q12" i="6"/>
  <c r="Q8" i="6"/>
  <c r="U4" i="9"/>
  <c r="E136" i="8"/>
  <c r="G136" i="8" s="1"/>
  <c r="Q4091" i="7"/>
  <c r="O4091" i="7"/>
  <c r="E108" i="8"/>
  <c r="E115" i="10"/>
  <c r="M8" i="6"/>
  <c r="R8" i="6" s="1"/>
  <c r="J10" i="6"/>
  <c r="M10" i="6" s="1"/>
  <c r="R10" i="6" s="1"/>
  <c r="Q2649" i="7"/>
  <c r="O2649" i="7"/>
  <c r="G2878" i="7"/>
  <c r="M2878" i="7"/>
  <c r="C248" i="11"/>
  <c r="D53" i="10"/>
  <c r="I3138" i="7"/>
  <c r="G3137" i="7"/>
  <c r="M3137" i="7"/>
  <c r="F30" i="10"/>
  <c r="Q3741" i="7"/>
  <c r="O3741" i="7"/>
  <c r="C470" i="11" s="1"/>
  <c r="O3211" i="7"/>
  <c r="C294" i="11" s="1"/>
  <c r="Q3211" i="7"/>
  <c r="C28" i="6"/>
  <c r="Q3831" i="7"/>
  <c r="O3831" i="7"/>
  <c r="G2650" i="7"/>
  <c r="M2650" i="7"/>
  <c r="K23" i="6"/>
  <c r="C60" i="6"/>
  <c r="E107" i="8"/>
  <c r="Q3822" i="7"/>
  <c r="O3822" i="7"/>
  <c r="D3834" i="7"/>
  <c r="G3834" i="7" s="1"/>
  <c r="C650" i="11" s="1"/>
  <c r="M3818" i="7"/>
  <c r="L30" i="6" s="1"/>
  <c r="L66" i="6" s="1"/>
  <c r="Q3136" i="7"/>
  <c r="O3136" i="7"/>
  <c r="D107" i="8"/>
  <c r="Q2877" i="7"/>
  <c r="O2877" i="7"/>
  <c r="K22" i="6"/>
  <c r="C59" i="6"/>
  <c r="O3604" i="7"/>
  <c r="Q3604" i="7"/>
  <c r="M3595" i="7"/>
  <c r="M4082" i="7"/>
  <c r="D108" i="8"/>
  <c r="D115" i="10"/>
  <c r="C29" i="11"/>
  <c r="C25" i="10"/>
  <c r="E25" i="10" s="1"/>
  <c r="C28" i="8"/>
  <c r="E28" i="8" s="1"/>
  <c r="O29" i="7" l="1"/>
  <c r="Q29" i="7"/>
  <c r="C9" i="6"/>
  <c r="C71" i="6" s="1"/>
  <c r="G17" i="10"/>
  <c r="G14" i="10" s="1"/>
  <c r="T52" i="6"/>
  <c r="G20" i="8"/>
  <c r="G17" i="8" s="1"/>
  <c r="O2570" i="7"/>
  <c r="Q2570" i="7"/>
  <c r="I15" i="6"/>
  <c r="G15" i="6"/>
  <c r="E15" i="6"/>
  <c r="G60" i="6"/>
  <c r="E60" i="6"/>
  <c r="K60" i="6"/>
  <c r="N60" i="6" s="1"/>
  <c r="S60" i="6" s="1"/>
  <c r="N23" i="6"/>
  <c r="S23" i="6" s="1"/>
  <c r="Q23" i="6"/>
  <c r="AI4" i="9"/>
  <c r="W4" i="9"/>
  <c r="E138" i="8"/>
  <c r="G138" i="8" s="1"/>
  <c r="Q10" i="6"/>
  <c r="F53" i="10"/>
  <c r="Q4082" i="7"/>
  <c r="O4082" i="7"/>
  <c r="D4094" i="7"/>
  <c r="G4094" i="7" s="1"/>
  <c r="C658" i="11" s="1"/>
  <c r="M4078" i="7"/>
  <c r="Q3595" i="7"/>
  <c r="O3595" i="7"/>
  <c r="D3607" i="7"/>
  <c r="G3607" i="7" s="1"/>
  <c r="C642" i="11" s="1"/>
  <c r="M3591" i="7"/>
  <c r="Q2878" i="7"/>
  <c r="O2878" i="7"/>
  <c r="K59" i="6"/>
  <c r="K11" i="6"/>
  <c r="Q3818" i="7"/>
  <c r="O3818" i="7"/>
  <c r="C492" i="11" s="1"/>
  <c r="Q2650" i="7"/>
  <c r="O2650" i="7"/>
  <c r="M2641" i="7"/>
  <c r="Q3137" i="7"/>
  <c r="O3137" i="7"/>
  <c r="M3666" i="7"/>
  <c r="G3138" i="7"/>
  <c r="M3138" i="7"/>
  <c r="M2869" i="7"/>
  <c r="C64" i="6" l="1"/>
  <c r="I9" i="6"/>
  <c r="J9" i="6"/>
  <c r="E9" i="6"/>
  <c r="G9" i="6"/>
  <c r="C54" i="6"/>
  <c r="E123" i="8" s="1"/>
  <c r="C58" i="6"/>
  <c r="E127" i="8" s="1"/>
  <c r="C53" i="6"/>
  <c r="E122" i="8" s="1"/>
  <c r="C56" i="6"/>
  <c r="E125" i="8" s="1"/>
  <c r="C55" i="6"/>
  <c r="E124" i="8" s="1"/>
  <c r="C50" i="6"/>
  <c r="E119" i="8" s="1"/>
  <c r="C52" i="6"/>
  <c r="C51" i="6"/>
  <c r="E120" i="8" s="1"/>
  <c r="C57" i="6"/>
  <c r="E126" i="8" s="1"/>
  <c r="C24" i="10"/>
  <c r="E24" i="10" s="1"/>
  <c r="C27" i="8"/>
  <c r="E27" i="8" s="1"/>
  <c r="C28" i="11"/>
  <c r="C118" i="11"/>
  <c r="D31" i="10"/>
  <c r="F31" i="10" s="1"/>
  <c r="D135" i="10"/>
  <c r="AA4" i="9"/>
  <c r="Q15" i="6"/>
  <c r="Q60" i="6"/>
  <c r="AV4" i="9"/>
  <c r="K48" i="6"/>
  <c r="N48" i="6" s="1"/>
  <c r="P4" i="9" s="1"/>
  <c r="N11" i="6"/>
  <c r="Q3666" i="7"/>
  <c r="O3666" i="7"/>
  <c r="C431" i="11" s="1"/>
  <c r="C30" i="6"/>
  <c r="O2641" i="7"/>
  <c r="Q2641" i="7"/>
  <c r="D2653" i="7"/>
  <c r="G2653" i="7" s="1"/>
  <c r="C610" i="11" s="1"/>
  <c r="M2637" i="7"/>
  <c r="Q3138" i="7"/>
  <c r="O3138" i="7"/>
  <c r="M3129" i="7"/>
  <c r="O3591" i="7"/>
  <c r="C423" i="11" s="1"/>
  <c r="Q3591" i="7"/>
  <c r="L29" i="6"/>
  <c r="L65" i="6" s="1"/>
  <c r="M3439" i="7"/>
  <c r="Q2869" i="7"/>
  <c r="O2869" i="7"/>
  <c r="D2881" i="7"/>
  <c r="G2881" i="7" s="1"/>
  <c r="C618" i="11" s="1"/>
  <c r="M2865" i="7"/>
  <c r="O4078" i="7"/>
  <c r="C577" i="11" s="1"/>
  <c r="Q4078" i="7"/>
  <c r="M3893" i="7"/>
  <c r="L31" i="6"/>
  <c r="L67" i="6" s="1"/>
  <c r="I52" i="6" l="1"/>
  <c r="G121" i="8" s="1"/>
  <c r="G52" i="6"/>
  <c r="E121" i="8"/>
  <c r="E52" i="6"/>
  <c r="E137" i="8"/>
  <c r="G137" i="8" s="1"/>
  <c r="V4" i="9"/>
  <c r="Q9" i="6"/>
  <c r="M9" i="6"/>
  <c r="R9" i="6" s="1"/>
  <c r="J63" i="6"/>
  <c r="J67" i="6"/>
  <c r="J48" i="6"/>
  <c r="M48" i="6" s="1"/>
  <c r="J61" i="6"/>
  <c r="J51" i="6"/>
  <c r="J56" i="6"/>
  <c r="J65" i="6"/>
  <c r="J64" i="6"/>
  <c r="J66" i="6"/>
  <c r="J62" i="6"/>
  <c r="J57" i="6"/>
  <c r="J52" i="6"/>
  <c r="M52" i="6" s="1"/>
  <c r="J53" i="6"/>
  <c r="J54" i="6"/>
  <c r="J50" i="6"/>
  <c r="J58" i="6"/>
  <c r="J55" i="6"/>
  <c r="S48" i="6"/>
  <c r="O2865" i="7"/>
  <c r="Q2865" i="7"/>
  <c r="L26" i="6"/>
  <c r="L62" i="6" s="1"/>
  <c r="M2713" i="7"/>
  <c r="Q3129" i="7"/>
  <c r="O3129" i="7"/>
  <c r="M3125" i="7"/>
  <c r="D3141" i="7"/>
  <c r="G3141" i="7" s="1"/>
  <c r="C626" i="11" s="1"/>
  <c r="Q3893" i="7"/>
  <c r="O3893" i="7"/>
  <c r="C500" i="11" s="1"/>
  <c r="C31" i="6"/>
  <c r="O2637" i="7"/>
  <c r="Q2637" i="7"/>
  <c r="L25" i="6"/>
  <c r="M2485" i="7"/>
  <c r="Q3439" i="7"/>
  <c r="O3439" i="7"/>
  <c r="C362" i="11" s="1"/>
  <c r="C29" i="6"/>
  <c r="C73" i="6"/>
  <c r="C66" i="6"/>
  <c r="E17" i="10" l="1"/>
  <c r="E14" i="10" s="1"/>
  <c r="R52" i="6"/>
  <c r="E20" i="8"/>
  <c r="E17" i="8" s="1"/>
  <c r="D20" i="8"/>
  <c r="D17" i="8" s="1"/>
  <c r="AN4" i="9"/>
  <c r="C131" i="8"/>
  <c r="E131" i="8" s="1"/>
  <c r="Q52" i="6"/>
  <c r="F121" i="8"/>
  <c r="O4" i="9"/>
  <c r="R48" i="6"/>
  <c r="L61" i="6"/>
  <c r="D138" i="10"/>
  <c r="C131" i="11"/>
  <c r="D35" i="10"/>
  <c r="O2713" i="7"/>
  <c r="C140" i="11" s="1"/>
  <c r="Q2713" i="7"/>
  <c r="C26" i="6"/>
  <c r="C74" i="6"/>
  <c r="C67" i="6"/>
  <c r="C72" i="6"/>
  <c r="C65" i="6"/>
  <c r="Q2485" i="7"/>
  <c r="O2485" i="7"/>
  <c r="C71" i="11" s="1"/>
  <c r="C25" i="6"/>
  <c r="Q3125" i="7"/>
  <c r="O3125" i="7"/>
  <c r="M2940" i="7"/>
  <c r="M93" i="7" s="1"/>
  <c r="L27" i="6"/>
  <c r="L63" i="6" s="1"/>
  <c r="C201" i="11"/>
  <c r="D160" i="10"/>
  <c r="D46" i="10"/>
  <c r="F46" i="10" l="1"/>
  <c r="D40" i="10"/>
  <c r="F40" i="10" s="1"/>
  <c r="F35" i="10"/>
  <c r="D29" i="10"/>
  <c r="F29" i="10" s="1"/>
  <c r="Q2940" i="7"/>
  <c r="O2940" i="7"/>
  <c r="C209" i="11" s="1"/>
  <c r="C27" i="6"/>
  <c r="D208" i="10"/>
  <c r="D213" i="10" s="1"/>
  <c r="D153" i="10"/>
  <c r="L11" i="6"/>
  <c r="O93" i="7"/>
  <c r="C30" i="11" s="1"/>
  <c r="C26" i="11" s="1"/>
  <c r="Q93" i="7"/>
  <c r="C11" i="6"/>
  <c r="I11" i="6" s="1"/>
  <c r="M3" i="7"/>
  <c r="C69" i="6"/>
  <c r="E120" i="10" s="1"/>
  <c r="C62" i="6"/>
  <c r="C68" i="6"/>
  <c r="E119" i="10" s="1"/>
  <c r="C61" i="6"/>
  <c r="D218" i="10"/>
  <c r="D223" i="10" s="1"/>
  <c r="D175" i="10"/>
  <c r="C286" i="11"/>
  <c r="D57" i="10"/>
  <c r="C48" i="6" l="1"/>
  <c r="E11" i="6"/>
  <c r="G11" i="6"/>
  <c r="L48" i="6"/>
  <c r="O48" i="6" s="1"/>
  <c r="Q4" i="9" s="1"/>
  <c r="O11" i="6"/>
  <c r="C70" i="6"/>
  <c r="E121" i="10" s="1"/>
  <c r="C63" i="6"/>
  <c r="F57" i="10"/>
  <c r="D51" i="10"/>
  <c r="F51" i="10" s="1"/>
  <c r="O3" i="7"/>
  <c r="Q3" i="7"/>
  <c r="C49" i="6" l="1"/>
  <c r="C8" i="12" s="1"/>
  <c r="D8" i="12"/>
  <c r="G48" i="6"/>
  <c r="I48" i="6"/>
  <c r="E104" i="8" s="1"/>
  <c r="C112" i="10"/>
  <c r="E48" i="6"/>
  <c r="H101" i="8" s="1"/>
  <c r="H113" i="8" s="1"/>
  <c r="H114" i="8" s="1"/>
  <c r="C104" i="8"/>
  <c r="E118" i="8"/>
  <c r="F101" i="8"/>
  <c r="F113" i="8" s="1"/>
  <c r="F114" i="8" s="1"/>
  <c r="T48" i="6"/>
  <c r="C116" i="10"/>
  <c r="C109" i="8"/>
  <c r="E108" i="10"/>
  <c r="E101" i="8"/>
  <c r="E113" i="8" s="1"/>
  <c r="E114" i="8" s="1"/>
  <c r="G49" i="6"/>
  <c r="I49" i="6"/>
  <c r="J4" i="12" s="1"/>
  <c r="E49" i="6"/>
  <c r="F8" i="12" l="1"/>
  <c r="H8" i="12"/>
  <c r="G8" i="12"/>
  <c r="E8" i="12"/>
  <c r="G118" i="8"/>
  <c r="J101" i="8"/>
  <c r="J113" i="8" s="1"/>
  <c r="J114" i="8" s="1"/>
  <c r="S4" i="9"/>
  <c r="E112" i="10"/>
  <c r="D104" i="8"/>
  <c r="Q48" i="6"/>
  <c r="F118" i="8"/>
  <c r="D112" i="10"/>
  <c r="N4" i="9"/>
  <c r="E116" i="10"/>
  <c r="G108" i="10"/>
  <c r="T4" i="9"/>
  <c r="E109" i="8"/>
  <c r="I101" i="8"/>
  <c r="I113" i="8" s="1"/>
  <c r="I114" i="8" s="1"/>
  <c r="D116" i="10"/>
  <c r="F108" i="10"/>
  <c r="F100" i="10" s="1"/>
  <c r="G101" i="8"/>
  <c r="G113" i="8" s="1"/>
  <c r="G114" i="8" s="1"/>
  <c r="R4" i="9"/>
  <c r="D10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48" authorId="0" shapeId="0" xr:uid="{00000000-0006-0000-0400-000001000000}">
      <text>
        <r>
          <rPr>
            <sz val="9"/>
            <color indexed="81"/>
            <rFont val="Arial"/>
            <family val="2"/>
          </rPr>
          <t>马原:
填写标准刻度以外的特殊事项对配套单方影响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451" authorId="0" shapeId="0" xr:uid="{00000000-0006-0000-0600-000001000000}">
      <text>
        <r>
          <rPr>
            <sz val="9"/>
            <color indexed="81"/>
            <rFont val="Arial"/>
            <family val="2"/>
          </rPr>
          <t>马原:
填含预制构件总含量</t>
        </r>
      </text>
    </comment>
    <comment ref="G455" authorId="0" shapeId="0" xr:uid="{00000000-0006-0000-0600-000002000000}">
      <text>
        <r>
          <rPr>
            <sz val="9"/>
            <color indexed="81"/>
            <rFont val="Arial"/>
            <family val="2"/>
          </rPr>
          <t xml:space="preserve">马原:
填含预制构件总含量
</t>
        </r>
      </text>
    </comment>
    <comment ref="G644" authorId="0" shapeId="0" xr:uid="{00000000-0006-0000-0600-000003000000}">
      <text>
        <r>
          <rPr>
            <sz val="9"/>
            <color rgb="FF000000"/>
            <rFont val="Arial"/>
            <family val="2"/>
          </rPr>
          <t>马原</t>
        </r>
        <r>
          <rPr>
            <sz val="9"/>
            <color rgb="FF000000"/>
            <rFont val="Arial"/>
            <family val="2"/>
          </rPr>
          <t xml:space="preserve">:
</t>
        </r>
        <r>
          <rPr>
            <sz val="9"/>
            <color rgb="FF000000"/>
            <rFont val="Arial"/>
            <family val="2"/>
          </rPr>
          <t>填写含预制构件总含量</t>
        </r>
      </text>
    </comment>
    <comment ref="G648" authorId="0" shapeId="0" xr:uid="{00000000-0006-0000-0600-000004000000}">
      <text>
        <r>
          <rPr>
            <sz val="9"/>
            <color rgb="FF000000"/>
            <rFont val="Arial"/>
            <family val="2"/>
          </rPr>
          <t>马原</t>
        </r>
        <r>
          <rPr>
            <sz val="9"/>
            <color rgb="FF000000"/>
            <rFont val="Arial"/>
            <family val="2"/>
          </rPr>
          <t xml:space="preserve">:
</t>
        </r>
        <r>
          <rPr>
            <sz val="9"/>
            <color rgb="FF000000"/>
            <rFont val="Arial"/>
            <family val="2"/>
          </rPr>
          <t>填写含预制构件总含量</t>
        </r>
      </text>
    </comment>
    <comment ref="G837" authorId="0" shapeId="0" xr:uid="{00000000-0006-0000-0600-000005000000}">
      <text>
        <r>
          <rPr>
            <sz val="9"/>
            <color indexed="81"/>
            <rFont val="Arial"/>
            <family val="2"/>
          </rPr>
          <t>马原:
填写含预制构件总含量</t>
        </r>
      </text>
    </comment>
    <comment ref="G841" authorId="0" shapeId="0" xr:uid="{00000000-0006-0000-0600-000006000000}">
      <text>
        <r>
          <rPr>
            <sz val="9"/>
            <color indexed="81"/>
            <rFont val="Arial"/>
            <family val="2"/>
          </rPr>
          <t>马原:
填写含预制构件总含量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1" authorId="0" shapeId="0" xr:uid="{00000000-0006-0000-0700-000001000000}">
      <text>
        <r>
          <rPr>
            <sz val="9"/>
            <color indexed="81"/>
            <rFont val="微软雅黑"/>
            <family val="2"/>
          </rPr>
          <t>如外墙材料占比变化归于配置差异</t>
        </r>
      </text>
    </comment>
    <comment ref="F60" authorId="0" shapeId="0" xr:uid="{00000000-0006-0000-0700-000002000000}">
      <text>
        <r>
          <rPr>
            <sz val="9"/>
            <color rgb="FF000000"/>
            <rFont val="Arial"/>
            <family val="2"/>
          </rPr>
          <t xml:space="preserve">matebook-14:
</t>
        </r>
        <r>
          <rPr>
            <sz val="9"/>
            <color rgb="FF000000"/>
            <rFont val="Arial"/>
            <family val="2"/>
          </rPr>
          <t>去除开办费影响</t>
        </r>
      </text>
    </comment>
    <comment ref="G60" authorId="0" shapeId="0" xr:uid="{00000000-0006-0000-0700-000003000000}">
      <text>
        <r>
          <rPr>
            <sz val="9"/>
            <color indexed="81"/>
            <rFont val="Arial"/>
            <family val="2"/>
          </rPr>
          <t>matebook-14:
去除开办费影响</t>
        </r>
      </text>
    </comment>
    <comment ref="F61" authorId="0" shapeId="0" xr:uid="{00000000-0006-0000-0700-000004000000}">
      <text>
        <r>
          <rPr>
            <sz val="9"/>
            <color rgb="FF000000"/>
            <rFont val="Arial"/>
            <family val="2"/>
          </rPr>
          <t xml:space="preserve">matebook-14:
</t>
        </r>
        <r>
          <rPr>
            <sz val="9"/>
            <color rgb="FF000000"/>
            <rFont val="Arial"/>
            <family val="2"/>
          </rPr>
          <t>去除开办费影响</t>
        </r>
      </text>
    </comment>
    <comment ref="G61" authorId="0" shapeId="0" xr:uid="{00000000-0006-0000-0700-000005000000}">
      <text>
        <r>
          <rPr>
            <sz val="9"/>
            <color rgb="FF000000"/>
            <rFont val="Arial"/>
            <family val="2"/>
          </rPr>
          <t xml:space="preserve">matebook-14:
</t>
        </r>
        <r>
          <rPr>
            <sz val="9"/>
            <color rgb="FF000000"/>
            <rFont val="Arial"/>
            <family val="2"/>
          </rPr>
          <t>去除开办费影响</t>
        </r>
      </text>
    </comment>
    <comment ref="F62" authorId="0" shapeId="0" xr:uid="{00000000-0006-0000-0700-000006000000}">
      <text>
        <r>
          <rPr>
            <sz val="9"/>
            <color rgb="FF000000"/>
            <rFont val="Arial"/>
            <family val="2"/>
          </rPr>
          <t xml:space="preserve">matebook-14:
</t>
        </r>
        <r>
          <rPr>
            <sz val="9"/>
            <color rgb="FF000000"/>
            <rFont val="Arial"/>
            <family val="2"/>
          </rPr>
          <t>去除开办费影响</t>
        </r>
      </text>
    </comment>
    <comment ref="G62" authorId="0" shapeId="0" xr:uid="{00000000-0006-0000-0700-000007000000}">
      <text>
        <r>
          <rPr>
            <sz val="9"/>
            <color indexed="81"/>
            <rFont val="Arial"/>
            <family val="2"/>
          </rPr>
          <t>matebook-14:
去除开办费影响</t>
        </r>
      </text>
    </comment>
    <comment ref="F63" authorId="0" shapeId="0" xr:uid="{00000000-0006-0000-0700-000008000000}">
      <text>
        <r>
          <rPr>
            <sz val="9"/>
            <color rgb="FF000000"/>
            <rFont val="Arial"/>
            <family val="2"/>
          </rPr>
          <t xml:space="preserve">matebook-14:
</t>
        </r>
        <r>
          <rPr>
            <sz val="9"/>
            <color rgb="FF000000"/>
            <rFont val="Arial"/>
            <family val="2"/>
          </rPr>
          <t>去除开办费影响</t>
        </r>
      </text>
    </comment>
    <comment ref="G63" authorId="0" shapeId="0" xr:uid="{00000000-0006-0000-0700-000009000000}">
      <text>
        <r>
          <rPr>
            <sz val="9"/>
            <color rgb="FF000000"/>
            <rFont val="Arial"/>
            <family val="2"/>
          </rPr>
          <t xml:space="preserve">matebook-14:
</t>
        </r>
        <r>
          <rPr>
            <sz val="9"/>
            <color rgb="FF000000"/>
            <rFont val="Arial"/>
            <family val="2"/>
          </rPr>
          <t>去除开办费影响</t>
        </r>
      </text>
    </comment>
    <comment ref="F64" authorId="0" shapeId="0" xr:uid="{00000000-0006-0000-0700-00000A000000}">
      <text>
        <r>
          <rPr>
            <sz val="9"/>
            <color indexed="81"/>
            <rFont val="Arial"/>
            <family val="2"/>
          </rPr>
          <t>matebook-14:
去除开办费影响</t>
        </r>
      </text>
    </comment>
    <comment ref="G64" authorId="0" shapeId="0" xr:uid="{00000000-0006-0000-0700-00000B000000}">
      <text>
        <r>
          <rPr>
            <sz val="9"/>
            <color rgb="FF000000"/>
            <rFont val="Arial"/>
            <family val="2"/>
          </rPr>
          <t xml:space="preserve">matebook-14:
</t>
        </r>
        <r>
          <rPr>
            <sz val="9"/>
            <color rgb="FF000000"/>
            <rFont val="Arial"/>
            <family val="2"/>
          </rPr>
          <t>去除开办费影响</t>
        </r>
      </text>
    </comment>
    <comment ref="F72" authorId="0" shapeId="0" xr:uid="{00000000-0006-0000-0700-00000C000000}">
      <text>
        <r>
          <rPr>
            <sz val="9"/>
            <color indexed="81"/>
            <rFont val="Arial"/>
            <family val="2"/>
          </rPr>
          <t>matebook-14:
去除开办费影响</t>
        </r>
      </text>
    </comment>
    <comment ref="G72" authorId="0" shapeId="0" xr:uid="{00000000-0006-0000-0700-00000D000000}">
      <text>
        <r>
          <rPr>
            <sz val="9"/>
            <color indexed="81"/>
            <rFont val="Arial"/>
            <family val="2"/>
          </rPr>
          <t>matebook-14:
去除开办费影响</t>
        </r>
      </text>
    </comment>
    <comment ref="F73" authorId="0" shapeId="0" xr:uid="{00000000-0006-0000-0700-00000E000000}">
      <text>
        <r>
          <rPr>
            <sz val="9"/>
            <color indexed="81"/>
            <rFont val="Arial"/>
            <family val="2"/>
          </rPr>
          <t>matebook-14:
去除开办费影响</t>
        </r>
      </text>
    </comment>
    <comment ref="G73" authorId="0" shapeId="0" xr:uid="{00000000-0006-0000-0700-00000F000000}">
      <text>
        <r>
          <rPr>
            <sz val="9"/>
            <color indexed="81"/>
            <rFont val="Arial"/>
            <family val="2"/>
          </rPr>
          <t>matebook-14:
去除开办费影响</t>
        </r>
      </text>
    </comment>
    <comment ref="F74" authorId="0" shapeId="0" xr:uid="{00000000-0006-0000-0700-000010000000}">
      <text>
        <r>
          <rPr>
            <sz val="9"/>
            <color indexed="81"/>
            <rFont val="Arial"/>
            <family val="2"/>
          </rPr>
          <t>matebook-14:
去除开办费影响</t>
        </r>
      </text>
    </comment>
    <comment ref="G74" authorId="0" shapeId="0" xr:uid="{00000000-0006-0000-0700-000011000000}">
      <text>
        <r>
          <rPr>
            <sz val="9"/>
            <color indexed="81"/>
            <rFont val="Arial"/>
            <family val="2"/>
          </rPr>
          <t>matebook-14:
去除开办费影响</t>
        </r>
      </text>
    </comment>
    <comment ref="F75" authorId="0" shapeId="0" xr:uid="{00000000-0006-0000-0700-000012000000}">
      <text>
        <r>
          <rPr>
            <sz val="9"/>
            <color indexed="81"/>
            <rFont val="Arial"/>
            <family val="2"/>
          </rPr>
          <t>matebook-14:
去除开办费影响</t>
        </r>
      </text>
    </comment>
    <comment ref="G75" authorId="0" shapeId="0" xr:uid="{00000000-0006-0000-0700-000013000000}">
      <text>
        <r>
          <rPr>
            <sz val="9"/>
            <color indexed="81"/>
            <rFont val="Arial"/>
            <family val="2"/>
          </rPr>
          <t>matebook-14:
去除开办费影响</t>
        </r>
      </text>
    </comment>
    <comment ref="F81" authorId="0" shapeId="0" xr:uid="{00000000-0006-0000-0700-000014000000}">
      <text>
        <r>
          <rPr>
            <sz val="9"/>
            <color indexed="81"/>
            <rFont val="Arial"/>
            <family val="2"/>
          </rPr>
          <t>matebook-14:
去除开办费影响</t>
        </r>
      </text>
    </comment>
    <comment ref="G81" authorId="0" shapeId="0" xr:uid="{00000000-0006-0000-0700-000015000000}">
      <text>
        <r>
          <rPr>
            <sz val="9"/>
            <color rgb="FF000000"/>
            <rFont val="Arial"/>
            <family val="2"/>
          </rPr>
          <t xml:space="preserve">matebook-14:
</t>
        </r>
        <r>
          <rPr>
            <sz val="9"/>
            <color rgb="FF000000"/>
            <rFont val="Arial"/>
            <family val="2"/>
          </rPr>
          <t>去除开办费影响</t>
        </r>
      </text>
    </comment>
    <comment ref="F82" authorId="0" shapeId="0" xr:uid="{00000000-0006-0000-0700-000016000000}">
      <text>
        <r>
          <rPr>
            <sz val="9"/>
            <color indexed="81"/>
            <rFont val="Arial"/>
            <family val="2"/>
          </rPr>
          <t>matebook-14:
去除开办费影响</t>
        </r>
      </text>
    </comment>
    <comment ref="G82" authorId="0" shapeId="0" xr:uid="{00000000-0006-0000-0700-000017000000}">
      <text>
        <r>
          <rPr>
            <sz val="9"/>
            <color indexed="81"/>
            <rFont val="Arial"/>
            <family val="2"/>
          </rPr>
          <t>matebook-14:
去除开办费影响</t>
        </r>
      </text>
    </comment>
    <comment ref="F83" authorId="0" shapeId="0" xr:uid="{00000000-0006-0000-0700-000018000000}">
      <text>
        <r>
          <rPr>
            <sz val="9"/>
            <color rgb="FF000000"/>
            <rFont val="Arial"/>
            <family val="2"/>
          </rPr>
          <t xml:space="preserve">matebook-14:
</t>
        </r>
        <r>
          <rPr>
            <sz val="9"/>
            <color rgb="FF000000"/>
            <rFont val="Arial"/>
            <family val="2"/>
          </rPr>
          <t>去除开办费影响</t>
        </r>
      </text>
    </comment>
    <comment ref="G83" authorId="0" shapeId="0" xr:uid="{00000000-0006-0000-0700-000019000000}">
      <text>
        <r>
          <rPr>
            <sz val="9"/>
            <color indexed="81"/>
            <rFont val="Arial"/>
            <family val="2"/>
          </rPr>
          <t>matebook-14:
去除开办费影响</t>
        </r>
      </text>
    </comment>
    <comment ref="F84" authorId="0" shapeId="0" xr:uid="{00000000-0006-0000-0700-00001A000000}">
      <text>
        <r>
          <rPr>
            <sz val="9"/>
            <color indexed="81"/>
            <rFont val="Arial"/>
            <family val="2"/>
          </rPr>
          <t>matebook-14:
去除开办费影响</t>
        </r>
      </text>
    </comment>
    <comment ref="G84" authorId="0" shapeId="0" xr:uid="{00000000-0006-0000-0700-00001B000000}">
      <text>
        <r>
          <rPr>
            <sz val="9"/>
            <color indexed="81"/>
            <rFont val="Arial"/>
            <family val="2"/>
          </rPr>
          <t>matebook-14:
去除开办费影响</t>
        </r>
      </text>
    </comment>
    <comment ref="F90" authorId="0" shapeId="0" xr:uid="{00000000-0006-0000-0700-00001C000000}">
      <text>
        <r>
          <rPr>
            <sz val="9"/>
            <color indexed="81"/>
            <rFont val="Arial"/>
            <family val="2"/>
          </rPr>
          <t>matebook-14:
去除开办费影响</t>
        </r>
      </text>
    </comment>
    <comment ref="F91" authorId="0" shapeId="0" xr:uid="{00000000-0006-0000-0700-00001D000000}">
      <text>
        <r>
          <rPr>
            <sz val="9"/>
            <color indexed="81"/>
            <rFont val="Arial"/>
            <family val="2"/>
          </rPr>
          <t>matebook-14:
去除开办费影响</t>
        </r>
      </text>
    </comment>
    <comment ref="G91" authorId="0" shapeId="0" xr:uid="{00000000-0006-0000-0700-00001E000000}">
      <text>
        <r>
          <rPr>
            <sz val="9"/>
            <color indexed="81"/>
            <rFont val="Arial"/>
            <family val="2"/>
          </rPr>
          <t>matebook-14:
去除开办费影响</t>
        </r>
      </text>
    </comment>
    <comment ref="F92" authorId="0" shapeId="0" xr:uid="{00000000-0006-0000-0700-00001F000000}">
      <text>
        <r>
          <rPr>
            <sz val="9"/>
            <color indexed="81"/>
            <rFont val="Arial"/>
            <family val="2"/>
          </rPr>
          <t>matebook-14:
去除开办费影响</t>
        </r>
      </text>
    </comment>
    <comment ref="G92" authorId="0" shapeId="0" xr:uid="{00000000-0006-0000-0700-000020000000}">
      <text>
        <r>
          <rPr>
            <sz val="9"/>
            <color indexed="81"/>
            <rFont val="Arial"/>
            <family val="2"/>
          </rPr>
          <t>matebook-14:
去除开办费影响</t>
        </r>
      </text>
    </comment>
    <comment ref="F93" authorId="0" shapeId="0" xr:uid="{00000000-0006-0000-0700-000021000000}">
      <text>
        <r>
          <rPr>
            <sz val="9"/>
            <color indexed="81"/>
            <rFont val="Arial"/>
            <family val="2"/>
          </rPr>
          <t>matebook-14:
去除开办费影响</t>
        </r>
      </text>
    </comment>
    <comment ref="G93" authorId="0" shapeId="0" xr:uid="{00000000-0006-0000-0700-000022000000}">
      <text>
        <r>
          <rPr>
            <sz val="9"/>
            <color indexed="81"/>
            <rFont val="Arial"/>
            <family val="2"/>
          </rPr>
          <t>matebook-14:
去除开办费影响</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MacBook Air</author>
  </authors>
  <commentList>
    <comment ref="T2" authorId="0" shapeId="0" xr:uid="{9922B33C-3AD7-EA48-8F6A-508F4E267D0D}">
      <text>
        <r>
          <rPr>
            <b/>
            <sz val="9"/>
            <color rgb="FF000000"/>
            <rFont val="宋体"/>
            <family val="3"/>
            <charset val="134"/>
          </rPr>
          <t>MacBook Air:</t>
        </r>
        <r>
          <rPr>
            <sz val="9"/>
            <color rgb="FF000000"/>
            <rFont val="宋体"/>
            <family val="3"/>
            <charset val="134"/>
          </rPr>
          <t xml:space="preserve">
如需</t>
        </r>
      </text>
    </comment>
    <comment ref="V2" authorId="0" shapeId="0" xr:uid="{08032FA2-47B9-7444-9841-56A75071A8A2}">
      <text>
        <r>
          <rPr>
            <b/>
            <sz val="9"/>
            <color rgb="FF000000"/>
            <rFont val="宋体"/>
            <family val="3"/>
            <charset val="134"/>
          </rPr>
          <t>MacBook Air:</t>
        </r>
        <r>
          <rPr>
            <sz val="9"/>
            <color rgb="FF000000"/>
            <rFont val="宋体"/>
            <family val="3"/>
            <charset val="134"/>
          </rPr>
          <t xml:space="preserve">
如需</t>
        </r>
      </text>
    </comment>
    <comment ref="X2" authorId="0" shapeId="0" xr:uid="{BFC2691E-7070-5349-BD74-45CB8D85EE16}">
      <text>
        <r>
          <rPr>
            <b/>
            <sz val="9"/>
            <color rgb="FF000000"/>
            <rFont val="宋体"/>
            <family val="3"/>
            <charset val="134"/>
          </rPr>
          <t>MacBook Air:</t>
        </r>
        <r>
          <rPr>
            <sz val="9"/>
            <color rgb="FF000000"/>
            <rFont val="宋体"/>
            <family val="3"/>
            <charset val="134"/>
          </rPr>
          <t xml:space="preserve">
如需</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00000000-0006-0000-0900-000001000000}">
      <text>
        <r>
          <rPr>
            <sz val="9"/>
            <color indexed="81"/>
            <rFont val="微软雅黑"/>
            <family val="2"/>
          </rPr>
          <t>如外墙材料占比变化归于配置差异</t>
        </r>
      </text>
    </comment>
    <comment ref="G66" authorId="0" shapeId="0" xr:uid="{00000000-0006-0000-0900-000002000000}">
      <text>
        <r>
          <rPr>
            <sz val="9"/>
            <color indexed="81"/>
            <rFont val="Arial"/>
            <family val="2"/>
          </rPr>
          <t>matebook-14:
去除开办费影响</t>
        </r>
      </text>
    </comment>
    <comment ref="G67" authorId="0" shapeId="0" xr:uid="{00000000-0006-0000-0900-000003000000}">
      <text>
        <r>
          <rPr>
            <sz val="9"/>
            <color indexed="81"/>
            <rFont val="Arial"/>
            <family val="2"/>
          </rPr>
          <t>matebook-14:
去除开办费影响</t>
        </r>
      </text>
    </comment>
    <comment ref="G68" authorId="0" shapeId="0" xr:uid="{00000000-0006-0000-0900-000004000000}">
      <text>
        <r>
          <rPr>
            <sz val="9"/>
            <color indexed="81"/>
            <rFont val="Arial"/>
            <family val="2"/>
          </rPr>
          <t>matebook-14:
去除开办费影响</t>
        </r>
      </text>
    </comment>
    <comment ref="G69" authorId="0" shapeId="0" xr:uid="{00000000-0006-0000-0900-000005000000}">
      <text>
        <r>
          <rPr>
            <sz val="9"/>
            <color indexed="81"/>
            <rFont val="Arial"/>
            <family val="2"/>
          </rPr>
          <t>matebook-14:
去除开办费影响</t>
        </r>
      </text>
    </comment>
    <comment ref="G79" authorId="0" shapeId="0" xr:uid="{00000000-0006-0000-0900-000006000000}">
      <text>
        <r>
          <rPr>
            <sz val="9"/>
            <color indexed="81"/>
            <rFont val="Arial"/>
            <family val="2"/>
          </rPr>
          <t>matebook-14:
去除开办费影响</t>
        </r>
      </text>
    </comment>
    <comment ref="G80" authorId="0" shapeId="0" xr:uid="{00000000-0006-0000-0900-000007000000}">
      <text>
        <r>
          <rPr>
            <sz val="9"/>
            <color indexed="81"/>
            <rFont val="Arial"/>
            <family val="2"/>
          </rPr>
          <t>matebook-14:
去除开办费影响</t>
        </r>
      </text>
    </comment>
    <comment ref="G81" authorId="0" shapeId="0" xr:uid="{00000000-0006-0000-0900-000008000000}">
      <text>
        <r>
          <rPr>
            <sz val="9"/>
            <color indexed="81"/>
            <rFont val="Arial"/>
            <family val="2"/>
          </rPr>
          <t>matebook-14:
去除开办费影响</t>
        </r>
      </text>
    </comment>
    <comment ref="G86" authorId="0" shapeId="0" xr:uid="{00000000-0006-0000-0900-000009000000}">
      <text>
        <r>
          <rPr>
            <sz val="9"/>
            <color indexed="81"/>
            <rFont val="Arial"/>
            <family val="2"/>
          </rPr>
          <t>matebook-14:
去除开办费影响</t>
        </r>
      </text>
    </comment>
    <comment ref="G87" authorId="0" shapeId="0" xr:uid="{00000000-0006-0000-0900-00000A000000}">
      <text>
        <r>
          <rPr>
            <sz val="9"/>
            <color indexed="81"/>
            <rFont val="Arial"/>
            <family val="2"/>
          </rPr>
          <t>matebook-14:
去除开办费影响</t>
        </r>
      </text>
    </comment>
    <comment ref="G88" authorId="0" shapeId="0" xr:uid="{00000000-0006-0000-0900-00000B000000}">
      <text>
        <r>
          <rPr>
            <sz val="9"/>
            <color indexed="81"/>
            <rFont val="Arial"/>
            <family val="2"/>
          </rPr>
          <t>matebook-14:
去除开办费影响</t>
        </r>
      </text>
    </comment>
    <comment ref="G89" authorId="0" shapeId="0" xr:uid="{00000000-0006-0000-0900-00000C000000}">
      <text>
        <r>
          <rPr>
            <sz val="9"/>
            <color indexed="81"/>
            <rFont val="Arial"/>
            <family val="2"/>
          </rPr>
          <t>matebook-14:
去除开办费影响</t>
        </r>
      </text>
    </comment>
    <comment ref="G94" authorId="0" shapeId="0" xr:uid="{00000000-0006-0000-0900-00000D000000}">
      <text>
        <r>
          <rPr>
            <sz val="9"/>
            <color indexed="81"/>
            <rFont val="Arial"/>
            <family val="2"/>
          </rPr>
          <t>matebook-14:
去除开办费影响</t>
        </r>
      </text>
    </comment>
    <comment ref="G95" authorId="0" shapeId="0" xr:uid="{00000000-0006-0000-0900-00000E000000}">
      <text>
        <r>
          <rPr>
            <sz val="9"/>
            <color indexed="81"/>
            <rFont val="Arial"/>
            <family val="2"/>
          </rPr>
          <t>matebook-14:
去除开办费影响</t>
        </r>
      </text>
    </comment>
    <comment ref="G96" authorId="0" shapeId="0" xr:uid="{00000000-0006-0000-0900-00000F000000}">
      <text>
        <r>
          <rPr>
            <sz val="9"/>
            <color indexed="81"/>
            <rFont val="Arial"/>
            <family val="2"/>
          </rPr>
          <t>matebook-14:
去除开办费影响</t>
        </r>
      </text>
    </comment>
    <comment ref="G97" authorId="0" shapeId="0" xr:uid="{00000000-0006-0000-0900-000010000000}">
      <text>
        <r>
          <rPr>
            <sz val="9"/>
            <color indexed="81"/>
            <rFont val="Arial"/>
            <family val="2"/>
          </rPr>
          <t>matebook-14:
去除开办费影响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43" authorId="0" shapeId="0" xr:uid="{00000000-0006-0000-0A00-000001000000}">
      <text>
        <r>
          <rPr>
            <sz val="9"/>
            <color indexed="81"/>
            <rFont val="宋体"/>
            <family val="2"/>
          </rPr>
          <t>包含电梯轿厢装饰及扶梯装饰</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<sst xmlns="http://schemas.openxmlformats.org/spreadsheetml/2006/main" count="37503" uniqueCount="8278">
  <si>
    <t>{'TemplateId':'$TemplateId$'}</t>
  </si>
  <si>
    <t>{'TableCode':'GZD','TableName':'T00','ColumnCounts':'7','ColumnNames':'A;B;C;D;E;F;G;'}</t>
  </si>
  <si>
    <t>{'TableCode':'ZZ','TableName':'T01','ColumnCounts':'10','ColumnNames':'A;B;C;D;E;F;G;H;I;J'}</t>
  </si>
  <si>
    <t>{'TableCode':'XMJCXX','TableName':'T02','ColumnCounts':'87','ColumnNames':'A;B;C;D;E;F;G;H;I;J;K;L;M;N;O;P;Q;R;S;T;U;V;W;X;Y;Z;AA;AB;AC;AD;AE;AF;AG;AH;AI;AJ;AK;AL;AM;AN;AO;AP;AQ;AR;AS;AT;AU;AV;AW;AX;AY;AZ;BA;BB;BC;BD;BE;BF;BG;BH;BI;BJ;BK;BL;BM;BN;BO;BP;BQ;BR;BS;BT;BU;BV;BW;BX;BY;BZ;CA;CB;CC;CD;CE;CF;CG;CH;CI;CJ'}</t>
  </si>
  <si>
    <r>
      <rPr>
        <sz val="10"/>
        <color rgb="FF000000"/>
        <rFont val="Arial"/>
        <family val="2"/>
      </rPr>
      <t>{'TableCode':'CBCS','TableName':'T03','ColumnCounts':'11</t>
    </r>
    <r>
      <rPr>
        <sz val="10"/>
        <color rgb="FF000000"/>
        <rFont val="Arial"/>
        <family val="2"/>
      </rPr>
      <t>','ColumnNames':'A;B;C;D;E;F;G;H;I;J</t>
    </r>
    <r>
      <rPr>
        <sz val="10"/>
        <color rgb="FF000000"/>
        <rFont val="Arial"/>
        <family val="2"/>
      </rPr>
      <t>;K</t>
    </r>
    <r>
      <rPr>
        <sz val="10"/>
        <color rgb="FF000000"/>
        <rFont val="Arial"/>
        <family val="2"/>
      </rPr>
      <t>'}</t>
    </r>
  </si>
  <si>
    <t>{'TableCode':'MBCBKZ','TableName':'T04','ColumnCounts':'30','ColumnNames':'A;B;C;D;E;F;G;H;I;J;K;L;M;N;O;P;Q;R;S;T;U;V;W;X;Y;Z;AA;AB;AC;AD'}</t>
  </si>
  <si>
    <t>{'TableCode':'CBCSMX','TableName':'T05','ColumnCounts':'21','ColumnNames':'A;B;C;D;E;F;G;H;I;J;K;L;M;N;O;P;Q;R;S;T;U'}</t>
  </si>
  <si>
    <t>{'TableCode':'FXHBB','TableName':'T06','ColumnCounts':'12','ColumnNames':'A;B;C;D;E;F;G;H;I;J;K;L'}</t>
  </si>
  <si>
    <t>{'TableCode':'DSJCD','TableName':'T07','ColumnCounts':'236','ColumnNames':'COLA;COLB;COLC;COLD;COLE;COLF;COLG;COLH;COLI;COLJ;COLK;COLL;COLM;COLN;COLO;COLP;COLQ;COLR;COLS;COLT;COLU;COLV;COLW;COLX;COLY;COLZ;COLAA;COLAB;COLAC;COLAD;COLAE;COLAF;COLAG;COLAH;COLAI;COLAJ;COLAK;COLAL;COLAM;COLAN;COLAO;COLAP;COLAQ;COLAR;COLAS;COLAT;COLAU;COLAV;COLAW;COLAX;COLAY;COLAZ;COLBA;COLBB;COLBC;COLBD;COLBE;COLBF;COLBG;COLBH;COLBI;COLBJ;COLBK;COLBL;COLBM;COLBN;COLBO;COLBP;COLBQ;COLBR;COLBS;COLBT;COLBU;COLBV;COLBW;COLBX;COLBY;COLBZ;COLCA;COLCB;COLCC;COLCD;COLCE;COLCF;COLCG;COLCH;COLCI;COLCJ;COLCK;COLCL;COLCM;COLCN;COLCO;COLCP;COLCQ;COLCR;COLCS;COLCT;COLCU;COLCV;COLCW;COLCX;COLCY;COLCZ;COLDA;COLDB;COLDC;COL$pcode1$01;COL$pcode1$02;COL$pcode1$03;COL$pcode1$04;COL$pcode1$05;COL$pcode1$06;COL$pcode1$07;COL$pcode1$08;COL$pcode1$09;COL$pcode1$10;COL$pcode1$11;COL$pcode1$12;COL$pcode1$13;COL$pcode1$14;COL$pcode1$15;COL$pcode1$16;COL$pcode2$01;COL$pcode2$02;COL$pcode2$03;COL$pcode2$04;COL$pcode2$05;COL$pcode2$06;COL$pcode2$07;COL$pcode2$08;COL$pcode2$09;COL$pcode2$10;COL$pcode2$11;COL$pcode2$12;COL$pcode2$13;COL$pcode2$14;COL$pcode2$15;COL$pcode2$16;COL$pcode3$01;COL$pcode3$02;COL$pcode3$03;COL$pcode3$04;COL$pcode3$05;COL$pcode3$06;COL$pcode3$07;COL$pcode3$08;COL$pcode3$09;COL$pcode3$10;COL$pcode3$11;COL$pcode3$12;COL$pcode3$13;COL$pcode3$14;COL$pcode3$15;COL$pcode3$16;COL$pcode4$01;COL$pcode4$02;COL$pcode4$03;COL$pcode4$04;COL$pcode4$05;COL$pcode4$06;COL$pcode4$07;COL$pcode4$08;COL$pcode4$09;COL$pcode4$10;COL$pcode4$11;COL$pcode4$12;COL$pcode4$13;COL$pcode4$14;COL$pcode4$15;COL$pcode4$16;COL$pcode5$01;COL$pcode5$02;COL$pcode5$03;COL$pcode5$04;COL$pcode5$05;COL$pcode5$06;COL$pcode5$07;COL$pcode5$08;COL$pcode5$09;COL$pcode5$10;COL$pcode5$11;COL$pcode5$12;COL$pcode5$13;COL$pcode5$14;COL$pcode5$15;COL$pcode5$16;COL$pcode6$01;COL$pcode6$02;COL$pcode6$03;COL$pcode6$04;COL$pcode6$05;COL$pcode6$06;COL$pcode6$07;COL$pcode6$08;COL$pcode6$09;COL$pcode6$10;COL$pcode6$11;COL$pcode6$12;COL$pcode6$13;COL$pcode6$14;COL$pcode6$15;COL$pcode6$16;COLGV;COLGW;COLGX;COLGY;COLGZ;COLHA;COLHB;COLHC;COLHD;COLHE;COLHF;COLHG;COLHH;COLHI;COLHJ;COLHK;COLHL;COLHM;COLHN;COLHO;COLHP;COLHQ;COLHR;COLHS;COLHT;COLHU;COLHV;COLHW;COLHX;COLHY;COLHZ;COLIA;COLIB'}</t>
  </si>
  <si>
    <t>{'TableCode':'SFXHBB','TableName':'T08','ColumnCounts':'12','ColumnNames':'A;B;C;D;E;F;G;H;I;J;K;L'}</t>
  </si>
  <si>
    <t>{'TableCode':'DSJCDSY','TableName':'T09','ColumnCounts':'3','ColumnNames':'A;B;C;D'}</t>
  </si>
  <si>
    <t>序号</t>
  </si>
  <si>
    <t>协同职能</t>
  </si>
  <si>
    <t>事项</t>
  </si>
  <si>
    <t>事项特性</t>
  </si>
  <si>
    <t>一、</t>
  </si>
  <si>
    <t>与以往一致</t>
  </si>
  <si>
    <t>设计</t>
  </si>
  <si>
    <t>车位配比</t>
  </si>
  <si>
    <t>否</t>
  </si>
  <si>
    <t>地上拆迁</t>
  </si>
  <si>
    <t>地下拆迁</t>
  </si>
  <si>
    <t>场地自身高差</t>
  </si>
  <si>
    <t>场地表土/高堆土/场地平整</t>
  </si>
  <si>
    <t>不良地质/软弱地基/地下水位</t>
  </si>
  <si>
    <t>周边四至及周边配套</t>
  </si>
  <si>
    <t>规划道路与场地高差</t>
  </si>
  <si>
    <t>周边道路交通情况</t>
  </si>
  <si>
    <t>临近地铁建设</t>
  </si>
  <si>
    <t>所在区位政府特殊要求</t>
  </si>
  <si>
    <t>如有，简述事项及风险</t>
  </si>
  <si>
    <t>其他影响成本的土地条件</t>
  </si>
  <si>
    <t>营销</t>
  </si>
  <si>
    <t>档次定位</t>
  </si>
  <si>
    <t>商业档次定位</t>
  </si>
  <si>
    <t>住宅档次定位</t>
  </si>
  <si>
    <t>精装可否突破限价</t>
  </si>
  <si>
    <t>规范要求/实际车位配比</t>
  </si>
  <si>
    <t>地上车位</t>
  </si>
  <si>
    <t>卖场配置</t>
  </si>
  <si>
    <t>卖场面积/装修标准/展示区园林标准</t>
  </si>
  <si>
    <t>户型特性</t>
  </si>
  <si>
    <t>户型面积段</t>
  </si>
  <si>
    <t>/</t>
  </si>
  <si>
    <t>特殊户型：LOFT、公寓</t>
  </si>
  <si>
    <t>赠送方案</t>
  </si>
  <si>
    <t>超常规赠送</t>
  </si>
  <si>
    <t>赠送面积溢价</t>
  </si>
  <si>
    <t>其他</t>
  </si>
  <si>
    <t>不涉及</t>
  </si>
  <si>
    <t>地下</t>
  </si>
  <si>
    <t>地下空腔</t>
  </si>
  <si>
    <t>地上</t>
  </si>
  <si>
    <t>架空层</t>
  </si>
  <si>
    <t>桩基选型以及长度</t>
  </si>
  <si>
    <t>工程</t>
  </si>
  <si>
    <t>土方</t>
  </si>
  <si>
    <t>支护</t>
  </si>
  <si>
    <t>项目分期情况</t>
  </si>
  <si>
    <t>分期情况，开/竣</t>
  </si>
  <si>
    <t>合约</t>
  </si>
  <si>
    <t>特殊测算指标</t>
  </si>
  <si>
    <t>财务</t>
  </si>
  <si>
    <t>如税务跳点处理</t>
  </si>
  <si>
    <t>法务</t>
  </si>
  <si>
    <t>如客户投诉风险</t>
  </si>
  <si>
    <t>报建</t>
  </si>
  <si>
    <t>配套</t>
  </si>
  <si>
    <t>如所属区位专业垄断要求、收费标准</t>
  </si>
  <si>
    <t>总则</t>
  </si>
  <si>
    <t>一、商业项目名词解释</t>
  </si>
  <si>
    <t>分类</t>
  </si>
  <si>
    <t>指标名称</t>
  </si>
  <si>
    <t>指标分项</t>
  </si>
  <si>
    <t>单位</t>
  </si>
  <si>
    <t>设计控制值</t>
  </si>
  <si>
    <t>控制等级</t>
  </si>
  <si>
    <t>计算规则</t>
  </si>
  <si>
    <t>备注</t>
  </si>
  <si>
    <t>用地规划指标</t>
  </si>
  <si>
    <t>建筑密度</t>
  </si>
  <si>
    <t>集中商业</t>
  </si>
  <si>
    <t>-</t>
  </si>
  <si>
    <t>≥60%</t>
  </si>
  <si>
    <t>参考值</t>
  </si>
  <si>
    <t>住宅与商业同一块地时，争取地块间平衡覆盖率。</t>
  </si>
  <si>
    <t>《商业项目投资可研阶段方案设计控制参考指标》</t>
  </si>
  <si>
    <t>绿化率</t>
  </si>
  <si>
    <t>≥15%</t>
  </si>
  <si>
    <t>住宅与商业同一块地时，争取地块间平衡绿化率。</t>
  </si>
  <si>
    <t>规划设计控制指标</t>
  </si>
  <si>
    <t>地库控制指标</t>
  </si>
  <si>
    <t>地库建筑面积</t>
  </si>
  <si>
    <t>㎡</t>
  </si>
  <si>
    <t>地库建筑面积=地下商业面积+塔楼地下面积+地下车库面积+地下设备机房面积+配套面积+非机动车库面积</t>
  </si>
  <si>
    <t>1、塔楼地下面积指地库内塔楼核心筒及地下大堂面积。_x000D_
2、地下车库面积指地下停车库及服务于停车库的设备用房面积。_x000D_
3、地下设备机房面积指服务于商业的设备用房面积。_x000D_
4、配套面积指地下物业管理用房、后勤用房；酒店项目中酒店后勤等辅助功能用房面积。</t>
  </si>
  <si>
    <t>地下商业建筑面积</t>
  </si>
  <si>
    <t>即地下商业面积</t>
  </si>
  <si>
    <t>成本测算需要_x000D_
引用拆分指标</t>
  </si>
  <si>
    <t>地下建筑面积（非商业）</t>
  </si>
  <si>
    <t>地下建筑面积（非商业）=塔楼地下面积+地下车库面积+地下设备机房面积+配套面积+非机动车库面积</t>
  </si>
  <si>
    <t>机动车单车位指标</t>
  </si>
  <si>
    <t>无人防或人防占地库面积≤10%</t>
  </si>
  <si>
    <t>㎡/车位</t>
  </si>
  <si>
    <t>强控值</t>
  </si>
  <si>
    <t>机动车单车位指标=地下车库面积/地下机动车位总数</t>
  </si>
  <si>
    <t>1、机械车位按一层车位计算停车位数。</t>
  </si>
  <si>
    <t>人防占地库面积＞10%</t>
  </si>
  <si>
    <t>地下设备机房面积配比</t>
  </si>
  <si>
    <t>地下设备机房面积配比=地下设备机房面积/商业业态建筑面积</t>
  </si>
  <si>
    <t>1、商业业态建筑面积指集中商业、写字楼、酒店项目中对应各业态的地上、地下建筑面积之和，不含停车库、公共卸货平台、主要设备机房及地下部分的后勤服务及疏散等建筑面积。</t>
  </si>
  <si>
    <t>写字楼</t>
  </si>
  <si>
    <t>3.5%_x000D_
（写字楼建筑面积8≥万平米）</t>
  </si>
  <si>
    <t>4%_x000D_
（写字楼建筑面积5-8万平米）</t>
  </si>
  <si>
    <t>4.5%_x000D_
（写字楼建筑面积≤5万平米）</t>
  </si>
  <si>
    <t>酒店</t>
  </si>
  <si>
    <t>集中_x000D_
商业</t>
  </si>
  <si>
    <t>得铺率</t>
  </si>
  <si>
    <t>综合得铺率=可租赁建筑面积/商业建筑面积</t>
  </si>
  <si>
    <t>1、商业建筑面积（GFA）：指建设用地范围内各层商业建筑面积之和，不含停车库、公共卸货平台、主要设备机房及地下部分的后勤服务及疏散等建筑面积。_x000D_
2、可租赁建筑面积（GLA）：店铺租赁面积加该店铺独立使用的垂直交通、疏散、机房、后勤区等辅助功能面积。（具体详见《集中商业设计指引及配置标准》）</t>
  </si>
  <si>
    <t>地上商业建筑面积</t>
  </si>
  <si>
    <t>即上述地上各层商业建筑面积之和</t>
  </si>
  <si>
    <t>小铺率</t>
  </si>
  <si>
    <t>%</t>
  </si>
  <si>
    <t>小铺率=面积150m2以下的小铺数量/铺位总数量（数量比）</t>
  </si>
  <si>
    <t>150m2以下店铺的数量占比</t>
  </si>
  <si>
    <t>《集中商业设计指引及配置标准》</t>
  </si>
  <si>
    <t>主力店占比</t>
  </si>
  <si>
    <t>主力店占比=主力店面积/可租赁建筑面积（面积比）</t>
  </si>
  <si>
    <t>主力店指商管公司确认的主力店店铺类型，如影院、超市等</t>
  </si>
  <si>
    <t>层高</t>
  </si>
  <si>
    <t>m</t>
  </si>
  <si>
    <t>负一层5.7_x000D_
首层6_x000D_
二层以上5.4</t>
  </si>
  <si>
    <t>此项为可研阶段拿地方案参考值</t>
  </si>
  <si>
    <t>写字楼控制指标</t>
  </si>
  <si>
    <t>实用率</t>
  </si>
  <si>
    <t>H≤100m</t>
  </si>
  <si>
    <t>≥75%</t>
  </si>
  <si>
    <t>综合实用率=办公可租赁总面积/（办公塔楼地上总建筑面积－避难区面积）</t>
  </si>
  <si>
    <t>1、实用率计算中标准层公共走道计入公摊面积。</t>
  </si>
  <si>
    <t>100m＜H≤150m</t>
  </si>
  <si>
    <t>≥73%</t>
  </si>
  <si>
    <t>150m＜H≤200m</t>
  </si>
  <si>
    <t>≥71%</t>
  </si>
  <si>
    <t>4.2~4.5</t>
  </si>
  <si>
    <t>标准层面积</t>
  </si>
  <si>
    <t>1500~2000</t>
  </si>
  <si>
    <t>1800~2200</t>
  </si>
  <si>
    <t>2000~2200</t>
  </si>
  <si>
    <t>办公可租赁总面积</t>
  </si>
  <si>
    <t>各户套内有产权的建筑面积之和</t>
  </si>
  <si>
    <t>《写字楼设计指引及配置标准》</t>
  </si>
  <si>
    <t>通风量</t>
  </si>
  <si>
    <t>次/h</t>
  </si>
  <si>
    <t>单位时间内被排出或进入的空气数量</t>
  </si>
  <si>
    <t>供电指标</t>
  </si>
  <si>
    <t>w/㎡</t>
  </si>
  <si>
    <t>单位面积用电负荷</t>
  </si>
  <si>
    <t>避难层面积</t>
  </si>
  <si>
    <t>投资阶段进行写字楼项目面积指标测算时应考虑避难层面积。</t>
  </si>
  <si>
    <t>酒店控制指标</t>
  </si>
  <si>
    <t>酒店建筑面积</t>
  </si>
  <si>
    <t>五星级</t>
  </si>
  <si>
    <t>30000~40000</t>
  </si>
  <si>
    <t>酒店建筑面积=地上酒店建筑面积+地下酒店建筑面积_x000D_
_x000D_
_x000D_
单客房面积=酒店建筑面积/总客房数</t>
  </si>
  <si>
    <t>1、酒店建筑面积：指地上酒店建筑面积与地下酒店建筑面积和，其中地下酒店建筑面积含为酒店配套的服务用房、设备用房、物业用房、后勤用房、库房、管井等，不含地下车库、人防。_x000D_
2、自然间：指酒店客房的最小分隔单元，即一个BAY 。_x000D_
3、钥匙间（key）：对应酒店经营管理中的术语，一个钥匙间可以包含几个自然间。_x000D_
4、总客房数：对应钥匙间总数。5、单客房面积：每间客房平摊建筑面积。</t>
  </si>
  <si>
    <t>总客房数</t>
  </si>
  <si>
    <t>间</t>
  </si>
  <si>
    <t>250~350</t>
  </si>
  <si>
    <t>单客房面积</t>
  </si>
  <si>
    <t>㎡/key</t>
  </si>
  <si>
    <t>125~140</t>
  </si>
  <si>
    <t>四星级</t>
  </si>
  <si>
    <t>21600~30000</t>
  </si>
  <si>
    <t>90~100</t>
  </si>
  <si>
    <t>三星级</t>
  </si>
  <si>
    <t>9000~12000</t>
  </si>
  <si>
    <t>200~250</t>
  </si>
  <si>
    <t>55~65</t>
  </si>
  <si>
    <t>套房占比</t>
  </si>
  <si>
    <t>套房占比=套房总数量/客房总数量</t>
  </si>
  <si>
    <t>《酒店设计指引及配置标准》</t>
  </si>
  <si>
    <t>标准客房开间</t>
  </si>
  <si>
    <t>1、此项为可研阶段拿地方案参考值。_x000D_
2、此项数值为轴间距。</t>
  </si>
  <si>
    <t>3.8~4.0</t>
  </si>
  <si>
    <t>二、面积及成本分摊原则</t>
  </si>
  <si>
    <t>2.1各专业系统建安成本分摊原则</t>
  </si>
  <si>
    <t>成本科目</t>
  </si>
  <si>
    <t>成本分摊原则</t>
  </si>
  <si>
    <t>精装修工程</t>
  </si>
  <si>
    <t>写字楼或酒店地下大堂（或电梯厅）精装修成本计入地上各业态成本。</t>
  </si>
  <si>
    <t>幕墙工程</t>
  </si>
  <si>
    <t>地下外立面工程（如下沉广场幕墙）成本计入地上各业态成本中。</t>
  </si>
  <si>
    <t>电梯工程</t>
  </si>
  <si>
    <t>商业项目（含地上、地下）分摊所有直梯成本，商业项目内部扶梯及自动坡道计入商业成本；</t>
  </si>
  <si>
    <t>地库不分摊直梯成本；地下商业与地库相通的扶梯及自动坡道成本计入商业项目成本。</t>
  </si>
  <si>
    <t>常规机电-电气工程</t>
  </si>
  <si>
    <t>按受益者分摊原则，分摊地下室内服务于本业态的设备及线缆。</t>
  </si>
  <si>
    <t>地库不分摊为空调设备、水泵房、消防泵房服务的配电指标成本，此部分成本按受益者分摊原则以对应服务业态建筑面积占比（或用电负荷占比）分摊至各业态成本。</t>
  </si>
  <si>
    <t>常规机电-给排水工程</t>
  </si>
  <si>
    <t>按受益者分摊原则，分摊地下室内服务于本业态的设备及主管线。</t>
  </si>
  <si>
    <t>地库不分摊给水泵房及主管道成本（含中水、雨水、直饮水等），此部分成本按受益者分摊原则以设备及管线服务业态分摊至各业态成本。</t>
  </si>
  <si>
    <t>暖通空调</t>
  </si>
  <si>
    <t>按各类型空调系统末端服务建筑面积分摊至各业态成本。</t>
  </si>
  <si>
    <t>地库不分摊空调冷热源设备及主管线成本，此部分成本按对应服务业态建筑面积占比分摊至各业态成本。</t>
  </si>
  <si>
    <t>消防工程</t>
  </si>
  <si>
    <t>消防水泵房及主管线按受益者分摊原则以对应服务业态建筑面积占比分摊至各业态成本。</t>
  </si>
  <si>
    <t>智能化系统</t>
  </si>
  <si>
    <t>除停车场管理相关系统外，其余智能化系统按各业态建筑面积（除地下非商业外）占比分摊至各业态成本。</t>
  </si>
  <si>
    <t>停车场管理相关系统计入地库成本。</t>
  </si>
  <si>
    <t>泛光照明</t>
  </si>
  <si>
    <t>泛光照明成本仅计入到各商业项目业态成本。</t>
  </si>
  <si>
    <t>地库不分摊泛光照明成本。</t>
  </si>
  <si>
    <t>2.2各物业类型毛坯建安成本分摊原则（商业项目无户内精装修科目）</t>
  </si>
  <si>
    <t>分摊内容</t>
  </si>
  <si>
    <t>分摊原则</t>
  </si>
  <si>
    <t>面积</t>
  </si>
  <si>
    <t>成本</t>
  </si>
  <si>
    <t>前期工程</t>
  </si>
  <si>
    <t>√</t>
  </si>
  <si>
    <r>
      <rPr>
        <sz val="8"/>
        <color theme="1"/>
        <rFont val="宋体"/>
        <family val="2"/>
        <scheme val="minor"/>
      </rPr>
      <t>以各建筑单体的</t>
    </r>
    <r>
      <rPr>
        <b/>
        <sz val="8"/>
        <color rgb="FFFF0000"/>
        <rFont val="宋体"/>
        <family val="2"/>
        <scheme val="minor"/>
      </rPr>
      <t>地上建筑面积</t>
    </r>
    <r>
      <rPr>
        <sz val="8"/>
        <color theme="1"/>
        <rFont val="宋体"/>
        <family val="2"/>
        <scheme val="minor"/>
      </rPr>
      <t>占比分摊（</t>
    </r>
    <r>
      <rPr>
        <b/>
        <sz val="8"/>
        <color rgb="FFFF0000"/>
        <rFont val="宋体"/>
        <family val="2"/>
        <scheme val="minor"/>
      </rPr>
      <t>地下商业建筑面积</t>
    </r>
    <r>
      <rPr>
        <sz val="8"/>
        <color theme="1"/>
        <rFont val="宋体"/>
        <family val="2"/>
        <scheme val="minor"/>
      </rPr>
      <t>参与成本分摊）。</t>
    </r>
  </si>
  <si>
    <t>桩基础工程</t>
  </si>
  <si>
    <t>岩土工程</t>
  </si>
  <si>
    <t>地库及机房</t>
  </si>
  <si>
    <r>
      <rPr>
        <sz val="8"/>
        <color theme="1"/>
        <rFont val="宋体"/>
        <family val="2"/>
        <scheme val="minor"/>
      </rPr>
      <t>以地库上建筑单体的</t>
    </r>
    <r>
      <rPr>
        <b/>
        <sz val="8"/>
        <color rgb="FFFF0000"/>
        <rFont val="宋体"/>
        <family val="2"/>
        <scheme val="minor"/>
      </rPr>
      <t>地上建筑面积</t>
    </r>
    <r>
      <rPr>
        <sz val="8"/>
        <color theme="1"/>
        <rFont val="宋体"/>
        <family val="2"/>
        <scheme val="minor"/>
      </rPr>
      <t>占比分摊（</t>
    </r>
    <r>
      <rPr>
        <b/>
        <sz val="8"/>
        <color rgb="FFFF0000"/>
        <rFont val="宋体"/>
        <family val="2"/>
        <scheme val="minor"/>
      </rPr>
      <t>地下商业建筑面积</t>
    </r>
    <r>
      <rPr>
        <sz val="8"/>
        <color theme="1"/>
        <rFont val="宋体"/>
        <family val="2"/>
        <scheme val="minor"/>
      </rPr>
      <t>参与成本分摊）。</t>
    </r>
  </si>
  <si>
    <t>不分摊</t>
  </si>
  <si>
    <t>全部属于集中商业成本</t>
  </si>
  <si>
    <t>全部属于写字楼成本</t>
  </si>
  <si>
    <t>全部属于酒店成本</t>
  </si>
  <si>
    <t>配套工程</t>
  </si>
  <si>
    <t>室外工程</t>
  </si>
  <si>
    <t>基础设施工程</t>
  </si>
  <si>
    <t>卖场包装费用</t>
  </si>
  <si>
    <t>三、不可预见费记取原则</t>
  </si>
  <si>
    <t>1、设置条件：300米以上超高层建筑或重大重要商业项目可研究设置不可预见费。</t>
  </si>
  <si>
    <t>2、使用条件：项目方案重有大调整、主要材料市场涨价等情况。</t>
  </si>
  <si>
    <t>四、填写色块说明</t>
  </si>
  <si>
    <t>1）白色表格需手动输入；_x000D_
2）绿色、灰色表格无法输入、自动链接生成；其中绿色为关键指标、灰色为基础数据链接；</t>
  </si>
  <si>
    <t>五、固定、暂定、弹性成本划分原则</t>
  </si>
  <si>
    <r>
      <rPr>
        <sz val="10"/>
        <rFont val="宋体"/>
        <family val="2"/>
        <scheme val="minor"/>
      </rPr>
      <t>1）暂定成本：前期工程、桩基础工程、岩土工程、配套工程；_x000D_
2）固定：土建工程（建筑工程、人防工程、防水工程、防火门工程）、钢结构工程、常规机电工程、消防工程；_x000D_
3）弹性：外立面工程（幕墙工程、外立面门窗工程、外墙保温工程）、精装修工程、门类工程（入户门工程、大堂门工程）、栏杆工程、电梯工程、暖通空调工程、</t>
    </r>
    <r>
      <rPr>
        <sz val="10"/>
        <color theme="1"/>
        <rFont val="宋体"/>
        <family val="2"/>
        <scheme val="minor"/>
      </rPr>
      <t>智能化工程、泛光照明工程、景观工程、标识工程。</t>
    </r>
  </si>
  <si>
    <t>六、各业态适用范围说明</t>
  </si>
  <si>
    <t>示例一：独立集中商业，划分为2个业态，地库+集中商业；
示例二：独立写字楼，划分为2个业态，地库+写字楼；
示例三：独立酒店，划分为2个业态，地库+酒店；
示例四：综合体商业+写字楼，划分为3个业态，地库+集中商业+写字楼
示例五：综合体商业+酒店，划分为3个业态，地库+集中商业+酒店
示例六：综合体酒店+写字楼，划分为3个业态，地库+酒店+写字楼
示例七：综合体商业+酒店+写字楼，划分为4个业态，地库+集中商业+酒店+写字楼
示例八：如存在长租公寓，长租公寓与其他商业业态划分口径一致</t>
  </si>
  <si>
    <t>一、基础信息</t>
  </si>
  <si>
    <t>C020001</t>
  </si>
  <si>
    <t>1、通用</t>
  </si>
  <si>
    <t>2、住宅</t>
  </si>
  <si>
    <t>3、集中商业</t>
  </si>
  <si>
    <t>4、写字楼</t>
  </si>
  <si>
    <t>5、酒店</t>
  </si>
  <si>
    <t>C020002</t>
  </si>
  <si>
    <t>编码</t>
  </si>
  <si>
    <t>基础信息</t>
  </si>
  <si>
    <t>指标值</t>
  </si>
  <si>
    <t>属性</t>
  </si>
  <si>
    <t>C020003</t>
  </si>
  <si>
    <t>PJ.01.03</t>
  </si>
  <si>
    <t>总建筑面积</t>
  </si>
  <si>
    <t>通用</t>
  </si>
  <si>
    <t>PJ.02.10.01</t>
  </si>
  <si>
    <t>项目定档</t>
  </si>
  <si>
    <t>住宅</t>
  </si>
  <si>
    <t>C020004</t>
  </si>
  <si>
    <t>PJ.01.01</t>
  </si>
  <si>
    <t>地上建筑面积</t>
  </si>
  <si>
    <t>PJ.02.02.01</t>
  </si>
  <si>
    <t>总计容面积</t>
  </si>
  <si>
    <t>PJ.03.10</t>
  </si>
  <si>
    <t>集中商业建筑面积</t>
  </si>
  <si>
    <t>PJ.04.10</t>
  </si>
  <si>
    <t>写字楼建筑面积</t>
  </si>
  <si>
    <t>PJ.05.10</t>
  </si>
  <si>
    <t>酒店总建筑面积</t>
  </si>
  <si>
    <t>C020005</t>
  </si>
  <si>
    <t>PJ.01.02</t>
  </si>
  <si>
    <t>地下建筑面积</t>
  </si>
  <si>
    <t>PJ.02.02.02</t>
  </si>
  <si>
    <t>地上计容面积</t>
  </si>
  <si>
    <t>PJ.03.10.01</t>
  </si>
  <si>
    <t>集中商业（地下）建筑面积</t>
  </si>
  <si>
    <t>PJ.04.11</t>
  </si>
  <si>
    <t>办公可租赁面积</t>
  </si>
  <si>
    <t>PJ.05.10.01</t>
  </si>
  <si>
    <t>酒店地上建筑面积</t>
  </si>
  <si>
    <t>C020006</t>
  </si>
  <si>
    <t>PJ.01.43</t>
  </si>
  <si>
    <t>总商业建筑面积</t>
  </si>
  <si>
    <t>PJ.02.02.03</t>
  </si>
  <si>
    <t>地下计容面积</t>
  </si>
  <si>
    <t>PJ.03.10.02</t>
  </si>
  <si>
    <t>集中商业（地上）建筑面积</t>
  </si>
  <si>
    <t>PJ.04.12</t>
  </si>
  <si>
    <t>写字楼租赁展示区面积</t>
  </si>
  <si>
    <t>PJ.05.10.02</t>
  </si>
  <si>
    <t>酒店地下建筑面积</t>
  </si>
  <si>
    <t>C020007</t>
  </si>
  <si>
    <t>PJ.01.03.01</t>
  </si>
  <si>
    <t>PJ.02.01</t>
  </si>
  <si>
    <t>容积率</t>
  </si>
  <si>
    <t>㎡/㎡</t>
  </si>
  <si>
    <t>PJ.03.11</t>
  </si>
  <si>
    <t>可租赁建筑面积</t>
  </si>
  <si>
    <t>PJ.04.13</t>
  </si>
  <si>
    <t>避难区面积</t>
  </si>
  <si>
    <t>PJ.05.11</t>
  </si>
  <si>
    <t>客房总数</t>
  </si>
  <si>
    <t>key</t>
  </si>
  <si>
    <t>C020008</t>
  </si>
  <si>
    <t>PJ.01.03.02</t>
  </si>
  <si>
    <t>PJ.01.12</t>
  </si>
  <si>
    <t>户数</t>
  </si>
  <si>
    <t>户</t>
  </si>
  <si>
    <t>PJ.03.11.01</t>
  </si>
  <si>
    <t>地上可租赁建筑面积</t>
  </si>
  <si>
    <t>PJ.04.14</t>
  </si>
  <si>
    <t>PJ.05.12</t>
  </si>
  <si>
    <t>套房总数</t>
  </si>
  <si>
    <t>C020009</t>
  </si>
  <si>
    <t>PJ.01.06</t>
  </si>
  <si>
    <t>总建造面积</t>
  </si>
  <si>
    <t>PJ.80.38</t>
  </si>
  <si>
    <t>可售率</t>
  </si>
  <si>
    <t>PJ.03.11.02</t>
  </si>
  <si>
    <t>地下可租赁建筑面积</t>
  </si>
  <si>
    <t>PJ.04.15</t>
  </si>
  <si>
    <t>标准层层高</t>
  </si>
  <si>
    <t>PJ.05.13</t>
  </si>
  <si>
    <t>C0200010</t>
  </si>
  <si>
    <t>PJ.01.04</t>
  </si>
  <si>
    <t>地上建造面积</t>
  </si>
  <si>
    <t>PJ.01.14</t>
  </si>
  <si>
    <t>可售面积</t>
  </si>
  <si>
    <t>PJ.03.13</t>
  </si>
  <si>
    <t>公共区域精装面积</t>
  </si>
  <si>
    <t>PJ.04.16</t>
  </si>
  <si>
    <t>标准层净高</t>
  </si>
  <si>
    <t>PJ.05.14</t>
  </si>
  <si>
    <t>C0200011</t>
  </si>
  <si>
    <t>PJ.01.05</t>
  </si>
  <si>
    <t>地下建造面积</t>
  </si>
  <si>
    <t>PJ.02.03.01</t>
  </si>
  <si>
    <t>套内面积</t>
  </si>
  <si>
    <t>PJ.03.14</t>
  </si>
  <si>
    <t>PJ.04.17</t>
  </si>
  <si>
    <t>建筑高度</t>
  </si>
  <si>
    <t>PJ.05.15</t>
  </si>
  <si>
    <t>C0200012</t>
  </si>
  <si>
    <t>PJ.80.37</t>
  </si>
  <si>
    <t>占地面积</t>
  </si>
  <si>
    <t>PJ.02.04.01</t>
  </si>
  <si>
    <t>得房率</t>
  </si>
  <si>
    <t>PJ.03.15</t>
  </si>
  <si>
    <t>PJ.04.18</t>
  </si>
  <si>
    <t>结构高度</t>
  </si>
  <si>
    <t>PJ.05.16</t>
  </si>
  <si>
    <t>C0200013</t>
  </si>
  <si>
    <t>PJ.01.20</t>
  </si>
  <si>
    <t>室外面积</t>
  </si>
  <si>
    <t>PJ.02.02.04</t>
  </si>
  <si>
    <t>室外面积占比
（室外/占地）</t>
  </si>
  <si>
    <t>PJ.03.16</t>
  </si>
  <si>
    <t>PJ.04.19</t>
  </si>
  <si>
    <t>PJ.05.20</t>
  </si>
  <si>
    <t>综合用电指标</t>
  </si>
  <si>
    <t>（VA/㎡）</t>
  </si>
  <si>
    <t>C0200014</t>
  </si>
  <si>
    <t>PJ.01.22</t>
  </si>
  <si>
    <t>基坑面积</t>
  </si>
  <si>
    <t>PJ.02.02.05</t>
  </si>
  <si>
    <t>绿地率
（规划指标）</t>
  </si>
  <si>
    <t>商场租赁展示区面积</t>
  </si>
  <si>
    <t>PJ.04.20</t>
  </si>
  <si>
    <t>PJ.05.21</t>
  </si>
  <si>
    <t>供冷指标</t>
  </si>
  <si>
    <t>C0200015</t>
  </si>
  <si>
    <t>PJ.80.36</t>
  </si>
  <si>
    <t>基坑延米长度</t>
  </si>
  <si>
    <t>延米</t>
  </si>
  <si>
    <t>PJ.02.02.06</t>
  </si>
  <si>
    <t>硬景占比
（硬景/室外）</t>
  </si>
  <si>
    <t>PJ.04.21</t>
  </si>
  <si>
    <t>PJ.05.19</t>
  </si>
  <si>
    <t>酒店星级</t>
  </si>
  <si>
    <t>C0200016</t>
  </si>
  <si>
    <t>PJ.80.40</t>
  </si>
  <si>
    <t>总装机容量</t>
  </si>
  <si>
    <t>KVA</t>
  </si>
  <si>
    <t>PJ.02.02.07</t>
  </si>
  <si>
    <t>软景占比
（软景/室外）</t>
  </si>
  <si>
    <t>PJ.04.22</t>
  </si>
  <si>
    <t>行业认证</t>
  </si>
  <si>
    <t>PJ.05.22</t>
  </si>
  <si>
    <t>C0200017</t>
  </si>
  <si>
    <t>PJ.80.34</t>
  </si>
  <si>
    <t>高压干线长度含通道</t>
  </si>
  <si>
    <t>km</t>
  </si>
  <si>
    <t>PJ.02.03.02</t>
  </si>
  <si>
    <t>水景面积</t>
  </si>
  <si>
    <t>C0200018</t>
  </si>
  <si>
    <t>PJ.02.12</t>
  </si>
  <si>
    <t>车位数</t>
  </si>
  <si>
    <t>个</t>
  </si>
  <si>
    <t>PJ.01.15</t>
  </si>
  <si>
    <t>户内装饰面积</t>
  </si>
  <si>
    <t>C0200019</t>
  </si>
  <si>
    <t>PJ.01.02.01</t>
  </si>
  <si>
    <t>地下车位数</t>
  </si>
  <si>
    <t>PJ.01.17</t>
  </si>
  <si>
    <t>赠送面积</t>
  </si>
  <si>
    <t>C0200020</t>
  </si>
  <si>
    <t>PJ.02.04</t>
  </si>
  <si>
    <t>机动车单车位面积
（不含地下配套、可售）</t>
  </si>
  <si>
    <t>㎡/个</t>
  </si>
  <si>
    <t>PJ.01.21</t>
  </si>
  <si>
    <t>卖场总面积
（含样板房）</t>
  </si>
  <si>
    <t>C0200021</t>
  </si>
  <si>
    <t>PJ.80.08</t>
  </si>
  <si>
    <t>充电桩数量</t>
  </si>
  <si>
    <t>(个)</t>
  </si>
  <si>
    <t>PJ.02.03.03</t>
  </si>
  <si>
    <t>售楼处面积</t>
  </si>
  <si>
    <t>C0200022</t>
  </si>
  <si>
    <t>PJ.80.35</t>
  </si>
  <si>
    <t>停车场出入口数量</t>
  </si>
  <si>
    <t>PJ.02.04.02</t>
  </si>
  <si>
    <t>样板房数量</t>
  </si>
  <si>
    <t>C0200023</t>
  </si>
  <si>
    <t>PJ.01.02.02</t>
  </si>
  <si>
    <t>地下车库-1F层高</t>
  </si>
  <si>
    <t>PJ.02.03.04</t>
  </si>
  <si>
    <t>样板房总面积</t>
  </si>
  <si>
    <t>C0200024</t>
  </si>
  <si>
    <t>PJ.01.02.03</t>
  </si>
  <si>
    <t>地下车库-2F层高</t>
  </si>
  <si>
    <t>PJ.02.05.01</t>
  </si>
  <si>
    <t>看房通道长度</t>
  </si>
  <si>
    <t>C0200025</t>
  </si>
  <si>
    <t>PJ.01.02.04</t>
  </si>
  <si>
    <t>地下车库-3F层高</t>
  </si>
  <si>
    <t>PJ.80.33</t>
  </si>
  <si>
    <t>示范区室外面积</t>
  </si>
  <si>
    <t>C0200026</t>
  </si>
  <si>
    <t>C0200027</t>
  </si>
  <si>
    <t>C0200028</t>
  </si>
  <si>
    <t>二、信息明细</t>
  </si>
  <si>
    <t>C0200029</t>
  </si>
  <si>
    <t>1、住宅</t>
  </si>
  <si>
    <t>C0200030</t>
  </si>
  <si>
    <t>业态/楼栋</t>
  </si>
  <si>
    <t>建筑面积
（㎡）</t>
  </si>
  <si>
    <t>计容面积
（㎡）</t>
  </si>
  <si>
    <t>可售面积
（㎡）</t>
  </si>
  <si>
    <t>套内面积
（㎡）</t>
  </si>
  <si>
    <t>户内装饰面积
（㎡）</t>
  </si>
  <si>
    <t>赠送/空腔面积
（㎡）</t>
  </si>
  <si>
    <t>建造面积_x000D_
（业态）</t>
  </si>
  <si>
    <t>电梯数</t>
  </si>
  <si>
    <t>单个电梯厅面积_x000D_
（m2/个）</t>
  </si>
  <si>
    <t>电梯厅数量</t>
  </si>
  <si>
    <t>电梯厅总面积_x000D_
（m2）</t>
  </si>
  <si>
    <t>单个大堂面积（m2/个）</t>
  </si>
  <si>
    <t>大堂数量</t>
  </si>
  <si>
    <t>大堂总面积_x000D_
（m2）</t>
  </si>
  <si>
    <t>单个标准层连廊面积_x000D_
（m2/个）</t>
  </si>
  <si>
    <t>标准层连廊数量</t>
  </si>
  <si>
    <t>标准层连廊总面积_x000D_
（m2）</t>
  </si>
  <si>
    <t>单个地下大堂面积_x000D_
（m2/个）</t>
  </si>
  <si>
    <t>地下大堂数量</t>
  </si>
  <si>
    <t>地下大堂总面积_x000D_
（m2）</t>
  </si>
  <si>
    <t>单个车马厅面积_x000D_
（m2/个）</t>
  </si>
  <si>
    <t>车马厅数量</t>
  </si>
  <si>
    <t>车马厅总面积_x000D_
（m2）</t>
  </si>
  <si>
    <t>架空层面积_x000D_
（m2）</t>
  </si>
  <si>
    <t>楼层数</t>
  </si>
  <si>
    <t>标准层_x000D_层高_x000D_
（m）</t>
  </si>
  <si>
    <t>卫生间数</t>
  </si>
  <si>
    <t>墙积比</t>
  </si>
  <si>
    <t>外墙装饰面积</t>
  </si>
  <si>
    <t>楼栋数</t>
  </si>
  <si>
    <t>母婴室</t>
  </si>
  <si>
    <t>C0200031</t>
  </si>
  <si>
    <t>业态</t>
  </si>
  <si>
    <t>地下室其他(住宅)</t>
  </si>
  <si>
    <t>C02_21</t>
  </si>
  <si>
    <t>楼栋</t>
  </si>
  <si>
    <t>地下机动车库及机房</t>
  </si>
  <si>
    <t>C02_21_1</t>
  </si>
  <si>
    <t>地下规划配套</t>
  </si>
  <si>
    <t>C02_21_2</t>
  </si>
  <si>
    <t>地下可售</t>
  </si>
  <si>
    <t>C02_21_3</t>
  </si>
  <si>
    <t>$pname1$</t>
  </si>
  <si>
    <t>C02_$pcode1$</t>
  </si>
  <si>
    <t>A1-A3栋</t>
  </si>
  <si>
    <t>C02_$pcode1$_1</t>
  </si>
  <si>
    <r>
      <rPr>
        <sz val="10"/>
        <color rgb="FF333333"/>
        <rFont val="宋体"/>
        <family val="3"/>
        <charset val="134"/>
      </rPr>
      <t>A4-A6</t>
    </r>
    <r>
      <rPr>
        <sz val="10"/>
        <color rgb="FF333333"/>
        <rFont val="宋体"/>
        <family val="3"/>
        <charset val="134"/>
      </rPr>
      <t>栋</t>
    </r>
  </si>
  <si>
    <t>C02_$pcode1$_2</t>
  </si>
  <si>
    <t>普通多层</t>
  </si>
  <si>
    <t>C02_12</t>
  </si>
  <si>
    <t>C02_12_1</t>
  </si>
  <si>
    <t>C02_12_2</t>
  </si>
  <si>
    <t>小高层</t>
  </si>
  <si>
    <t>C02_13</t>
  </si>
  <si>
    <t>C02_13_1</t>
  </si>
  <si>
    <t>C02_13_2</t>
  </si>
  <si>
    <t>高层</t>
  </si>
  <si>
    <t>C02_14</t>
  </si>
  <si>
    <t>C02_14_1</t>
  </si>
  <si>
    <t>C02_14_2</t>
  </si>
  <si>
    <t>$pname2$</t>
  </si>
  <si>
    <t>C02_$pcode2$</t>
  </si>
  <si>
    <t>C02_$pcode2$_1</t>
  </si>
  <si>
    <t>C02_$pcode2$_2</t>
  </si>
  <si>
    <t>$pname3$</t>
  </si>
  <si>
    <t>C02_$pcode3$</t>
  </si>
  <si>
    <t>C02_$pcode3$_1</t>
  </si>
  <si>
    <t>C02_$pcode3$_2</t>
  </si>
  <si>
    <t>$pname4$</t>
  </si>
  <si>
    <t>C02_$pcode4$</t>
  </si>
  <si>
    <t>C02_$pcode4$_1</t>
  </si>
  <si>
    <t>C02_$pcode4$_2</t>
  </si>
  <si>
    <t>$pname5$</t>
  </si>
  <si>
    <t>C02_$pcode5$</t>
  </si>
  <si>
    <t>C02_$pcode5$_1</t>
  </si>
  <si>
    <t>C02_$pcode5$_2</t>
  </si>
  <si>
    <t>$pname6$</t>
  </si>
  <si>
    <t>C02_$pcode6$</t>
  </si>
  <si>
    <t>C02_$pcode6$_1</t>
  </si>
  <si>
    <t>C02_$pcode6$_2</t>
  </si>
  <si>
    <t>幼儿园</t>
  </si>
  <si>
    <t>C02_33</t>
  </si>
  <si>
    <t>C02_33_1</t>
  </si>
  <si>
    <t>C02_33_2</t>
  </si>
  <si>
    <t>其他公共配套</t>
  </si>
  <si>
    <t>C02_36</t>
  </si>
  <si>
    <t>C02_36_1</t>
  </si>
  <si>
    <t>C02_36_2</t>
  </si>
  <si>
    <t>合计</t>
  </si>
  <si>
    <t>C0299990</t>
  </si>
  <si>
    <t>2、商业</t>
  </si>
  <si>
    <t>C0200068</t>
  </si>
  <si>
    <t>建筑面积
（业态）
（㎡）</t>
  </si>
  <si>
    <t>地上建筑面积
（业态）
（㎡）</t>
  </si>
  <si>
    <t>地下建筑面积
（业态）
（㎡）</t>
  </si>
  <si>
    <t>建筑高度_x000D_
（m）</t>
  </si>
  <si>
    <t>结构高度_x000D_
（m）</t>
  </si>
  <si>
    <t>可租赁面积_x000D_
（㎡）</t>
  </si>
  <si>
    <t>商场租赁展示区面积
（㎡）</t>
  </si>
  <si>
    <t>写字楼租赁展示区面积
（㎡）</t>
  </si>
  <si>
    <t>避难区面积_x000D_
（㎡）</t>
  </si>
  <si>
    <t>通风量_x000D_
（次/h）</t>
  </si>
  <si>
    <t>综合用电指标
含空调
（VA/㎡）</t>
  </si>
  <si>
    <t>供冷指标_x000D_
（w/㎡）</t>
  </si>
  <si>
    <t>总楼层_x000D_
数量_x000D_
（层）</t>
  </si>
  <si>
    <t>标准层_x000D_
数量_x000D_
（层）</t>
  </si>
  <si>
    <t>标准层_x000D_
净高_x000D_
（m）</t>
  </si>
  <si>
    <t>标准层_x000D_
层高_x000D_
（m）</t>
  </si>
  <si>
    <t>标准层_x000D_
建筑面积_x000D_
（㎡）</t>
  </si>
  <si>
    <t>首层大堂_x000D_
面积_x000D_
（㎡）</t>
  </si>
  <si>
    <t>首层大_x000D_
堂数量_x000D_
（个）</t>
  </si>
  <si>
    <t>其他大堂_x000D_
面积_x000D_
（㎡）</t>
  </si>
  <si>
    <t>其他大堂_x000D_
数量_x000D_
（个）</t>
  </si>
  <si>
    <t>大堂
总数量
（个）</t>
  </si>
  <si>
    <t>大堂_x000D_
总面积_x000D_
（㎡）</t>
  </si>
  <si>
    <t>公共区域_x000D_
精装修面积_x000D_
（㎡）</t>
  </si>
  <si>
    <t>电梯厅_x000D_
装修面积_x000D_
（㎡）</t>
  </si>
  <si>
    <t>走道_x000D_
装修面积 _x000D_
（㎡）</t>
  </si>
  <si>
    <t>卫生间、饮水间装修面积
（㎡）</t>
  </si>
  <si>
    <t>茶水间、清洁间装修面积_x000D_
（㎡）</t>
  </si>
  <si>
    <t>宴会厅_x000D_
装修面积_x000D_
（㎡）</t>
  </si>
  <si>
    <t>餐厅_x000D_
装修面积_x000D_
（㎡）</t>
  </si>
  <si>
    <t>会议室_x000D_
装修面积_x000D_
（㎡）</t>
  </si>
  <si>
    <t>健身房_x000D_
装修面积_x000D_
（㎡）</t>
  </si>
  <si>
    <t>游泳池
装修面积
（㎡）</t>
  </si>
  <si>
    <t>SPA及棋牌室_x000D_
装修面积_x000D_
（㎡）</t>
  </si>
  <si>
    <t>厨房装修面积
（㎡）</t>
  </si>
  <si>
    <t>精装区域面积_x000D_
（㎡）</t>
  </si>
  <si>
    <t>后勤区域_x000D_
面积_x000D_
（㎡）</t>
  </si>
  <si>
    <t>货梯或VIP电梯厅总面积_x000D_
（㎡）</t>
  </si>
  <si>
    <t>避难层_x000D_
总面积_x000D_
（㎡）</t>
  </si>
  <si>
    <t>避难层个数_x000D_
（层）</t>
  </si>
  <si>
    <t>非精装区域面积_x000D_
（㎡）</t>
  </si>
  <si>
    <t>电梯总数_x000D_
（部）</t>
  </si>
  <si>
    <t>直梯竖向分区_x000D_
（个）</t>
  </si>
  <si>
    <t>直梯数量
（部）</t>
  </si>
  <si>
    <t>扶梯数量
（部）</t>
  </si>
  <si>
    <t>自动坡道数量（部）</t>
  </si>
  <si>
    <t>直梯轿厢二次装饰数量
（部）</t>
  </si>
  <si>
    <t>扶梯、自动坡道装饰总数
（部）</t>
  </si>
  <si>
    <t>单层出租区或商铺面积_x000D_
（㎡）</t>
  </si>
  <si>
    <t>出租区或商铺总面积_x000D_
（㎡）</t>
  </si>
  <si>
    <t>冰场面积_x000D_
（㎡）</t>
  </si>
  <si>
    <t>电影院面积_x000D_
（㎡）</t>
  </si>
  <si>
    <t>OZ面积_x000D_
（㎡）</t>
  </si>
  <si>
    <t>商务中心面积_x000D_
（㎡）</t>
  </si>
  <si>
    <t>商务休闲区面积_x000D_
（㎡）</t>
  </si>
  <si>
    <t>多功能培训室面积_x000D_
（㎡）</t>
  </si>
  <si>
    <t>会议中心（楼层）面积_x000D_
（㎡）</t>
  </si>
  <si>
    <t>专项工程_x000D_
总面积_x000D_
（㎡）</t>
  </si>
  <si>
    <t>大床房_x000D_
面积_x000D_
（㎡/间）</t>
  </si>
  <si>
    <t>大床房
数量
（间）</t>
  </si>
  <si>
    <t>双床房_x000D_
面积_x000D_
（㎡/间）</t>
  </si>
  <si>
    <t>双床房_x000D_
数量_x000D_
（间）</t>
  </si>
  <si>
    <t>家庭房_x000D_
面积_x000D_
（㎡/间）</t>
  </si>
  <si>
    <t>家庭_x000D_
房数量_x000D_
（间）</t>
  </si>
  <si>
    <t>总统套房
面积
（㎡/间）</t>
  </si>
  <si>
    <t>总统套房
数量
（间）</t>
  </si>
  <si>
    <t>客房总数（间）</t>
  </si>
  <si>
    <t>酒店客房精装区域面积_x000D_
（㎡）</t>
  </si>
  <si>
    <t>玻璃幕墙_x000D_
面积_x000D_
（㎡）</t>
  </si>
  <si>
    <t>外墙石材幕墙面积_x000D_
（㎡）</t>
  </si>
  <si>
    <t>外墙金属板幕墙面积_x000D_
（㎡）</t>
  </si>
  <si>
    <t>下沉广场幕墙面积_x000D_
（㎡）</t>
  </si>
  <si>
    <t>其他幕墙体系面积_x000D_
（㎡）</t>
  </si>
  <si>
    <t>幕墙总面积_x000D_
（㎡）</t>
  </si>
  <si>
    <t>充电桩_x000D_
快充</t>
  </si>
  <si>
    <t>充电桩_x000D_
慢充</t>
  </si>
  <si>
    <t>C0200069</t>
  </si>
  <si>
    <r>
      <rPr>
        <b/>
        <sz val="10"/>
        <color rgb="FF333333"/>
        <rFont val="宋体"/>
        <family val="3"/>
        <charset val="134"/>
      </rPr>
      <t>地库及机房</t>
    </r>
    <r>
      <rPr>
        <b/>
        <sz val="10"/>
        <color rgb="FF333333"/>
        <rFont val="Tahoma"/>
        <family val="2"/>
      </rPr>
      <t>(</t>
    </r>
    <r>
      <rPr>
        <b/>
        <sz val="10"/>
        <color rgb="FF333333"/>
        <rFont val="宋体"/>
        <family val="3"/>
        <charset val="134"/>
      </rPr>
      <t>商业</t>
    </r>
    <r>
      <rPr>
        <b/>
        <sz val="10"/>
        <color rgb="FF333333"/>
        <rFont val="Tahoma"/>
        <family val="2"/>
      </rPr>
      <t>)</t>
    </r>
  </si>
  <si>
    <t>C02_20012</t>
  </si>
  <si>
    <t>C02_20012_1</t>
  </si>
  <si>
    <t>C02_20012_2</t>
  </si>
  <si>
    <t>$pnames01$集中商业</t>
  </si>
  <si>
    <t>C02_$pcodes01$</t>
  </si>
  <si>
    <t>C02_$pcodes01$_1</t>
  </si>
  <si>
    <t>C02_$pcodes01$_2</t>
  </si>
  <si>
    <t>$pnamex01$写字楼</t>
  </si>
  <si>
    <t>C02_$pcodex01$</t>
  </si>
  <si>
    <t>C02_$pcodex01$_1</t>
  </si>
  <si>
    <t>C02_$pcodex01$_2</t>
  </si>
  <si>
    <t>$pnamej01$酒店</t>
  </si>
  <si>
    <t>C02_$pcodej01$</t>
  </si>
  <si>
    <t>C02_$pcodej01$_1</t>
  </si>
  <si>
    <t>C02_$pcodej01$_2</t>
  </si>
  <si>
    <t>$pname7$商业</t>
  </si>
  <si>
    <t>C02_$pcode7$</t>
  </si>
  <si>
    <t>C02_$pcode7$_1</t>
  </si>
  <si>
    <t>C02_$pcode7$_2</t>
  </si>
  <si>
    <t>$pname8$写字楼</t>
  </si>
  <si>
    <t>C02_$pcode8$</t>
  </si>
  <si>
    <t>C02_$pcode8$_1</t>
  </si>
  <si>
    <t>C02_$pcode8$_2</t>
  </si>
  <si>
    <t>$pname9$写字楼</t>
  </si>
  <si>
    <t>C02_$pcode9$</t>
  </si>
  <si>
    <t>C02_$pcode9$_1</t>
  </si>
  <si>
    <t>C02_$pcode9$_2</t>
  </si>
  <si>
    <t>$pname10$酒店</t>
  </si>
  <si>
    <t>C02_$pcode10$</t>
  </si>
  <si>
    <t>C02_$pcode10$_1</t>
  </si>
  <si>
    <t>C02_$pcode10$_2</t>
  </si>
  <si>
    <t>小计</t>
  </si>
  <si>
    <t>C0299991</t>
  </si>
  <si>
    <t>填写信息</t>
  </si>
  <si>
    <t>数值</t>
  </si>
  <si>
    <t>配置要求</t>
  </si>
  <si>
    <t>档次/品牌要求</t>
  </si>
  <si>
    <t>设计参考值</t>
  </si>
  <si>
    <t>标准刻度</t>
  </si>
  <si>
    <t>备注说明</t>
  </si>
  <si>
    <t>C030001_title</t>
  </si>
  <si>
    <t>大宗材料基价</t>
  </si>
  <si>
    <t>测算单价指各业态综合单价</t>
  </si>
  <si>
    <t>C030002_1_title</t>
  </si>
  <si>
    <t>钢筋</t>
  </si>
  <si>
    <t>主材基价</t>
  </si>
  <si>
    <t>元/kg</t>
  </si>
  <si>
    <t>参照20XX年X月螺纹钢（Φ16-25mm，HRB400E）平均价格（国家统计局http://www.stats.gov.cn）</t>
  </si>
  <si>
    <t>C030002</t>
  </si>
  <si>
    <t>钢板</t>
  </si>
  <si>
    <t>参照20XX年X月普通中板（20mm，Q235）平均价格（国家统计局http://www.stats.gov.cn）</t>
  </si>
  <si>
    <t>C030004_1</t>
  </si>
  <si>
    <t>混凝土</t>
  </si>
  <si>
    <t>元/m3</t>
  </si>
  <si>
    <t>参照20XX年X月XX市含泵送C30信息价</t>
  </si>
  <si>
    <t>C030003</t>
  </si>
  <si>
    <t>平板玻璃</t>
  </si>
  <si>
    <t>元/㎡</t>
  </si>
  <si>
    <t>参照20XX年X月浮法平板玻璃（4.8/5mm）平均价格（国家统计局http://www.stats.gov.cn）</t>
  </si>
  <si>
    <t>C030006_1</t>
  </si>
  <si>
    <t>铝材</t>
  </si>
  <si>
    <t>参照20XX年X月铝锭（A00）平均价格（国家统计局http://www.stats.gov.cn）</t>
  </si>
  <si>
    <t>C030007</t>
  </si>
  <si>
    <t>铜</t>
  </si>
  <si>
    <t>参照20XX年X月电解铜（1#）平均价格（国家统计局http://www.stats.gov.cn）</t>
  </si>
  <si>
    <t>C030008</t>
  </si>
  <si>
    <t>单体工程-住宅类</t>
  </si>
  <si>
    <t>C030009_title</t>
  </si>
  <si>
    <t>主要材料</t>
  </si>
  <si>
    <t>C030010_title</t>
  </si>
  <si>
    <t>钢筋工程</t>
  </si>
  <si>
    <t>主材单价</t>
  </si>
  <si>
    <t>C030011</t>
  </si>
  <si>
    <t>混凝土工程</t>
  </si>
  <si>
    <t>C030012</t>
  </si>
  <si>
    <t>C03_21_title</t>
  </si>
  <si>
    <t>含量</t>
  </si>
  <si>
    <t>kg/m2</t>
  </si>
  <si>
    <t>参考竹园路项目，层高3.7m</t>
  </si>
  <si>
    <t>C03_21_1</t>
  </si>
  <si>
    <t>m3/m2</t>
  </si>
  <si>
    <t>C03_21_2</t>
  </si>
  <si>
    <t>土建改造（如有）</t>
  </si>
  <si>
    <t>相对面积单方</t>
  </si>
  <si>
    <t>元/m2</t>
  </si>
  <si>
    <t>C03_21_3</t>
  </si>
  <si>
    <t>人防工程</t>
  </si>
  <si>
    <t>人防占比</t>
  </si>
  <si>
    <t>m2/m2</t>
  </si>
  <si>
    <t>C03_21_4</t>
  </si>
  <si>
    <t>充电桩（如有）</t>
  </si>
  <si>
    <t>（快慢充比例）</t>
  </si>
  <si>
    <t>C03_21_5</t>
  </si>
  <si>
    <t>停车场管理系统</t>
  </si>
  <si>
    <t>出入口数量</t>
  </si>
  <si>
    <t>（类型：）</t>
  </si>
  <si>
    <t>C03_21_6</t>
  </si>
  <si>
    <t>机械停车（如有）</t>
  </si>
  <si>
    <t>数量</t>
  </si>
  <si>
    <t>0</t>
  </si>
  <si>
    <t>C03_21_7</t>
  </si>
  <si>
    <t>其他单体工程（如有）</t>
  </si>
  <si>
    <t>地下室无线信号覆盖；收费标准15元/m2</t>
  </si>
  <si>
    <t>C03_21_8</t>
  </si>
  <si>
    <t>C03_12_title</t>
  </si>
  <si>
    <t>预制构件影响</t>
  </si>
  <si>
    <t>装配面积比例：XX%；PC构件占比：XX%；ALC占比：XX%</t>
  </si>
  <si>
    <t>C03_12_1</t>
  </si>
  <si>
    <t>外墙保温工程</t>
  </si>
  <si>
    <t>保温墙积比</t>
  </si>
  <si>
    <t>①大墙面保温材料类型1：(  )；②厚度(  )</t>
  </si>
  <si>
    <t>C03_12_2</t>
  </si>
  <si>
    <t>综合单价</t>
  </si>
  <si>
    <t>①大墙面保温材料类型2：(  )；②厚度(  )</t>
  </si>
  <si>
    <t>C03_12_3</t>
  </si>
  <si>
    <t>（改造部位、大致工作量等）</t>
  </si>
  <si>
    <t>C03_12_4</t>
  </si>
  <si>
    <t>太阳能热水器</t>
  </si>
  <si>
    <t>元/户</t>
  </si>
  <si>
    <t>①品牌：(  ) ；②型号：(  )</t>
  </si>
  <si>
    <t>C03_12_5</t>
  </si>
  <si>
    <t>（具体什么内容？单方计算过程？）</t>
  </si>
  <si>
    <t>C03_12_6</t>
  </si>
  <si>
    <t>入户门工程</t>
  </si>
  <si>
    <t>每平米户数</t>
  </si>
  <si>
    <t>户/m2</t>
  </si>
  <si>
    <t>C03_12_7</t>
  </si>
  <si>
    <t>入户门综合单价</t>
  </si>
  <si>
    <t>元/樘</t>
  </si>
  <si>
    <t>①类型：(钢质门、钢木复合、铸铝门) ；②品牌：(  )；③ 型号：(  )</t>
  </si>
  <si>
    <t>C03_12_8</t>
  </si>
  <si>
    <t>入户门锁综合单价</t>
  </si>
  <si>
    <t>元/把</t>
  </si>
  <si>
    <t>①类型：(电子锁、机械锁) ；②品牌：(  )；③ 型号：(  )</t>
  </si>
  <si>
    <t>C03_12_9</t>
  </si>
  <si>
    <t>外立面普通门窗工程_x000D_
（含防火窗）</t>
  </si>
  <si>
    <t>窗积比</t>
  </si>
  <si>
    <t>①普通窗类型：(塑钢、铝合金（粉末）、铝合金（氟碳）、铝合金（电泳）、铝木复合、其他（手动输入）)；②是否断桥：(是、否)；③是否系统窗：(是、否)；④普通窗玻璃：(普通、中空、中空夹胶、Low-e、中空Low-e、中空夹胶Low-e)；⑤普通窗其他配置(多选)：(纱窗、钢副框、遮阳系统、防坠落)</t>
  </si>
  <si>
    <t>C03_12_10</t>
  </si>
  <si>
    <t>①防火窗类型：(铝合金、镀锌钢、不锈钢、水晶硅、其他（手动输入）)；②是否断桥：(是、否)</t>
  </si>
  <si>
    <t>C03_12_11</t>
  </si>
  <si>
    <t>外立面装饰工程</t>
  </si>
  <si>
    <t>C03_12_12</t>
  </si>
  <si>
    <t>外墙单方造价</t>
  </si>
  <si>
    <t>C03_12_13</t>
  </si>
  <si>
    <t>外墙石材占比</t>
  </si>
  <si>
    <t>C03_12_14</t>
  </si>
  <si>
    <t>外墙石材综合单价</t>
  </si>
  <si>
    <t>①种类：(  )；②厚度：(  )；③档次：(进口、国产)</t>
  </si>
  <si>
    <t>C03_12_15</t>
  </si>
  <si>
    <t>外墙面砖装饰占比</t>
  </si>
  <si>
    <t>C03_12_16</t>
  </si>
  <si>
    <t>外墙面砖综合单价</t>
  </si>
  <si>
    <t>①类型：(普通砖、劈开砖)；②档次：(进口、国产)</t>
  </si>
  <si>
    <t>C03_12_17</t>
  </si>
  <si>
    <t>外墙铝板占比</t>
  </si>
  <si>
    <t>C03_12_18</t>
  </si>
  <si>
    <t>外墙铝板综合单价</t>
  </si>
  <si>
    <t>①规格：(  )；②厚度：(  )；③档次：(进口、国产)</t>
  </si>
  <si>
    <t>C03_12_19</t>
  </si>
  <si>
    <t>外墙普通涂料占比</t>
  </si>
  <si>
    <t>C03_12_20</t>
  </si>
  <si>
    <t>外墙普通涂料综合单价</t>
  </si>
  <si>
    <t>①类型：(  ) ；②品牌：(  )；③ 档次：(进口、国产)</t>
  </si>
  <si>
    <t>C03_12_21</t>
  </si>
  <si>
    <t>外墙真石漆占比</t>
  </si>
  <si>
    <t>C03_12_22</t>
  </si>
  <si>
    <t>外墙真石漆综合单价</t>
  </si>
  <si>
    <t>C03_12_23</t>
  </si>
  <si>
    <t>栏杆工程</t>
  </si>
  <si>
    <t>阳台栏杆含量</t>
  </si>
  <si>
    <t>m/户</t>
  </si>
  <si>
    <t>C03_12_24</t>
  </si>
  <si>
    <t>阳台栏杆综合单价</t>
  </si>
  <si>
    <t>元/m</t>
  </si>
  <si>
    <t>①类型：(锌钢、铁艺、铝合金、铝合金玻璃、不锈钢)；②其他：</t>
  </si>
  <si>
    <t>C03_12_25</t>
  </si>
  <si>
    <t>护窗栏杆含量</t>
  </si>
  <si>
    <t>C03_12_26</t>
  </si>
  <si>
    <t>护窗栏杆综合单价</t>
  </si>
  <si>
    <t>C03_12_27</t>
  </si>
  <si>
    <t>公共部位装饰工程</t>
  </si>
  <si>
    <t>大堂面积占比</t>
  </si>
  <si>
    <t>数量：(  )；单个面积：(  )</t>
  </si>
  <si>
    <t>C03_12_28</t>
  </si>
  <si>
    <t>大堂装饰标准</t>
  </si>
  <si>
    <t>①硬装标准：(  )；②软装标准：(  )</t>
  </si>
  <si>
    <t>C03_12_29</t>
  </si>
  <si>
    <t>电梯厅面积占比</t>
  </si>
  <si>
    <t>C03_12_30</t>
  </si>
  <si>
    <t>电梯厅装饰标准</t>
  </si>
  <si>
    <t>C03_12_31</t>
  </si>
  <si>
    <t>标准层连廊面积占比</t>
  </si>
  <si>
    <t>标准层电梯厅通往入户门之间区域，非消防连廊，消防连廊一般不做装修</t>
  </si>
  <si>
    <t>C03_12_32</t>
  </si>
  <si>
    <t>标准层连廊装饰标准</t>
  </si>
  <si>
    <t>C03_12_33</t>
  </si>
  <si>
    <t>地下大堂面积占比</t>
  </si>
  <si>
    <t>C03_12_34</t>
  </si>
  <si>
    <t>地下大堂装饰标准</t>
  </si>
  <si>
    <t>C03_12_35</t>
  </si>
  <si>
    <t>车马厅面积占比</t>
  </si>
  <si>
    <t>C03_12_36</t>
  </si>
  <si>
    <t>车马厅装饰标准</t>
  </si>
  <si>
    <t>C03_12_37</t>
  </si>
  <si>
    <t>架空层面积占比</t>
  </si>
  <si>
    <t>面积：(  )</t>
  </si>
  <si>
    <t>C03_12_38</t>
  </si>
  <si>
    <t>架空层装饰标准</t>
  </si>
  <si>
    <t>C03_12_39</t>
  </si>
  <si>
    <t>其他公共部位面积占比</t>
  </si>
  <si>
    <t>部位：(  )；数量：(  )；单个面积：(  )</t>
  </si>
  <si>
    <t>C03_12_40</t>
  </si>
  <si>
    <t>其他公共部位装饰标准</t>
  </si>
  <si>
    <t>C03_12_41</t>
  </si>
  <si>
    <t>安防系统</t>
  </si>
  <si>
    <t>每户标准</t>
  </si>
  <si>
    <t>C03_12_42</t>
  </si>
  <si>
    <t>电梯</t>
  </si>
  <si>
    <t>单台电梯服务面积</t>
  </si>
  <si>
    <t>m2/台</t>
  </si>
  <si>
    <t>C03_12_43</t>
  </si>
  <si>
    <t>供货单价</t>
  </si>
  <si>
    <t>元/台</t>
  </si>
  <si>
    <t>①型号：(  )；②载重：(  )；③梯速：(  )；④是否无机房：(  )</t>
  </si>
  <si>
    <t>C03_12_44</t>
  </si>
  <si>
    <t>安装单价</t>
  </si>
  <si>
    <t>⑤层数：(  )；⑥站数：(  )；⑦辅助配置(多选)：(厅门装修、轿厢装修、空调、停电平层、IC卡、群控系统、信号系统)；⑧是否贯通门：(  )</t>
  </si>
  <si>
    <t>C03_12_45</t>
  </si>
  <si>
    <t>C03_13_title</t>
  </si>
  <si>
    <t>装配面积比例：100%；(其中45%面积做到50%，剩下面积做到30%）参考劳动路项目，层高3.0-3.1m</t>
  </si>
  <si>
    <t>C03_13_1</t>
  </si>
  <si>
    <t>①大墙面保温材料类型1：( 35厚岩棉+35厚EPS )；②厚度( 35 )</t>
  </si>
  <si>
    <t>C03_13_2</t>
  </si>
  <si>
    <t>C03_13_3</t>
  </si>
  <si>
    <t>C03_13_4</t>
  </si>
  <si>
    <t>①品牌：( 沐阳 ) ；②型号：( 承压式一体机150L )</t>
  </si>
  <si>
    <t>C03_13_5</t>
  </si>
  <si>
    <t>C03_13_6</t>
  </si>
  <si>
    <t>C03_13_7</t>
  </si>
  <si>
    <t>①类型：(C级铸铝门+不考虑非标调差) ；②品牌：( 天山)；③ 型号：( 单扇门 )</t>
  </si>
  <si>
    <t>C03_13_8</t>
  </si>
  <si>
    <t>①类型：(电子锁) ；②品牌：( 飞利浦四合一 )；</t>
  </si>
  <si>
    <t>C03_13_9</t>
  </si>
  <si>
    <t>①普通窗类型：铝合金（粉末）、铝合金（氟碳）、铝合金（电泳）、铝木复合、其他（手动输入）)；②是否断桥：(是、否)；③是否系统窗：(是、否)；④普通窗玻璃：(普通、中空、中空夹胶、Low-e、中空Low-e、中空夹胶Low-e)；⑤普通窗其他配置(多选)：(纱窗、钢副框、遮阳系统、防坠落)-三玻两腔铝合金</t>
  </si>
  <si>
    <t>C03_13_10</t>
  </si>
  <si>
    <t>参考劳动路定标单价水平</t>
  </si>
  <si>
    <t>C03_13_11</t>
  </si>
  <si>
    <t>512.81</t>
  </si>
  <si>
    <t>C03_13_12</t>
  </si>
  <si>
    <t>参考项目为U3，外立面定标单方为一城一策的95%，本次刻度按照一城一策下浮（830*0.95）；789</t>
  </si>
  <si>
    <t>C03_13_13</t>
  </si>
  <si>
    <t>1</t>
  </si>
  <si>
    <t>C03_13_14</t>
  </si>
  <si>
    <t>C03_13_15</t>
  </si>
  <si>
    <t>C03_13_16</t>
  </si>
  <si>
    <t>①类型：(涂料一体板)；②档次：(进口、国产)</t>
  </si>
  <si>
    <t>C03_13_17</t>
  </si>
  <si>
    <t>C03_13_18</t>
  </si>
  <si>
    <t>664.11</t>
  </si>
  <si>
    <t>C03_13_19</t>
  </si>
  <si>
    <t>C03_13_20</t>
  </si>
  <si>
    <t>C03_13_21</t>
  </si>
  <si>
    <t>C03_13_22</t>
  </si>
  <si>
    <t>60</t>
  </si>
  <si>
    <t>C03_13_23</t>
  </si>
  <si>
    <t>C03_13_24</t>
  </si>
  <si>
    <t>C03_13_25</t>
  </si>
  <si>
    <t>C03_13_26</t>
  </si>
  <si>
    <t>C03_13_27</t>
  </si>
  <si>
    <t>C03_13_28</t>
  </si>
  <si>
    <t>参考项目为U3，大堂定标单方为一城一策的86%；本次刻度按照同样下浮（3500*0.86）</t>
  </si>
  <si>
    <t>C03_13_29</t>
  </si>
  <si>
    <t>C03_13_30</t>
  </si>
  <si>
    <t>参考项目为U3，标厅定标单方为一城一策的93%；本次刻度按照同样下浮（1500*0.93）</t>
  </si>
  <si>
    <t>C03_13_31</t>
  </si>
  <si>
    <t>C03_13_32</t>
  </si>
  <si>
    <t>C03_13_33</t>
  </si>
  <si>
    <t>C03_13_34</t>
  </si>
  <si>
    <t>参考项目为U3，地下大堂定标单方2897，高于一城一策；本次刻度按照一城一策</t>
  </si>
  <si>
    <t>C03_13_35</t>
  </si>
  <si>
    <t>C03_13_36</t>
  </si>
  <si>
    <t>参考项目为U3，地下大堂定标单方830，本次刻度按照参考项目</t>
  </si>
  <si>
    <t>C03_13_37</t>
  </si>
  <si>
    <t>C03_13_38</t>
  </si>
  <si>
    <t>参考项目为U3，架空层定标单方为一城一策的64%，本次刻度按照同样下浮（200*0.64）</t>
  </si>
  <si>
    <t>C03_13_39</t>
  </si>
  <si>
    <t>部位：( 多层楼梯间-全贴砖 )；数量：( =4*7 )；单个面积：( 15 )</t>
  </si>
  <si>
    <t>C03_13_40</t>
  </si>
  <si>
    <t>①硬装标准：( 320 )；②软装标准：(  )</t>
  </si>
  <si>
    <t>C03_13_41</t>
  </si>
  <si>
    <t>参考车坊项目智能化结算单价（含甲供材）</t>
  </si>
  <si>
    <t>C03_13_42</t>
  </si>
  <si>
    <t>C03_13_43</t>
  </si>
  <si>
    <t>①型号：(迅达Schindler5200 )；②载重：( 1000 )；③梯速：( 1.75 )；④是否无机房：( 是 )</t>
  </si>
  <si>
    <t>C03_13_44</t>
  </si>
  <si>
    <t>⑤层数：(18 )；⑥站数：( 18 )；⑦辅助配置(多选)：(轿厢装潢方案三，厅门装修发纹钛度，空调；⑧是否贯通门：( 否 )</t>
  </si>
  <si>
    <t>C03_13_45</t>
  </si>
  <si>
    <t>C03_14_title</t>
  </si>
  <si>
    <t>C03_14_1</t>
  </si>
  <si>
    <t>C03_14_2</t>
  </si>
  <si>
    <t>C03_14_3</t>
  </si>
  <si>
    <t>C03_14_4</t>
  </si>
  <si>
    <t>C03_14_5</t>
  </si>
  <si>
    <t>C03_14_6</t>
  </si>
  <si>
    <t>C03_14_7</t>
  </si>
  <si>
    <t>C03_14_8</t>
  </si>
  <si>
    <t>C03_14_9</t>
  </si>
  <si>
    <t>C03_14_10</t>
  </si>
  <si>
    <t>C03_14_11</t>
  </si>
  <si>
    <t>C03_14_12</t>
  </si>
  <si>
    <t>C03_14_13</t>
  </si>
  <si>
    <t>C03_14_14</t>
  </si>
  <si>
    <t>C03_14_15</t>
  </si>
  <si>
    <t>C03_14_16</t>
  </si>
  <si>
    <t>C03_14_17</t>
  </si>
  <si>
    <t>C03_14_18</t>
  </si>
  <si>
    <t>C03_14_19</t>
  </si>
  <si>
    <t>C03_14_20</t>
  </si>
  <si>
    <t>C03_14_21</t>
  </si>
  <si>
    <t>C03_14_22</t>
  </si>
  <si>
    <t>C03_14_23</t>
  </si>
  <si>
    <t>C03_14_24</t>
  </si>
  <si>
    <t>C03_14_25</t>
  </si>
  <si>
    <t>C03_14_26</t>
  </si>
  <si>
    <t>C03_14_27</t>
  </si>
  <si>
    <t>C03_14_28</t>
  </si>
  <si>
    <t>C03_14_29</t>
  </si>
  <si>
    <t>C03_14_30</t>
  </si>
  <si>
    <t>C03_14_31</t>
  </si>
  <si>
    <t>C03_14_32</t>
  </si>
  <si>
    <t>C03_14_33</t>
  </si>
  <si>
    <t>C03_14_34</t>
  </si>
  <si>
    <t>C03_14_35</t>
  </si>
  <si>
    <t>C03_14_36</t>
  </si>
  <si>
    <t>C03_14_37</t>
  </si>
  <si>
    <t>C03_14_38</t>
  </si>
  <si>
    <t>C03_14_39</t>
  </si>
  <si>
    <t>C03_14_40</t>
  </si>
  <si>
    <t>C03_14_41</t>
  </si>
  <si>
    <t>C03_14_42</t>
  </si>
  <si>
    <t>C03_14_43</t>
  </si>
  <si>
    <t>C03_14_44</t>
  </si>
  <si>
    <t>C03_14_45</t>
  </si>
  <si>
    <t>单体工程-商业类</t>
  </si>
  <si>
    <t>C030148_title</t>
  </si>
  <si>
    <t>地库及机房(商业)</t>
  </si>
  <si>
    <t>C03_20012_title</t>
  </si>
  <si>
    <t>kg/㎡</t>
  </si>
  <si>
    <t>①地下层数()；②各层层高()</t>
  </si>
  <si>
    <t>C03_20012_1</t>
  </si>
  <si>
    <t>钢筋主材供货单价</t>
  </si>
  <si>
    <t>C03_20012_2</t>
  </si>
  <si>
    <t>除钢筋主材外全部单价</t>
  </si>
  <si>
    <t>C03_20012_3</t>
  </si>
  <si>
    <t>模板工程</t>
  </si>
  <si>
    <t>C03_20012_4</t>
  </si>
  <si>
    <t>C03_20012_5</t>
  </si>
  <si>
    <t>m3/㎡</t>
  </si>
  <si>
    <t>C03_20012_6</t>
  </si>
  <si>
    <t>混凝土供货单价</t>
  </si>
  <si>
    <t>元/m³</t>
  </si>
  <si>
    <t>C03_20012_7</t>
  </si>
  <si>
    <t>混凝土主材外全部单价</t>
  </si>
  <si>
    <t>C03_20012_8</t>
  </si>
  <si>
    <t>钢结构</t>
  </si>
  <si>
    <t>钢结构含量</t>
  </si>
  <si>
    <t>①钢结构形式：</t>
  </si>
  <si>
    <t>C03_20012_9</t>
  </si>
  <si>
    <t>主体钢结构供货单价</t>
  </si>
  <si>
    <t>C03_20012_10</t>
  </si>
  <si>
    <t>除主体钢结构供货外其他单价</t>
  </si>
  <si>
    <t>C03_20012_11</t>
  </si>
  <si>
    <t>C03_20012_12</t>
  </si>
  <si>
    <t>单出入口设置车道数量</t>
  </si>
  <si>
    <t>C03_20012_13</t>
  </si>
  <si>
    <t>机械停车场（如有）</t>
  </si>
  <si>
    <t>车位数量</t>
  </si>
  <si>
    <t>C03_20012_14</t>
  </si>
  <si>
    <t>电气工程</t>
  </si>
  <si>
    <t>地库用电负荷</t>
  </si>
  <si>
    <t>KW</t>
  </si>
  <si>
    <t>C03_20012_15</t>
  </si>
  <si>
    <t>①具体什么内容？②单方计算过程？</t>
  </si>
  <si>
    <t>C03_20012_16</t>
  </si>
  <si>
    <t>C03_$pcodes01$_title</t>
  </si>
  <si>
    <t>地下钢筋含量</t>
  </si>
  <si>
    <t>C03_$pcodes01$_1</t>
  </si>
  <si>
    <t>地上钢筋含量</t>
  </si>
  <si>
    <t>①地上层数()；②各层层高()</t>
  </si>
  <si>
    <t>C03_$pcodes01$_2</t>
  </si>
  <si>
    <t>C03_$pcodes01$_3</t>
  </si>
  <si>
    <t>C03_$pcodes01$_4</t>
  </si>
  <si>
    <t>①模板体系()；②服务范围()</t>
  </si>
  <si>
    <t>C03_$pcodes01$_5</t>
  </si>
  <si>
    <t>C03_$pcodes01$_6</t>
  </si>
  <si>
    <t>地下砼含量</t>
  </si>
  <si>
    <t>C03_$pcodes01$_7</t>
  </si>
  <si>
    <t>地上砼含量</t>
  </si>
  <si>
    <t>C03_$pcodes01$_8</t>
  </si>
  <si>
    <t>C03_$pcodes01$_9</t>
  </si>
  <si>
    <t>C03_$pcodes01$_10</t>
  </si>
  <si>
    <t>地下主体钢结构含量</t>
  </si>
  <si>
    <t>不含非主体钢结构，仅地下主体钢结构含量</t>
  </si>
  <si>
    <t>C03_$pcodes01$_11</t>
  </si>
  <si>
    <t>地上主体钢结构含量</t>
  </si>
  <si>
    <t>不含非主体钢结构，仅地上主体钢结构含量</t>
  </si>
  <si>
    <t>C03_$pcodes01$_12</t>
  </si>
  <si>
    <t>C03_$pcodes01$_13</t>
  </si>
  <si>
    <t>C03_$pcodes01$_14</t>
  </si>
  <si>
    <t>C03_$pcodes01$_16</t>
  </si>
  <si>
    <t>其中玻璃幕墙墙积比</t>
  </si>
  <si>
    <t>①主要玻璃配置()；②五金件:国产/进口/合资()</t>
  </si>
  <si>
    <t>C03_$pcodes01$_17</t>
  </si>
  <si>
    <t>玻璃幕墙综合单价</t>
  </si>
  <si>
    <t>C03_$pcodes01$_18</t>
  </si>
  <si>
    <t>其中石材幕墙墙积比</t>
  </si>
  <si>
    <t>①主要石材厚度及款式()；②五金件:国产/进口/合资()</t>
  </si>
  <si>
    <t>C03_$pcodes01$_19</t>
  </si>
  <si>
    <t>石材幕墙主材供货综合单价</t>
  </si>
  <si>
    <t>C03_$pcodes01$_20</t>
  </si>
  <si>
    <t>石材幕墙除主材外其他单价综合单价</t>
  </si>
  <si>
    <t>C03_$pcodes01$_21</t>
  </si>
  <si>
    <t>其中金属板幕墙墙积比</t>
  </si>
  <si>
    <t>①主要材质及厚度()；②五金件:国产/进口/合资()</t>
  </si>
  <si>
    <t>C03_$pcodes01$_22</t>
  </si>
  <si>
    <t>金属板幕墙综合单价</t>
  </si>
  <si>
    <t>C03_$pcodes01$_23</t>
  </si>
  <si>
    <t>其中涂料墙积比</t>
  </si>
  <si>
    <t>C03_$pcodes01$_24</t>
  </si>
  <si>
    <t>涂料综合单价</t>
  </si>
  <si>
    <t>C03_$pcodes01$_25</t>
  </si>
  <si>
    <t>大堂门</t>
  </si>
  <si>
    <t>旋转门</t>
  </si>
  <si>
    <t>樘</t>
  </si>
  <si>
    <t>①高度()；②直径()</t>
  </si>
  <si>
    <t>C03_$pcodes01$_26</t>
  </si>
  <si>
    <t>C03_$pcodes01$_27</t>
  </si>
  <si>
    <t>精装修面积占比</t>
  </si>
  <si>
    <t>C03_$pcodes01$_28</t>
  </si>
  <si>
    <t>公共区域装饰面积占比</t>
  </si>
  <si>
    <t>C03_$pcodes01$_29</t>
  </si>
  <si>
    <t>公共区域装饰平米单价</t>
  </si>
  <si>
    <t>包含硬装及甲供材、软装单价</t>
  </si>
  <si>
    <t>C03_$pcodes01$_30</t>
  </si>
  <si>
    <t>卫生间装饰占比</t>
  </si>
  <si>
    <t>C03_$pcodes01$_31</t>
  </si>
  <si>
    <t>卫生间装饰平米单价</t>
  </si>
  <si>
    <t>C03_$pcodes01$_32</t>
  </si>
  <si>
    <t>后勤区装饰占比</t>
  </si>
  <si>
    <t>C03_$pcodes01$_33</t>
  </si>
  <si>
    <t>后勤区平米单价</t>
  </si>
  <si>
    <t>C03_$pcodes01$_34</t>
  </si>
  <si>
    <t>用电负荷</t>
  </si>
  <si>
    <t>C03_$pcodes01$_35</t>
  </si>
  <si>
    <t>用电指标</t>
  </si>
  <si>
    <t>VA/㎡</t>
  </si>
  <si>
    <t>C03_$pcodes01$_36</t>
  </si>
  <si>
    <t xml:space="preserve">电梯工程_x000D_
</t>
  </si>
  <si>
    <t>单台客梯服务面积</t>
  </si>
  <si>
    <t>㎡/台</t>
  </si>
  <si>
    <t>直梯属性：客梯、观光梯、消防梯、货梯等_x000D_
其他配置说明：如电梯群控系统、轿厢内语音播报、广播、背景音乐、LED显示屏、监控等</t>
  </si>
  <si>
    <t>C03_$pcodes01$_37</t>
  </si>
  <si>
    <t>直梯数量</t>
  </si>
  <si>
    <t>部</t>
  </si>
  <si>
    <t>直梯明细：_x000D_
直梯1：①数量：(）；②单价：(）；③属性：(）；④平均等候时间：()；⑤单梯荷载：()；⑥梯速：()；⑦服务层数：()；⑧是否设置机房：()；_x000D_
… …</t>
  </si>
  <si>
    <t>建议服务半径50~60m，梯速1.75m/s，载重1.0t或1.6t，净高2.8，开门尺寸1.2*2.4</t>
  </si>
  <si>
    <t>C03_$pcodes01$_38</t>
  </si>
  <si>
    <t>直梯平均供货单价</t>
  </si>
  <si>
    <t>元/部</t>
  </si>
  <si>
    <t>C03_$pcodes01$_39</t>
  </si>
  <si>
    <t>直梯平均安装单价</t>
  </si>
  <si>
    <t>C03_$pcodes01$_40</t>
  </si>
  <si>
    <t>扶梯数量</t>
  </si>
  <si>
    <t>扶梯明细：_x000D_
扶梯1：①数量：()：②单价：()；③梯级宽度m：()；④坡度：()；⑤梯速：()；_x000D_
… …</t>
  </si>
  <si>
    <t>建议服务半径30~40m，梯速0.5m/s，梯净宽1m，倾角30°或35°。</t>
  </si>
  <si>
    <t>C03_$pcodes01$_41</t>
  </si>
  <si>
    <t>扶梯平均供货单价</t>
  </si>
  <si>
    <t>C03_$pcodes01$_42</t>
  </si>
  <si>
    <t>扶梯平均安装单价</t>
  </si>
  <si>
    <t>C03_$pcodes01$_43</t>
  </si>
  <si>
    <t>自动坡道数量</t>
  </si>
  <si>
    <t>自动坡道明细：_x000D_
自动坡道1：①数量：()：②单价：()；③梯级宽度m：()；④坡度：()；⑤梯速：()；_x000D_
… …</t>
  </si>
  <si>
    <t>仅超市租户确有需要且商场空间条件允许情况下，梯速0.5m/s，倾角12°。</t>
  </si>
  <si>
    <t>C03_$pcodes01$_44</t>
  </si>
  <si>
    <t>自动坡道平均供货单价</t>
  </si>
  <si>
    <t>C03_$pcodes01$_45</t>
  </si>
  <si>
    <t>自动坡道平均安装单价</t>
  </si>
  <si>
    <t>C03_$pcodes01$_46</t>
  </si>
  <si>
    <t>空调工程</t>
  </si>
  <si>
    <t>空调类型1服务面积</t>
  </si>
  <si>
    <t xml:space="preserve">①系统类型：(  )； ② 冷源形式：( )；③热源形式：(  )；④末端形式(  )；⑤水系统形式（2/4管制）：(  )；  </t>
  </si>
  <si>
    <t>机组：_x000D_
末端设备：</t>
  </si>
  <si>
    <t>系统类型选择：_x000D_
A.定风量空调系统（CAV）_x000D_
B.变风量空调系统（VAV)_x000D_
C.风机盘管（FCU)+新风系统_x000D_
D.变冷媒流量多联机（VRV)_x000D_
E.分体式空调_x000D_
D.其他</t>
  </si>
  <si>
    <t>C03_$pcodes01$_47</t>
  </si>
  <si>
    <t>空调类型1单方</t>
  </si>
  <si>
    <t>C03_$pcodes01$_48</t>
  </si>
  <si>
    <t>空调类型2服务面积</t>
  </si>
  <si>
    <t>①系统类型：(  )； ② 冷源形式：(  )；③热源形式：(  )；④末端形式(  )；⑤水系统形式（2/4管制）：(  )；</t>
  </si>
  <si>
    <t>C03_$pcodes01$_49</t>
  </si>
  <si>
    <t>空调类型2单方</t>
  </si>
  <si>
    <t>C03_$pcodes01$_50</t>
  </si>
  <si>
    <t>空调类型3服务面积</t>
  </si>
  <si>
    <t>C03_$pcodes01$_51</t>
  </si>
  <si>
    <t>空调类型3单方</t>
  </si>
  <si>
    <t>C03_$pcodes01$_52</t>
  </si>
  <si>
    <t>智能化工程</t>
  </si>
  <si>
    <t>系统配置商业面积单方</t>
  </si>
  <si>
    <t>系统配置：</t>
  </si>
  <si>
    <t>C03_$pcodes01$_53</t>
  </si>
  <si>
    <t>LED显示屏幕</t>
  </si>
  <si>
    <t>室内LED屏幕总面积</t>
  </si>
  <si>
    <t>室内LED屏幕明细：_x000D_
屏幕1：①点间距（分辨率）：（ ）; ②灯源配置：（ ）;③刷新率：（ ）; ④箱体材质：(  );_x000D_
… …</t>
  </si>
  <si>
    <t>C03_$pcodes01$_54</t>
  </si>
  <si>
    <t>室内LED屏幕单方</t>
  </si>
  <si>
    <t>C03_$pcodes01$_55</t>
  </si>
  <si>
    <t>室外LED屏幕总面积</t>
  </si>
  <si>
    <t>室外LED屏幕明细：_x000D_
屏幕1：①点间距（分辨率）：（ ）; ②灯源配置：（ ）;③刷新率：（ ）; ④箱体材质：(  );_x000D_
… …</t>
  </si>
  <si>
    <t>C03_$pcodes01$_56</t>
  </si>
  <si>
    <t>室外LED屏幕单方</t>
  </si>
  <si>
    <t>C03_$pcodes01$_57</t>
  </si>
  <si>
    <t>正投影面积单方</t>
  </si>
  <si>
    <t>①灯源形式( 洗墙、投光、灯箱等)：_x000D_
②灯源含量（灯源数量/外立面面积 )：</t>
  </si>
  <si>
    <t>外立面使用面积单方</t>
  </si>
  <si>
    <t>C03_$pcodes01$_58</t>
  </si>
  <si>
    <t>C03_$pcodex01$_title</t>
  </si>
  <si>
    <t>C03_$pcodex01$_1</t>
  </si>
  <si>
    <t>C03_$pcodex01$_2</t>
  </si>
  <si>
    <t>C03_$pcodex01$_3</t>
  </si>
  <si>
    <t>C03_$pcodex01$_4</t>
  </si>
  <si>
    <t>C03_$pcodex01$_5</t>
  </si>
  <si>
    <t>C03_$pcodex01$_6</t>
  </si>
  <si>
    <t>C03_$pcodex01$_7</t>
  </si>
  <si>
    <t>C03_$pcodex01$_8</t>
  </si>
  <si>
    <t>主体钢结构含量</t>
  </si>
  <si>
    <t>C03_$pcodex01$_9</t>
  </si>
  <si>
    <t>C03_$pcodex01$_10</t>
  </si>
  <si>
    <t>C03_$pcodex01$_11</t>
  </si>
  <si>
    <t>C03_$pcodex01$_12</t>
  </si>
  <si>
    <t>C03_$pcodex01$_13</t>
  </si>
  <si>
    <t>C03_$pcodex01$_14</t>
  </si>
  <si>
    <t>C03_$pcodex01$_15</t>
  </si>
  <si>
    <t>C03_$pcodex01$_16</t>
  </si>
  <si>
    <t>C03_$pcodex01$_17</t>
  </si>
  <si>
    <t>C03_$pcodex01$_18</t>
  </si>
  <si>
    <t>C03_$pcodex01$_19</t>
  </si>
  <si>
    <t>C03_$pcodex01$_20</t>
  </si>
  <si>
    <t>C03_$pcodex01$_21</t>
  </si>
  <si>
    <t>C03_$pcodex01$_22</t>
  </si>
  <si>
    <t>C03_$pcodex01$_23</t>
  </si>
  <si>
    <t>C03_$pcodex01$_24</t>
  </si>
  <si>
    <t>C03_$pcodex01$_25</t>
  </si>
  <si>
    <t>①地面()；②墙面()；③天花：④硬装()；⑤软装()</t>
  </si>
  <si>
    <t>C03_$pcodex01$_26</t>
  </si>
  <si>
    <t>大堂装饰平米单价</t>
  </si>
  <si>
    <t>C03_$pcodex01$_27</t>
  </si>
  <si>
    <t>C03_$pcodex01$_28</t>
  </si>
  <si>
    <t>电梯厅装饰平米单价</t>
  </si>
  <si>
    <t>C03_$pcodex01$_29</t>
  </si>
  <si>
    <t>走道面积占比</t>
  </si>
  <si>
    <t>C03_$pcodex01$_30</t>
  </si>
  <si>
    <t>走道装饰平米单价</t>
  </si>
  <si>
    <t>C03_$pcodex01$_31</t>
  </si>
  <si>
    <t>卫生间/淋浴间面积占比</t>
  </si>
  <si>
    <t>C03_$pcodex01$_32</t>
  </si>
  <si>
    <t>卫生间/淋浴间装饰平米单价</t>
  </si>
  <si>
    <t>C03_$pcodex01$_33</t>
  </si>
  <si>
    <t>茶水间/清洁间面积占比</t>
  </si>
  <si>
    <t>C03_$pcodex01$_34</t>
  </si>
  <si>
    <t>茶水间/清洁间装饰平米单价</t>
  </si>
  <si>
    <t>C03_$pcodex01$_35</t>
  </si>
  <si>
    <t>办公租区面积占比</t>
  </si>
  <si>
    <t>C03_$pcodex01$_36</t>
  </si>
  <si>
    <t>办公租区装饰平米单价</t>
  </si>
  <si>
    <t>C03_$pcodex01$_37</t>
  </si>
  <si>
    <t>C03_$pcodex01$_38</t>
  </si>
  <si>
    <t>C03_$pcodex01$_39</t>
  </si>
  <si>
    <t>写字楼：4500~6000㎡为宜</t>
  </si>
  <si>
    <t>C03_$pcodex01$_40</t>
  </si>
  <si>
    <t>C03_$pcodex01$_41</t>
  </si>
  <si>
    <t>C03_$pcodex01$_42</t>
  </si>
  <si>
    <t>C03_$pcodex01$_43</t>
  </si>
  <si>
    <t xml:space="preserve">①系统类型：(  )； ② 冷源形式：(  )；③热源形式：(  )；④末端形式(  )；⑤水系统形式（2/4管制）：(  )；  </t>
  </si>
  <si>
    <t>C03_$pcodex01$_44</t>
  </si>
  <si>
    <t>C03_$pcodex01$_45</t>
  </si>
  <si>
    <t>C03_$pcodex01$_46</t>
  </si>
  <si>
    <t>C03_$pcodex01$_47</t>
  </si>
  <si>
    <t>C03_$pcodex01$_48</t>
  </si>
  <si>
    <t>C03_$pcodex01$_49</t>
  </si>
  <si>
    <t>C03_$pcodex01$_50</t>
  </si>
  <si>
    <t>C03_$pcodex01$_51</t>
  </si>
  <si>
    <t>C03_$pcodex01$_52</t>
  </si>
  <si>
    <t>C03_$pcodex01$_53</t>
  </si>
  <si>
    <t>C03_$pcodex01$_54</t>
  </si>
  <si>
    <t>C03_$pcodex01$_55</t>
  </si>
  <si>
    <t>C03_$pcodej01$_title</t>
  </si>
  <si>
    <t>C03_$pcodej01$_1</t>
  </si>
  <si>
    <t>C03_$pcodej01$_2</t>
  </si>
  <si>
    <t>C03_$pcodej01$_3</t>
  </si>
  <si>
    <t>C03_$pcodej01$_4</t>
  </si>
  <si>
    <t>C03_$pcodej01$_5</t>
  </si>
  <si>
    <t>C03_$pcodej01$_6</t>
  </si>
  <si>
    <t>C03_$pcodej01$_7</t>
  </si>
  <si>
    <t>C03_$pcodej01$_8</t>
  </si>
  <si>
    <t>C03_$pcodej01$_9</t>
  </si>
  <si>
    <t>C03_$pcodej01$_10</t>
  </si>
  <si>
    <t>C03_$pcodej01$_11</t>
  </si>
  <si>
    <t>C03_$pcodej01$_12</t>
  </si>
  <si>
    <t>C03_$pcodej01$_13</t>
  </si>
  <si>
    <t>C03_$pcodej01$_14</t>
  </si>
  <si>
    <t>C03_$pcodej01$_15</t>
  </si>
  <si>
    <t>C03_$pcodej01$_16</t>
  </si>
  <si>
    <t>C03_$pcodej01$_17</t>
  </si>
  <si>
    <t>C03_$pcodej01$_18</t>
  </si>
  <si>
    <t>C03_$pcodej01$_19</t>
  </si>
  <si>
    <t>C03_$pcodej01$_20</t>
  </si>
  <si>
    <t>客房入户门</t>
  </si>
  <si>
    <t>入户门数量</t>
  </si>
  <si>
    <t>①面层材质：()</t>
  </si>
  <si>
    <t>C03_$pcodej01$_21</t>
  </si>
  <si>
    <t>C03_$pcodej01$_22</t>
  </si>
  <si>
    <t>①档次：( 进口/国产 ) ；②功能：()</t>
  </si>
  <si>
    <t>C03_$pcodej01$_23</t>
  </si>
  <si>
    <t>C03_$pcodej01$_24</t>
  </si>
  <si>
    <t>C03_$pcodej01$_25</t>
  </si>
  <si>
    <t>C03_$pcodej01$_26</t>
  </si>
  <si>
    <t>C03_$pcodej01$_27</t>
  </si>
  <si>
    <t>C03_$pcodej01$_28</t>
  </si>
  <si>
    <t>C03_$pcodej01$_29</t>
  </si>
  <si>
    <t>C03_$pcodej01$_30</t>
  </si>
  <si>
    <t>C03_$pcodej01$_31</t>
  </si>
  <si>
    <t>C03_$pcodej01$_32</t>
  </si>
  <si>
    <t>客房面积占比</t>
  </si>
  <si>
    <t>C03_$pcodej01$_33</t>
  </si>
  <si>
    <t>客房装饰平米单价</t>
  </si>
  <si>
    <t>C03_$pcodej01$_34</t>
  </si>
  <si>
    <t>功能房间面积（宴会厅、餐厅、会议室、健身房、室内游泳池、SPA棋牌室、厨房）</t>
  </si>
  <si>
    <t>C03_$pcodej01$_35</t>
  </si>
  <si>
    <t>C03_$pcodej01$_36</t>
  </si>
  <si>
    <t>C03_$pcodej01$_37</t>
  </si>
  <si>
    <t>C03_$pcodej01$_38</t>
  </si>
  <si>
    <t>C03_$pcodej01$_39</t>
  </si>
  <si>
    <t>C03_$pcodej01$_40</t>
  </si>
  <si>
    <t>C03_$pcodej01$_41</t>
  </si>
  <si>
    <t>C03_$pcodej01$_42</t>
  </si>
  <si>
    <t>C03_$pcodej01$_43</t>
  </si>
  <si>
    <t>C03_$pcodej01$_44</t>
  </si>
  <si>
    <t>C03_$pcodej01$_45</t>
  </si>
  <si>
    <t>C03_$pcodej01$_46</t>
  </si>
  <si>
    <t>C03_$pcodej01$_47</t>
  </si>
  <si>
    <t>C03_$pcodej01$_48</t>
  </si>
  <si>
    <t>每间房热水器数量</t>
  </si>
  <si>
    <t>台/间</t>
  </si>
  <si>
    <t>功率：</t>
  </si>
  <si>
    <t>C03_$pcodej01$_49</t>
  </si>
  <si>
    <t>C03_$pcodej01$_50</t>
  </si>
  <si>
    <t>C03_$pcodej01$_51</t>
  </si>
  <si>
    <t>C03_$pcodej01$_52</t>
  </si>
  <si>
    <t>C03_$pcodej01$_53</t>
  </si>
  <si>
    <t>C03_$pcodej01$_54</t>
  </si>
  <si>
    <r>
      <rPr>
        <sz val="10"/>
        <color rgb="FF000000"/>
        <rFont val="Arial"/>
        <family val="2"/>
      </rPr>
      <t>C030335</t>
    </r>
    <r>
      <rPr>
        <sz val="10"/>
        <color rgb="FF000000"/>
        <rFont val="Arial"/>
        <family val="2"/>
      </rPr>
      <t>_title</t>
    </r>
  </si>
  <si>
    <t>其他配套工程</t>
  </si>
  <si>
    <t>C030004</t>
  </si>
  <si>
    <r>
      <rPr>
        <sz val="10"/>
        <color rgb="FF000000"/>
        <rFont val="Arial"/>
        <family val="2"/>
      </rPr>
      <t>C03033</t>
    </r>
    <r>
      <rPr>
        <sz val="10"/>
        <color rgb="FF000000"/>
        <rFont val="Arial"/>
        <family val="2"/>
      </rPr>
      <t>7</t>
    </r>
    <r>
      <rPr>
        <sz val="10"/>
        <color rgb="FF000000"/>
        <rFont val="Arial"/>
        <family val="2"/>
      </rPr>
      <t>_title</t>
    </r>
  </si>
  <si>
    <t>室外面积占比</t>
  </si>
  <si>
    <t>C030005</t>
  </si>
  <si>
    <t>单方标准</t>
  </si>
  <si>
    <t>C030006</t>
  </si>
  <si>
    <t>C040001</t>
  </si>
  <si>
    <r>
      <rPr>
        <b/>
        <sz val="14"/>
        <rFont val="隶书"/>
        <family val="3"/>
        <charset val="134"/>
      </rPr>
      <t>中国海外发展有限公司</t>
    </r>
  </si>
  <si>
    <t>C040002</t>
  </si>
  <si>
    <t>建安成本目标控制表</t>
  </si>
  <si>
    <t>C040003</t>
  </si>
  <si>
    <t>项目名称：</t>
  </si>
  <si>
    <t>集团商业标准成本</t>
  </si>
  <si>
    <t>建筑面积：</t>
  </si>
  <si>
    <t>建造面积：</t>
  </si>
  <si>
    <t>可租售面积：</t>
  </si>
  <si>
    <t>可租售率：</t>
  </si>
  <si>
    <t>制表日期：</t>
  </si>
  <si>
    <t>2024-07-15 19:18:08</t>
  </si>
  <si>
    <t>C040004</t>
  </si>
  <si>
    <t>总价_x000D_
(万元)</t>
  </si>
  <si>
    <t>技术经济指标</t>
  </si>
  <si>
    <t>成本属性分类</t>
  </si>
  <si>
    <t>与项目标准成本刻度差异小计</t>
  </si>
  <si>
    <t>与项目标准刻度差异分析说明</t>
  </si>
  <si>
    <t>项目标准刻度（元/㎡）</t>
  </si>
  <si>
    <t>C040005</t>
  </si>
  <si>
    <t>相对建筑面积</t>
  </si>
  <si>
    <t>相对建造面积</t>
  </si>
  <si>
    <t>可租售面积</t>
  </si>
  <si>
    <t>总价（万元）</t>
  </si>
  <si>
    <t>相对建筑面积单方（元/㎡）</t>
  </si>
  <si>
    <t>暂定</t>
  </si>
  <si>
    <t>固定</t>
  </si>
  <si>
    <t>弹性</t>
  </si>
  <si>
    <t>相对可售面积</t>
  </si>
  <si>
    <t>C040006</t>
  </si>
  <si>
    <t>面积_x000D_
（㎡）</t>
  </si>
  <si>
    <r>
      <rPr>
        <sz val="10"/>
        <color rgb="FF000000"/>
        <rFont val="宋体"/>
        <family val="1"/>
        <scheme val="major"/>
      </rPr>
      <t>单价_x000D_
（元/㎡）</t>
    </r>
  </si>
  <si>
    <t>单价</t>
  </si>
  <si>
    <t>C040007</t>
  </si>
  <si>
    <t>C041008</t>
  </si>
  <si>
    <t>C042009</t>
  </si>
  <si>
    <t>C043010</t>
  </si>
  <si>
    <t>单体工程</t>
  </si>
  <si>
    <t>C044011</t>
  </si>
  <si>
    <t>C044012_21</t>
  </si>
  <si>
    <t>C044013_$pcode1$</t>
  </si>
  <si>
    <t>备注：标准刻度业态，灰色格锁定</t>
  </si>
  <si>
    <t>C044014_12</t>
  </si>
  <si>
    <t>C044015_13</t>
  </si>
  <si>
    <t>C044016_14</t>
  </si>
  <si>
    <t>备注：非标准刻度业态，经办人手填参考项目值，放开</t>
  </si>
  <si>
    <t>C044017_$pcode2$</t>
  </si>
  <si>
    <t>C044018_$pcode3$</t>
  </si>
  <si>
    <t>C044019_$pcode4$</t>
  </si>
  <si>
    <t>C044020_$pcode5$</t>
  </si>
  <si>
    <t>C044021_$pcode6$</t>
  </si>
  <si>
    <t>C044022_33</t>
  </si>
  <si>
    <t>C044023_36</t>
  </si>
  <si>
    <t>C044024_20012</t>
  </si>
  <si>
    <t>C044025_$pcodes01$</t>
  </si>
  <si>
    <t>C044026_$pcodex01$</t>
  </si>
  <si>
    <t>C044027_$pcodej01$</t>
  </si>
  <si>
    <t>$pname7$集中商业</t>
  </si>
  <si>
    <t>C044028_$pcode7$</t>
  </si>
  <si>
    <t>C044029_$pcode8$</t>
  </si>
  <si>
    <t>C044030_$pcode9$</t>
  </si>
  <si>
    <t>C044031_$pcode10$</t>
  </si>
  <si>
    <t>C040032</t>
  </si>
  <si>
    <t>C040033</t>
  </si>
  <si>
    <t>户内装饰工程</t>
  </si>
  <si>
    <t>C046034</t>
  </si>
  <si>
    <t>C046035_$pcode1$</t>
  </si>
  <si>
    <t>C046036_12</t>
  </si>
  <si>
    <t>C046037_13</t>
  </si>
  <si>
    <t>C046038_14</t>
  </si>
  <si>
    <t>C046039_$pcode2$</t>
  </si>
  <si>
    <t>C046040_$pcode3$</t>
  </si>
  <si>
    <t>C046041_$pcode4$</t>
  </si>
  <si>
    <t>C046042_$pcode5$</t>
  </si>
  <si>
    <t>C046043_$pcode6$</t>
  </si>
  <si>
    <t>C046044_33</t>
  </si>
  <si>
    <t>其它</t>
  </si>
  <si>
    <t>C047045</t>
  </si>
  <si>
    <t>C047046</t>
  </si>
  <si>
    <t>专项设备设施费用</t>
  </si>
  <si>
    <t>C047047</t>
  </si>
  <si>
    <t>毛坯</t>
  </si>
  <si>
    <t>C048048</t>
  </si>
  <si>
    <t>总建安成本</t>
  </si>
  <si>
    <t>C048049</t>
  </si>
  <si>
    <t>物业类型_x000D_
毛坯成本</t>
  </si>
  <si>
    <t>C049050_$pcode1$</t>
  </si>
  <si>
    <t>C049051_12</t>
  </si>
  <si>
    <t>C049052_13</t>
  </si>
  <si>
    <t>C049054_14</t>
  </si>
  <si>
    <t>C049055_$pcode2$</t>
  </si>
  <si>
    <t>C049055_$pcode3$</t>
  </si>
  <si>
    <t>C049056_$pcode4$</t>
  </si>
  <si>
    <t>C049057_$pcode5$</t>
  </si>
  <si>
    <t>C049058_$pcode5$</t>
  </si>
  <si>
    <t>C049059_33</t>
  </si>
  <si>
    <t>C049060_36</t>
  </si>
  <si>
    <t>C049061_$pcodes01$</t>
  </si>
  <si>
    <t>C049062_$pcodex01$</t>
  </si>
  <si>
    <t>C049063_$pcodej01$</t>
  </si>
  <si>
    <t>C049064_$pcode7$</t>
  </si>
  <si>
    <t>C049065_$pcode8$</t>
  </si>
  <si>
    <t>C049066_$pcode9$</t>
  </si>
  <si>
    <t>C049067_$pcode10$</t>
  </si>
  <si>
    <t>商业_x000D_
建安成本</t>
  </si>
  <si>
    <t>C050068_$pcodes01$</t>
  </si>
  <si>
    <t>C050069_$pcodex01$</t>
  </si>
  <si>
    <t>C050070_$pcodej01$</t>
  </si>
  <si>
    <t>C050071_$pcode7$</t>
  </si>
  <si>
    <t>C050072_$pcode8$</t>
  </si>
  <si>
    <t>C050073_$pcode9$</t>
  </si>
  <si>
    <t>C050074_$pcode10$</t>
  </si>
  <si>
    <t>成本科目/测算明细</t>
  </si>
  <si>
    <t>测算基础信息</t>
  </si>
  <si>
    <t>含量/系数</t>
  </si>
  <si>
    <t>工程量</t>
  </si>
  <si>
    <t>测算成本(E=C*D)_x000D_
(万元)</t>
  </si>
  <si>
    <t>相对建筑_x000D_
面积(I)_x000D_
(㎡)</t>
  </si>
  <si>
    <t>相对建筑_x000D_
面积单方_x000D_
(J=E/I)_x000D_
(元/㎡)</t>
  </si>
  <si>
    <t>相对建造_x000D_
面积(K)_x000D_
(㎡)</t>
  </si>
  <si>
    <t>相对建造_x000D_
面积单方_x000D_
(L=E/K)_x000D_
(元/㎡)</t>
  </si>
  <si>
    <t>成本属性</t>
  </si>
  <si>
    <t>说明</t>
  </si>
  <si>
    <t>值(A)</t>
  </si>
  <si>
    <t>值(B)</t>
  </si>
  <si>
    <t>值(C=A*B)</t>
  </si>
  <si>
    <t>值(D)</t>
  </si>
  <si>
    <t>03建安</t>
  </si>
  <si>
    <t>C03</t>
  </si>
  <si>
    <t xml:space="preserve">   03.01前期工程</t>
  </si>
  <si>
    <t>C03.01</t>
  </si>
  <si>
    <t xml:space="preserve">      03.01.01临时供水</t>
  </si>
  <si>
    <t>C03.01.01</t>
  </si>
  <si>
    <t xml:space="preserve">         03.01.01.01临时供水</t>
  </si>
  <si>
    <t>0.2</t>
  </si>
  <si>
    <t>C03.01.01.01</t>
  </si>
  <si>
    <t xml:space="preserve">      03.01.02临时排水</t>
  </si>
  <si>
    <t>C03.01.02</t>
  </si>
  <si>
    <t xml:space="preserve">         03.01.02.01临时排水</t>
  </si>
  <si>
    <t>C03.01.02.01</t>
  </si>
  <si>
    <t xml:space="preserve">      03.01.03临时供电</t>
  </si>
  <si>
    <t>C03.01.03</t>
  </si>
  <si>
    <t xml:space="preserve">         03.01.03.01临时供电</t>
  </si>
  <si>
    <t>C03.01.03.01</t>
  </si>
  <si>
    <t xml:space="preserve">      03.01.04临时设施</t>
  </si>
  <si>
    <t>C03.01.04</t>
  </si>
  <si>
    <t xml:space="preserve">         03.01.04.01临时设施</t>
  </si>
  <si>
    <t>C03.01.04.01</t>
  </si>
  <si>
    <t xml:space="preserve">      03.01.05临时道路</t>
  </si>
  <si>
    <t>C03.01.05</t>
  </si>
  <si>
    <t xml:space="preserve">         03.01.05.01临时道路</t>
  </si>
  <si>
    <t>C03.01.05.01</t>
  </si>
  <si>
    <t xml:space="preserve">      03.01.06临时围墙</t>
  </si>
  <si>
    <t>C03.01.06</t>
  </si>
  <si>
    <t xml:space="preserve">         03.01.06.01临时围墙</t>
  </si>
  <si>
    <t>C03.01.06.01</t>
  </si>
  <si>
    <t xml:space="preserve">      03.01.07场地平整清理工程</t>
  </si>
  <si>
    <t>C03.01.07</t>
  </si>
  <si>
    <t xml:space="preserve">         03.01.07.01场地平整清理工程</t>
  </si>
  <si>
    <t>C03.01.07.01</t>
  </si>
  <si>
    <t xml:space="preserve">      03.01.08白蚁防治工程</t>
  </si>
  <si>
    <t>C03.01.08</t>
  </si>
  <si>
    <t xml:space="preserve">         03.01.08.01白蚁防治工程</t>
  </si>
  <si>
    <t>C03.01.08.01</t>
  </si>
  <si>
    <t xml:space="preserve">      03.01.09临时看护工程</t>
  </si>
  <si>
    <t>C03.01.09</t>
  </si>
  <si>
    <t xml:space="preserve">         03.01.09.01临时看护工程</t>
  </si>
  <si>
    <t>C03.01.09.01</t>
  </si>
  <si>
    <t xml:space="preserve">      03.01.10红线内管道改造</t>
  </si>
  <si>
    <t>C03.01.10</t>
  </si>
  <si>
    <t xml:space="preserve">         03.01.10.01红线内管道改造</t>
  </si>
  <si>
    <t>C03.01.10.01</t>
  </si>
  <si>
    <t xml:space="preserve">      03.01.11人防军事设施清除</t>
  </si>
  <si>
    <t>C03.01.11</t>
  </si>
  <si>
    <t xml:space="preserve">         03.01.11.01人防军事设施清除</t>
  </si>
  <si>
    <t>C03.01.11.01</t>
  </si>
  <si>
    <t xml:space="preserve">      03.01.12其他前期工程</t>
  </si>
  <si>
    <t>C03.01.12</t>
  </si>
  <si>
    <t xml:space="preserve">         03.01.12.01其他前期工程</t>
  </si>
  <si>
    <t>C03.01.12.01</t>
  </si>
  <si>
    <t xml:space="preserve">   03.02桩基础工程</t>
  </si>
  <si>
    <t>C03.02</t>
  </si>
  <si>
    <t xml:space="preserve">      03.02.01桩基工程</t>
  </si>
  <si>
    <t>C03.02.01</t>
  </si>
  <si>
    <t xml:space="preserve">         03.02.01.01试桩工程</t>
  </si>
  <si>
    <t>桩长含量</t>
  </si>
  <si>
    <t>m/㎡</t>
  </si>
  <si>
    <t>C03.02.01.01</t>
  </si>
  <si>
    <t xml:space="preserve">         03.02.01.02预制混凝土方桩</t>
  </si>
  <si>
    <t>C03.02.01.02</t>
  </si>
  <si>
    <t xml:space="preserve">         03.02.01.03预应力混凝土管桩</t>
  </si>
  <si>
    <t>C03.02.01.03</t>
  </si>
  <si>
    <t xml:space="preserve">         03.02.01.04钢桩</t>
  </si>
  <si>
    <t>C03.02.01.04</t>
  </si>
  <si>
    <t xml:space="preserve">         03.02.01.05钢管桩</t>
  </si>
  <si>
    <t>C03.02.01.05</t>
  </si>
  <si>
    <t xml:space="preserve">         03.02.01.06干作业成孔灌注桩</t>
  </si>
  <si>
    <t>C03.02.01.06</t>
  </si>
  <si>
    <t xml:space="preserve">         03.02.01.07泥浆护壁成孔灌注桩</t>
  </si>
  <si>
    <t>C03.02.01.07</t>
  </si>
  <si>
    <t xml:space="preserve">         03.02.01.08人工挖孔灌注桩</t>
  </si>
  <si>
    <t>C03.02.01.08</t>
  </si>
  <si>
    <t xml:space="preserve">         03.02.01.09抗拔锚杆/抗拔桩</t>
  </si>
  <si>
    <t>C03.02.01.09</t>
  </si>
  <si>
    <t xml:space="preserve">         03.02.01.10其他类型桩基</t>
  </si>
  <si>
    <t>C03.02.01.10</t>
  </si>
  <si>
    <t xml:space="preserve">      03.02.02桩基检测</t>
  </si>
  <si>
    <t>C03.02.02</t>
  </si>
  <si>
    <t xml:space="preserve">         03.02.02.01桩基检测</t>
  </si>
  <si>
    <t>C03.02.02.01</t>
  </si>
  <si>
    <t xml:space="preserve">      03.02.03沉降观测工程</t>
  </si>
  <si>
    <t>C03.02.03</t>
  </si>
  <si>
    <t xml:space="preserve">         03.02.03.01沉降观测工程</t>
  </si>
  <si>
    <t>C03.02.03.01</t>
  </si>
  <si>
    <t xml:space="preserve">      03.02.04其他</t>
  </si>
  <si>
    <t>C03.02.04</t>
  </si>
  <si>
    <t xml:space="preserve">         03.02.04.01其他桩基工程</t>
  </si>
  <si>
    <t>C03.02.04.01</t>
  </si>
  <si>
    <t xml:space="preserve">   03.03岩土工程</t>
  </si>
  <si>
    <t>C03.03</t>
  </si>
  <si>
    <t xml:space="preserve">      03.03.01土方工程</t>
  </si>
  <si>
    <t>C03.03.01</t>
  </si>
  <si>
    <t xml:space="preserve">         03.03.01.01基坑土方开挖及外运</t>
  </si>
  <si>
    <t>土方含量</t>
  </si>
  <si>
    <t>m3</t>
  </si>
  <si>
    <t>C03.03.01.01</t>
  </si>
  <si>
    <t xml:space="preserve">         03.03.01.02地库侧墙土方回填</t>
  </si>
  <si>
    <t>C03.03.01.02</t>
  </si>
  <si>
    <t xml:space="preserve">         03.03.01.03地库顶板土方回填</t>
  </si>
  <si>
    <t>C03.03.01.03</t>
  </si>
  <si>
    <t xml:space="preserve">         03.03.01.04地下障碍物清除</t>
  </si>
  <si>
    <t>C03.03.01.04</t>
  </si>
  <si>
    <t xml:space="preserve">         03.03.01.05其他土方工程</t>
  </si>
  <si>
    <t>C03.03.01.05</t>
  </si>
  <si>
    <t xml:space="preserve">         03.03.01.06基坑土方开挖及内倒回填</t>
  </si>
  <si>
    <t>C03.03.01.06</t>
  </si>
  <si>
    <t xml:space="preserve">         03.03.01.07基坑土方开挖及外运（商业）</t>
  </si>
  <si>
    <t>m³/㎡</t>
  </si>
  <si>
    <t>m³</t>
  </si>
  <si>
    <t>C03.03.01.07</t>
  </si>
  <si>
    <t xml:space="preserve">         03.03.01.08地库侧墙土方回填（商业）</t>
  </si>
  <si>
    <t>C03.03.01.08</t>
  </si>
  <si>
    <t xml:space="preserve">         03.03.01.09地库顶板土方回填（商业）</t>
  </si>
  <si>
    <t>C03.03.01.09</t>
  </si>
  <si>
    <t xml:space="preserve">         03.03.01.10地下障碍物清除（商业）</t>
  </si>
  <si>
    <t>地下障碍物含量</t>
  </si>
  <si>
    <t>C03.03.01.10</t>
  </si>
  <si>
    <t xml:space="preserve">         03.03.01.11基坑土方开挖及内倒回填（商业）</t>
  </si>
  <si>
    <t>C03.03.01.11</t>
  </si>
  <si>
    <t xml:space="preserve">         03.03.01.12其他土方工程（商业）</t>
  </si>
  <si>
    <t>C03.03.01.12</t>
  </si>
  <si>
    <t xml:space="preserve">      03.03.02支护工程</t>
  </si>
  <si>
    <t>C03.03.02</t>
  </si>
  <si>
    <t xml:space="preserve">         03.03.02.01钢筋混凝土挡墙</t>
  </si>
  <si>
    <t>支护延米长度占比</t>
  </si>
  <si>
    <t>m/m</t>
  </si>
  <si>
    <t>C03.03.02.01</t>
  </si>
  <si>
    <t xml:space="preserve">         03.03.02.02咬合灌注桩</t>
  </si>
  <si>
    <t>C03.03.02.02</t>
  </si>
  <si>
    <t xml:space="preserve">         03.03.02.03圆木桩</t>
  </si>
  <si>
    <t>C03.03.02.03</t>
  </si>
  <si>
    <t xml:space="preserve">         03.03.02.04预制混凝土板桩</t>
  </si>
  <si>
    <t>C03.03.02.04</t>
  </si>
  <si>
    <t xml:space="preserve">         03.03.02.05型钢桩</t>
  </si>
  <si>
    <t>C03.03.02.05</t>
  </si>
  <si>
    <t xml:space="preserve">         03.03.02.06钢板桩</t>
  </si>
  <si>
    <t>C03.03.02.06</t>
  </si>
  <si>
    <t xml:space="preserve">         03.03.02.07锚杆（锚索）、土钉</t>
  </si>
  <si>
    <t>C03.03.02.07</t>
  </si>
  <si>
    <t xml:space="preserve">         03.03.02.08喷射混凝土</t>
  </si>
  <si>
    <t>C03.03.02.08</t>
  </si>
  <si>
    <t xml:space="preserve">         03.03.02.09喷射水泥砂浆</t>
  </si>
  <si>
    <t>C03.03.02.09</t>
  </si>
  <si>
    <t xml:space="preserve">         03.03.02.10钢筋混凝土支撑</t>
  </si>
  <si>
    <t>C03.03.02.10</t>
  </si>
  <si>
    <t xml:space="preserve">         03.03.02.11钢支撑</t>
  </si>
  <si>
    <t>C03.03.02.11</t>
  </si>
  <si>
    <t xml:space="preserve">         03.03.02.12基坑降水</t>
  </si>
  <si>
    <t>C03.03.02.12</t>
  </si>
  <si>
    <t xml:space="preserve">         03.03.02.13基坑监测/检测</t>
  </si>
  <si>
    <t>C03.03.02.13</t>
  </si>
  <si>
    <t xml:space="preserve">         03.03.02.14其他支护工程</t>
  </si>
  <si>
    <t>C03.03.02.14</t>
  </si>
  <si>
    <t xml:space="preserve">      03.03.03挡墙工程</t>
  </si>
  <si>
    <t>C03.03.03</t>
  </si>
  <si>
    <t xml:space="preserve">         03.03.03.01毛石挡墙</t>
  </si>
  <si>
    <t>挡墙延米长度占比</t>
  </si>
  <si>
    <t>C03.03.03.01</t>
  </si>
  <si>
    <t xml:space="preserve">         03.03.03.02钢筋混凝土挡墙</t>
  </si>
  <si>
    <t>C03.03.03.02</t>
  </si>
  <si>
    <t xml:space="preserve">         03.03.03.03格构梁挡墙</t>
  </si>
  <si>
    <t>C03.03.03.03</t>
  </si>
  <si>
    <t xml:space="preserve">         03.03.03.04砌块挡墙</t>
  </si>
  <si>
    <t>C03.03.03.04</t>
  </si>
  <si>
    <t xml:space="preserve">         03.03.03.05边坡工程</t>
  </si>
  <si>
    <t>C03.03.03.05</t>
  </si>
  <si>
    <t xml:space="preserve">         03.03.03.06挡墙监测/检测</t>
  </si>
  <si>
    <t>C03.03.03.06</t>
  </si>
  <si>
    <t xml:space="preserve">         03.03.03.07其他挡墙、边坡工程</t>
  </si>
  <si>
    <t>C03.03.03.07</t>
  </si>
  <si>
    <t xml:space="preserve">      03.03.04地基处理</t>
  </si>
  <si>
    <t>C03.03.04</t>
  </si>
  <si>
    <t xml:space="preserve">         03.03.04.01强夯地基</t>
  </si>
  <si>
    <t>C03.03.04.01</t>
  </si>
  <si>
    <t xml:space="preserve">         03.03.04.02注浆地基</t>
  </si>
  <si>
    <t>C03.03.04.02</t>
  </si>
  <si>
    <t xml:space="preserve">         03.03.04.03深层搅拌桩</t>
  </si>
  <si>
    <t>C03.03.04.03</t>
  </si>
  <si>
    <t xml:space="preserve">         03.03.04.04其他地基处理</t>
  </si>
  <si>
    <t>C03.03.04.04</t>
  </si>
  <si>
    <t xml:space="preserve">            03.03.04.04.01CFG桩</t>
  </si>
  <si>
    <t>C03.03.04.04.01</t>
  </si>
  <si>
    <t xml:space="preserve">            03.03.04.04.02CFG桩检测</t>
  </si>
  <si>
    <t>项</t>
  </si>
  <si>
    <t>元/项</t>
  </si>
  <si>
    <t>C03.03.04.04.02</t>
  </si>
  <si>
    <t xml:space="preserve">      03.03.05其他</t>
  </si>
  <si>
    <t>C03.03.05</t>
  </si>
  <si>
    <t xml:space="preserve">         03.03.05.01其他岩土工程</t>
  </si>
  <si>
    <t>C03.03.05.01</t>
  </si>
  <si>
    <t xml:space="preserve">   03.04单体工程</t>
  </si>
  <si>
    <t>C03.04</t>
  </si>
  <si>
    <t>建筑面积（业态）</t>
  </si>
  <si>
    <t>C03.04_21</t>
  </si>
  <si>
    <t xml:space="preserve">         03.04.01建筑工程</t>
  </si>
  <si>
    <t>C03.04.01_21</t>
  </si>
  <si>
    <t xml:space="preserve">            03.04.01.01钢筋工程</t>
  </si>
  <si>
    <t>C03.04.01.01_21</t>
  </si>
  <si>
    <t xml:space="preserve">               03.04.01.01.01钢筋主材</t>
  </si>
  <si>
    <t>钢筋含量</t>
  </si>
  <si>
    <t>kg</t>
  </si>
  <si>
    <t>C03.04.01.01.01_21</t>
  </si>
  <si>
    <t xml:space="preserve">               03.04.01.01.02钢筋制安</t>
  </si>
  <si>
    <t>C03.04.01.01.02_21</t>
  </si>
  <si>
    <t xml:space="preserve">            03.04.01.02模板工程</t>
  </si>
  <si>
    <t>模版含量</t>
  </si>
  <si>
    <t>C03.04.01.02_21</t>
  </si>
  <si>
    <t xml:space="preserve">            03.04.01.03混凝土工程</t>
  </si>
  <si>
    <t>C03.04.01.03_21</t>
  </si>
  <si>
    <t xml:space="preserve">               03.04.01.03.01混凝土主材</t>
  </si>
  <si>
    <t>砼含量</t>
  </si>
  <si>
    <t>C03.04.01.03.01_21</t>
  </si>
  <si>
    <t xml:space="preserve">               03.04.01.03.02混凝土浇筑</t>
  </si>
  <si>
    <t>C03.04.01.03.02_21</t>
  </si>
  <si>
    <t xml:space="preserve">               03.04.01.03.03预制构件采购</t>
  </si>
  <si>
    <t>预制构件砼含量</t>
  </si>
  <si>
    <t>C03.04.01.03.03_21</t>
  </si>
  <si>
    <t xml:space="preserve">               03.04.01.03.04预制构件安装</t>
  </si>
  <si>
    <t>C03.04.01.03.04_21</t>
  </si>
  <si>
    <t xml:space="preserve">            03.04.01.04砌筑工程</t>
  </si>
  <si>
    <t>砌体含量</t>
  </si>
  <si>
    <t>898.1</t>
  </si>
  <si>
    <t>C03.04.01.04_21</t>
  </si>
  <si>
    <t xml:space="preserve">            03.04.01.05粗装修工程</t>
  </si>
  <si>
    <t>C03.04.01.05_21</t>
  </si>
  <si>
    <t xml:space="preserve">               03.04.01.05.01粗装修工程</t>
  </si>
  <si>
    <t>172.66</t>
  </si>
  <si>
    <t>C03.04.01.05.01_21</t>
  </si>
  <si>
    <t xml:space="preserve">               03.04.01.05.02土建改造工程</t>
  </si>
  <si>
    <t>C03.04.01.05.02_21</t>
  </si>
  <si>
    <t xml:space="preserve">               03.04.01.05.03涂料供货</t>
  </si>
  <si>
    <t>面积含量</t>
  </si>
  <si>
    <t>C03.04.01.05.03_21</t>
  </si>
  <si>
    <t xml:space="preserve">               03.04.01.05.05墙地砖供货</t>
  </si>
  <si>
    <t>C03.04.01.05.05_21</t>
  </si>
  <si>
    <t xml:space="preserve">            03.04.01.06保温工程</t>
  </si>
  <si>
    <t>C03.04.01.06_21</t>
  </si>
  <si>
    <t xml:space="preserve">            03.04.01.07其他建筑工程</t>
  </si>
  <si>
    <t>C03.04.01.07_21</t>
  </si>
  <si>
    <t xml:space="preserve">               03.04.01.07.01烟道工程</t>
  </si>
  <si>
    <t>延米含量</t>
  </si>
  <si>
    <t>延米/㎡</t>
  </si>
  <si>
    <t>元/延米</t>
  </si>
  <si>
    <t>C03.04.01.07.01_21</t>
  </si>
  <si>
    <t xml:space="preserve">               03.04.01.07.02其他建筑工程</t>
  </si>
  <si>
    <t>56.81</t>
  </si>
  <si>
    <t>C03.04.01.07.02_21</t>
  </si>
  <si>
    <t xml:space="preserve">            03.04.01.08开办费</t>
  </si>
  <si>
    <t>实体费金额</t>
  </si>
  <si>
    <t>元</t>
  </si>
  <si>
    <t>开办费比例</t>
  </si>
  <si>
    <t>290.1288</t>
  </si>
  <si>
    <t>元/元</t>
  </si>
  <si>
    <t>C03.04.01.08_21</t>
  </si>
  <si>
    <t xml:space="preserve">         03.04.02人防工程</t>
  </si>
  <si>
    <t>C03.04.02_21</t>
  </si>
  <si>
    <t xml:space="preserve">            03.04.02.01人防门工程</t>
  </si>
  <si>
    <t>120</t>
  </si>
  <si>
    <t>C03.04.02.01_21</t>
  </si>
  <si>
    <t xml:space="preserve">            03.04.02.02人防设备及通风工程</t>
  </si>
  <si>
    <t>110</t>
  </si>
  <si>
    <t>C03.04.02.02_21</t>
  </si>
  <si>
    <t xml:space="preserve">         03.04.03防水工程</t>
  </si>
  <si>
    <t>C03.04.03_21</t>
  </si>
  <si>
    <t xml:space="preserve">            03.04.03.01外墙防水施工</t>
  </si>
  <si>
    <t>防水面积含量</t>
  </si>
  <si>
    <t>C03.04.03.01_21</t>
  </si>
  <si>
    <t xml:space="preserve">            03.04.03.02外墙防水供货</t>
  </si>
  <si>
    <t>C03.04.03.02_21</t>
  </si>
  <si>
    <t xml:space="preserve">            03.04.03.11底板防水施工</t>
  </si>
  <si>
    <t>C03.04.03.11_21</t>
  </si>
  <si>
    <t xml:space="preserve">            03.04.03.12底板防水供货</t>
  </si>
  <si>
    <t>C03.04.03.12_21</t>
  </si>
  <si>
    <t xml:space="preserve">            03.04.03.13顶板防水施工</t>
  </si>
  <si>
    <t>C03.04.03.13_21</t>
  </si>
  <si>
    <t xml:space="preserve">            03.04.03.14顶板防水供货</t>
  </si>
  <si>
    <t>C03.04.03.14_21</t>
  </si>
  <si>
    <t xml:space="preserve">            03.04.03.98其他防水施工</t>
  </si>
  <si>
    <t>C03.04.03.98_21</t>
  </si>
  <si>
    <t xml:space="preserve">            03.04.03.99其他防水供货</t>
  </si>
  <si>
    <t>C03.04.03.99_21</t>
  </si>
  <si>
    <t xml:space="preserve">         03.04.04防火门工程</t>
  </si>
  <si>
    <t>C03.04.04_21</t>
  </si>
  <si>
    <t xml:space="preserve">            03.04.04.01防火门工程</t>
  </si>
  <si>
    <t>防火门含量</t>
  </si>
  <si>
    <t>C03.04.04.01_21</t>
  </si>
  <si>
    <t xml:space="preserve">            03.04.04.02防火卷帘工程</t>
  </si>
  <si>
    <t>防火卷帘含量</t>
  </si>
  <si>
    <t>C03.04.04.02_21</t>
  </si>
  <si>
    <t xml:space="preserve">         03.04.05其他门窗工程</t>
  </si>
  <si>
    <t>C03.04.05_21</t>
  </si>
  <si>
    <t xml:space="preserve">            03.04.05.01车库门工程</t>
  </si>
  <si>
    <t>C03.04.05.01_21</t>
  </si>
  <si>
    <t xml:space="preserve">            03.04.05.02功能管理房门窗工程</t>
  </si>
  <si>
    <t>C03.04.05.02_21</t>
  </si>
  <si>
    <t xml:space="preserve">         03.04.06常规机电工程</t>
  </si>
  <si>
    <t>C03.04.06_21</t>
  </si>
  <si>
    <t xml:space="preserve">            03.04.06.01电气工程</t>
  </si>
  <si>
    <t>298.3</t>
  </si>
  <si>
    <t>C03.04.06.01_21</t>
  </si>
  <si>
    <t xml:space="preserve">            03.04.06.02给水工程</t>
  </si>
  <si>
    <t>C03.04.06.02_21</t>
  </si>
  <si>
    <t xml:space="preserve">            03.04.06.03排水工程</t>
  </si>
  <si>
    <t>C03.04.06.03_21</t>
  </si>
  <si>
    <t xml:space="preserve">            03.04.06.04通风排烟工程</t>
  </si>
  <si>
    <t>C03.04.06.04_21</t>
  </si>
  <si>
    <t xml:space="preserve">            03.04.06.05机电改造工程</t>
  </si>
  <si>
    <t>C03.04.06.05_21</t>
  </si>
  <si>
    <t xml:space="preserve">            03.04.06.06阀门供货</t>
  </si>
  <si>
    <t>C03.04.06.06_21</t>
  </si>
  <si>
    <t xml:space="preserve">            03.04.06.07管材管件供货</t>
  </si>
  <si>
    <t>C03.04.06.07_21</t>
  </si>
  <si>
    <t xml:space="preserve">            03.04.06.08电线电缆供货</t>
  </si>
  <si>
    <t>C03.04.06.08_21</t>
  </si>
  <si>
    <t xml:space="preserve">            03.04.06.09户内配电箱供货</t>
  </si>
  <si>
    <t>C03.04.06.09_21</t>
  </si>
  <si>
    <t xml:space="preserve">            03.04.06.10开关插座供货</t>
  </si>
  <si>
    <t>C03.04.06.10_21</t>
  </si>
  <si>
    <t xml:space="preserve">            03.04.06.11水泵供货</t>
  </si>
  <si>
    <t>C03.04.06.11_21</t>
  </si>
  <si>
    <t xml:space="preserve">            03.04.06.12室内灯具供货（消防灯具等）</t>
  </si>
  <si>
    <t>C03.04.06.12_21</t>
  </si>
  <si>
    <t xml:space="preserve">            03.04.06.13散热器供货</t>
  </si>
  <si>
    <t>C03.04.06.13_21</t>
  </si>
  <si>
    <t xml:space="preserve">            03.04.06.14非标配电箱供货</t>
  </si>
  <si>
    <t>C03.04.06.14_21</t>
  </si>
  <si>
    <t xml:space="preserve">            03.04.06.15多媒体布线箱供货</t>
  </si>
  <si>
    <t>C03.04.06.15_21</t>
  </si>
  <si>
    <t xml:space="preserve">            03.04.06.16电表箱柜、电表供货</t>
  </si>
  <si>
    <t>C03.04.06.16_21</t>
  </si>
  <si>
    <t xml:space="preserve">            03.04.06.17充电桩</t>
  </si>
  <si>
    <t>个/个</t>
  </si>
  <si>
    <t>元/个</t>
  </si>
  <si>
    <t>C03.04.06.17_21</t>
  </si>
  <si>
    <t xml:space="preserve">            03.04.06.18其他常规机电工程</t>
  </si>
  <si>
    <t>C03.04.06.18_21</t>
  </si>
  <si>
    <t xml:space="preserve">         03.04.07消防工程</t>
  </si>
  <si>
    <t>C03.04.07_21</t>
  </si>
  <si>
    <t xml:space="preserve">            03.04.07.01消防报警系统工程</t>
  </si>
  <si>
    <t>C03.04.07.01_21</t>
  </si>
  <si>
    <t xml:space="preserve">            03.04.07.02消防喷淋系统工程</t>
  </si>
  <si>
    <t>C03.04.07.02_21</t>
  </si>
  <si>
    <t xml:space="preserve">            03.04.07.03消防栓系统工程</t>
  </si>
  <si>
    <t>C03.04.07.03_21</t>
  </si>
  <si>
    <t xml:space="preserve">            03.04.07.04消防通风排烟</t>
  </si>
  <si>
    <t>C03.04.07.04_21</t>
  </si>
  <si>
    <t xml:space="preserve">            03.04.07.05消防检测工程</t>
  </si>
  <si>
    <t>C03.04.07.05_21</t>
  </si>
  <si>
    <t xml:space="preserve">            03.04.07.06阀门供货</t>
  </si>
  <si>
    <t>C03.04.07.06_21</t>
  </si>
  <si>
    <t xml:space="preserve">            03.04.07.07风机供货</t>
  </si>
  <si>
    <t>C03.04.07.07_21</t>
  </si>
  <si>
    <t xml:space="preserve">            03.04.07.08气体（泡沫）灭火系统工程</t>
  </si>
  <si>
    <t>C03.04.07.08_21</t>
  </si>
  <si>
    <t xml:space="preserve">            03.04.07.09水泵供货</t>
  </si>
  <si>
    <t>C03.04.07.09_21</t>
  </si>
  <si>
    <t xml:space="preserve">            03.04.07.10其他消防工程</t>
  </si>
  <si>
    <t>C03.04.07.10_21</t>
  </si>
  <si>
    <t xml:space="preserve">            03.04.07.11电线电缆供货</t>
  </si>
  <si>
    <t>C03.04.07.11_21</t>
  </si>
  <si>
    <t xml:space="preserve">         03.04.08钢结构工程</t>
  </si>
  <si>
    <t>C03.04.08_21</t>
  </si>
  <si>
    <t xml:space="preserve">            03.04.08.01钢结构工程</t>
  </si>
  <si>
    <t>C03.04.08.01_21</t>
  </si>
  <si>
    <t xml:space="preserve">         03.04.09入户门工程</t>
  </si>
  <si>
    <t>C03.04.09_21</t>
  </si>
  <si>
    <t xml:space="preserve">            03.04.09.05其他入户门工程</t>
  </si>
  <si>
    <t>项/户</t>
  </si>
  <si>
    <t>C03.04.09.05_21</t>
  </si>
  <si>
    <t xml:space="preserve">         03.04.10外立面门窗工程</t>
  </si>
  <si>
    <t>C03.04.10_21</t>
  </si>
  <si>
    <t xml:space="preserve">            03.04.10.05其他外立面门窗工程</t>
  </si>
  <si>
    <t>C03.04.10.05_21</t>
  </si>
  <si>
    <t xml:space="preserve">         03.04.11外墙保温工程</t>
  </si>
  <si>
    <t>C03.04.11_21</t>
  </si>
  <si>
    <t xml:space="preserve">            03.04.11.01外墙保温施工</t>
  </si>
  <si>
    <t>C03.04.11.01_21</t>
  </si>
  <si>
    <t xml:space="preserve">            03.04.11.02外墙保温供货</t>
  </si>
  <si>
    <t>C03.04.11.02_21</t>
  </si>
  <si>
    <t xml:space="preserve">            03.04.11.03其他保温施工</t>
  </si>
  <si>
    <t>C03.04.11.03_21</t>
  </si>
  <si>
    <t xml:space="preserve">            03.04.11.04其他保温供货</t>
  </si>
  <si>
    <t>C03.04.11.04_21</t>
  </si>
  <si>
    <t xml:space="preserve">         03.04.12外立面装饰工程</t>
  </si>
  <si>
    <t>C03.04.12_21</t>
  </si>
  <si>
    <t xml:space="preserve">            03.04.12.01外墙石材安装</t>
  </si>
  <si>
    <t>装饰占比</t>
  </si>
  <si>
    <t>C03.04.12.01_21</t>
  </si>
  <si>
    <t xml:space="preserve">            03.04.12.02外墙石材供货</t>
  </si>
  <si>
    <t>C03.04.12.02_21</t>
  </si>
  <si>
    <t xml:space="preserve">            03.04.12.03外墙面砖施工</t>
  </si>
  <si>
    <t>C03.04.12.03_21</t>
  </si>
  <si>
    <t xml:space="preserve">            03.04.12.04外墙面砖供货</t>
  </si>
  <si>
    <t>C03.04.12.04_21</t>
  </si>
  <si>
    <t xml:space="preserve">            03.04.12.05劈开砖施工</t>
  </si>
  <si>
    <t>C03.04.12.05_21</t>
  </si>
  <si>
    <t xml:space="preserve">            03.04.12.06劈开砖供货</t>
  </si>
  <si>
    <t>C03.04.12.06_21</t>
  </si>
  <si>
    <t xml:space="preserve">            03.04.12.07陶板施工</t>
  </si>
  <si>
    <t>C03.04.12.07_21</t>
  </si>
  <si>
    <t xml:space="preserve">            03.04.12.08陶板供货</t>
  </si>
  <si>
    <t>C03.04.12.08_21</t>
  </si>
  <si>
    <t xml:space="preserve">            03.04.12.09外墙玻璃幕墙工程</t>
  </si>
  <si>
    <t>C03.04.12.09_21</t>
  </si>
  <si>
    <t xml:space="preserve">            03.04.12.10外墙铝板幕墙工程</t>
  </si>
  <si>
    <t>C03.04.12.10_21</t>
  </si>
  <si>
    <t xml:space="preserve">            03.04.12.11外墙普通涂料施工</t>
  </si>
  <si>
    <t>C03.04.12.11_21</t>
  </si>
  <si>
    <t xml:space="preserve">            03.04.12.12外墙普通涂料供货</t>
  </si>
  <si>
    <t>C03.04.12.12_21</t>
  </si>
  <si>
    <t xml:space="preserve">            03.04.12.13外墙真石漆施工</t>
  </si>
  <si>
    <t>C03.04.12.13_21</t>
  </si>
  <si>
    <t xml:space="preserve">            03.04.12.14外墙真石漆供货</t>
  </si>
  <si>
    <t>C03.04.12.14_21</t>
  </si>
  <si>
    <t xml:space="preserve">            03.04.12.15外墙构件工程（GRC/EPS）</t>
  </si>
  <si>
    <t>C03.04.12.15_21</t>
  </si>
  <si>
    <t xml:space="preserve">            03.04.12.16其他外墙装饰工程</t>
  </si>
  <si>
    <t>C03.04.12.16_21</t>
  </si>
  <si>
    <t xml:space="preserve">         03.04.13栏杆工程</t>
  </si>
  <si>
    <t>C03.04.13_21</t>
  </si>
  <si>
    <t xml:space="preserve">            03.04.13.03楼梯栏杆</t>
  </si>
  <si>
    <t>层</t>
  </si>
  <si>
    <t>每层栏杆长度</t>
  </si>
  <si>
    <t>m/层</t>
  </si>
  <si>
    <t>C03.04.13.03_21</t>
  </si>
  <si>
    <t xml:space="preserve">            03.04.13.04其他栏杆</t>
  </si>
  <si>
    <t>每户栏杆长度</t>
  </si>
  <si>
    <t>C03.04.13.04_21</t>
  </si>
  <si>
    <t xml:space="preserve">         03.04.14公共部位装饰工程</t>
  </si>
  <si>
    <t>C03.04.14_21</t>
  </si>
  <si>
    <t xml:space="preserve">            03.04.14.01地下大堂装饰工程</t>
  </si>
  <si>
    <t>C03.04.14.01_21</t>
  </si>
  <si>
    <t xml:space="preserve">               03.04.14.01.01大堂装饰施工</t>
  </si>
  <si>
    <t>大堂面积</t>
  </si>
  <si>
    <t>C03.04.14.01.01_21</t>
  </si>
  <si>
    <t xml:space="preserve">               03.04.14.01.02地砖供货</t>
  </si>
  <si>
    <t>C03.04.14.01.02_21</t>
  </si>
  <si>
    <t xml:space="preserve">               03.04.14.01.03石材供货</t>
  </si>
  <si>
    <t>C03.04.14.01.03_21</t>
  </si>
  <si>
    <t xml:space="preserve">               03.04.14.01.04人造石供货</t>
  </si>
  <si>
    <t>C03.04.14.01.04_21</t>
  </si>
  <si>
    <t xml:space="preserve">               03.04.14.01.05墙砖供货</t>
  </si>
  <si>
    <t>C03.04.14.01.05_21</t>
  </si>
  <si>
    <t xml:space="preserve">               03.04.14.01.06涂料供货</t>
  </si>
  <si>
    <t>C03.04.14.01.06_21</t>
  </si>
  <si>
    <t xml:space="preserve">               03.04.14.01.07灯具（包括筒灯、吸顶灯、射灯等）供货</t>
  </si>
  <si>
    <t>C03.04.14.01.07_21</t>
  </si>
  <si>
    <t xml:space="preserve">               03.04.14.01.08开关插座供货</t>
  </si>
  <si>
    <t>C03.04.14.01.08_21</t>
  </si>
  <si>
    <t xml:space="preserve">               03.04.14.01.09其他公共部位装饰工程</t>
  </si>
  <si>
    <t>C03.04.14.01.09_21</t>
  </si>
  <si>
    <t xml:space="preserve">            03.04.14.05其他公共部位装饰工程</t>
  </si>
  <si>
    <t>C03.04.14.05_21</t>
  </si>
  <si>
    <t xml:space="preserve">         03.04.15大堂门工程</t>
  </si>
  <si>
    <t>C03.04.15_21</t>
  </si>
  <si>
    <t xml:space="preserve">            03.04.15.01大堂门</t>
  </si>
  <si>
    <t>樘/个</t>
  </si>
  <si>
    <t>C03.04.15.01_21</t>
  </si>
  <si>
    <t xml:space="preserve">         03.04.16空调工程</t>
  </si>
  <si>
    <t>C03.04.16_21</t>
  </si>
  <si>
    <t xml:space="preserve">            03.04.16.01空调供货</t>
  </si>
  <si>
    <t>C03.04.16.01_21</t>
  </si>
  <si>
    <t xml:space="preserve">            03.04.16.02空调安装</t>
  </si>
  <si>
    <t>C03.04.16.02_21</t>
  </si>
  <si>
    <t xml:space="preserve">            03.04.16.03其他空调类设备</t>
  </si>
  <si>
    <t>C03.04.16.03_21</t>
  </si>
  <si>
    <t xml:space="preserve">         03.04.18中水系统工程</t>
  </si>
  <si>
    <t>C03.04.18_21</t>
  </si>
  <si>
    <t xml:space="preserve">            03.04.18.01中水系统工程</t>
  </si>
  <si>
    <t>建筑面积(业态)</t>
  </si>
  <si>
    <t>C03.04.18.01_21</t>
  </si>
  <si>
    <t xml:space="preserve">         03.04.19采暖工程</t>
  </si>
  <si>
    <t>C03.04.19_21</t>
  </si>
  <si>
    <t xml:space="preserve">            03.04.19.01采暖工程</t>
  </si>
  <si>
    <t>C03.04.19.01_21</t>
  </si>
  <si>
    <t xml:space="preserve">            03.04.19.02散热器供货</t>
  </si>
  <si>
    <t>C03.04.19.02_21</t>
  </si>
  <si>
    <t xml:space="preserve">            03.04.19.03锅炉供货</t>
  </si>
  <si>
    <t>C03.04.19.03_21</t>
  </si>
  <si>
    <t xml:space="preserve">            03.04.19.04管材管件供货</t>
  </si>
  <si>
    <t>C03.04.19.04_21</t>
  </si>
  <si>
    <t xml:space="preserve">            03.04.19.05其他采暖工程供货</t>
  </si>
  <si>
    <t>C03.04.19.05_21</t>
  </si>
  <si>
    <t xml:space="preserve">         03.04.20安防系统</t>
  </si>
  <si>
    <t>C03.04.20_21</t>
  </si>
  <si>
    <t xml:space="preserve">            03.04.20.01安防系统工程</t>
  </si>
  <si>
    <t>户/户</t>
  </si>
  <si>
    <t>C03.04.20.01_21</t>
  </si>
  <si>
    <t xml:space="preserve">            03.04.20.02监控设备供货</t>
  </si>
  <si>
    <t>C03.04.20.02_21</t>
  </si>
  <si>
    <t xml:space="preserve">            03.04.20.03可视对讲供货</t>
  </si>
  <si>
    <t>C03.04.20.03_21</t>
  </si>
  <si>
    <t xml:space="preserve">            03.04.20.04停车场系统供货</t>
  </si>
  <si>
    <t>C03.04.20.04_21</t>
  </si>
  <si>
    <t xml:space="preserve">            03.04.20.05家居智能系统</t>
  </si>
  <si>
    <t>C03.04.20.05_21</t>
  </si>
  <si>
    <t xml:space="preserve">            03.04.20.06其他安防工程供货</t>
  </si>
  <si>
    <t>C03.04.20.06_21</t>
  </si>
  <si>
    <t xml:space="preserve">         03.04.23电梯工程</t>
  </si>
  <si>
    <t>C03.04.23_21</t>
  </si>
  <si>
    <t xml:space="preserve">            03.04.23.01电梯供货</t>
  </si>
  <si>
    <t>部/部</t>
  </si>
  <si>
    <t>C03.04.23.01_21</t>
  </si>
  <si>
    <t xml:space="preserve">            03.04.23.02电梯安装</t>
  </si>
  <si>
    <t>C03.04.23.02_21</t>
  </si>
  <si>
    <t xml:space="preserve">            03.04.23.03其他费用（如保养、开梯费）</t>
  </si>
  <si>
    <t>C03.04.23.03_21</t>
  </si>
  <si>
    <t xml:space="preserve">         03.04.24地坪处理工程</t>
  </si>
  <si>
    <t>C03.04.24_21</t>
  </si>
  <si>
    <t xml:space="preserve">            03.04.24.01地坪漆供货及施工</t>
  </si>
  <si>
    <t>地坪面积占比</t>
  </si>
  <si>
    <t>C03.04.24.01_21</t>
  </si>
  <si>
    <t xml:space="preserve">            03.04.24.02金刚砂供货及施工</t>
  </si>
  <si>
    <t>C03.04.24.02_21</t>
  </si>
  <si>
    <t xml:space="preserve">         03.04.25交通标识工程</t>
  </si>
  <si>
    <t>C03.04.25_21</t>
  </si>
  <si>
    <t xml:space="preserve">            03.04.25.01交通标识工程</t>
  </si>
  <si>
    <t>C03.04.25.01_21</t>
  </si>
  <si>
    <t xml:space="preserve">         03.04.26太阳能热水器</t>
  </si>
  <si>
    <t>C03.04.26_21</t>
  </si>
  <si>
    <t xml:space="preserve">         03.04.27外遮阳工程</t>
  </si>
  <si>
    <t>C03.04.27_21</t>
  </si>
  <si>
    <t xml:space="preserve">         03.04.28泛光照明工程</t>
  </si>
  <si>
    <t>C03.04.28_21</t>
  </si>
  <si>
    <t xml:space="preserve">         03.04.29停车场管理系统</t>
  </si>
  <si>
    <t>C03.04.29_21</t>
  </si>
  <si>
    <t xml:space="preserve">            03.04.29.01停车场管理系统安装</t>
  </si>
  <si>
    <t>每出入口套数</t>
  </si>
  <si>
    <t>套/出入口</t>
  </si>
  <si>
    <t>套</t>
  </si>
  <si>
    <t>50000</t>
  </si>
  <si>
    <t>元/套</t>
  </si>
  <si>
    <t>C03.04.29.01_21</t>
  </si>
  <si>
    <t xml:space="preserve">            03.04.29.02停车场管理系统供货</t>
  </si>
  <si>
    <t>C03.04.29.02_21</t>
  </si>
  <si>
    <t xml:space="preserve">         03.04.30机械停车工程</t>
  </si>
  <si>
    <t>C03.04.30_21</t>
  </si>
  <si>
    <t xml:space="preserve">            03.04.30.01机械停车工程</t>
  </si>
  <si>
    <t>机械车位数占比</t>
  </si>
  <si>
    <t>C03.04.30.01_21</t>
  </si>
  <si>
    <t xml:space="preserve">         03.04.31其他装饰工程</t>
  </si>
  <si>
    <t>C03.04.31_21</t>
  </si>
  <si>
    <t xml:space="preserve">            03.04.31.01物管管理处/服务中心、维保中心装饰工程</t>
  </si>
  <si>
    <t>面积占比</t>
  </si>
  <si>
    <t>C03.04.31.01_21</t>
  </si>
  <si>
    <t xml:space="preserve">            03.04.31.02商业项目办公区</t>
  </si>
  <si>
    <t>C03.04.31.02_21</t>
  </si>
  <si>
    <t xml:space="preserve">            03.04.31.03商业项目公共食堂</t>
  </si>
  <si>
    <t>C03.04.31.03_21</t>
  </si>
  <si>
    <t xml:space="preserve">            03.04.31.04其他装饰工程</t>
  </si>
  <si>
    <t>C03.04.31.04_21</t>
  </si>
  <si>
    <t xml:space="preserve">         03.04.32室内环境监测（毛坯部分）</t>
  </si>
  <si>
    <t>C03.04.32_21</t>
  </si>
  <si>
    <t xml:space="preserve">            03.04.32.01室内环境监测（毛坯部分）</t>
  </si>
  <si>
    <t>C03.04.32.01_21</t>
  </si>
  <si>
    <t xml:space="preserve">         03.04.33其他</t>
  </si>
  <si>
    <t>C03.04.33_21</t>
  </si>
  <si>
    <t xml:space="preserve">            03.04.33.03其他单体工程</t>
  </si>
  <si>
    <t>如有，备注说明事项</t>
  </si>
  <si>
    <t>C03.04.33.03_21</t>
  </si>
  <si>
    <t>C03.04_$pcode1$</t>
  </si>
  <si>
    <t>C03.04.01_$pcode1$</t>
  </si>
  <si>
    <t>C03.04.01.01_$pcode1$</t>
  </si>
  <si>
    <t>C03.04.01.01.01_$pcode1$</t>
  </si>
  <si>
    <t>C03.04.01.01.02_$pcode1$</t>
  </si>
  <si>
    <t>C03.04.01.02_$pcode1$</t>
  </si>
  <si>
    <t>C03.04.01.03_$pcode1$</t>
  </si>
  <si>
    <t>C03.04.01.03.01_$pcode1$</t>
  </si>
  <si>
    <t>C03.04.01.03.02_$pcode1$</t>
  </si>
  <si>
    <t>C03.04.01.03.03_$pcode1$</t>
  </si>
  <si>
    <t>C03.04.01.03.04_$pcode1$</t>
  </si>
  <si>
    <t>C03.04.01.04_$pcode1$</t>
  </si>
  <si>
    <t>C03.04.01.05_$pcode1$</t>
  </si>
  <si>
    <t>C03.04.01.05.01_$pcode1$</t>
  </si>
  <si>
    <t>C03.04.01.05.02_$pcode1$</t>
  </si>
  <si>
    <t>C03.04.01.05.03_$pcode1$</t>
  </si>
  <si>
    <t xml:space="preserve">               03.04.01.05.04屋面瓦供货</t>
  </si>
  <si>
    <t>C03.04.01.05.04_$pcode1$</t>
  </si>
  <si>
    <t>C03.04.01.05.05_$pcode1$</t>
  </si>
  <si>
    <t>C03.04.01.06_$pcode1$</t>
  </si>
  <si>
    <t>C03.04.01.07_$pcode1$</t>
  </si>
  <si>
    <t>㎡/延米含量</t>
  </si>
  <si>
    <t>C03.04.01.07.01_$pcode1$</t>
  </si>
  <si>
    <t>C03.04.01.07.02_$pcode1$</t>
  </si>
  <si>
    <t>C03.04.01.08_$pcode1$</t>
  </si>
  <si>
    <t>C03.04.02_$pcode1$</t>
  </si>
  <si>
    <t>C03.04.02.01_$pcode1$</t>
  </si>
  <si>
    <t>C03.04.02.02_$pcode1$</t>
  </si>
  <si>
    <t>C03.04.03_$pcode1$</t>
  </si>
  <si>
    <t>C03.04.03.01_$pcode1$</t>
  </si>
  <si>
    <t>C03.04.03.02_$pcode1$</t>
  </si>
  <si>
    <t xml:space="preserve">            03.04.03.03屋面防水施工</t>
  </si>
  <si>
    <t>C03.04.03.03_$pcode1$</t>
  </si>
  <si>
    <t xml:space="preserve">            03.04.03.04屋面防水供货</t>
  </si>
  <si>
    <t>C03.04.03.04_$pcode1$</t>
  </si>
  <si>
    <t xml:space="preserve">            03.04.03.05卫生间防水施工</t>
  </si>
  <si>
    <t>C03.04.03.05_$pcode1$</t>
  </si>
  <si>
    <t xml:space="preserve">            03.04.03.06卫生间防水供货</t>
  </si>
  <si>
    <t>C03.04.03.06_$pcode1$</t>
  </si>
  <si>
    <t xml:space="preserve">            03.04.03.07阳台防水施工</t>
  </si>
  <si>
    <t>C03.04.03.07_$pcode1$</t>
  </si>
  <si>
    <t xml:space="preserve">            03.04.03.08阳台防水供货</t>
  </si>
  <si>
    <t>C03.04.03.08_$pcode1$</t>
  </si>
  <si>
    <t xml:space="preserve">            03.04.03.09厨房防水施工</t>
  </si>
  <si>
    <t>C03.04.03.09_$pcode1$</t>
  </si>
  <si>
    <t xml:space="preserve">            03.04.03.10厨房防水供货</t>
  </si>
  <si>
    <t>C03.04.03.10_$pcode1$</t>
  </si>
  <si>
    <t>C03.04.03.98_$pcode1$</t>
  </si>
  <si>
    <t>C03.04.03.99_$pcode1$</t>
  </si>
  <si>
    <t>C03.04.04_$pcode1$</t>
  </si>
  <si>
    <t>C03.04.04.01_$pcode1$</t>
  </si>
  <si>
    <t>C03.04.04.02_$pcode1$</t>
  </si>
  <si>
    <t>C03.04.05_$pcode1$</t>
  </si>
  <si>
    <t>C03.04.05.01_$pcode1$</t>
  </si>
  <si>
    <t>C03.04.05.02_$pcode1$</t>
  </si>
  <si>
    <t>C03.04.06_$pcode1$</t>
  </si>
  <si>
    <t>C03.04.06.01_$pcode1$</t>
  </si>
  <si>
    <t>C03.04.06.02_$pcode1$</t>
  </si>
  <si>
    <t>C03.04.06.03_$pcode1$</t>
  </si>
  <si>
    <t>C03.04.06.04_$pcode1$</t>
  </si>
  <si>
    <t>C03.04.06.05_$pcode1$</t>
  </si>
  <si>
    <t>C03.04.06.06_$pcode1$</t>
  </si>
  <si>
    <t>C03.04.06.07_$pcode1$</t>
  </si>
  <si>
    <t>C03.04.06.08_$pcode1$</t>
  </si>
  <si>
    <t>C03.04.06.09_$pcode1$</t>
  </si>
  <si>
    <t>C03.04.06.10_$pcode1$</t>
  </si>
  <si>
    <t>C03.04.06.11_$pcode1$</t>
  </si>
  <si>
    <t>C03.04.06.12_$pcode1$</t>
  </si>
  <si>
    <t>C03.04.06.13_$pcode1$</t>
  </si>
  <si>
    <t>C03.04.06.14_$pcode1$</t>
  </si>
  <si>
    <t>C03.04.06.15_$pcode1$</t>
  </si>
  <si>
    <t>C03.04.06.16_$pcode1$</t>
  </si>
  <si>
    <t>C03.04.06.17_$pcode1$</t>
  </si>
  <si>
    <t>C03.04.06.18_$pcode1$</t>
  </si>
  <si>
    <t>C03.04.07_$pcode1$</t>
  </si>
  <si>
    <t>C03.04.07.01_$pcode1$</t>
  </si>
  <si>
    <t>C03.04.07.02_$pcode1$</t>
  </si>
  <si>
    <t>C03.04.07.03_$pcode1$</t>
  </si>
  <si>
    <t>C03.04.07.04_$pcode1$</t>
  </si>
  <si>
    <t>C03.04.07.05_$pcode1$</t>
  </si>
  <si>
    <t>C03.04.07.06_$pcode1$</t>
  </si>
  <si>
    <t>C03.04.07.07_$pcode1$</t>
  </si>
  <si>
    <t>C03.04.07.08_$pcode1$</t>
  </si>
  <si>
    <t>C03.04.07.09_$pcode1$</t>
  </si>
  <si>
    <t>C03.04.07.10_$pcode1$</t>
  </si>
  <si>
    <t>C03.04.07.11_$pcode1$</t>
  </si>
  <si>
    <t>C03.04.08_$pcode1$</t>
  </si>
  <si>
    <t>C03.04.08.01_$pcode1$</t>
  </si>
  <si>
    <t>C03.04.09_$pcode1$</t>
  </si>
  <si>
    <t xml:space="preserve">            03.04.09.01入户门安装</t>
  </si>
  <si>
    <t>套/户</t>
  </si>
  <si>
    <t>C03.04.09.01_$pcode1$</t>
  </si>
  <si>
    <t xml:space="preserve">            03.04.09.02入户门供货</t>
  </si>
  <si>
    <t>C03.04.09.02_$pcode1$</t>
  </si>
  <si>
    <t xml:space="preserve">            03.04.09.03入户门锁安装</t>
  </si>
  <si>
    <t>C03.04.09.03_$pcode1$</t>
  </si>
  <si>
    <t xml:space="preserve">            03.04.09.04入户门锁供货</t>
  </si>
  <si>
    <t>C03.04.09.04_$pcode1$</t>
  </si>
  <si>
    <t>C03.04.09.05_$pcode1$</t>
  </si>
  <si>
    <t>C03.04.10_$pcode1$</t>
  </si>
  <si>
    <t xml:space="preserve">            03.04.10.01外立面普通门窗工程</t>
  </si>
  <si>
    <t>C03.04.10.01_$pcode1$</t>
  </si>
  <si>
    <t xml:space="preserve">            03.04.10.02外立面系统门窗工程</t>
  </si>
  <si>
    <t>C03.04.10.02_$pcode1$</t>
  </si>
  <si>
    <t xml:space="preserve">            03.04.10.03外立面防火门窗工程</t>
  </si>
  <si>
    <t>C03.04.10.03_$pcode1$</t>
  </si>
  <si>
    <t xml:space="preserve">            03.04.10.04外立面百叶工程</t>
  </si>
  <si>
    <t>百叶比</t>
  </si>
  <si>
    <t>C03.04.10.04_$pcode1$</t>
  </si>
  <si>
    <t>C03.04.10.05_$pcode1$</t>
  </si>
  <si>
    <t>C03.04.11_$pcode1$</t>
  </si>
  <si>
    <t>C03.04.11.01_$pcode1$</t>
  </si>
  <si>
    <t>C03.04.11.02_$pcode1$</t>
  </si>
  <si>
    <t>C03.04.11.03_$pcode1$</t>
  </si>
  <si>
    <t>C03.04.11.04_$pcode1$</t>
  </si>
  <si>
    <t>C03.04.12_$pcode1$</t>
  </si>
  <si>
    <t>C03.04.12.01_$pcode1$</t>
  </si>
  <si>
    <t>C03.04.12.02_$pcode1$</t>
  </si>
  <si>
    <t>C03.04.12.03_$pcode1$</t>
  </si>
  <si>
    <t>C03.04.12.04_$pcode1$</t>
  </si>
  <si>
    <t>C03.04.12.05_$pcode1$</t>
  </si>
  <si>
    <t>C03.04.12.06_$pcode1$</t>
  </si>
  <si>
    <t>C03.04.12.07_$pcode1$</t>
  </si>
  <si>
    <t>C03.04.12.08_$pcode1$</t>
  </si>
  <si>
    <t>C03.04.12.09_$pcode1$</t>
  </si>
  <si>
    <t>C03.04.12.10_$pcode1$</t>
  </si>
  <si>
    <t>C03.04.12.11_$pcode1$</t>
  </si>
  <si>
    <t>C03.04.12.12_$pcode1$</t>
  </si>
  <si>
    <t>C03.04.12.13_$pcode1$</t>
  </si>
  <si>
    <t>C03.04.12.14_$pcode1$</t>
  </si>
  <si>
    <t>C03.04.12.15_$pcode1$</t>
  </si>
  <si>
    <t>C03.04.12.16_$pcode1$</t>
  </si>
  <si>
    <t>C03.04.13_$pcode1$</t>
  </si>
  <si>
    <t xml:space="preserve">            03.04.13.01阳台栏杆</t>
  </si>
  <si>
    <t>C03.04.13.01_$pcode1$</t>
  </si>
  <si>
    <t xml:space="preserve">            03.04.13.02护窗栏杆</t>
  </si>
  <si>
    <t>C03.04.13.02_$pcode1$</t>
  </si>
  <si>
    <t>C03.04.13.03_$pcode1$</t>
  </si>
  <si>
    <t>C03.04.13.04_$pcode1$</t>
  </si>
  <si>
    <t>C03.04.14_$pcode1$</t>
  </si>
  <si>
    <t xml:space="preserve">            03.04.14.01地上大堂装饰工程</t>
  </si>
  <si>
    <t>C03.04.14.01_$pcode1$</t>
  </si>
  <si>
    <t>C03.04.14.01.01_$pcode1$</t>
  </si>
  <si>
    <t>C03.04.14.01.02_$pcode1$</t>
  </si>
  <si>
    <t>C03.04.14.01.03_$pcode1$</t>
  </si>
  <si>
    <t>C03.04.14.01.04_$pcode1$</t>
  </si>
  <si>
    <t>C03.04.14.01.05_$pcode1$</t>
  </si>
  <si>
    <t>C03.04.14.01.06_$pcode1$</t>
  </si>
  <si>
    <t>C03.04.14.01.07_$pcode1$</t>
  </si>
  <si>
    <t>C03.04.14.01.08_$pcode1$</t>
  </si>
  <si>
    <t xml:space="preserve">            03.04.14.02电梯厅装饰工程</t>
  </si>
  <si>
    <t>C03.04.14.02_$pcode1$</t>
  </si>
  <si>
    <t xml:space="preserve">               03.04.14.02.01电梯厅装饰施工</t>
  </si>
  <si>
    <t>电梯厅面积</t>
  </si>
  <si>
    <t>C03.04.14.02.01_$pcode1$</t>
  </si>
  <si>
    <t xml:space="preserve">               03.04.14.02.02地砖供货</t>
  </si>
  <si>
    <t>C03.04.14.02.02_$pcode1$</t>
  </si>
  <si>
    <t xml:space="preserve">               03.04.14.02.03石材供货</t>
  </si>
  <si>
    <t>C03.04.14.02.03_$pcode1$</t>
  </si>
  <si>
    <t xml:space="preserve">               03.04.14.02.04人造石供货</t>
  </si>
  <si>
    <t>C03.04.14.02.04_$pcode1$</t>
  </si>
  <si>
    <t xml:space="preserve">               03.04.14.02.05墙砖供货</t>
  </si>
  <si>
    <t>C03.04.14.02.05_$pcode1$</t>
  </si>
  <si>
    <t xml:space="preserve">               03.04.14.02.06涂料供货</t>
  </si>
  <si>
    <t>C03.04.14.02.06_$pcode1$</t>
  </si>
  <si>
    <t xml:space="preserve">               03.04.14.02.07灯具供货</t>
  </si>
  <si>
    <t>C03.04.14.02.07_$pcode1$</t>
  </si>
  <si>
    <t xml:space="preserve">               03.04.14.02.08开关插座供货</t>
  </si>
  <si>
    <t>C03.04.14.02.08_$pcode1$</t>
  </si>
  <si>
    <t xml:space="preserve">            03.04.14.03电梯轿厢二次装饰工程</t>
  </si>
  <si>
    <t>C03.04.14.03_$pcode1$</t>
  </si>
  <si>
    <t xml:space="preserve">            03.04.14.04信报箱工程</t>
  </si>
  <si>
    <t>每户个数</t>
  </si>
  <si>
    <t>个/户</t>
  </si>
  <si>
    <t>C03.04.14.04_$pcode1$</t>
  </si>
  <si>
    <t>C03.04.14.05_$pcode1$</t>
  </si>
  <si>
    <t>C03.04.15_$pcode1$</t>
  </si>
  <si>
    <t>C03.04.15.01_$pcode1$</t>
  </si>
  <si>
    <t>C03.04.16_$pcode1$</t>
  </si>
  <si>
    <t>C03.04.16.01_$pcode1$</t>
  </si>
  <si>
    <t>C03.04.16.02_$pcode1$</t>
  </si>
  <si>
    <t>C03.04.16.03_$pcode1$</t>
  </si>
  <si>
    <t xml:space="preserve">         03.04.17直饮水系统工程</t>
  </si>
  <si>
    <t>C03.04.17_$pcode1$</t>
  </si>
  <si>
    <t xml:space="preserve">            03.04.17.01直饮水系统工程</t>
  </si>
  <si>
    <t>C03.04.17.01_$pcode1$</t>
  </si>
  <si>
    <t>C03.04.18_$pcode1$</t>
  </si>
  <si>
    <t>C03.04.18.01_$pcode1$</t>
  </si>
  <si>
    <t>C03.04.19_$pcode1$</t>
  </si>
  <si>
    <t>C03.04.19.01_$pcode1$</t>
  </si>
  <si>
    <t>C03.04.19.02_$pcode1$</t>
  </si>
  <si>
    <t>C03.04.19.03_$pcode1$</t>
  </si>
  <si>
    <t>C03.04.19.04_$pcode1$</t>
  </si>
  <si>
    <t>C03.04.19.05_$pcode1$</t>
  </si>
  <si>
    <t>C03.04.20_$pcode1$</t>
  </si>
  <si>
    <t>C03.04.20.01_$pcode1$</t>
  </si>
  <si>
    <t>C03.04.20.02_$pcode1$</t>
  </si>
  <si>
    <t>C03.04.20.03_$pcode1$</t>
  </si>
  <si>
    <t>C03.04.20.04_$pcode1$</t>
  </si>
  <si>
    <t>C03.04.20.05_$pcode1$</t>
  </si>
  <si>
    <t>C03.04.20.06_$pcode1$</t>
  </si>
  <si>
    <t xml:space="preserve">         03.04.21有线电视工程</t>
  </si>
  <si>
    <t>C03.04.21_$pcode1$</t>
  </si>
  <si>
    <t xml:space="preserve">            03.04.21.01有线电视工程</t>
  </si>
  <si>
    <t>C03.04.21.01_$pcode1$</t>
  </si>
  <si>
    <t xml:space="preserve">         03.04.22电信及网络系统工程</t>
  </si>
  <si>
    <t>C03.04.22_$pcode1$</t>
  </si>
  <si>
    <t xml:space="preserve">            03.04.22.01电信及网络系统工程</t>
  </si>
  <si>
    <t>C03.04.22.01_$pcode1$</t>
  </si>
  <si>
    <t>C03.04.23_$pcode1$</t>
  </si>
  <si>
    <t>C03.04.23.01_$pcode1$</t>
  </si>
  <si>
    <t>C03.04.23.02_$pcode1$</t>
  </si>
  <si>
    <t>C03.04.23.03_$pcode1$</t>
  </si>
  <si>
    <t>C03.04.24_$pcode1$</t>
  </si>
  <si>
    <t>C03.04.24.01_$pcode1$</t>
  </si>
  <si>
    <t>C03.04.25_$pcode1$</t>
  </si>
  <si>
    <t>C03.04.25.01_$pcode1$</t>
  </si>
  <si>
    <t>C03.04.26_$pcode1$</t>
  </si>
  <si>
    <t xml:space="preserve">            03.04.26.01分户储热分户供热系统供货及安装</t>
  </si>
  <si>
    <t>每户热水器数</t>
  </si>
  <si>
    <t>台/户</t>
  </si>
  <si>
    <t>台</t>
  </si>
  <si>
    <t>C03.04.26.01_$pcode1$</t>
  </si>
  <si>
    <t xml:space="preserve">            03.04.26.02集中储热分户供热系统供货及安装</t>
  </si>
  <si>
    <t>C03.04.26.02_$pcode1$</t>
  </si>
  <si>
    <t xml:space="preserve">            03.04.26.03集中储热集中供热系统供货及安装</t>
  </si>
  <si>
    <t>C03.04.26.03_$pcode1$</t>
  </si>
  <si>
    <t>C03.04.27_$pcode1$</t>
  </si>
  <si>
    <t xml:space="preserve">            03.04.27.01外遮阳工程</t>
  </si>
  <si>
    <t>C03.04.27.01_$pcode1$</t>
  </si>
  <si>
    <t>C03.04.28_$pcode1$</t>
  </si>
  <si>
    <t xml:space="preserve">            03.04.28.01泛光照明工程</t>
  </si>
  <si>
    <t>栋</t>
  </si>
  <si>
    <t>栋/栋</t>
  </si>
  <si>
    <t>元/栋</t>
  </si>
  <si>
    <t>C03.04.28.01_$pcode1$</t>
  </si>
  <si>
    <t>C03.04.29_$pcode1$</t>
  </si>
  <si>
    <t>C03.04.30_$pcode1$</t>
  </si>
  <si>
    <t>C03.04.31_$pcode1$</t>
  </si>
  <si>
    <t>C03.04.31.01_$pcode1$</t>
  </si>
  <si>
    <t>C03.04.31.02_$pcode1$</t>
  </si>
  <si>
    <t>C03.04.31.03_$pcode1$</t>
  </si>
  <si>
    <t>C03.04.31.04_$pcode1$</t>
  </si>
  <si>
    <t>C03.04.32_$pcode1$</t>
  </si>
  <si>
    <t>C03.04.32.01_$pcode1$</t>
  </si>
  <si>
    <t>C03.04.33_$pcode1$</t>
  </si>
  <si>
    <t>C03.04.33.03_$pcode1$</t>
  </si>
  <si>
    <t>C03.04_12</t>
  </si>
  <si>
    <t>C03.04.01_12</t>
  </si>
  <si>
    <t>C03.04.01.01_12</t>
  </si>
  <si>
    <t>C03.04.01.01.01_12</t>
  </si>
  <si>
    <t>C03.04.01.01.02_12</t>
  </si>
  <si>
    <t>C03.04.01.02_12</t>
  </si>
  <si>
    <t>C03.04.01.03_12</t>
  </si>
  <si>
    <t>C03.04.01.03.01_12</t>
  </si>
  <si>
    <t>C03.04.01.03.02_12</t>
  </si>
  <si>
    <r>
      <rPr>
        <sz val="10"/>
        <color theme="1"/>
        <rFont val="宋体"/>
        <family val="3"/>
        <charset val="134"/>
      </rPr>
      <t>预制构件含砼含量</t>
    </r>
    <r>
      <rPr>
        <sz val="10"/>
        <color theme="1"/>
        <rFont val="Arial"/>
        <family val="2"/>
      </rPr>
      <t>XX</t>
    </r>
    <r>
      <rPr>
        <sz val="10"/>
        <color theme="1"/>
        <rFont val="宋体"/>
        <family val="3"/>
        <charset val="134"/>
      </rPr>
      <t>，综合单价</t>
    </r>
    <r>
      <rPr>
        <sz val="10"/>
        <color theme="1"/>
        <rFont val="Arial"/>
        <family val="2"/>
      </rPr>
      <t>XXX</t>
    </r>
  </si>
  <si>
    <t>C03.04.01.03.03_12</t>
  </si>
  <si>
    <t>C03.04.01.03.04_12</t>
  </si>
  <si>
    <t>C03.04.01.04_12</t>
  </si>
  <si>
    <t>C03.04.01.05_12</t>
  </si>
  <si>
    <t>C03.04.01.05.01_12</t>
  </si>
  <si>
    <t>加建改造范围：XXX</t>
  </si>
  <si>
    <t>C03.04.01.05.02_12</t>
  </si>
  <si>
    <t>C03.04.01.05.03_12</t>
  </si>
  <si>
    <t>C03.04.01.05.04_12</t>
  </si>
  <si>
    <t>C03.04.01.05.05_12</t>
  </si>
  <si>
    <t>C03.04.01.06_12</t>
  </si>
  <si>
    <t>C03.04.01.07_12</t>
  </si>
  <si>
    <t>C03.04.01.07.01_12</t>
  </si>
  <si>
    <t>C03.04.01.07.02_12</t>
  </si>
  <si>
    <t>C03.04.01.08_12</t>
  </si>
  <si>
    <t>C03.04.02_12</t>
  </si>
  <si>
    <t>C03.04.02.01_12</t>
  </si>
  <si>
    <t>C03.04.02.02_12</t>
  </si>
  <si>
    <t>C03.04.03_12</t>
  </si>
  <si>
    <t>C03.04.03.01_12</t>
  </si>
  <si>
    <t>C03.04.03.02_12</t>
  </si>
  <si>
    <t>C03.04.03.03_12</t>
  </si>
  <si>
    <t>C03.04.03.04_12</t>
  </si>
  <si>
    <t>C03.04.03.05_12</t>
  </si>
  <si>
    <t>C03.04.03.06_12</t>
  </si>
  <si>
    <t>C03.04.03.07_12</t>
  </si>
  <si>
    <t>C03.04.03.08_12</t>
  </si>
  <si>
    <t>C03.04.03.09_12</t>
  </si>
  <si>
    <t>C03.04.03.10_12</t>
  </si>
  <si>
    <t>C03.04.03.98_12</t>
  </si>
  <si>
    <t>C03.04.03.99_12</t>
  </si>
  <si>
    <t>C03.04.04_12</t>
  </si>
  <si>
    <t>C03.04.04.01_12</t>
  </si>
  <si>
    <t>C03.04.04.02_12</t>
  </si>
  <si>
    <t>C03.04.05_12</t>
  </si>
  <si>
    <t>C03.04.05.01_12</t>
  </si>
  <si>
    <t>C03.04.05.02_12</t>
  </si>
  <si>
    <t>C03.04.06_12</t>
  </si>
  <si>
    <t>C03.04.06.01_12</t>
  </si>
  <si>
    <t>C03.04.06.02_12</t>
  </si>
  <si>
    <t>C03.04.06.03_12</t>
  </si>
  <si>
    <t>C03.04.06.04_12</t>
  </si>
  <si>
    <t>C03.04.06.05_12</t>
  </si>
  <si>
    <t>C03.04.06.06_12</t>
  </si>
  <si>
    <t>C03.04.06.07_12</t>
  </si>
  <si>
    <t>C03.04.06.08_12</t>
  </si>
  <si>
    <t>C03.04.06.09_12</t>
  </si>
  <si>
    <t>C03.04.06.10_12</t>
  </si>
  <si>
    <t>C03.04.06.11_12</t>
  </si>
  <si>
    <t>C03.04.06.12_12</t>
  </si>
  <si>
    <t>C03.04.06.13_12</t>
  </si>
  <si>
    <t>C03.04.06.14_12</t>
  </si>
  <si>
    <t>C03.04.06.15_12</t>
  </si>
  <si>
    <t>C03.04.06.16_12</t>
  </si>
  <si>
    <t>C03.04.06.17_12</t>
  </si>
  <si>
    <t>C03.04.06.18_12</t>
  </si>
  <si>
    <t>C03.04.07_12</t>
  </si>
  <si>
    <t>C03.04.07.01_12</t>
  </si>
  <si>
    <t>C03.04.07.02_12</t>
  </si>
  <si>
    <t>C03.04.07.03_12</t>
  </si>
  <si>
    <t>C03.04.07.04_12</t>
  </si>
  <si>
    <t>C03.04.07.05_12</t>
  </si>
  <si>
    <t>C03.04.07.06_12</t>
  </si>
  <si>
    <t>C03.04.07.07_12</t>
  </si>
  <si>
    <t>C03.04.07.08_12</t>
  </si>
  <si>
    <t>C03.04.07.09_12</t>
  </si>
  <si>
    <t>C03.04.07.10_12</t>
  </si>
  <si>
    <t>C03.04.07.11_12</t>
  </si>
  <si>
    <t>C03.04.08_12</t>
  </si>
  <si>
    <t>C03.04.08.01_12</t>
  </si>
  <si>
    <t>C03.04.09_12</t>
  </si>
  <si>
    <t>C03.04.09.01_12</t>
  </si>
  <si>
    <t>C03.04.09.02_12</t>
  </si>
  <si>
    <t>C03.04.09.03_12</t>
  </si>
  <si>
    <t>C03.04.09.04_12</t>
  </si>
  <si>
    <t>C03.04.09.05_12</t>
  </si>
  <si>
    <t>C03.04.10_12</t>
  </si>
  <si>
    <t>C03.04.10.01_12</t>
  </si>
  <si>
    <t>C03.04.10.02_12</t>
  </si>
  <si>
    <t>C03.04.10.03_12</t>
  </si>
  <si>
    <t>C03.04.10.04_12</t>
  </si>
  <si>
    <t>C03.04.10.05_12</t>
  </si>
  <si>
    <t>C03.04.11_12</t>
  </si>
  <si>
    <t>C03.04.11.01_12</t>
  </si>
  <si>
    <t>C03.04.11.02_12</t>
  </si>
  <si>
    <t>C03.04.11.03_12</t>
  </si>
  <si>
    <t>C03.04.11.04_12</t>
  </si>
  <si>
    <t>C03.04.12_12</t>
  </si>
  <si>
    <t>C03.04.12.01_12</t>
  </si>
  <si>
    <t>C03.04.12.02_12</t>
  </si>
  <si>
    <t>C03.04.12.03_12</t>
  </si>
  <si>
    <t>C03.04.12.04_12</t>
  </si>
  <si>
    <t>C03.04.12.05_12</t>
  </si>
  <si>
    <t>C03.04.12.06_12</t>
  </si>
  <si>
    <t>C03.04.12.07_12</t>
  </si>
  <si>
    <t>C03.04.12.08_12</t>
  </si>
  <si>
    <t>C03.04.12.09_12</t>
  </si>
  <si>
    <t>C03.04.12.10_12</t>
  </si>
  <si>
    <t>C03.04.12.11_12</t>
  </si>
  <si>
    <t>C03.04.12.12_12</t>
  </si>
  <si>
    <t>C03.04.12.13_12</t>
  </si>
  <si>
    <t>C03.04.12.14_12</t>
  </si>
  <si>
    <t>C03.04.12.15_12</t>
  </si>
  <si>
    <t>C03.04.12.16_12</t>
  </si>
  <si>
    <t>C03.04.13_12</t>
  </si>
  <si>
    <t>C03.04.13.01_12</t>
  </si>
  <si>
    <t>C03.04.13.02_12</t>
  </si>
  <si>
    <t>C03.04.13.03_12</t>
  </si>
  <si>
    <t>请备注栏杆类型</t>
  </si>
  <si>
    <t>C03.04.13.04_12</t>
  </si>
  <si>
    <t>C03.04.14_12</t>
  </si>
  <si>
    <t>C03.04.14.01_12</t>
  </si>
  <si>
    <t>C03.04.14.01.01_12</t>
  </si>
  <si>
    <t>C03.04.14.01.02_12</t>
  </si>
  <si>
    <t>C03.04.14.01.03_12</t>
  </si>
  <si>
    <t>C03.04.14.01.04_12</t>
  </si>
  <si>
    <t>C03.04.14.01.05_12</t>
  </si>
  <si>
    <t>C03.04.14.01.06_12</t>
  </si>
  <si>
    <t>C03.04.14.01.07_12</t>
  </si>
  <si>
    <t>C03.04.14.01.08_12</t>
  </si>
  <si>
    <t>C03.04.14.02_12</t>
  </si>
  <si>
    <t>C03.04.14.02.01_12</t>
  </si>
  <si>
    <t>C03.04.14.02.02_12</t>
  </si>
  <si>
    <t>C03.04.14.02.03_12</t>
  </si>
  <si>
    <t>C03.04.14.02.04_12</t>
  </si>
  <si>
    <t>C03.04.14.02.05_12</t>
  </si>
  <si>
    <t>C03.04.14.02.06_12</t>
  </si>
  <si>
    <t>C03.04.14.02.07_12</t>
  </si>
  <si>
    <t>C03.04.14.02.08_12</t>
  </si>
  <si>
    <t>C03.04.14.03_12</t>
  </si>
  <si>
    <t>C03.04.14.04_12</t>
  </si>
  <si>
    <t>C03.04.14.05_12</t>
  </si>
  <si>
    <t>C03.04.15_12</t>
  </si>
  <si>
    <t>C03.04.15.01_12</t>
  </si>
  <si>
    <t>C03.04.16_12</t>
  </si>
  <si>
    <t>C03.04.16.01_12</t>
  </si>
  <si>
    <t>C03.04.16.02_12</t>
  </si>
  <si>
    <t>C03.04.16.03_12</t>
  </si>
  <si>
    <t>C03.04.17_12</t>
  </si>
  <si>
    <t>C03.04.17.01_12</t>
  </si>
  <si>
    <t>C03.04.18_12</t>
  </si>
  <si>
    <t>C03.04.18.01_12</t>
  </si>
  <si>
    <t>C03.04.19_12</t>
  </si>
  <si>
    <t>C03.04.19.01_12</t>
  </si>
  <si>
    <t>C03.04.19.02_12</t>
  </si>
  <si>
    <t>C03.04.19.03_12</t>
  </si>
  <si>
    <t>C03.04.19.04_12</t>
  </si>
  <si>
    <t>C03.04.19.05_12</t>
  </si>
  <si>
    <t>C03.04.20_12</t>
  </si>
  <si>
    <t>C03.04.20.01_12</t>
  </si>
  <si>
    <t>C03.04.20.02_12</t>
  </si>
  <si>
    <t>C03.04.20.03_12</t>
  </si>
  <si>
    <t>C03.04.20.04_12</t>
  </si>
  <si>
    <t>C03.04.20.05_12</t>
  </si>
  <si>
    <t>C03.04.20.06_12</t>
  </si>
  <si>
    <t>C03.04.21_12</t>
  </si>
  <si>
    <t>C03.04.21.01_12</t>
  </si>
  <si>
    <t>C03.04.22_12</t>
  </si>
  <si>
    <t>C03.04.22.01_12</t>
  </si>
  <si>
    <t>C03.04.23_12</t>
  </si>
  <si>
    <t>C03.04.23.01_12</t>
  </si>
  <si>
    <t>C03.04.23.02_12</t>
  </si>
  <si>
    <t>C03.04.23.03_12</t>
  </si>
  <si>
    <t>C03.04.24_12</t>
  </si>
  <si>
    <t>C03.04.24.01_12</t>
  </si>
  <si>
    <t>C03.04.25_12</t>
  </si>
  <si>
    <t>C03.04.25.01_12</t>
  </si>
  <si>
    <t>C03.04.26_12</t>
  </si>
  <si>
    <t>C03.04.26.01_12</t>
  </si>
  <si>
    <t>C03.04.26.02_12</t>
  </si>
  <si>
    <t>C03.04.26.03_12</t>
  </si>
  <si>
    <t>C03.04.27_12</t>
  </si>
  <si>
    <t>C03.04.27.01_12</t>
  </si>
  <si>
    <t>C03.04.28_12</t>
  </si>
  <si>
    <t>C03.04.28.01_12</t>
  </si>
  <si>
    <t>C03.04.29_12</t>
  </si>
  <si>
    <t>C03.04.30_12</t>
  </si>
  <si>
    <t>C03.04.31_12</t>
  </si>
  <si>
    <t>C03.04.31.01_12</t>
  </si>
  <si>
    <t>C03.04.31.02_12</t>
  </si>
  <si>
    <t>C03.04.31.03_12</t>
  </si>
  <si>
    <t>C03.04.31.04_12</t>
  </si>
  <si>
    <t>C03.04.32_12</t>
  </si>
  <si>
    <t>C03.04.32.01_12</t>
  </si>
  <si>
    <t>C03.04.33_12</t>
  </si>
  <si>
    <t>C03.04.33.03_12</t>
  </si>
  <si>
    <t>C03.04_13</t>
  </si>
  <si>
    <t>C03.04.01_13</t>
  </si>
  <si>
    <t>C03.04.01.01_13</t>
  </si>
  <si>
    <t>C03.04.01.01.01_13</t>
  </si>
  <si>
    <t>C03.04.01.01.02_13</t>
  </si>
  <si>
    <t>3.57</t>
  </si>
  <si>
    <t>C03.04.01.02_13</t>
  </si>
  <si>
    <t>C03.04.01.03_13</t>
  </si>
  <si>
    <t>C03.04.01.03.01_13</t>
  </si>
  <si>
    <t>C03.04.01.03.02_13</t>
  </si>
  <si>
    <t>C03.04.01.03.03_13</t>
  </si>
  <si>
    <t>C03.04.01.03.04_13</t>
  </si>
  <si>
    <t>C03.04.01.04_13</t>
  </si>
  <si>
    <t>C03.04.01.05_13</t>
  </si>
  <si>
    <t>C03.04.01.05.01_13</t>
  </si>
  <si>
    <t>C03.04.01.05.02_13</t>
  </si>
  <si>
    <t>C03.04.01.05.03_13</t>
  </si>
  <si>
    <t>C03.04.01.05.04_13</t>
  </si>
  <si>
    <t>C03.04.01.05.05_13</t>
  </si>
  <si>
    <t>C03.04.01.06_13</t>
  </si>
  <si>
    <t>C03.04.01.07_13</t>
  </si>
  <si>
    <t>C03.04.01.07.01_13</t>
  </si>
  <si>
    <t>C03.04.01.07.02_13</t>
  </si>
  <si>
    <t>C03.04.01.08_13</t>
  </si>
  <si>
    <t>C03.04.02_13</t>
  </si>
  <si>
    <t>C03.04.02.01_13</t>
  </si>
  <si>
    <t>C03.04.02.02_13</t>
  </si>
  <si>
    <t>C03.04.03_13</t>
  </si>
  <si>
    <t>C03.04.03.01_13</t>
  </si>
  <si>
    <t>C03.04.03.02_13</t>
  </si>
  <si>
    <t>C03.04.03.03_13</t>
  </si>
  <si>
    <t>C03.04.03.04_13</t>
  </si>
  <si>
    <t>C03.04.03.05_13</t>
  </si>
  <si>
    <t>C03.04.03.06_13</t>
  </si>
  <si>
    <t>C03.04.03.07_13</t>
  </si>
  <si>
    <t>C03.04.03.08_13</t>
  </si>
  <si>
    <t>C03.04.03.09_13</t>
  </si>
  <si>
    <t>C03.04.03.10_13</t>
  </si>
  <si>
    <t>C03.04.03.98_13</t>
  </si>
  <si>
    <t>C03.04.03.99_13</t>
  </si>
  <si>
    <t>C03.04.04_13</t>
  </si>
  <si>
    <t>0.037</t>
  </si>
  <si>
    <t>395</t>
  </si>
  <si>
    <t>C03.04.04.01_13</t>
  </si>
  <si>
    <t>C03.04.04.02_13</t>
  </si>
  <si>
    <t>C03.04.05_13</t>
  </si>
  <si>
    <t>C03.04.05.01_13</t>
  </si>
  <si>
    <t>C03.04.05.02_13</t>
  </si>
  <si>
    <t>C03.04.06_13</t>
  </si>
  <si>
    <t>184</t>
  </si>
  <si>
    <t>C03.04.06.01_13</t>
  </si>
  <si>
    <t>C03.04.06.02_13</t>
  </si>
  <si>
    <t>C03.04.06.03_13</t>
  </si>
  <si>
    <t>C03.04.06.04_13</t>
  </si>
  <si>
    <t>C03.04.06.05_13</t>
  </si>
  <si>
    <t>C03.04.06.06_13</t>
  </si>
  <si>
    <t>C03.04.06.07_13</t>
  </si>
  <si>
    <t>C03.04.06.08_13</t>
  </si>
  <si>
    <t>C03.04.06.09_13</t>
  </si>
  <si>
    <t>C03.04.06.10_13</t>
  </si>
  <si>
    <t>C03.04.06.11_13</t>
  </si>
  <si>
    <t>C03.04.06.12_13</t>
  </si>
  <si>
    <t>C03.04.06.13_13</t>
  </si>
  <si>
    <t>C03.04.06.14_13</t>
  </si>
  <si>
    <t>C03.04.06.15_13</t>
  </si>
  <si>
    <t>C03.04.06.16_13</t>
  </si>
  <si>
    <t>C03.04.06.17_13</t>
  </si>
  <si>
    <t>C03.04.06.18_13</t>
  </si>
  <si>
    <t>C03.04.07_13</t>
  </si>
  <si>
    <t>23.68</t>
  </si>
  <si>
    <t>C03.04.07.01_13</t>
  </si>
  <si>
    <t>C03.04.07.02_13</t>
  </si>
  <si>
    <t>C03.04.07.03_13</t>
  </si>
  <si>
    <t>C03.04.07.04_13</t>
  </si>
  <si>
    <t>C03.04.07.05_13</t>
  </si>
  <si>
    <t>C03.04.07.06_13</t>
  </si>
  <si>
    <t>C03.04.07.07_13</t>
  </si>
  <si>
    <t>C03.04.07.08_13</t>
  </si>
  <si>
    <t>C03.04.07.09_13</t>
  </si>
  <si>
    <t>C03.04.07.10_13</t>
  </si>
  <si>
    <t>C03.04.07.11_13</t>
  </si>
  <si>
    <t>C03.04.08_13</t>
  </si>
  <si>
    <t>C03.04.08.01_13</t>
  </si>
  <si>
    <t>C03.04.09_13</t>
  </si>
  <si>
    <t>C03.04.09.01_13</t>
  </si>
  <si>
    <t>C03.04.09.02_13</t>
  </si>
  <si>
    <t>C03.04.09.03_13</t>
  </si>
  <si>
    <t>C03.04.09.04_13</t>
  </si>
  <si>
    <t>C03.04.09.05_13</t>
  </si>
  <si>
    <t>C03.04.10_13</t>
  </si>
  <si>
    <t>C03.04.10.01_13</t>
  </si>
  <si>
    <t>C03.04.10.02_13</t>
  </si>
  <si>
    <t>C03.04.10.03_13</t>
  </si>
  <si>
    <t>C03.04.10.04_13</t>
  </si>
  <si>
    <t>C03.04.10.05_13</t>
  </si>
  <si>
    <t>C03.04.11_13</t>
  </si>
  <si>
    <t>C03.04.11.01_13</t>
  </si>
  <si>
    <t>C03.04.11.02_13</t>
  </si>
  <si>
    <t>C03.04.11.03_13</t>
  </si>
  <si>
    <t>C03.04.11.04_13</t>
  </si>
  <si>
    <t>C03.04.12_13</t>
  </si>
  <si>
    <t>C03.04.12.01_13</t>
  </si>
  <si>
    <t>C03.04.12.02_13</t>
  </si>
  <si>
    <t>C03.04.12.03_13</t>
  </si>
  <si>
    <t>C03.04.12.04_13</t>
  </si>
  <si>
    <t>C03.04.12.05_13</t>
  </si>
  <si>
    <t>C03.04.12.06_13</t>
  </si>
  <si>
    <t>C03.04.12.07_13</t>
  </si>
  <si>
    <t>C03.04.12.08_13</t>
  </si>
  <si>
    <t>C03.04.12.09_13</t>
  </si>
  <si>
    <t>C03.04.12.10_13</t>
  </si>
  <si>
    <t>C03.04.12.11_13</t>
  </si>
  <si>
    <t>C03.04.12.12_13</t>
  </si>
  <si>
    <t>C03.04.12.13_13</t>
  </si>
  <si>
    <t>C03.04.12.14_13</t>
  </si>
  <si>
    <t>C03.04.12.15_13</t>
  </si>
  <si>
    <t>C03.04.12.16_13</t>
  </si>
  <si>
    <t>C03.04.13_13</t>
  </si>
  <si>
    <t>C03.04.13.01_13</t>
  </si>
  <si>
    <t>C03.04.13.02_13</t>
  </si>
  <si>
    <t>8.35</t>
  </si>
  <si>
    <t>182.36</t>
  </si>
  <si>
    <t>C03.04.13.03_13</t>
  </si>
  <si>
    <t>4.38</t>
  </si>
  <si>
    <t>294.38</t>
  </si>
  <si>
    <t>C03.04.13.04_13</t>
  </si>
  <si>
    <t>C03.04.14_13</t>
  </si>
  <si>
    <t>C03.04.14.01_13</t>
  </si>
  <si>
    <t>C03.04.14.01.01_13</t>
  </si>
  <si>
    <t>C03.04.14.01.02_13</t>
  </si>
  <si>
    <t>C03.04.14.01.03_13</t>
  </si>
  <si>
    <t>C03.04.14.01.04_13</t>
  </si>
  <si>
    <t>C03.04.14.01.05_13</t>
  </si>
  <si>
    <t>C03.04.14.01.06_13</t>
  </si>
  <si>
    <t>C03.04.14.01.07_13</t>
  </si>
  <si>
    <t>C03.04.14.01.08_13</t>
  </si>
  <si>
    <t>C03.04.14.02_13</t>
  </si>
  <si>
    <t>C03.04.14.02.01_13</t>
  </si>
  <si>
    <t>C03.04.14.02.02_13</t>
  </si>
  <si>
    <t>C03.04.14.02.03_13</t>
  </si>
  <si>
    <t>C03.04.14.02.04_13</t>
  </si>
  <si>
    <t>C03.04.14.02.05_13</t>
  </si>
  <si>
    <t>C03.04.14.02.06_13</t>
  </si>
  <si>
    <t>C03.04.14.02.07_13</t>
  </si>
  <si>
    <t>C03.04.14.02.08_13</t>
  </si>
  <si>
    <t>C03.04.14.03_13</t>
  </si>
  <si>
    <t>C03.04.14.04_13</t>
  </si>
  <si>
    <t>C03.04.14.05_13</t>
  </si>
  <si>
    <t>C03.04.15_13</t>
  </si>
  <si>
    <t>C03.04.15.01_13</t>
  </si>
  <si>
    <t>C03.04.16_13</t>
  </si>
  <si>
    <t>C03.04.16.01_13</t>
  </si>
  <si>
    <t>C03.04.16.02_13</t>
  </si>
  <si>
    <t>C03.04.16.03_13</t>
  </si>
  <si>
    <t>C03.04.17_13</t>
  </si>
  <si>
    <t>C03.04.17.01_13</t>
  </si>
  <si>
    <t>C03.04.18_13</t>
  </si>
  <si>
    <t>C03.04.18.01_13</t>
  </si>
  <si>
    <t>C03.04.19_13</t>
  </si>
  <si>
    <t>C03.04.19.01_13</t>
  </si>
  <si>
    <t>C03.04.19.02_13</t>
  </si>
  <si>
    <t>C03.04.19.03_13</t>
  </si>
  <si>
    <t>C03.04.19.04_13</t>
  </si>
  <si>
    <t>C03.04.19.05_13</t>
  </si>
  <si>
    <t>C03.04.20_13</t>
  </si>
  <si>
    <t>C03.04.20.01_13</t>
  </si>
  <si>
    <t>C03.04.20.02_13</t>
  </si>
  <si>
    <t>C03.04.20.03_13</t>
  </si>
  <si>
    <t>C03.04.20.04_13</t>
  </si>
  <si>
    <t>C03.04.20.05_13</t>
  </si>
  <si>
    <t>C03.04.20.06_13</t>
  </si>
  <si>
    <t>C03.04.21_13</t>
  </si>
  <si>
    <t>C03.04.21.01_13</t>
  </si>
  <si>
    <t>C03.04.22_13</t>
  </si>
  <si>
    <t>C03.04.22.01_13</t>
  </si>
  <si>
    <t>C03.04.23_13</t>
  </si>
  <si>
    <t>C03.04.23.01_13</t>
  </si>
  <si>
    <t>C03.04.23.02_13</t>
  </si>
  <si>
    <t>C03.04.23.03_13</t>
  </si>
  <si>
    <t>C03.04.24_13</t>
  </si>
  <si>
    <t>C03.04.24.01_13</t>
  </si>
  <si>
    <t>C03.04.25_13</t>
  </si>
  <si>
    <t>C03.04.25.01_13</t>
  </si>
  <si>
    <t>C03.04.26_13</t>
  </si>
  <si>
    <t>C03.04.26.01_13</t>
  </si>
  <si>
    <t>C03.04.26.02_13</t>
  </si>
  <si>
    <t>C03.04.26.03_13</t>
  </si>
  <si>
    <t>C03.04.27_13</t>
  </si>
  <si>
    <t>C03.04.27.01_13</t>
  </si>
  <si>
    <t>C03.04.28_13</t>
  </si>
  <si>
    <t>80000</t>
  </si>
  <si>
    <t>C03.04.28.01_13</t>
  </si>
  <si>
    <t>C03.04.29_13</t>
  </si>
  <si>
    <t>C03.04.30_13</t>
  </si>
  <si>
    <t>C03.04.31_13</t>
  </si>
  <si>
    <t>C03.04.31.01_13</t>
  </si>
  <si>
    <t>C03.04.31.02_13</t>
  </si>
  <si>
    <t>C03.04.31.03_13</t>
  </si>
  <si>
    <t>C03.04.31.04_13</t>
  </si>
  <si>
    <t>C03.04.32_13</t>
  </si>
  <si>
    <t>C03.04.32.01_13</t>
  </si>
  <si>
    <t>C03.04.33_13</t>
  </si>
  <si>
    <t>C03.04.33.03_13</t>
  </si>
  <si>
    <t>C03.04_14</t>
  </si>
  <si>
    <t>C03.04.01_14</t>
  </si>
  <si>
    <t>C03.04.01.01_14</t>
  </si>
  <si>
    <t>C03.04.01.01.01_14</t>
  </si>
  <si>
    <t>C03.04.01.01.02_14</t>
  </si>
  <si>
    <t>C03.04.01.02_14</t>
  </si>
  <si>
    <t>C03.04.01.03_14</t>
  </si>
  <si>
    <t>C03.04.01.03.01_14</t>
  </si>
  <si>
    <t>C03.04.01.03.02_14</t>
  </si>
  <si>
    <t>C03.04.01.03.03_14</t>
  </si>
  <si>
    <t>C03.04.01.03.04_14</t>
  </si>
  <si>
    <t>C03.04.01.04_14</t>
  </si>
  <si>
    <t>C03.04.01.05_14</t>
  </si>
  <si>
    <t>C03.04.01.05.01_14</t>
  </si>
  <si>
    <t>C03.04.01.05.02_14</t>
  </si>
  <si>
    <t>C03.04.01.05.03_14</t>
  </si>
  <si>
    <t>C03.04.01.05.04_14</t>
  </si>
  <si>
    <t>C03.04.01.05.05_14</t>
  </si>
  <si>
    <t>C03.04.01.06_14</t>
  </si>
  <si>
    <t>C03.04.01.07_14</t>
  </si>
  <si>
    <t>C03.04.01.07.01_14</t>
  </si>
  <si>
    <t>C03.04.01.07.02_14</t>
  </si>
  <si>
    <t>C03.04.01.08_14</t>
  </si>
  <si>
    <t>C03.04.02_14</t>
  </si>
  <si>
    <t>C03.04.02.01_14</t>
  </si>
  <si>
    <t>C03.04.02.02_14</t>
  </si>
  <si>
    <t>C03.04.03_14</t>
  </si>
  <si>
    <t>C03.04.03.01_14</t>
  </si>
  <si>
    <t>C03.04.03.02_14</t>
  </si>
  <si>
    <t>C03.04.03.03_14</t>
  </si>
  <si>
    <t>C03.04.03.04_14</t>
  </si>
  <si>
    <t>C03.04.03.05_14</t>
  </si>
  <si>
    <t>C03.04.03.06_14</t>
  </si>
  <si>
    <t>C03.04.03.07_14</t>
  </si>
  <si>
    <t>C03.04.03.08_14</t>
  </si>
  <si>
    <t>C03.04.03.09_14</t>
  </si>
  <si>
    <t>C03.04.03.10_14</t>
  </si>
  <si>
    <t>C03.04.03.98_14</t>
  </si>
  <si>
    <t>C03.04.03.99_14</t>
  </si>
  <si>
    <t>C03.04.04_14</t>
  </si>
  <si>
    <t>C03.04.04.01_14</t>
  </si>
  <si>
    <t>C03.04.04.02_14</t>
  </si>
  <si>
    <t>C03.04.05_14</t>
  </si>
  <si>
    <t>C03.04.05.01_14</t>
  </si>
  <si>
    <t>C03.04.05.02_14</t>
  </si>
  <si>
    <t>C03.04.06_14</t>
  </si>
  <si>
    <t>C03.04.06.01_14</t>
  </si>
  <si>
    <t>C03.04.06.02_14</t>
  </si>
  <si>
    <t>C03.04.06.03_14</t>
  </si>
  <si>
    <t>C03.04.06.04_14</t>
  </si>
  <si>
    <t>C03.04.06.05_14</t>
  </si>
  <si>
    <t>C03.04.06.06_14</t>
  </si>
  <si>
    <t>C03.04.06.07_14</t>
  </si>
  <si>
    <t>C03.04.06.08_14</t>
  </si>
  <si>
    <t>C03.04.06.09_14</t>
  </si>
  <si>
    <t>C03.04.06.10_14</t>
  </si>
  <si>
    <t>C03.04.06.11_14</t>
  </si>
  <si>
    <t>C03.04.06.12_14</t>
  </si>
  <si>
    <t>C03.04.06.13_14</t>
  </si>
  <si>
    <t>C03.04.06.14_14</t>
  </si>
  <si>
    <t>C03.04.06.15_14</t>
  </si>
  <si>
    <t>C03.04.06.16_14</t>
  </si>
  <si>
    <t>C03.04.06.17_14</t>
  </si>
  <si>
    <t>C03.04.06.18_14</t>
  </si>
  <si>
    <t>C03.04.07_14</t>
  </si>
  <si>
    <t>C03.04.07.01_14</t>
  </si>
  <si>
    <t>C03.04.07.02_14</t>
  </si>
  <si>
    <t>C03.04.07.03_14</t>
  </si>
  <si>
    <t>C03.04.07.04_14</t>
  </si>
  <si>
    <t>C03.04.07.05_14</t>
  </si>
  <si>
    <t>C03.04.07.06_14</t>
  </si>
  <si>
    <t>C03.04.07.07_14</t>
  </si>
  <si>
    <t>C03.04.07.08_14</t>
  </si>
  <si>
    <t>C03.04.07.09_14</t>
  </si>
  <si>
    <t>C03.04.07.10_14</t>
  </si>
  <si>
    <t>C03.04.07.11_14</t>
  </si>
  <si>
    <t>C03.04.08_14</t>
  </si>
  <si>
    <t>C03.04.08.01_14</t>
  </si>
  <si>
    <t>C03.04.09_14</t>
  </si>
  <si>
    <t>C03.04.09.01_14</t>
  </si>
  <si>
    <t>C03.04.09.02_14</t>
  </si>
  <si>
    <t>C03.04.09.03_14</t>
  </si>
  <si>
    <t>C03.04.09.04_14</t>
  </si>
  <si>
    <t>C03.04.09.05_14</t>
  </si>
  <si>
    <t>C03.04.10_14</t>
  </si>
  <si>
    <t>C03.04.10.01_14</t>
  </si>
  <si>
    <t>C03.04.10.02_14</t>
  </si>
  <si>
    <t>C03.04.10.03_14</t>
  </si>
  <si>
    <t>C03.04.10.04_14</t>
  </si>
  <si>
    <t>C03.04.10.05_14</t>
  </si>
  <si>
    <t>C03.04.11_14</t>
  </si>
  <si>
    <t>C03.04.11.01_14</t>
  </si>
  <si>
    <t>C03.04.11.02_14</t>
  </si>
  <si>
    <t>C03.04.11.03_14</t>
  </si>
  <si>
    <t>C03.04.11.04_14</t>
  </si>
  <si>
    <t>C03.04.12_14</t>
  </si>
  <si>
    <t>C03.04.12.01_14</t>
  </si>
  <si>
    <t>C03.04.12.02_14</t>
  </si>
  <si>
    <t>C03.04.12.03_14</t>
  </si>
  <si>
    <t>C03.04.12.04_14</t>
  </si>
  <si>
    <t>C03.04.12.05_14</t>
  </si>
  <si>
    <t>C03.04.12.06_14</t>
  </si>
  <si>
    <t>C03.04.12.07_14</t>
  </si>
  <si>
    <t>C03.04.12.08_14</t>
  </si>
  <si>
    <t>C03.04.12.09_14</t>
  </si>
  <si>
    <t>C03.04.12.10_14</t>
  </si>
  <si>
    <t>C03.04.12.11_14</t>
  </si>
  <si>
    <t>C03.04.12.12_14</t>
  </si>
  <si>
    <t>C03.04.12.13_14</t>
  </si>
  <si>
    <t>C03.04.12.14_14</t>
  </si>
  <si>
    <t>C03.04.12.15_14</t>
  </si>
  <si>
    <t>C03.04.12.16_14</t>
  </si>
  <si>
    <t>C03.04.13_14</t>
  </si>
  <si>
    <t>C03.04.13.01_14</t>
  </si>
  <si>
    <t>C03.04.13.02_14</t>
  </si>
  <si>
    <t>C03.04.13.03_14</t>
  </si>
  <si>
    <t>C03.04.13.04_14</t>
  </si>
  <si>
    <t>C03.04.14_14</t>
  </si>
  <si>
    <t>C03.04.14.01_14</t>
  </si>
  <si>
    <t>C03.04.14.01.01_14</t>
  </si>
  <si>
    <t>C03.04.14.01.02_14</t>
  </si>
  <si>
    <t>C03.04.14.01.03_14</t>
  </si>
  <si>
    <t>C03.04.14.01.04_14</t>
  </si>
  <si>
    <t>C03.04.14.01.05_14</t>
  </si>
  <si>
    <t>C03.04.14.01.06_14</t>
  </si>
  <si>
    <t>C03.04.14.01.07_14</t>
  </si>
  <si>
    <t>C03.04.14.01.08_14</t>
  </si>
  <si>
    <t>C03.04.14.02_14</t>
  </si>
  <si>
    <t>C03.04.14.02.01_14</t>
  </si>
  <si>
    <t>C03.04.14.02.02_14</t>
  </si>
  <si>
    <t>C03.04.14.02.03_14</t>
  </si>
  <si>
    <t>C03.04.14.02.04_14</t>
  </si>
  <si>
    <t>C03.04.14.02.05_14</t>
  </si>
  <si>
    <t>C03.04.14.02.06_14</t>
  </si>
  <si>
    <t>C03.04.14.02.07_14</t>
  </si>
  <si>
    <t>C03.04.14.02.08_14</t>
  </si>
  <si>
    <t>C03.04.14.03_14</t>
  </si>
  <si>
    <t>C03.04.14.04_14</t>
  </si>
  <si>
    <t>C03.04.14.05_14</t>
  </si>
  <si>
    <t>C03.04.15_14</t>
  </si>
  <si>
    <t>C03.04.15.01_14</t>
  </si>
  <si>
    <t>C03.04.16_14</t>
  </si>
  <si>
    <t>C03.04.16.01_14</t>
  </si>
  <si>
    <t>C03.04.16.02_14</t>
  </si>
  <si>
    <t>C03.04.16.03_14</t>
  </si>
  <si>
    <t>C03.04.17_14</t>
  </si>
  <si>
    <t>C03.04.17.01_14</t>
  </si>
  <si>
    <t>C03.04.18_14</t>
  </si>
  <si>
    <t>C03.04.18.01_14</t>
  </si>
  <si>
    <t>C03.04.19_14</t>
  </si>
  <si>
    <t>C03.04.19.01_14</t>
  </si>
  <si>
    <t>C03.04.19.02_14</t>
  </si>
  <si>
    <t>C03.04.19.03_14</t>
  </si>
  <si>
    <t>C03.04.19.04_14</t>
  </si>
  <si>
    <t>C03.04.19.05_14</t>
  </si>
  <si>
    <t>C03.04.20_14</t>
  </si>
  <si>
    <t>C03.04.20.01_14</t>
  </si>
  <si>
    <t>C03.04.20.02_14</t>
  </si>
  <si>
    <t>C03.04.20.03_14</t>
  </si>
  <si>
    <t>C03.04.20.04_14</t>
  </si>
  <si>
    <t>C03.04.20.05_14</t>
  </si>
  <si>
    <t>C03.04.20.06_14</t>
  </si>
  <si>
    <t>C03.04.21_14</t>
  </si>
  <si>
    <t>C03.04.21.01_14</t>
  </si>
  <si>
    <t>C03.04.22_14</t>
  </si>
  <si>
    <t>C03.04.22.01_14</t>
  </si>
  <si>
    <t>C03.04.23_14</t>
  </si>
  <si>
    <t>C03.04.23.01_14</t>
  </si>
  <si>
    <t>C03.04.23.02_14</t>
  </si>
  <si>
    <t>C03.04.23.03_14</t>
  </si>
  <si>
    <t>C03.04.24_14</t>
  </si>
  <si>
    <t>C03.04.24.01_14</t>
  </si>
  <si>
    <t>C03.04.25_14</t>
  </si>
  <si>
    <t>C03.04.25.01_14</t>
  </si>
  <si>
    <t>C03.04.26_14</t>
  </si>
  <si>
    <t>C03.04.26.01_14</t>
  </si>
  <si>
    <t>C03.04.26.02_14</t>
  </si>
  <si>
    <t>C03.04.26.03_14</t>
  </si>
  <si>
    <t>C03.04.27_14</t>
  </si>
  <si>
    <t>C03.04.27.01_14</t>
  </si>
  <si>
    <t>C03.04.28_14</t>
  </si>
  <si>
    <t>C03.04.28.01_14</t>
  </si>
  <si>
    <t>C03.04.29_14</t>
  </si>
  <si>
    <t>C03.04.30_14</t>
  </si>
  <si>
    <t>C03.04.31_14</t>
  </si>
  <si>
    <t>C03.04.31.01_14</t>
  </si>
  <si>
    <t>C03.04.31.02_14</t>
  </si>
  <si>
    <t>C03.04.31.03_14</t>
  </si>
  <si>
    <t>C03.04.31.04_14</t>
  </si>
  <si>
    <t>C03.04.32_14</t>
  </si>
  <si>
    <t>C03.04.32.01_14</t>
  </si>
  <si>
    <t>C03.04.33_14</t>
  </si>
  <si>
    <t>C03.04.33.03_14</t>
  </si>
  <si>
    <t>C03.04_$pcode2$</t>
  </si>
  <si>
    <t>C03.04.01_$pcode2$</t>
  </si>
  <si>
    <t>C03.04.01.01_$pcode2$</t>
  </si>
  <si>
    <t>C03.04.01.01.01_$pcode2$</t>
  </si>
  <si>
    <t>C03.04.01.01.02_$pcode2$</t>
  </si>
  <si>
    <t>C03.04.01.02_$pcode2$</t>
  </si>
  <si>
    <t>C03.04.01.03_$pcode2$</t>
  </si>
  <si>
    <t>C03.04.01.03.01_$pcode2$</t>
  </si>
  <si>
    <t>C03.04.01.03.02_$pcode2$</t>
  </si>
  <si>
    <t>C03.04.01.03.03_$pcode2$</t>
  </si>
  <si>
    <t>C03.04.01.03.04_$pcode2$</t>
  </si>
  <si>
    <t>C03.04.01.04_$pcode2$</t>
  </si>
  <si>
    <t>C03.04.01.05_$pcode2$</t>
  </si>
  <si>
    <t>C03.04.01.05.01_$pcode2$</t>
  </si>
  <si>
    <t>C03.04.01.05.02_$pcode2$</t>
  </si>
  <si>
    <t>C03.04.01.05.03_$pcode2$</t>
  </si>
  <si>
    <t>C03.04.01.05.04_$pcode2$</t>
  </si>
  <si>
    <t>C03.04.01.05.05_$pcode2$</t>
  </si>
  <si>
    <t>C03.04.01.06_$pcode2$</t>
  </si>
  <si>
    <t>C03.04.01.07_$pcode2$</t>
  </si>
  <si>
    <t>C03.04.01.07.01_$pcode2$</t>
  </si>
  <si>
    <t>C03.04.01.07.02_$pcode2$</t>
  </si>
  <si>
    <t>C03.04.01.08_$pcode2$</t>
  </si>
  <si>
    <t>C03.04.02_$pcode2$</t>
  </si>
  <si>
    <t>C03.04.02.01_$pcode2$</t>
  </si>
  <si>
    <t>C03.04.02.02_$pcode2$</t>
  </si>
  <si>
    <t>C03.04.03_$pcode2$</t>
  </si>
  <si>
    <t>C03.04.03.01_$pcode2$</t>
  </si>
  <si>
    <t>C03.04.03.02_$pcode2$</t>
  </si>
  <si>
    <t>C03.04.03.03_$pcode2$</t>
  </si>
  <si>
    <t>C03.04.03.04_$pcode2$</t>
  </si>
  <si>
    <t>C03.04.03.05_$pcode2$</t>
  </si>
  <si>
    <t>C03.04.03.06_$pcode2$</t>
  </si>
  <si>
    <t>C03.04.03.07_$pcode2$</t>
  </si>
  <si>
    <t>C03.04.03.08_$pcode2$</t>
  </si>
  <si>
    <t>C03.04.03.09_$pcode2$</t>
  </si>
  <si>
    <t>C03.04.03.10_$pcode2$</t>
  </si>
  <si>
    <t>C03.04.03.98_$pcode2$</t>
  </si>
  <si>
    <t>C03.04.03.99_$pcode2$</t>
  </si>
  <si>
    <t>C03.04.04_$pcode2$</t>
  </si>
  <si>
    <t>C03.04.04.01_$pcode2$</t>
  </si>
  <si>
    <t>C03.04.04.02_$pcode2$</t>
  </si>
  <si>
    <t>C03.04.05_$pcode2$</t>
  </si>
  <si>
    <t>C03.04.05.01_$pcode2$</t>
  </si>
  <si>
    <t>C03.04.05.02_$pcode2$</t>
  </si>
  <si>
    <t>C03.04.06_$pcode2$</t>
  </si>
  <si>
    <t>C03.04.06.01_$pcode2$</t>
  </si>
  <si>
    <t>C03.04.06.02_$pcode2$</t>
  </si>
  <si>
    <t>C03.04.06.03_$pcode2$</t>
  </si>
  <si>
    <t>C03.04.06.04_$pcode2$</t>
  </si>
  <si>
    <t>C03.04.06.05_$pcode2$</t>
  </si>
  <si>
    <t>C03.04.06.06_$pcode2$</t>
  </si>
  <si>
    <t>C03.04.06.07_$pcode2$</t>
  </si>
  <si>
    <t>C03.04.06.08_$pcode2$</t>
  </si>
  <si>
    <t>C03.04.06.09_$pcode2$</t>
  </si>
  <si>
    <t>C03.04.06.10_$pcode2$</t>
  </si>
  <si>
    <t>C03.04.06.11_$pcode2$</t>
  </si>
  <si>
    <t>C03.04.06.12_$pcode2$</t>
  </si>
  <si>
    <t>C03.04.06.13_$pcode2$</t>
  </si>
  <si>
    <t>C03.04.06.14_$pcode2$</t>
  </si>
  <si>
    <t>C03.04.06.15_$pcode2$</t>
  </si>
  <si>
    <t>C03.04.06.16_$pcode2$</t>
  </si>
  <si>
    <t>C03.04.06.17_$pcode2$</t>
  </si>
  <si>
    <t>C03.04.06.18_$pcode2$</t>
  </si>
  <si>
    <t>C03.04.07_$pcode2$</t>
  </si>
  <si>
    <t>C03.04.07.01_$pcode2$</t>
  </si>
  <si>
    <t>C03.04.07.02_$pcode2$</t>
  </si>
  <si>
    <t>C03.04.07.03_$pcode2$</t>
  </si>
  <si>
    <t>C03.04.07.04_$pcode2$</t>
  </si>
  <si>
    <t>C03.04.07.05_$pcode2$</t>
  </si>
  <si>
    <t>C03.04.07.06_$pcode2$</t>
  </si>
  <si>
    <t>C03.04.07.07_$pcode2$</t>
  </si>
  <si>
    <t>C03.04.07.08_$pcode2$</t>
  </si>
  <si>
    <t>C03.04.07.09_$pcode2$</t>
  </si>
  <si>
    <t>C03.04.07.10_$pcode2$</t>
  </si>
  <si>
    <t>C03.04.07.11_$pcode2$</t>
  </si>
  <si>
    <t>C03.04.08_$pcode2$</t>
  </si>
  <si>
    <t>C03.04.08.01_$pcode2$</t>
  </si>
  <si>
    <t>C03.04.09_$pcode2$</t>
  </si>
  <si>
    <t>C03.04.09.01_$pcode2$</t>
  </si>
  <si>
    <t>C03.04.09.02_$pcode2$</t>
  </si>
  <si>
    <t>C03.04.09.03_$pcode2$</t>
  </si>
  <si>
    <t>C03.04.09.04_$pcode2$</t>
  </si>
  <si>
    <t>C03.04.09.05_$pcode2$</t>
  </si>
  <si>
    <t>C03.04.10_$pcode2$</t>
  </si>
  <si>
    <t>C03.04.10.01_$pcode2$</t>
  </si>
  <si>
    <t>C03.04.10.02_$pcode2$</t>
  </si>
  <si>
    <t>C03.04.10.03_$pcode2$</t>
  </si>
  <si>
    <t>C03.04.10.04_$pcode2$</t>
  </si>
  <si>
    <t>C03.04.10.05_$pcode2$</t>
  </si>
  <si>
    <t>C03.04.11_$pcode2$</t>
  </si>
  <si>
    <t>C03.04.11.01_$pcode2$</t>
  </si>
  <si>
    <t>C03.04.11.02_$pcode2$</t>
  </si>
  <si>
    <t>C03.04.11.03_$pcode2$</t>
  </si>
  <si>
    <t>C03.04.11.04_$pcode2$</t>
  </si>
  <si>
    <t>C03.04.12_$pcode2$</t>
  </si>
  <si>
    <t>C03.04.12.01_$pcode2$</t>
  </si>
  <si>
    <t>C03.04.12.02_$pcode2$</t>
  </si>
  <si>
    <t>C03.04.12.03_$pcode2$</t>
  </si>
  <si>
    <t>C03.04.12.04_$pcode2$</t>
  </si>
  <si>
    <t>C03.04.12.05_$pcode2$</t>
  </si>
  <si>
    <t>C03.04.12.06_$pcode2$</t>
  </si>
  <si>
    <t>C03.04.12.07_$pcode2$</t>
  </si>
  <si>
    <t>C03.04.12.08_$pcode2$</t>
  </si>
  <si>
    <t>C03.04.12.09_$pcode2$</t>
  </si>
  <si>
    <t>C03.04.12.10_$pcode2$</t>
  </si>
  <si>
    <t>C03.04.12.11_$pcode2$</t>
  </si>
  <si>
    <t>C03.04.12.12_$pcode2$</t>
  </si>
  <si>
    <t>C03.04.12.13_$pcode2$</t>
  </si>
  <si>
    <t>C03.04.12.14_$pcode2$</t>
  </si>
  <si>
    <t>C03.04.12.15_$pcode2$</t>
  </si>
  <si>
    <t>C03.04.12.16_$pcode2$</t>
  </si>
  <si>
    <t>C03.04.13_$pcode2$</t>
  </si>
  <si>
    <t>C03.04.13.01_$pcode2$</t>
  </si>
  <si>
    <t>C03.04.13.02_$pcode2$</t>
  </si>
  <si>
    <t>C03.04.13.03_$pcode2$</t>
  </si>
  <si>
    <t>C03.04.13.04_$pcode2$</t>
  </si>
  <si>
    <t>C03.04.14_$pcode2$</t>
  </si>
  <si>
    <t>C03.04.14.01_$pcode2$</t>
  </si>
  <si>
    <t>C03.04.14.01.01_$pcode2$</t>
  </si>
  <si>
    <t>C03.04.14.01.02_$pcode2$</t>
  </si>
  <si>
    <t>C03.04.14.01.03_$pcode2$</t>
  </si>
  <si>
    <t>C03.04.14.01.04_$pcode2$</t>
  </si>
  <si>
    <t>C03.04.14.01.05_$pcode2$</t>
  </si>
  <si>
    <t>C03.04.14.01.06_$pcode2$</t>
  </si>
  <si>
    <t>C03.04.14.01.07_$pcode2$</t>
  </si>
  <si>
    <t>C03.04.14.01.08_$pcode2$</t>
  </si>
  <si>
    <t>C03.04.14.02_$pcode2$</t>
  </si>
  <si>
    <t>C03.04.14.02.01_$pcode2$</t>
  </si>
  <si>
    <t>C03.04.14.02.02_$pcode2$</t>
  </si>
  <si>
    <t>C03.04.14.02.03_$pcode2$</t>
  </si>
  <si>
    <t>C03.04.14.02.04_$pcode2$</t>
  </si>
  <si>
    <t>C03.04.14.02.05_$pcode2$</t>
  </si>
  <si>
    <t>C03.04.14.02.06_$pcode2$</t>
  </si>
  <si>
    <t>C03.04.14.02.07_$pcode2$</t>
  </si>
  <si>
    <t>C03.04.14.02.08_$pcode2$</t>
  </si>
  <si>
    <t>C03.04.14.03_$pcode2$</t>
  </si>
  <si>
    <t>C03.04.14.04_$pcode2$</t>
  </si>
  <si>
    <t>C03.04.14.05_$pcode2$</t>
  </si>
  <si>
    <t>C03.04.15_$pcode2$</t>
  </si>
  <si>
    <t>C03.04.15.01_$pcode2$</t>
  </si>
  <si>
    <t>C03.04.16_$pcode2$</t>
  </si>
  <si>
    <t>C03.04.16.01_$pcode2$</t>
  </si>
  <si>
    <t>C03.04.16.02_$pcode2$</t>
  </si>
  <si>
    <t>C03.04.16.03_$pcode2$</t>
  </si>
  <si>
    <t>C03.04.17_$pcode2$</t>
  </si>
  <si>
    <t>C03.04.17.01_$pcode2$</t>
  </si>
  <si>
    <t>C03.04.18_$pcode2$</t>
  </si>
  <si>
    <t>C03.04.18.01_$pcode2$</t>
  </si>
  <si>
    <t>C03.04.19_$pcode2$</t>
  </si>
  <si>
    <t>C03.04.19.01_$pcode2$</t>
  </si>
  <si>
    <t>C03.04.19.02_$pcode2$</t>
  </si>
  <si>
    <t>C03.04.19.03_$pcode2$</t>
  </si>
  <si>
    <t>C03.04.19.04_$pcode2$</t>
  </si>
  <si>
    <t>C03.04.19.05_$pcode2$</t>
  </si>
  <si>
    <t>C03.04.20_$pcode2$</t>
  </si>
  <si>
    <t>C03.04.20.01_$pcode2$</t>
  </si>
  <si>
    <t>C03.04.20.02_$pcode2$</t>
  </si>
  <si>
    <t>C03.04.20.03_$pcode2$</t>
  </si>
  <si>
    <t>C03.04.20.04_$pcode2$</t>
  </si>
  <si>
    <t>C03.04.20.05_$pcode2$</t>
  </si>
  <si>
    <t>C03.04.20.06_$pcode2$</t>
  </si>
  <si>
    <t>C03.04.21_$pcode2$</t>
  </si>
  <si>
    <t>C03.04.21.01_$pcode2$</t>
  </si>
  <si>
    <t>C03.04.22_$pcode2$</t>
  </si>
  <si>
    <t>C03.04.22.01_$pcode2$</t>
  </si>
  <si>
    <t>C03.04.23_$pcode2$</t>
  </si>
  <si>
    <t>C03.04.23.01_$pcode2$</t>
  </si>
  <si>
    <t>C03.04.23.02_$pcode2$</t>
  </si>
  <si>
    <t>C03.04.23.03_$pcode2$</t>
  </si>
  <si>
    <t>C03.04.24_$pcode2$</t>
  </si>
  <si>
    <t>C03.04.24.01_$pcode2$</t>
  </si>
  <si>
    <t>C03.04.25_$pcode2$</t>
  </si>
  <si>
    <t>C03.04.25.01_$pcode2$</t>
  </si>
  <si>
    <t>C03.04.26_$pcode2$</t>
  </si>
  <si>
    <t>C03.04.26.01_$pcode2$</t>
  </si>
  <si>
    <t>C03.04.26.02_$pcode2$</t>
  </si>
  <si>
    <t>C03.04.26.03_$pcode2$</t>
  </si>
  <si>
    <t>C03.04.27_$pcode2$</t>
  </si>
  <si>
    <t>C03.04.27.01_$pcode2$</t>
  </si>
  <si>
    <t>C03.04.28_$pcode2$</t>
  </si>
  <si>
    <t>C03.04.28.01_$pcode2$</t>
  </si>
  <si>
    <t>C03.04.29_$pcode2$</t>
  </si>
  <si>
    <t>C03.04.30_$pcode2$</t>
  </si>
  <si>
    <t>C03.04.31_$pcode2$</t>
  </si>
  <si>
    <t>C03.04.31.01_$pcode2$</t>
  </si>
  <si>
    <t>C03.04.31.02_$pcode2$</t>
  </si>
  <si>
    <t>C03.04.31.03_$pcode2$</t>
  </si>
  <si>
    <t>C03.04.31.04_$pcode2$</t>
  </si>
  <si>
    <t>C03.04.32_$pcode2$</t>
  </si>
  <si>
    <t>C03.04.32.01_$pcode2$</t>
  </si>
  <si>
    <t>C03.04.33_$pcode2$</t>
  </si>
  <si>
    <t>C03.04.33.03_$pcode2$</t>
  </si>
  <si>
    <t>C03.04_$pcode3$</t>
  </si>
  <si>
    <t>C03.04.01_$pcode3$</t>
  </si>
  <si>
    <t>C03.04.01.01_$pcode3$</t>
  </si>
  <si>
    <t>C03.04.01.01.01_$pcode3$</t>
  </si>
  <si>
    <t>C03.04.01.01.02_$pcode3$</t>
  </si>
  <si>
    <t>C03.04.01.02_$pcode3$</t>
  </si>
  <si>
    <t>C03.04.01.03_$pcode3$</t>
  </si>
  <si>
    <t>C03.04.01.03.01_$pcode3$</t>
  </si>
  <si>
    <t>C03.04.01.03.02_$pcode3$</t>
  </si>
  <si>
    <t>C03.04.01.03.03_$pcode3$</t>
  </si>
  <si>
    <t>C03.04.01.03.04_$pcode3$</t>
  </si>
  <si>
    <t>C03.04.01.04_$pcode3$</t>
  </si>
  <si>
    <t>C03.04.01.05_$pcode3$</t>
  </si>
  <si>
    <t>C03.04.01.05.01_$pcode3$</t>
  </si>
  <si>
    <t>C03.04.01.05.02_$pcode3$</t>
  </si>
  <si>
    <t>C03.04.01.05.03_$pcode3$</t>
  </si>
  <si>
    <t>C03.04.01.05.04_$pcode3$</t>
  </si>
  <si>
    <t>C03.04.01.05.05_$pcode3$</t>
  </si>
  <si>
    <t>C03.04.01.06_$pcode3$</t>
  </si>
  <si>
    <t>C03.04.01.07_$pcode3$</t>
  </si>
  <si>
    <t>C03.04.01.07.01_$pcode3$</t>
  </si>
  <si>
    <t>C03.04.01.07.02_$pcode3$</t>
  </si>
  <si>
    <t>C03.04.01.08_$pcode3$</t>
  </si>
  <si>
    <t>C03.04.02_$pcode3$</t>
  </si>
  <si>
    <t>C03.04.02.01_$pcode3$</t>
  </si>
  <si>
    <t>C03.04.02.02_$pcode3$</t>
  </si>
  <si>
    <t>C03.04.03_$pcode3$</t>
  </si>
  <si>
    <t>C03.04.03.01_$pcode3$</t>
  </si>
  <si>
    <t>C03.04.03.02_$pcode3$</t>
  </si>
  <si>
    <t>C03.04.03.03_$pcode3$</t>
  </si>
  <si>
    <t>C03.04.03.04_$pcode3$</t>
  </si>
  <si>
    <t>C03.04.03.05_$pcode3$</t>
  </si>
  <si>
    <t>C03.04.03.06_$pcode3$</t>
  </si>
  <si>
    <t>C03.04.03.07_$pcode3$</t>
  </si>
  <si>
    <t>C03.04.03.08_$pcode3$</t>
  </si>
  <si>
    <t>C03.04.03.09_$pcode3$</t>
  </si>
  <si>
    <t>C03.04.03.10_$pcode3$</t>
  </si>
  <si>
    <t>C03.04.03.98_$pcode3$</t>
  </si>
  <si>
    <t>C03.04.03.99_$pcode3$</t>
  </si>
  <si>
    <t>C03.04.04_$pcode3$</t>
  </si>
  <si>
    <t>C03.04.04.01_$pcode3$</t>
  </si>
  <si>
    <t>C03.04.04.02_$pcode3$</t>
  </si>
  <si>
    <t>C03.04.05_$pcode3$</t>
  </si>
  <si>
    <t>C03.04.05.01_$pcode3$</t>
  </si>
  <si>
    <t>C03.04.05.02_$pcode3$</t>
  </si>
  <si>
    <t>C03.04.06_$pcode3$</t>
  </si>
  <si>
    <t>C03.04.06.01_$pcode3$</t>
  </si>
  <si>
    <t>C03.04.06.02_$pcode3$</t>
  </si>
  <si>
    <t>C03.04.06.03_$pcode3$</t>
  </si>
  <si>
    <t>C03.04.06.04_$pcode3$</t>
  </si>
  <si>
    <t>C03.04.06.05_$pcode3$</t>
  </si>
  <si>
    <t>C03.04.06.06_$pcode3$</t>
  </si>
  <si>
    <t>C03.04.06.07_$pcode3$</t>
  </si>
  <si>
    <t>C03.04.06.08_$pcode3$</t>
  </si>
  <si>
    <t>C03.04.06.09_$pcode3$</t>
  </si>
  <si>
    <t>C03.04.06.10_$pcode3$</t>
  </si>
  <si>
    <t>C03.04.06.11_$pcode3$</t>
  </si>
  <si>
    <t>C03.04.06.12_$pcode3$</t>
  </si>
  <si>
    <t>C03.04.06.13_$pcode3$</t>
  </si>
  <si>
    <t>C03.04.06.14_$pcode3$</t>
  </si>
  <si>
    <t>C03.04.06.15_$pcode3$</t>
  </si>
  <si>
    <t>C03.04.06.16_$pcode3$</t>
  </si>
  <si>
    <t>C03.04.06.17_$pcode3$</t>
  </si>
  <si>
    <t>C03.04.06.18_$pcode3$</t>
  </si>
  <si>
    <t>C03.04.07_$pcode3$</t>
  </si>
  <si>
    <t>C03.04.07.01_$pcode3$</t>
  </si>
  <si>
    <t>C03.04.07.02_$pcode3$</t>
  </si>
  <si>
    <t>C03.04.07.03_$pcode3$</t>
  </si>
  <si>
    <t>C03.04.07.04_$pcode3$</t>
  </si>
  <si>
    <t>C03.04.07.05_$pcode3$</t>
  </si>
  <si>
    <t>C03.04.07.06_$pcode3$</t>
  </si>
  <si>
    <t>C03.04.07.07_$pcode3$</t>
  </si>
  <si>
    <t>C03.04.07.08_$pcode3$</t>
  </si>
  <si>
    <t>C03.04.07.09_$pcode3$</t>
  </si>
  <si>
    <t>C03.04.07.10_$pcode3$</t>
  </si>
  <si>
    <t>C03.04.07.11_$pcode3$</t>
  </si>
  <si>
    <t>C03.04.08_$pcode3$</t>
  </si>
  <si>
    <t>C03.04.08.01_$pcode3$</t>
  </si>
  <si>
    <t>C03.04.09_$pcode3$</t>
  </si>
  <si>
    <t>C03.04.09.01_$pcode3$</t>
  </si>
  <si>
    <t>C03.04.09.02_$pcode3$</t>
  </si>
  <si>
    <t>C03.04.09.03_$pcode3$</t>
  </si>
  <si>
    <t>C03.04.09.04_$pcode3$</t>
  </si>
  <si>
    <t>C03.04.09.05_$pcode3$</t>
  </si>
  <si>
    <t>C03.04.10_$pcode3$</t>
  </si>
  <si>
    <t>C03.04.10.01_$pcode3$</t>
  </si>
  <si>
    <t>C03.04.10.02_$pcode3$</t>
  </si>
  <si>
    <t>C03.04.10.03_$pcode3$</t>
  </si>
  <si>
    <t>C03.04.10.04_$pcode3$</t>
  </si>
  <si>
    <t>C03.04.10.05_$pcode3$</t>
  </si>
  <si>
    <t>C03.04.11_$pcode3$</t>
  </si>
  <si>
    <t>C03.04.11.01_$pcode3$</t>
  </si>
  <si>
    <t>C03.04.11.02_$pcode3$</t>
  </si>
  <si>
    <t>C03.04.11.03_$pcode3$</t>
  </si>
  <si>
    <t>C03.04.11.04_$pcode3$</t>
  </si>
  <si>
    <t>C03.04.12_$pcode3$</t>
  </si>
  <si>
    <t>C03.04.12.01_$pcode3$</t>
  </si>
  <si>
    <t>C03.04.12.02_$pcode3$</t>
  </si>
  <si>
    <t>C03.04.12.03_$pcode3$</t>
  </si>
  <si>
    <t>C03.04.12.04_$pcode3$</t>
  </si>
  <si>
    <t>C03.04.12.05_$pcode3$</t>
  </si>
  <si>
    <t>C03.04.12.06_$pcode3$</t>
  </si>
  <si>
    <t>C03.04.12.07_$pcode3$</t>
  </si>
  <si>
    <t>C03.04.12.08_$pcode3$</t>
  </si>
  <si>
    <t>C03.04.12.09_$pcode3$</t>
  </si>
  <si>
    <t>C03.04.12.10_$pcode3$</t>
  </si>
  <si>
    <t>C03.04.12.11_$pcode3$</t>
  </si>
  <si>
    <t>C03.04.12.12_$pcode3$</t>
  </si>
  <si>
    <t>C03.04.12.13_$pcode3$</t>
  </si>
  <si>
    <t>C03.04.12.14_$pcode3$</t>
  </si>
  <si>
    <t>C03.04.12.15_$pcode3$</t>
  </si>
  <si>
    <t>C03.04.12.16_$pcode3$</t>
  </si>
  <si>
    <t>C03.04.13_$pcode3$</t>
  </si>
  <si>
    <t>C03.04.13.01_$pcode3$</t>
  </si>
  <si>
    <t>C03.04.13.02_$pcode3$</t>
  </si>
  <si>
    <t>C03.04.13.03_$pcode3$</t>
  </si>
  <si>
    <t>C03.04.13.04_$pcode3$</t>
  </si>
  <si>
    <t>C03.04.14_$pcode3$</t>
  </si>
  <si>
    <t>C03.04.14.01_$pcode3$</t>
  </si>
  <si>
    <t>C03.04.14.01.01_$pcode3$</t>
  </si>
  <si>
    <t>C03.04.14.01.02_$pcode3$</t>
  </si>
  <si>
    <t>C03.04.14.01.03_$pcode3$</t>
  </si>
  <si>
    <t>C03.04.14.01.04_$pcode3$</t>
  </si>
  <si>
    <t>C03.04.14.01.05_$pcode3$</t>
  </si>
  <si>
    <t>C03.04.14.01.06_$pcode3$</t>
  </si>
  <si>
    <t>C03.04.14.01.07_$pcode3$</t>
  </si>
  <si>
    <t>C03.04.14.01.08_$pcode3$</t>
  </si>
  <si>
    <t>C03.04.14.02_$pcode3$</t>
  </si>
  <si>
    <t>C03.04.14.02.01_$pcode3$</t>
  </si>
  <si>
    <t>C03.04.14.02.02_$pcode3$</t>
  </si>
  <si>
    <t>C03.04.14.02.03_$pcode3$</t>
  </si>
  <si>
    <t>C03.04.14.02.04_$pcode3$</t>
  </si>
  <si>
    <t>C03.04.14.02.05_$pcode3$</t>
  </si>
  <si>
    <t>C03.04.14.02.06_$pcode3$</t>
  </si>
  <si>
    <t>C03.04.14.02.07_$pcode3$</t>
  </si>
  <si>
    <t>C03.04.14.02.08_$pcode3$</t>
  </si>
  <si>
    <t>C03.04.14.03_$pcode3$</t>
  </si>
  <si>
    <t>C03.04.14.04_$pcode3$</t>
  </si>
  <si>
    <t>C03.04.14.05_$pcode3$</t>
  </si>
  <si>
    <t>C03.04.15_$pcode3$</t>
  </si>
  <si>
    <t>C03.04.15.01_$pcode3$</t>
  </si>
  <si>
    <t>C03.04.16_$pcode3$</t>
  </si>
  <si>
    <t>C03.04.16.01_$pcode3$</t>
  </si>
  <si>
    <t>C03.04.16.02_$pcode3$</t>
  </si>
  <si>
    <t>C03.04.16.03_$pcode3$</t>
  </si>
  <si>
    <t>C03.04.17_$pcode3$</t>
  </si>
  <si>
    <t>C03.04.17.01_$pcode3$</t>
  </si>
  <si>
    <t>C03.04.18_$pcode3$</t>
  </si>
  <si>
    <t>C03.04.18.01_$pcode3$</t>
  </si>
  <si>
    <t>C03.04.19_$pcode3$</t>
  </si>
  <si>
    <t>C03.04.19.01_$pcode3$</t>
  </si>
  <si>
    <t>C03.04.19.02_$pcode3$</t>
  </si>
  <si>
    <t>C03.04.19.03_$pcode3$</t>
  </si>
  <si>
    <t>C03.04.19.04_$pcode3$</t>
  </si>
  <si>
    <t>C03.04.19.05_$pcode3$</t>
  </si>
  <si>
    <t>C03.04.20_$pcode3$</t>
  </si>
  <si>
    <t>C03.04.20.01_$pcode3$</t>
  </si>
  <si>
    <t>C03.04.20.02_$pcode3$</t>
  </si>
  <si>
    <t>C03.04.20.03_$pcode3$</t>
  </si>
  <si>
    <t>C03.04.20.04_$pcode3$</t>
  </si>
  <si>
    <t>C03.04.20.05_$pcode3$</t>
  </si>
  <si>
    <t>C03.04.20.06_$pcode3$</t>
  </si>
  <si>
    <t>C03.04.21_$pcode3$</t>
  </si>
  <si>
    <t>C03.04.21.01_$pcode3$</t>
  </si>
  <si>
    <t>C03.04.22_$pcode3$</t>
  </si>
  <si>
    <t>C03.04.22.01_$pcode3$</t>
  </si>
  <si>
    <t>C03.04.23_$pcode3$</t>
  </si>
  <si>
    <t>C03.04.23.01_$pcode3$</t>
  </si>
  <si>
    <t>C03.04.23.02_$pcode3$</t>
  </si>
  <si>
    <t>C03.04.23.03_$pcode3$</t>
  </si>
  <si>
    <t>C03.04.24_$pcode3$</t>
  </si>
  <si>
    <t>C03.04.24.01_$pcode3$</t>
  </si>
  <si>
    <t>C03.04.25_$pcode3$</t>
  </si>
  <si>
    <t>C03.04.25.01_$pcode3$</t>
  </si>
  <si>
    <t>C03.04.26_$pcode3$</t>
  </si>
  <si>
    <t>C03.04.26.01_$pcode3$</t>
  </si>
  <si>
    <t>C03.04.26.02_$pcode3$</t>
  </si>
  <si>
    <t>C03.04.26.03_$pcode3$</t>
  </si>
  <si>
    <t>C03.04.27_$pcode3$</t>
  </si>
  <si>
    <t>C03.04.27.01_$pcode3$</t>
  </si>
  <si>
    <t>C03.04.28_$pcode3$</t>
  </si>
  <si>
    <t>C03.04.28.01_$pcode3$</t>
  </si>
  <si>
    <t>C03.04.29_$pcode3$</t>
  </si>
  <si>
    <t>C03.04.30_$pcode3$</t>
  </si>
  <si>
    <t>C03.04.31_$pcode3$</t>
  </si>
  <si>
    <t>C03.04.31.01_$pcode3$</t>
  </si>
  <si>
    <t>C03.04.31.02_$pcode3$</t>
  </si>
  <si>
    <t>C03.04.31.03_$pcode3$</t>
  </si>
  <si>
    <t>C03.04.31.04_$pcode3$</t>
  </si>
  <si>
    <t>C03.04.32_$pcode3$</t>
  </si>
  <si>
    <t>C03.04.32.01_$pcode3$</t>
  </si>
  <si>
    <t>C03.04.33_$pcode3$</t>
  </si>
  <si>
    <t>C03.04.33.03_$pcode3$</t>
  </si>
  <si>
    <t>C03.04_$pcode4$</t>
  </si>
  <si>
    <t>C03.04.01_$pcode4$</t>
  </si>
  <si>
    <t>C03.04.01.01_$pcode4$</t>
  </si>
  <si>
    <t>C03.04.01.01.01_$pcode4$</t>
  </si>
  <si>
    <t>C03.04.01.01.02_$pcode4$</t>
  </si>
  <si>
    <t>C03.04.01.02_$pcode4$</t>
  </si>
  <si>
    <t>C03.04.01.03_$pcode4$</t>
  </si>
  <si>
    <t>C03.04.01.03.01_$pcode4$</t>
  </si>
  <si>
    <t>C03.04.01.03.02_$pcode4$</t>
  </si>
  <si>
    <t>C03.04.01.03.03_$pcode4$</t>
  </si>
  <si>
    <t>C03.04.01.03.04_$pcode4$</t>
  </si>
  <si>
    <t>C03.04.01.04_$pcode4$</t>
  </si>
  <si>
    <t>C03.04.01.05_$pcode4$</t>
  </si>
  <si>
    <t>C03.04.01.05.01_$pcode4$</t>
  </si>
  <si>
    <t>C03.04.01.05.02_$pcode4$</t>
  </si>
  <si>
    <t>C03.04.01.05.03_$pcode4$</t>
  </si>
  <si>
    <t>C03.04.01.05.04_$pcode4$</t>
  </si>
  <si>
    <t>C03.04.01.05.05_$pcode4$</t>
  </si>
  <si>
    <t>C03.04.01.06_$pcode4$</t>
  </si>
  <si>
    <t>C03.04.01.07_$pcode4$</t>
  </si>
  <si>
    <t>C03.04.01.07.01_$pcode4$</t>
  </si>
  <si>
    <t>C03.04.01.07.02_$pcode4$</t>
  </si>
  <si>
    <t>C03.04.01.08_$pcode4$</t>
  </si>
  <si>
    <t>C03.04.02_$pcode4$</t>
  </si>
  <si>
    <t>C03.04.02.01_$pcode4$</t>
  </si>
  <si>
    <t>C03.04.02.02_$pcode4$</t>
  </si>
  <si>
    <t>C03.04.03_$pcode4$</t>
  </si>
  <si>
    <t>C03.04.03.01_$pcode4$</t>
  </si>
  <si>
    <t>C03.04.03.02_$pcode4$</t>
  </si>
  <si>
    <t>C03.04.03.03_$pcode4$</t>
  </si>
  <si>
    <t>C03.04.03.04_$pcode4$</t>
  </si>
  <si>
    <t>C03.04.03.05_$pcode4$</t>
  </si>
  <si>
    <t>C03.04.03.06_$pcode4$</t>
  </si>
  <si>
    <t>C03.04.03.07_$pcode4$</t>
  </si>
  <si>
    <t>C03.04.03.08_$pcode4$</t>
  </si>
  <si>
    <t>C03.04.03.09_$pcode4$</t>
  </si>
  <si>
    <t>C03.04.03.10_$pcode4$</t>
  </si>
  <si>
    <t>C03.04.03.98_$pcode4$</t>
  </si>
  <si>
    <t>C03.04.03.99_$pcode4$</t>
  </si>
  <si>
    <t>C03.04.04_$pcode4$</t>
  </si>
  <si>
    <t>C03.04.04.01_$pcode4$</t>
  </si>
  <si>
    <t>C03.04.04.02_$pcode4$</t>
  </si>
  <si>
    <t>C03.04.05_$pcode4$</t>
  </si>
  <si>
    <t>C03.04.05.01_$pcode4$</t>
  </si>
  <si>
    <t>C03.04.05.02_$pcode4$</t>
  </si>
  <si>
    <t>C03.04.06_$pcode4$</t>
  </si>
  <si>
    <t>C03.04.06.01_$pcode4$</t>
  </si>
  <si>
    <t>C03.04.06.02_$pcode4$</t>
  </si>
  <si>
    <t>C03.04.06.03_$pcode4$</t>
  </si>
  <si>
    <t>C03.04.06.04_$pcode4$</t>
  </si>
  <si>
    <t>C03.04.06.05_$pcode4$</t>
  </si>
  <si>
    <t>C03.04.06.06_$pcode4$</t>
  </si>
  <si>
    <t>C03.04.06.07_$pcode4$</t>
  </si>
  <si>
    <t>C03.04.06.08_$pcode4$</t>
  </si>
  <si>
    <t>C03.04.06.09_$pcode4$</t>
  </si>
  <si>
    <t>C03.04.06.10_$pcode4$</t>
  </si>
  <si>
    <t>C03.04.06.11_$pcode4$</t>
  </si>
  <si>
    <t>C03.04.06.12_$pcode4$</t>
  </si>
  <si>
    <t>C03.04.06.13_$pcode4$</t>
  </si>
  <si>
    <t>C03.04.06.14_$pcode4$</t>
  </si>
  <si>
    <t>C03.04.06.15_$pcode4$</t>
  </si>
  <si>
    <t>C03.04.06.16_$pcode4$</t>
  </si>
  <si>
    <t>C03.04.06.17_$pcode4$</t>
  </si>
  <si>
    <t>C03.04.06.18_$pcode4$</t>
  </si>
  <si>
    <t>C03.04.07_$pcode4$</t>
  </si>
  <si>
    <t>C03.04.07.01_$pcode4$</t>
  </si>
  <si>
    <t>C03.04.07.02_$pcode4$</t>
  </si>
  <si>
    <t>C03.04.07.03_$pcode4$</t>
  </si>
  <si>
    <t>C03.04.07.04_$pcode4$</t>
  </si>
  <si>
    <t>C03.04.07.05_$pcode4$</t>
  </si>
  <si>
    <t>C03.04.07.06_$pcode4$</t>
  </si>
  <si>
    <t>C03.04.07.07_$pcode4$</t>
  </si>
  <si>
    <t>C03.04.07.08_$pcode4$</t>
  </si>
  <si>
    <t>C03.04.07.09_$pcode4$</t>
  </si>
  <si>
    <t>C03.04.07.10_$pcode4$</t>
  </si>
  <si>
    <t>C03.04.07.11_$pcode4$</t>
  </si>
  <si>
    <t>C03.04.08_$pcode4$</t>
  </si>
  <si>
    <t>C03.04.08.01_$pcode4$</t>
  </si>
  <si>
    <t>C03.04.09_$pcode4$</t>
  </si>
  <si>
    <t>C03.04.09.01_$pcode4$</t>
  </si>
  <si>
    <t>C03.04.09.02_$pcode4$</t>
  </si>
  <si>
    <t>C03.04.09.03_$pcode4$</t>
  </si>
  <si>
    <t>C03.04.09.04_$pcode4$</t>
  </si>
  <si>
    <t>C03.04.09.05_$pcode4$</t>
  </si>
  <si>
    <t>C03.04.10_$pcode4$</t>
  </si>
  <si>
    <t>C03.04.10.01_$pcode4$</t>
  </si>
  <si>
    <t>C03.04.10.02_$pcode4$</t>
  </si>
  <si>
    <t>C03.04.10.03_$pcode4$</t>
  </si>
  <si>
    <t>C03.04.10.04_$pcode4$</t>
  </si>
  <si>
    <t>C03.04.10.05_$pcode4$</t>
  </si>
  <si>
    <t>C03.04.11_$pcode4$</t>
  </si>
  <si>
    <t>C03.04.11.01_$pcode4$</t>
  </si>
  <si>
    <t>C03.04.11.02_$pcode4$</t>
  </si>
  <si>
    <t>C03.04.11.03_$pcode4$</t>
  </si>
  <si>
    <t>C03.04.11.04_$pcode4$</t>
  </si>
  <si>
    <t>C03.04.12_$pcode4$</t>
  </si>
  <si>
    <t>C03.04.12.01_$pcode4$</t>
  </si>
  <si>
    <t>C03.04.12.02_$pcode4$</t>
  </si>
  <si>
    <t>C03.04.12.03_$pcode4$</t>
  </si>
  <si>
    <t>C03.04.12.04_$pcode4$</t>
  </si>
  <si>
    <t>C03.04.12.05_$pcode4$</t>
  </si>
  <si>
    <t>C03.04.12.06_$pcode4$</t>
  </si>
  <si>
    <t>C03.04.12.07_$pcode4$</t>
  </si>
  <si>
    <t>C03.04.12.08_$pcode4$</t>
  </si>
  <si>
    <t>C03.04.12.09_$pcode4$</t>
  </si>
  <si>
    <t>C03.04.12.10_$pcode4$</t>
  </si>
  <si>
    <t>C03.04.12.11_$pcode4$</t>
  </si>
  <si>
    <t>C03.04.12.12_$pcode4$</t>
  </si>
  <si>
    <t>C03.04.12.13_$pcode4$</t>
  </si>
  <si>
    <t>C03.04.12.14_$pcode4$</t>
  </si>
  <si>
    <t>C03.04.12.15_$pcode4$</t>
  </si>
  <si>
    <t>C03.04.12.16_$pcode4$</t>
  </si>
  <si>
    <t>C03.04.13_$pcode4$</t>
  </si>
  <si>
    <t>C03.04.13.01_$pcode4$</t>
  </si>
  <si>
    <t>C03.04.13.02_$pcode4$</t>
  </si>
  <si>
    <t>C03.04.13.03_$pcode4$</t>
  </si>
  <si>
    <t>C03.04.13.04_$pcode4$</t>
  </si>
  <si>
    <t>C03.04.14_$pcode4$</t>
  </si>
  <si>
    <t>C03.04.14.01_$pcode4$</t>
  </si>
  <si>
    <t>C03.04.14.01.01_$pcode4$</t>
  </si>
  <si>
    <t>C03.04.14.01.02_$pcode4$</t>
  </si>
  <si>
    <t>C03.04.14.01.03_$pcode4$</t>
  </si>
  <si>
    <t>C03.04.14.01.04_$pcode4$</t>
  </si>
  <si>
    <t>C03.04.14.01.05_$pcode4$</t>
  </si>
  <si>
    <t>C03.04.14.01.06_$pcode4$</t>
  </si>
  <si>
    <t>C03.04.14.01.07_$pcode4$</t>
  </si>
  <si>
    <t>C03.04.14.01.08_$pcode4$</t>
  </si>
  <si>
    <t>C03.04.14.02_$pcode4$</t>
  </si>
  <si>
    <t>C03.04.14.02.01_$pcode4$</t>
  </si>
  <si>
    <t>C03.04.14.02.02_$pcode4$</t>
  </si>
  <si>
    <t>C03.04.14.02.03_$pcode4$</t>
  </si>
  <si>
    <t>C03.04.14.02.04_$pcode4$</t>
  </si>
  <si>
    <t>C03.04.14.02.05_$pcode4$</t>
  </si>
  <si>
    <t>C03.04.14.02.06_$pcode4$</t>
  </si>
  <si>
    <t>C03.04.14.02.07_$pcode4$</t>
  </si>
  <si>
    <t>C03.04.14.02.08_$pcode4$</t>
  </si>
  <si>
    <t>C03.04.14.03_$pcode4$</t>
  </si>
  <si>
    <t>C03.04.14.04_$pcode4$</t>
  </si>
  <si>
    <t>C03.04.14.05_$pcode4$</t>
  </si>
  <si>
    <t>C03.04.15_$pcode4$</t>
  </si>
  <si>
    <t>C03.04.15.01_$pcode4$</t>
  </si>
  <si>
    <t>C03.04.16_$pcode4$</t>
  </si>
  <si>
    <t>C03.04.16.01_$pcode4$</t>
  </si>
  <si>
    <t>C03.04.16.02_$pcode4$</t>
  </si>
  <si>
    <t>C03.04.16.03_$pcode4$</t>
  </si>
  <si>
    <t>C03.04.17_$pcode4$</t>
  </si>
  <si>
    <t>C03.04.17.01_$pcode4$</t>
  </si>
  <si>
    <t>C03.04.18_$pcode4$</t>
  </si>
  <si>
    <t>C03.04.18.01_$pcode4$</t>
  </si>
  <si>
    <t>C03.04.19_$pcode4$</t>
  </si>
  <si>
    <t>C03.04.19.01_$pcode4$</t>
  </si>
  <si>
    <t>C03.04.19.02_$pcode4$</t>
  </si>
  <si>
    <t>C03.04.19.03_$pcode4$</t>
  </si>
  <si>
    <t>C03.04.19.04_$pcode4$</t>
  </si>
  <si>
    <t>C03.04.19.05_$pcode4$</t>
  </si>
  <si>
    <t>C03.04.20_$pcode4$</t>
  </si>
  <si>
    <t>C03.04.20.01_$pcode4$</t>
  </si>
  <si>
    <t>C03.04.20.02_$pcode4$</t>
  </si>
  <si>
    <t>C03.04.20.03_$pcode4$</t>
  </si>
  <si>
    <t>C03.04.20.04_$pcode4$</t>
  </si>
  <si>
    <t>C03.04.20.05_$pcode4$</t>
  </si>
  <si>
    <t>C03.04.20.06_$pcode4$</t>
  </si>
  <si>
    <t>C03.04.21_$pcode4$</t>
  </si>
  <si>
    <t>C03.04.21.01_$pcode4$</t>
  </si>
  <si>
    <t>C03.04.22_$pcode4$</t>
  </si>
  <si>
    <t>C03.04.22.01_$pcode4$</t>
  </si>
  <si>
    <t>C03.04.23_$pcode4$</t>
  </si>
  <si>
    <t>C03.04.23.01_$pcode4$</t>
  </si>
  <si>
    <t>C03.04.23.02_$pcode4$</t>
  </si>
  <si>
    <t>C03.04.23.03_$pcode4$</t>
  </si>
  <si>
    <t>C03.04.24_$pcode4$</t>
  </si>
  <si>
    <t>C03.04.24.01_$pcode4$</t>
  </si>
  <si>
    <t>C03.04.25_$pcode4$</t>
  </si>
  <si>
    <t>C03.04.25.01_$pcode4$</t>
  </si>
  <si>
    <t>C03.04.26_$pcode4$</t>
  </si>
  <si>
    <t>C03.04.26.01_$pcode4$</t>
  </si>
  <si>
    <t>C03.04.26.02_$pcode4$</t>
  </si>
  <si>
    <t>C03.04.26.03_$pcode4$</t>
  </si>
  <si>
    <t>C03.04.27_$pcode4$</t>
  </si>
  <si>
    <t>C03.04.27.01_$pcode4$</t>
  </si>
  <si>
    <t>C03.04.28_$pcode4$</t>
  </si>
  <si>
    <t>C03.04.28.01_$pcode4$</t>
  </si>
  <si>
    <t>C03.04.29_$pcode4$</t>
  </si>
  <si>
    <t>C03.04.30_$pcode4$</t>
  </si>
  <si>
    <t>C03.04.31_$pcode4$</t>
  </si>
  <si>
    <t>C03.04.31.01_$pcode4$</t>
  </si>
  <si>
    <t>C03.04.31.02_$pcode4$</t>
  </si>
  <si>
    <t>C03.04.31.03_$pcode4$</t>
  </si>
  <si>
    <t>C03.04.31.04_$pcode4$</t>
  </si>
  <si>
    <t>C03.04.32_$pcode4$</t>
  </si>
  <si>
    <t>C03.04.32.01_$pcode4$</t>
  </si>
  <si>
    <t>C03.04.33_$pcode4$</t>
  </si>
  <si>
    <t>C03.04.33.03_$pcode4$</t>
  </si>
  <si>
    <t>C03.04_$pcode5$</t>
  </si>
  <si>
    <t>C03.04.01_$pcode5$</t>
  </si>
  <si>
    <t>C03.04.01.01_$pcode5$</t>
  </si>
  <si>
    <t>C03.04.01.01.01_$pcode5$</t>
  </si>
  <si>
    <t>C03.04.01.01.02_$pcode5$</t>
  </si>
  <si>
    <t>C03.04.01.02_$pcode5$</t>
  </si>
  <si>
    <t>C03.04.01.03_$pcode5$</t>
  </si>
  <si>
    <t>C03.04.01.03.01_$pcode5$</t>
  </si>
  <si>
    <t>C03.04.01.03.02_$pcode5$</t>
  </si>
  <si>
    <t>C03.04.01.03.03_$pcode5$</t>
  </si>
  <si>
    <t>C03.04.01.03.04_$pcode5$</t>
  </si>
  <si>
    <t>C03.04.01.04_$pcode5$</t>
  </si>
  <si>
    <t>C03.04.01.05_$pcode5$</t>
  </si>
  <si>
    <t>C03.04.01.05.01_$pcode5$</t>
  </si>
  <si>
    <t>C03.04.01.05.02_$pcode5$</t>
  </si>
  <si>
    <t>C03.04.01.05.03_$pcode5$</t>
  </si>
  <si>
    <t>C03.04.01.05.04_$pcode5$</t>
  </si>
  <si>
    <t>C03.04.01.05.05_$pcode5$</t>
  </si>
  <si>
    <t>C03.04.01.06_$pcode5$</t>
  </si>
  <si>
    <t>C03.04.01.07_$pcode5$</t>
  </si>
  <si>
    <t>C03.04.01.07.01_$pcode5$</t>
  </si>
  <si>
    <t>C03.04.01.07.02_$pcode5$</t>
  </si>
  <si>
    <t>C03.04.01.08_$pcode5$</t>
  </si>
  <si>
    <t>C03.04.02_$pcode5$</t>
  </si>
  <si>
    <t>C03.04.02.01_$pcode5$</t>
  </si>
  <si>
    <t>C03.04.02.02_$pcode5$</t>
  </si>
  <si>
    <t>C03.04.03_$pcode5$</t>
  </si>
  <si>
    <t>C03.04.03.01_$pcode5$</t>
  </si>
  <si>
    <t>C03.04.03.02_$pcode5$</t>
  </si>
  <si>
    <t>C03.04.03.03_$pcode5$</t>
  </si>
  <si>
    <t>C03.04.03.04_$pcode5$</t>
  </si>
  <si>
    <t>C03.04.03.05_$pcode5$</t>
  </si>
  <si>
    <t>C03.04.03.06_$pcode5$</t>
  </si>
  <si>
    <t>C03.04.03.07_$pcode5$</t>
  </si>
  <si>
    <t>C03.04.03.08_$pcode5$</t>
  </si>
  <si>
    <t>C03.04.03.09_$pcode5$</t>
  </si>
  <si>
    <t>C03.04.03.10_$pcode5$</t>
  </si>
  <si>
    <t>C03.04.03.98_$pcode5$</t>
  </si>
  <si>
    <t>C03.04.03.99_$pcode5$</t>
  </si>
  <si>
    <t>C03.04.04_$pcode5$</t>
  </si>
  <si>
    <t>C03.04.04.01_$pcode5$</t>
  </si>
  <si>
    <t>C03.04.04.02_$pcode5$</t>
  </si>
  <si>
    <t>C03.04.05_$pcode5$</t>
  </si>
  <si>
    <t>C03.04.05.01_$pcode5$</t>
  </si>
  <si>
    <t>C03.04.05.02_$pcode5$</t>
  </si>
  <si>
    <t>C03.04.06_$pcode5$</t>
  </si>
  <si>
    <t>C03.04.06.01_$pcode5$</t>
  </si>
  <si>
    <t>C03.04.06.02_$pcode5$</t>
  </si>
  <si>
    <t>C03.04.06.03_$pcode5$</t>
  </si>
  <si>
    <t>C03.04.06.04_$pcode5$</t>
  </si>
  <si>
    <t>C03.04.06.05_$pcode5$</t>
  </si>
  <si>
    <t>C03.04.06.06_$pcode5$</t>
  </si>
  <si>
    <t>C03.04.06.07_$pcode5$</t>
  </si>
  <si>
    <t>C03.04.06.08_$pcode5$</t>
  </si>
  <si>
    <t>C03.04.06.09_$pcode5$</t>
  </si>
  <si>
    <t>C03.04.06.10_$pcode5$</t>
  </si>
  <si>
    <t>C03.04.06.11_$pcode5$</t>
  </si>
  <si>
    <t>C03.04.06.12_$pcode5$</t>
  </si>
  <si>
    <t>C03.04.06.13_$pcode5$</t>
  </si>
  <si>
    <t>C03.04.06.14_$pcode5$</t>
  </si>
  <si>
    <t>C03.04.06.15_$pcode5$</t>
  </si>
  <si>
    <t>C03.04.06.16_$pcode5$</t>
  </si>
  <si>
    <t>C03.04.06.17_$pcode5$</t>
  </si>
  <si>
    <t>C03.04.06.18_$pcode5$</t>
  </si>
  <si>
    <t>C03.04.07_$pcode5$</t>
  </si>
  <si>
    <t>C03.04.07.01_$pcode5$</t>
  </si>
  <si>
    <t>C03.04.07.02_$pcode5$</t>
  </si>
  <si>
    <t>C03.04.07.03_$pcode5$</t>
  </si>
  <si>
    <t>C03.04.07.04_$pcode5$</t>
  </si>
  <si>
    <t>C03.04.07.05_$pcode5$</t>
  </si>
  <si>
    <t>C03.04.07.06_$pcode5$</t>
  </si>
  <si>
    <t>C03.04.07.07_$pcode5$</t>
  </si>
  <si>
    <t>C03.04.07.08_$pcode5$</t>
  </si>
  <si>
    <t>C03.04.07.09_$pcode5$</t>
  </si>
  <si>
    <t>C03.04.07.10_$pcode5$</t>
  </si>
  <si>
    <t>C03.04.07.11_$pcode5$</t>
  </si>
  <si>
    <t>C03.04.08_$pcode5$</t>
  </si>
  <si>
    <t>C03.04.08.01_$pcode5$</t>
  </si>
  <si>
    <t>C03.04.09_$pcode5$</t>
  </si>
  <si>
    <t>C03.04.09.01_$pcode5$</t>
  </si>
  <si>
    <t>C03.04.09.02_$pcode5$</t>
  </si>
  <si>
    <t>C03.04.09.03_$pcode5$</t>
  </si>
  <si>
    <t>C03.04.09.04_$pcode5$</t>
  </si>
  <si>
    <t>C03.04.09.05_$pcode5$</t>
  </si>
  <si>
    <t>C03.04.10_$pcode5$</t>
  </si>
  <si>
    <t>C03.04.10.01_$pcode5$</t>
  </si>
  <si>
    <t>C03.04.10.02_$pcode5$</t>
  </si>
  <si>
    <t>C03.04.10.03_$pcode5$</t>
  </si>
  <si>
    <t>C03.04.10.04_$pcode5$</t>
  </si>
  <si>
    <t>C03.04.10.05_$pcode5$</t>
  </si>
  <si>
    <t>C03.04.11_$pcode5$</t>
  </si>
  <si>
    <t>C03.04.11.01_$pcode5$</t>
  </si>
  <si>
    <t>C03.04.11.02_$pcode5$</t>
  </si>
  <si>
    <t>C03.04.11.03_$pcode5$</t>
  </si>
  <si>
    <t>C03.04.11.04_$pcode5$</t>
  </si>
  <si>
    <t>C03.04.12_$pcode5$</t>
  </si>
  <si>
    <t>C03.04.12.01_$pcode5$</t>
  </si>
  <si>
    <t>C03.04.12.02_$pcode5$</t>
  </si>
  <si>
    <t>C03.04.12.03_$pcode5$</t>
  </si>
  <si>
    <t>C03.04.12.04_$pcode5$</t>
  </si>
  <si>
    <t>C03.04.12.05_$pcode5$</t>
  </si>
  <si>
    <t>C03.04.12.06_$pcode5$</t>
  </si>
  <si>
    <t>C03.04.12.07_$pcode5$</t>
  </si>
  <si>
    <t>C03.04.12.08_$pcode5$</t>
  </si>
  <si>
    <t>C03.04.12.09_$pcode5$</t>
  </si>
  <si>
    <t>C03.04.12.10_$pcode5$</t>
  </si>
  <si>
    <t>C03.04.12.11_$pcode5$</t>
  </si>
  <si>
    <t>C03.04.12.12_$pcode5$</t>
  </si>
  <si>
    <t>C03.04.12.13_$pcode5$</t>
  </si>
  <si>
    <t>C03.04.12.14_$pcode5$</t>
  </si>
  <si>
    <t>C03.04.12.15_$pcode5$</t>
  </si>
  <si>
    <t>C03.04.12.16_$pcode5$</t>
  </si>
  <si>
    <t>C03.04.13_$pcode5$</t>
  </si>
  <si>
    <t>C03.04.13.01_$pcode5$</t>
  </si>
  <si>
    <t>C03.04.13.02_$pcode5$</t>
  </si>
  <si>
    <t>C03.04.13.03_$pcode5$</t>
  </si>
  <si>
    <t>C03.04.13.04_$pcode5$</t>
  </si>
  <si>
    <t>C03.04.14_$pcode5$</t>
  </si>
  <si>
    <t>C03.04.14.01_$pcode5$</t>
  </si>
  <si>
    <t>C03.04.14.01.01_$pcode5$</t>
  </si>
  <si>
    <t>C03.04.14.01.02_$pcode5$</t>
  </si>
  <si>
    <t>C03.04.14.01.03_$pcode5$</t>
  </si>
  <si>
    <t>C03.04.14.01.04_$pcode5$</t>
  </si>
  <si>
    <t>C03.04.14.01.05_$pcode5$</t>
  </si>
  <si>
    <t>C03.04.14.01.06_$pcode5$</t>
  </si>
  <si>
    <t>C03.04.14.01.07_$pcode5$</t>
  </si>
  <si>
    <t>C03.04.14.01.08_$pcode5$</t>
  </si>
  <si>
    <t>C03.04.14.02_$pcode5$</t>
  </si>
  <si>
    <t>C03.04.14.02.01_$pcode5$</t>
  </si>
  <si>
    <t>C03.04.14.02.02_$pcode5$</t>
  </si>
  <si>
    <t>C03.04.14.02.03_$pcode5$</t>
  </si>
  <si>
    <t>C03.04.14.02.04_$pcode5$</t>
  </si>
  <si>
    <t>C03.04.14.02.05_$pcode5$</t>
  </si>
  <si>
    <t>C03.04.14.02.06_$pcode5$</t>
  </si>
  <si>
    <t>C03.04.14.02.07_$pcode5$</t>
  </si>
  <si>
    <t>C03.04.14.02.08_$pcode5$</t>
  </si>
  <si>
    <t>C03.04.14.03_$pcode5$</t>
  </si>
  <si>
    <t>C03.04.14.04_$pcode5$</t>
  </si>
  <si>
    <t>C03.04.14.05_$pcode5$</t>
  </si>
  <si>
    <t>C03.04.15_$pcode5$</t>
  </si>
  <si>
    <t>C03.04.15.01_$pcode5$</t>
  </si>
  <si>
    <t>C03.04.16_$pcode5$</t>
  </si>
  <si>
    <t>C03.04.16.01_$pcode5$</t>
  </si>
  <si>
    <t>C03.04.16.02_$pcode5$</t>
  </si>
  <si>
    <t>C03.04.16.03_$pcode5$</t>
  </si>
  <si>
    <t>C03.04.17_$pcode5$</t>
  </si>
  <si>
    <t>C03.04.17.01_$pcode5$</t>
  </si>
  <si>
    <t>C03.04.18_$pcode5$</t>
  </si>
  <si>
    <t>C03.04.18.01_$pcode5$</t>
  </si>
  <si>
    <t>C03.04.19_$pcode5$</t>
  </si>
  <si>
    <t>C03.04.19.01_$pcode5$</t>
  </si>
  <si>
    <t>C03.04.19.02_$pcode5$</t>
  </si>
  <si>
    <t>C03.04.19.03_$pcode5$</t>
  </si>
  <si>
    <t>C03.04.19.04_$pcode5$</t>
  </si>
  <si>
    <t>C03.04.19.05_$pcode5$</t>
  </si>
  <si>
    <t>C03.04.20_$pcode5$</t>
  </si>
  <si>
    <t>C03.04.20.01_$pcode5$</t>
  </si>
  <si>
    <t>C03.04.20.02_$pcode5$</t>
  </si>
  <si>
    <t>C03.04.20.03_$pcode5$</t>
  </si>
  <si>
    <t>C03.04.20.04_$pcode5$</t>
  </si>
  <si>
    <t>C03.04.20.05_$pcode5$</t>
  </si>
  <si>
    <t>C03.04.20.06_$pcode5$</t>
  </si>
  <si>
    <t>C03.04.21_$pcode5$</t>
  </si>
  <si>
    <t>C03.04.21.01_$pcode5$</t>
  </si>
  <si>
    <t>C03.04.22_$pcode5$</t>
  </si>
  <si>
    <t>C03.04.22.01_$pcode5$</t>
  </si>
  <si>
    <t>C03.04.23_$pcode5$</t>
  </si>
  <si>
    <t>C03.04.23.01_$pcode5$</t>
  </si>
  <si>
    <t>C03.04.23.02_$pcode5$</t>
  </si>
  <si>
    <t>C03.04.23.03_$pcode5$</t>
  </si>
  <si>
    <t>C03.04.24_$pcode5$</t>
  </si>
  <si>
    <t>C03.04.24.01_$pcode5$</t>
  </si>
  <si>
    <t>C03.04.25_$pcode5$</t>
  </si>
  <si>
    <t>C03.04.25.01_$pcode5$</t>
  </si>
  <si>
    <t>C03.04.26_$pcode5$</t>
  </si>
  <si>
    <t>C03.04.26.01_$pcode5$</t>
  </si>
  <si>
    <t>C03.04.26.02_$pcode5$</t>
  </si>
  <si>
    <t>C03.04.26.03_$pcode5$</t>
  </si>
  <si>
    <t>C03.04.27_$pcode5$</t>
  </si>
  <si>
    <t>C03.04.27.01_$pcode5$</t>
  </si>
  <si>
    <t>C03.04.28_$pcode5$</t>
  </si>
  <si>
    <t>C03.04.28.01_$pcode5$</t>
  </si>
  <si>
    <t>C03.04.29_$pcode5$</t>
  </si>
  <si>
    <t>C03.04.30_$pcode5$</t>
  </si>
  <si>
    <t>C03.04.31_$pcode5$</t>
  </si>
  <si>
    <t>C03.04.31.01_$pcode5$</t>
  </si>
  <si>
    <t>C03.04.31.02_$pcode5$</t>
  </si>
  <si>
    <t>C03.04.31.03_$pcode5$</t>
  </si>
  <si>
    <t>C03.04.31.04_$pcode5$</t>
  </si>
  <si>
    <t>C03.04.32_$pcode5$</t>
  </si>
  <si>
    <t>C03.04.32.01_$pcode5$</t>
  </si>
  <si>
    <t>C03.04.33_$pcode5$</t>
  </si>
  <si>
    <t>C03.04.33.03_$pcode5$</t>
  </si>
  <si>
    <t>C03.04_$pcode6$</t>
  </si>
  <si>
    <t>C03.04.01_$pcode6$</t>
  </si>
  <si>
    <t>C03.04.01.01_$pcode6$</t>
  </si>
  <si>
    <t>C03.04.01.01.01_$pcode6$</t>
  </si>
  <si>
    <t>C03.04.01.01.02_$pcode6$</t>
  </si>
  <si>
    <t>C03.04.01.02_$pcode6$</t>
  </si>
  <si>
    <t>C03.04.01.03_$pcode6$</t>
  </si>
  <si>
    <t>C03.04.01.03.01_$pcode6$</t>
  </si>
  <si>
    <t>C03.04.01.03.02_$pcode6$</t>
  </si>
  <si>
    <t>C03.04.01.03.03_$pcode6$</t>
  </si>
  <si>
    <t>C03.04.01.03.04_$pcode6$</t>
  </si>
  <si>
    <t>C03.04.01.04_$pcode6$</t>
  </si>
  <si>
    <t>C03.04.01.05_$pcode6$</t>
  </si>
  <si>
    <t>C03.04.01.05.01_$pcode6$</t>
  </si>
  <si>
    <t>C03.04.01.05.02_$pcode6$</t>
  </si>
  <si>
    <t>C03.04.01.05.03_$pcode6$</t>
  </si>
  <si>
    <t>C03.04.01.05.04_$pcode6$</t>
  </si>
  <si>
    <t>C03.04.01.05.05_$pcode6$</t>
  </si>
  <si>
    <t>C03.04.01.06_$pcode6$</t>
  </si>
  <si>
    <t>C03.04.01.07_$pcode6$</t>
  </si>
  <si>
    <t>C03.04.01.07.01_$pcode6$</t>
  </si>
  <si>
    <t>C03.04.01.07.02_$pcode6$</t>
  </si>
  <si>
    <t>C03.04.01.08_$pcode6$</t>
  </si>
  <si>
    <t>C03.04.02_$pcode6$</t>
  </si>
  <si>
    <t>C03.04.02.01_$pcode6$</t>
  </si>
  <si>
    <t>C03.04.02.02_$pcode6$</t>
  </si>
  <si>
    <t>C03.04.03_$pcode6$</t>
  </si>
  <si>
    <t>C03.04.03.01_$pcode6$</t>
  </si>
  <si>
    <t>C03.04.03.02_$pcode6$</t>
  </si>
  <si>
    <t>C03.04.03.03_$pcode6$</t>
  </si>
  <si>
    <t>C03.04.03.04_$pcode6$</t>
  </si>
  <si>
    <t>C03.04.03.05_$pcode6$</t>
  </si>
  <si>
    <t>C03.04.03.06_$pcode6$</t>
  </si>
  <si>
    <t>C03.04.03.07_$pcode6$</t>
  </si>
  <si>
    <t>C03.04.03.08_$pcode6$</t>
  </si>
  <si>
    <t>C03.04.03.09_$pcode6$</t>
  </si>
  <si>
    <t>C03.04.03.10_$pcode6$</t>
  </si>
  <si>
    <t>C03.04.03.98_$pcode6$</t>
  </si>
  <si>
    <t>C03.04.03.99_$pcode6$</t>
  </si>
  <si>
    <t>C03.04.04_$pcode6$</t>
  </si>
  <si>
    <t>C03.04.04.01_$pcode6$</t>
  </si>
  <si>
    <t>C03.04.04.02_$pcode6$</t>
  </si>
  <si>
    <t>C03.04.05_$pcode6$</t>
  </si>
  <si>
    <t>C03.04.05.01_$pcode6$</t>
  </si>
  <si>
    <t>C03.04.05.02_$pcode6$</t>
  </si>
  <si>
    <t>C03.04.06_$pcode6$</t>
  </si>
  <si>
    <t>C03.04.06.01_$pcode6$</t>
  </si>
  <si>
    <t>C03.04.06.02_$pcode6$</t>
  </si>
  <si>
    <t>C03.04.06.03_$pcode6$</t>
  </si>
  <si>
    <t>C03.04.06.04_$pcode6$</t>
  </si>
  <si>
    <t>C03.04.06.05_$pcode6$</t>
  </si>
  <si>
    <t>C03.04.06.06_$pcode6$</t>
  </si>
  <si>
    <t>C03.04.06.07_$pcode6$</t>
  </si>
  <si>
    <t>C03.04.06.08_$pcode6$</t>
  </si>
  <si>
    <t>C03.04.06.09_$pcode6$</t>
  </si>
  <si>
    <t>C03.04.06.10_$pcode6$</t>
  </si>
  <si>
    <t>C03.04.06.11_$pcode6$</t>
  </si>
  <si>
    <t>C03.04.06.12_$pcode6$</t>
  </si>
  <si>
    <t>C03.04.06.13_$pcode6$</t>
  </si>
  <si>
    <t>C03.04.06.14_$pcode6$</t>
  </si>
  <si>
    <t>C03.04.06.15_$pcode6$</t>
  </si>
  <si>
    <t>C03.04.06.16_$pcode6$</t>
  </si>
  <si>
    <t>C03.04.06.17_$pcode6$</t>
  </si>
  <si>
    <t>C03.04.06.18_$pcode6$</t>
  </si>
  <si>
    <t>C03.04.07_$pcode6$</t>
  </si>
  <si>
    <t>C03.04.07.01_$pcode6$</t>
  </si>
  <si>
    <t>C03.04.07.02_$pcode6$</t>
  </si>
  <si>
    <t>C03.04.07.03_$pcode6$</t>
  </si>
  <si>
    <t>C03.04.07.04_$pcode6$</t>
  </si>
  <si>
    <t>C03.04.07.05_$pcode6$</t>
  </si>
  <si>
    <t>C03.04.07.06_$pcode6$</t>
  </si>
  <si>
    <t>C03.04.07.07_$pcode6$</t>
  </si>
  <si>
    <t>C03.04.07.08_$pcode6$</t>
  </si>
  <si>
    <t>C03.04.07.09_$pcode6$</t>
  </si>
  <si>
    <t>C03.04.07.10_$pcode6$</t>
  </si>
  <si>
    <t>C03.04.07.11_$pcode6$</t>
  </si>
  <si>
    <t>C03.04.08_$pcode6$</t>
  </si>
  <si>
    <t>C03.04.08.01_$pcode6$</t>
  </si>
  <si>
    <t>C03.04.09_$pcode6$</t>
  </si>
  <si>
    <t>C03.04.09.01_$pcode6$</t>
  </si>
  <si>
    <t>C03.04.09.02_$pcode6$</t>
  </si>
  <si>
    <t>C03.04.09.03_$pcode6$</t>
  </si>
  <si>
    <t>C03.04.09.04_$pcode6$</t>
  </si>
  <si>
    <t>C03.04.09.05_$pcode6$</t>
  </si>
  <si>
    <t>C03.04.10_$pcode6$</t>
  </si>
  <si>
    <t>C03.04.10.01_$pcode6$</t>
  </si>
  <si>
    <t>C03.04.10.02_$pcode6$</t>
  </si>
  <si>
    <t>C03.04.10.03_$pcode6$</t>
  </si>
  <si>
    <t>C03.04.10.04_$pcode6$</t>
  </si>
  <si>
    <t>C03.04.10.05_$pcode6$</t>
  </si>
  <si>
    <t>C03.04.11_$pcode6$</t>
  </si>
  <si>
    <t>C03.04.11.01_$pcode6$</t>
  </si>
  <si>
    <t>C03.04.11.02_$pcode6$</t>
  </si>
  <si>
    <t>C03.04.11.03_$pcode6$</t>
  </si>
  <si>
    <t>C03.04.11.04_$pcode6$</t>
  </si>
  <si>
    <t>C03.04.12_$pcode6$</t>
  </si>
  <si>
    <t>C03.04.12.01_$pcode6$</t>
  </si>
  <si>
    <t>C03.04.12.02_$pcode6$</t>
  </si>
  <si>
    <t>C03.04.12.03_$pcode6$</t>
  </si>
  <si>
    <t>C03.04.12.04_$pcode6$</t>
  </si>
  <si>
    <t>C03.04.12.05_$pcode6$</t>
  </si>
  <si>
    <t>C03.04.12.06_$pcode6$</t>
  </si>
  <si>
    <t>C03.04.12.07_$pcode6$</t>
  </si>
  <si>
    <t>C03.04.12.08_$pcode6$</t>
  </si>
  <si>
    <t>C03.04.12.09_$pcode6$</t>
  </si>
  <si>
    <t>C03.04.12.10_$pcode6$</t>
  </si>
  <si>
    <t>C03.04.12.11_$pcode6$</t>
  </si>
  <si>
    <t>C03.04.12.12_$pcode6$</t>
  </si>
  <si>
    <t>C03.04.12.13_$pcode6$</t>
  </si>
  <si>
    <t>C03.04.12.14_$pcode6$</t>
  </si>
  <si>
    <t>C03.04.12.15_$pcode6$</t>
  </si>
  <si>
    <t>C03.04.12.16_$pcode6$</t>
  </si>
  <si>
    <t>C03.04.13_$pcode6$</t>
  </si>
  <si>
    <t>C03.04.13.01_$pcode6$</t>
  </si>
  <si>
    <t>C03.04.13.02_$pcode6$</t>
  </si>
  <si>
    <t>C03.04.13.03_$pcode6$</t>
  </si>
  <si>
    <t>C03.04.13.04_$pcode6$</t>
  </si>
  <si>
    <t>C03.04.14_$pcode6$</t>
  </si>
  <si>
    <t>C03.04.14.01_$pcode6$</t>
  </si>
  <si>
    <t>C03.04.14.01.01_$pcode6$</t>
  </si>
  <si>
    <t>C03.04.14.01.02_$pcode6$</t>
  </si>
  <si>
    <t>C03.04.14.01.03_$pcode6$</t>
  </si>
  <si>
    <t>C03.04.14.01.04_$pcode6$</t>
  </si>
  <si>
    <t>C03.04.14.01.05_$pcode6$</t>
  </si>
  <si>
    <t>C03.04.14.01.06_$pcode6$</t>
  </si>
  <si>
    <t>C03.04.14.01.07_$pcode6$</t>
  </si>
  <si>
    <t>C03.04.14.01.08_$pcode6$</t>
  </si>
  <si>
    <t>C03.04.14.02_$pcode6$</t>
  </si>
  <si>
    <t>C03.04.14.02.01_$pcode6$</t>
  </si>
  <si>
    <t>C03.04.14.02.02_$pcode6$</t>
  </si>
  <si>
    <t>C03.04.14.02.03_$pcode6$</t>
  </si>
  <si>
    <t>C03.04.14.02.04_$pcode6$</t>
  </si>
  <si>
    <t>C03.04.14.02.05_$pcode6$</t>
  </si>
  <si>
    <t>C03.04.14.02.06_$pcode6$</t>
  </si>
  <si>
    <t>C03.04.14.02.07_$pcode6$</t>
  </si>
  <si>
    <t>C03.04.14.02.08_$pcode6$</t>
  </si>
  <si>
    <t>C03.04.14.03_$pcode6$</t>
  </si>
  <si>
    <t>C03.04.14.04_$pcode6$</t>
  </si>
  <si>
    <t>C03.04.14.05_$pcode6$</t>
  </si>
  <si>
    <t>C03.04.15_$pcode6$</t>
  </si>
  <si>
    <t>C03.04.15.01_$pcode6$</t>
  </si>
  <si>
    <t>C03.04.16_$pcode6$</t>
  </si>
  <si>
    <t>C03.04.16.01_$pcode6$</t>
  </si>
  <si>
    <t>C03.04.16.02_$pcode6$</t>
  </si>
  <si>
    <t>C03.04.16.03_$pcode6$</t>
  </si>
  <si>
    <t>C03.04.17_$pcode6$</t>
  </si>
  <si>
    <t>C03.04.17.01_$pcode6$</t>
  </si>
  <si>
    <t>C03.04.18_$pcode6$</t>
  </si>
  <si>
    <t>C03.04.18.01_$pcode6$</t>
  </si>
  <si>
    <t>C03.04.19_$pcode6$</t>
  </si>
  <si>
    <t>C03.04.19.01_$pcode6$</t>
  </si>
  <si>
    <t>C03.04.19.02_$pcode6$</t>
  </si>
  <si>
    <t>C03.04.19.03_$pcode6$</t>
  </si>
  <si>
    <t>C03.04.19.04_$pcode6$</t>
  </si>
  <si>
    <t>C03.04.19.05_$pcode6$</t>
  </si>
  <si>
    <t>C03.04.20_$pcode6$</t>
  </si>
  <si>
    <t>C03.04.20.01_$pcode6$</t>
  </si>
  <si>
    <t>C03.04.20.02_$pcode6$</t>
  </si>
  <si>
    <t>C03.04.20.03_$pcode6$</t>
  </si>
  <si>
    <t>C03.04.20.04_$pcode6$</t>
  </si>
  <si>
    <t>C03.04.20.05_$pcode6$</t>
  </si>
  <si>
    <t>C03.04.20.06_$pcode6$</t>
  </si>
  <si>
    <t>C03.04.21_$pcode6$</t>
  </si>
  <si>
    <t>C03.04.21.01_$pcode6$</t>
  </si>
  <si>
    <t>C03.04.22_$pcode6$</t>
  </si>
  <si>
    <t>C03.04.22.01_$pcode6$</t>
  </si>
  <si>
    <t>C03.04.23_$pcode6$</t>
  </si>
  <si>
    <t>C03.04.23.01_$pcode6$</t>
  </si>
  <si>
    <t>C03.04.23.02_$pcode6$</t>
  </si>
  <si>
    <t>C03.04.23.03_$pcode6$</t>
  </si>
  <si>
    <t>C03.04.24_$pcode6$</t>
  </si>
  <si>
    <t>C03.04.24.01_$pcode6$</t>
  </si>
  <si>
    <t>C03.04.25_$pcode6$</t>
  </si>
  <si>
    <t>C03.04.25.01_$pcode6$</t>
  </si>
  <si>
    <t>C03.04.26_$pcode6$</t>
  </si>
  <si>
    <t>C03.04.26.01_$pcode6$</t>
  </si>
  <si>
    <t>C03.04.26.02_$pcode6$</t>
  </si>
  <si>
    <t>C03.04.26.03_$pcode6$</t>
  </si>
  <si>
    <t>C03.04.27_$pcode6$</t>
  </si>
  <si>
    <t>C03.04.27.01_$pcode6$</t>
  </si>
  <si>
    <t>C03.04.28_$pcode6$</t>
  </si>
  <si>
    <t>C03.04.28.01_$pcode6$</t>
  </si>
  <si>
    <t>C03.04.29_$pcode6$</t>
  </si>
  <si>
    <t>C03.04.30_$pcode6$</t>
  </si>
  <si>
    <t>C03.04.31_$pcode6$</t>
  </si>
  <si>
    <t>C03.04.31.01_$pcode6$</t>
  </si>
  <si>
    <t>C03.04.31.02_$pcode6$</t>
  </si>
  <si>
    <t>C03.04.31.03_$pcode6$</t>
  </si>
  <si>
    <t>C03.04.31.04_$pcode6$</t>
  </si>
  <si>
    <t>C03.04.32_$pcode6$</t>
  </si>
  <si>
    <t>C03.04.32.01_$pcode6$</t>
  </si>
  <si>
    <t>C03.04.33_$pcode6$</t>
  </si>
  <si>
    <t>C03.04.33.03_$pcode6$</t>
  </si>
  <si>
    <t>C03.04_33</t>
  </si>
  <si>
    <t>C03.04.01_33</t>
  </si>
  <si>
    <t>C03.04.01.01_33</t>
  </si>
  <si>
    <t>C03.04.01.01.01_33</t>
  </si>
  <si>
    <t>C03.04.01.01.02_33</t>
  </si>
  <si>
    <t>C03.04.01.02_33</t>
  </si>
  <si>
    <t>C03.04.01.03_33</t>
  </si>
  <si>
    <t>C03.04.01.03.01_33</t>
  </si>
  <si>
    <t>C03.04.01.03.02_33</t>
  </si>
  <si>
    <t>C03.04.01.03.03_33</t>
  </si>
  <si>
    <t>C03.04.01.03.04_33</t>
  </si>
  <si>
    <t>C03.04.01.04_33</t>
  </si>
  <si>
    <t>C03.04.01.05_33</t>
  </si>
  <si>
    <t>C03.04.01.05.01_33</t>
  </si>
  <si>
    <t>C03.04.01.05.02_33</t>
  </si>
  <si>
    <t>C03.04.01.05.03_33</t>
  </si>
  <si>
    <t>C03.04.01.05.04_33</t>
  </si>
  <si>
    <t>C03.04.01.05.05_33</t>
  </si>
  <si>
    <t>C03.04.01.06_33</t>
  </si>
  <si>
    <t>C03.04.01.07_33</t>
  </si>
  <si>
    <t>C03.04.01.07.01_33</t>
  </si>
  <si>
    <t>C03.04.01.07.02_33</t>
  </si>
  <si>
    <t>C03.04.01.08_33</t>
  </si>
  <si>
    <t>C03.04.02_33</t>
  </si>
  <si>
    <t>C03.04.02.01_33</t>
  </si>
  <si>
    <t>C03.04.02.02_33</t>
  </si>
  <si>
    <t>C03.04.03_33</t>
  </si>
  <si>
    <t>C03.04.03.01_33</t>
  </si>
  <si>
    <t>C03.04.03.02_33</t>
  </si>
  <si>
    <t>C03.04.03.03_33</t>
  </si>
  <si>
    <t>C03.04.03.04_33</t>
  </si>
  <si>
    <t>C03.04.03.05_33</t>
  </si>
  <si>
    <t>C03.04.03.06_33</t>
  </si>
  <si>
    <t>C03.04.03.07_33</t>
  </si>
  <si>
    <t>C03.04.03.08_33</t>
  </si>
  <si>
    <t>C03.04.03.09_33</t>
  </si>
  <si>
    <t>C03.04.03.10_33</t>
  </si>
  <si>
    <t>C03.04.03.98_33</t>
  </si>
  <si>
    <t>C03.04.03.99_33</t>
  </si>
  <si>
    <t>C03.04.04_33</t>
  </si>
  <si>
    <t>C03.04.04.01_33</t>
  </si>
  <si>
    <t>C03.04.04.02_33</t>
  </si>
  <si>
    <t>C03.04.05_33</t>
  </si>
  <si>
    <t>C03.04.05.01_33</t>
  </si>
  <si>
    <t>C03.04.05.02_33</t>
  </si>
  <si>
    <t>C03.04.06_33</t>
  </si>
  <si>
    <t>C03.04.06.01_33</t>
  </si>
  <si>
    <t>C03.04.06.02_33</t>
  </si>
  <si>
    <t>C03.04.06.03_33</t>
  </si>
  <si>
    <t>C03.04.06.04_33</t>
  </si>
  <si>
    <t>C03.04.06.05_33</t>
  </si>
  <si>
    <t>C03.04.06.06_33</t>
  </si>
  <si>
    <t>C03.04.06.07_33</t>
  </si>
  <si>
    <t>C03.04.06.08_33</t>
  </si>
  <si>
    <t>C03.04.06.09_33</t>
  </si>
  <si>
    <t>C03.04.06.10_33</t>
  </si>
  <si>
    <t>C03.04.06.11_33</t>
  </si>
  <si>
    <t>C03.04.06.12_33</t>
  </si>
  <si>
    <t>C03.04.06.13_33</t>
  </si>
  <si>
    <t>C03.04.06.14_33</t>
  </si>
  <si>
    <t>C03.04.06.15_33</t>
  </si>
  <si>
    <t>C03.04.06.16_33</t>
  </si>
  <si>
    <t>C03.04.06.17_33</t>
  </si>
  <si>
    <t>C03.04.06.18_33</t>
  </si>
  <si>
    <t>C03.04.07_33</t>
  </si>
  <si>
    <t>C03.04.07.01_33</t>
  </si>
  <si>
    <t>C03.04.07.02_33</t>
  </si>
  <si>
    <t>C03.04.07.03_33</t>
  </si>
  <si>
    <t>C03.04.07.04_33</t>
  </si>
  <si>
    <t>C03.04.07.05_33</t>
  </si>
  <si>
    <t>C03.04.07.06_33</t>
  </si>
  <si>
    <t>C03.04.07.07_33</t>
  </si>
  <si>
    <t>C03.04.07.08_33</t>
  </si>
  <si>
    <t>C03.04.07.09_33</t>
  </si>
  <si>
    <t>C03.04.07.10_33</t>
  </si>
  <si>
    <t>C03.04.07.11_33</t>
  </si>
  <si>
    <t>C03.04.08_33</t>
  </si>
  <si>
    <t>C03.04.08.01_33</t>
  </si>
  <si>
    <t>C03.04.09_33</t>
  </si>
  <si>
    <t>C03.04.09.01_33</t>
  </si>
  <si>
    <t>C03.04.09.02_33</t>
  </si>
  <si>
    <t>C03.04.09.03_33</t>
  </si>
  <si>
    <t>C03.04.09.04_33</t>
  </si>
  <si>
    <t>C03.04.09.05_33</t>
  </si>
  <si>
    <t>C03.04.10_33</t>
  </si>
  <si>
    <t>C03.04.10.01_33</t>
  </si>
  <si>
    <t>C03.04.10.02_33</t>
  </si>
  <si>
    <t>C03.04.10.03_33</t>
  </si>
  <si>
    <t>C03.04.10.04_33</t>
  </si>
  <si>
    <t>C03.04.10.05_33</t>
  </si>
  <si>
    <t>C03.04.11_33</t>
  </si>
  <si>
    <t>C03.04.11.01_33</t>
  </si>
  <si>
    <t>C03.04.11.02_33</t>
  </si>
  <si>
    <t>C03.04.11.03_33</t>
  </si>
  <si>
    <t>C03.04.11.04_33</t>
  </si>
  <si>
    <t>C03.04.12_33</t>
  </si>
  <si>
    <t>C03.04.12.01_33</t>
  </si>
  <si>
    <t>C03.04.12.02_33</t>
  </si>
  <si>
    <t>C03.04.12.03_33</t>
  </si>
  <si>
    <t>C03.04.12.04_33</t>
  </si>
  <si>
    <t>C03.04.12.05_33</t>
  </si>
  <si>
    <t>C03.04.12.06_33</t>
  </si>
  <si>
    <t>C03.04.12.07_33</t>
  </si>
  <si>
    <t>C03.04.12.08_33</t>
  </si>
  <si>
    <t>C03.04.12.09_33</t>
  </si>
  <si>
    <t>C03.04.12.10_33</t>
  </si>
  <si>
    <t>C03.04.12.11_33</t>
  </si>
  <si>
    <t>C03.04.12.12_33</t>
  </si>
  <si>
    <t>C03.04.12.13_33</t>
  </si>
  <si>
    <t>C03.04.12.14_33</t>
  </si>
  <si>
    <t>C03.04.12.15_33</t>
  </si>
  <si>
    <t>C03.04.12.16_33</t>
  </si>
  <si>
    <t>C03.04.13_33</t>
  </si>
  <si>
    <t>C03.04.13.01_33</t>
  </si>
  <si>
    <t>C03.04.13.02_33</t>
  </si>
  <si>
    <t>C03.04.13.03_33</t>
  </si>
  <si>
    <t>C03.04.13.04_33</t>
  </si>
  <si>
    <t>C03.04.14_33</t>
  </si>
  <si>
    <t>C03.04.14.01_33</t>
  </si>
  <si>
    <t>C03.04.14.01.01_33</t>
  </si>
  <si>
    <t>C03.04.14.01.02_33</t>
  </si>
  <si>
    <t>C03.04.14.01.03_33</t>
  </si>
  <si>
    <t>C03.04.14.01.04_33</t>
  </si>
  <si>
    <t>C03.04.14.01.05_33</t>
  </si>
  <si>
    <t>C03.04.14.01.06_33</t>
  </si>
  <si>
    <t>C03.04.14.01.07_33</t>
  </si>
  <si>
    <t>C03.04.14.01.08_33</t>
  </si>
  <si>
    <t>C03.04.14.02_33</t>
  </si>
  <si>
    <t>C03.04.14.02.01_33</t>
  </si>
  <si>
    <t>C03.04.14.02.02_33</t>
  </si>
  <si>
    <t>C03.04.14.02.03_33</t>
  </si>
  <si>
    <t>C03.04.14.02.04_33</t>
  </si>
  <si>
    <t>C03.04.14.02.05_33</t>
  </si>
  <si>
    <t>C03.04.14.02.06_33</t>
  </si>
  <si>
    <t>C03.04.14.02.07_33</t>
  </si>
  <si>
    <t>C03.04.14.02.08_33</t>
  </si>
  <si>
    <t>C03.04.14.03_33</t>
  </si>
  <si>
    <t>C03.04.14.04_33</t>
  </si>
  <si>
    <t>C03.04.14.05_33</t>
  </si>
  <si>
    <t>C03.04.15_33</t>
  </si>
  <si>
    <t>C03.04.15.01_33</t>
  </si>
  <si>
    <t>C03.04.16_33</t>
  </si>
  <si>
    <t>C03.04.16.01_33</t>
  </si>
  <si>
    <t>C03.04.16.02_33</t>
  </si>
  <si>
    <t>C03.04.16.03_33</t>
  </si>
  <si>
    <t>C03.04.17_33</t>
  </si>
  <si>
    <t>C03.04.17.01_33</t>
  </si>
  <si>
    <t>C03.04.18_33</t>
  </si>
  <si>
    <t>C03.04.18.01_33</t>
  </si>
  <si>
    <t>C03.04.19_33</t>
  </si>
  <si>
    <t>C03.04.19.01_33</t>
  </si>
  <si>
    <t>C03.04.19.02_33</t>
  </si>
  <si>
    <t>C03.04.19.03_33</t>
  </si>
  <si>
    <t>C03.04.19.04_33</t>
  </si>
  <si>
    <t>C03.04.19.05_33</t>
  </si>
  <si>
    <t>C03.04.20_33</t>
  </si>
  <si>
    <t>C03.04.20.01_33</t>
  </si>
  <si>
    <t>C03.04.20.02_33</t>
  </si>
  <si>
    <t>C03.04.20.03_33</t>
  </si>
  <si>
    <t>C03.04.20.04_33</t>
  </si>
  <si>
    <t>C03.04.20.05_33</t>
  </si>
  <si>
    <t>C03.04.20.06_33</t>
  </si>
  <si>
    <t>C03.04.21_33</t>
  </si>
  <si>
    <t>C03.04.21.01_33</t>
  </si>
  <si>
    <t>C03.04.22_33</t>
  </si>
  <si>
    <t>C03.04.22.01_33</t>
  </si>
  <si>
    <t>C03.04.23_33</t>
  </si>
  <si>
    <t>C03.04.23.01_33</t>
  </si>
  <si>
    <t>C03.04.23.02_33</t>
  </si>
  <si>
    <t>C03.04.23.03_33</t>
  </si>
  <si>
    <t>C03.04.24_33</t>
  </si>
  <si>
    <t>C03.04.24.01_33</t>
  </si>
  <si>
    <t>C03.04.25_33</t>
  </si>
  <si>
    <t>C03.04.25.01_33</t>
  </si>
  <si>
    <t>C03.04.26_33</t>
  </si>
  <si>
    <t>C03.04.26.01_33</t>
  </si>
  <si>
    <t>C03.04.26.02_33</t>
  </si>
  <si>
    <t>C03.04.26.03_33</t>
  </si>
  <si>
    <t>C03.04.27_33</t>
  </si>
  <si>
    <t>C03.04.27.01_33</t>
  </si>
  <si>
    <t>C03.04.28_33</t>
  </si>
  <si>
    <t>C03.04.28.01_33</t>
  </si>
  <si>
    <t>C03.04.29_33</t>
  </si>
  <si>
    <t>C03.04.30_33</t>
  </si>
  <si>
    <t>C03.04.31_33</t>
  </si>
  <si>
    <t>C03.04.31.01_33</t>
  </si>
  <si>
    <t>C03.04.31.02_33</t>
  </si>
  <si>
    <t>C03.04.31.03_33</t>
  </si>
  <si>
    <t>C03.04.31.04_33</t>
  </si>
  <si>
    <t>C03.04.32_33</t>
  </si>
  <si>
    <t>C03.04.32.01_33</t>
  </si>
  <si>
    <t>C03.04.33_33</t>
  </si>
  <si>
    <t>C03.04.33.03_33</t>
  </si>
  <si>
    <t>C03.04_36</t>
  </si>
  <si>
    <t>C03.04.01_36</t>
  </si>
  <si>
    <t>C03.04.01.01_36</t>
  </si>
  <si>
    <t>C03.04.01.01.01_36</t>
  </si>
  <si>
    <t>C03.04.01.01.02_36</t>
  </si>
  <si>
    <t>C03.04.01.02_36</t>
  </si>
  <si>
    <t>C03.04.01.03_36</t>
  </si>
  <si>
    <t>C03.04.01.03.01_36</t>
  </si>
  <si>
    <t>C03.04.01.03.02_36</t>
  </si>
  <si>
    <t>C03.04.01.03.03_36</t>
  </si>
  <si>
    <t>C03.04.01.03.04_36</t>
  </si>
  <si>
    <t>C03.04.01.04_36</t>
  </si>
  <si>
    <t>C03.04.01.05_36</t>
  </si>
  <si>
    <t>C03.04.01.05.01_36</t>
  </si>
  <si>
    <t>C03.04.01.05.02_36</t>
  </si>
  <si>
    <t>C03.04.01.05.03_36</t>
  </si>
  <si>
    <t>C03.04.01.05.04_36</t>
  </si>
  <si>
    <t>C03.04.01.05.05_36</t>
  </si>
  <si>
    <t>C03.04.01.06_36</t>
  </si>
  <si>
    <t>C03.04.01.07_36</t>
  </si>
  <si>
    <t>C03.04.01.07.01_36</t>
  </si>
  <si>
    <t>C03.04.01.07.02_36</t>
  </si>
  <si>
    <t>C03.04.01.08_36</t>
  </si>
  <si>
    <t>C03.04.02_36</t>
  </si>
  <si>
    <t>C03.04.02.01_36</t>
  </si>
  <si>
    <t>C03.04.02.02_36</t>
  </si>
  <si>
    <t>C03.04.03_36</t>
  </si>
  <si>
    <t>C03.04.03.01_36</t>
  </si>
  <si>
    <t>C03.04.03.02_36</t>
  </si>
  <si>
    <t>C03.04.03.03_36</t>
  </si>
  <si>
    <t>C03.04.03.04_36</t>
  </si>
  <si>
    <t>C03.04.03.05_36</t>
  </si>
  <si>
    <t>C03.04.03.06_36</t>
  </si>
  <si>
    <t>C03.04.03.07_36</t>
  </si>
  <si>
    <t>C03.04.03.08_36</t>
  </si>
  <si>
    <t>C03.04.03.09_36</t>
  </si>
  <si>
    <t>C03.04.03.10_36</t>
  </si>
  <si>
    <t>C03.04.03.98_36</t>
  </si>
  <si>
    <t>C03.04.03.99_36</t>
  </si>
  <si>
    <t>C03.04.04_36</t>
  </si>
  <si>
    <t>C03.04.04.01_36</t>
  </si>
  <si>
    <t>C03.04.04.02_36</t>
  </si>
  <si>
    <t>C03.04.05_36</t>
  </si>
  <si>
    <t>C03.04.05.01_36</t>
  </si>
  <si>
    <t>C03.04.05.02_36</t>
  </si>
  <si>
    <t>C03.04.06_36</t>
  </si>
  <si>
    <t>C03.04.06.01_36</t>
  </si>
  <si>
    <t>C03.04.06.02_36</t>
  </si>
  <si>
    <t>C03.04.06.03_36</t>
  </si>
  <si>
    <t>C03.04.06.04_36</t>
  </si>
  <si>
    <t>C03.04.06.05_36</t>
  </si>
  <si>
    <t>C03.04.06.06_36</t>
  </si>
  <si>
    <t>C03.04.06.07_36</t>
  </si>
  <si>
    <t>C03.04.06.08_36</t>
  </si>
  <si>
    <t>C03.04.06.09_36</t>
  </si>
  <si>
    <t>C03.04.06.10_36</t>
  </si>
  <si>
    <t>C03.04.06.11_36</t>
  </si>
  <si>
    <t>C03.04.06.12_36</t>
  </si>
  <si>
    <t>C03.04.06.13_36</t>
  </si>
  <si>
    <t>C03.04.06.14_36</t>
  </si>
  <si>
    <t>C03.04.06.15_36</t>
  </si>
  <si>
    <t>C03.04.06.16_36</t>
  </si>
  <si>
    <t>C03.04.06.17_36</t>
  </si>
  <si>
    <t>C03.04.06.18_36</t>
  </si>
  <si>
    <t>C03.04.07_36</t>
  </si>
  <si>
    <t>C03.04.07.01_36</t>
  </si>
  <si>
    <t>C03.04.07.02_36</t>
  </si>
  <si>
    <t>C03.04.07.03_36</t>
  </si>
  <si>
    <t>C03.04.07.04_36</t>
  </si>
  <si>
    <t>C03.04.07.05_36</t>
  </si>
  <si>
    <t>C03.04.07.06_36</t>
  </si>
  <si>
    <t>C03.04.07.07_36</t>
  </si>
  <si>
    <t>C03.04.07.08_36</t>
  </si>
  <si>
    <t>C03.04.07.09_36</t>
  </si>
  <si>
    <t>C03.04.07.10_36</t>
  </si>
  <si>
    <t>C03.04.07.11_36</t>
  </si>
  <si>
    <t>C03.04.08_36</t>
  </si>
  <si>
    <t>C03.04.08.01_36</t>
  </si>
  <si>
    <t>C03.04.09_36</t>
  </si>
  <si>
    <t>C03.04.09.01_36</t>
  </si>
  <si>
    <t>C03.04.09.02_36</t>
  </si>
  <si>
    <t>C03.04.09.03_36</t>
  </si>
  <si>
    <t>C03.04.09.04_36</t>
  </si>
  <si>
    <t>C03.04.09.05_36</t>
  </si>
  <si>
    <t>C03.04.10_36</t>
  </si>
  <si>
    <t>C03.04.10.01_36</t>
  </si>
  <si>
    <t>C03.04.10.02_36</t>
  </si>
  <si>
    <t>C03.04.10.03_36</t>
  </si>
  <si>
    <t>C03.04.10.04_36</t>
  </si>
  <si>
    <t>C03.04.10.05_36</t>
  </si>
  <si>
    <t>C03.04.11_36</t>
  </si>
  <si>
    <t>C03.04.11.01_36</t>
  </si>
  <si>
    <t>C03.04.11.02_36</t>
  </si>
  <si>
    <t>C03.04.11.03_36</t>
  </si>
  <si>
    <t>C03.04.11.04_36</t>
  </si>
  <si>
    <t>C03.04.12_36</t>
  </si>
  <si>
    <t>C03.04.12.01_36</t>
  </si>
  <si>
    <t>C03.04.12.02_36</t>
  </si>
  <si>
    <t>C03.04.12.03_36</t>
  </si>
  <si>
    <t>C03.04.12.04_36</t>
  </si>
  <si>
    <t>C03.04.12.05_36</t>
  </si>
  <si>
    <t>C03.04.12.06_36</t>
  </si>
  <si>
    <t>C03.04.12.07_36</t>
  </si>
  <si>
    <t>C03.04.12.08_36</t>
  </si>
  <si>
    <t>C03.04.12.09_36</t>
  </si>
  <si>
    <t>C03.04.12.10_36</t>
  </si>
  <si>
    <t>C03.04.12.11_36</t>
  </si>
  <si>
    <t>C03.04.12.12_36</t>
  </si>
  <si>
    <t>C03.04.12.13_36</t>
  </si>
  <si>
    <t>C03.04.12.14_36</t>
  </si>
  <si>
    <t>C03.04.12.15_36</t>
  </si>
  <si>
    <t>C03.04.12.16_36</t>
  </si>
  <si>
    <t>C03.04.13_36</t>
  </si>
  <si>
    <t>C03.04.13.01_36</t>
  </si>
  <si>
    <t>C03.04.13.02_36</t>
  </si>
  <si>
    <t>C03.04.13.03_36</t>
  </si>
  <si>
    <t>C03.04.13.04_36</t>
  </si>
  <si>
    <t>C03.04.14_36</t>
  </si>
  <si>
    <t>C03.04.14.01_36</t>
  </si>
  <si>
    <t>C03.04.14.01.01_36</t>
  </si>
  <si>
    <t>C03.04.14.01.02_36</t>
  </si>
  <si>
    <t>C03.04.14.01.03_36</t>
  </si>
  <si>
    <t>C03.04.14.01.04_36</t>
  </si>
  <si>
    <t>C03.04.14.01.05_36</t>
  </si>
  <si>
    <t>C03.04.14.01.06_36</t>
  </si>
  <si>
    <t>C03.04.14.01.07_36</t>
  </si>
  <si>
    <t>C03.04.14.01.08_36</t>
  </si>
  <si>
    <t>C03.04.14.02_36</t>
  </si>
  <si>
    <t>C03.04.14.02.01_36</t>
  </si>
  <si>
    <t>C03.04.14.02.02_36</t>
  </si>
  <si>
    <t>C03.04.14.02.03_36</t>
  </si>
  <si>
    <t>C03.04.14.02.04_36</t>
  </si>
  <si>
    <t>C03.04.14.02.05_36</t>
  </si>
  <si>
    <t>C03.04.14.02.06_36</t>
  </si>
  <si>
    <t>C03.04.14.02.07_36</t>
  </si>
  <si>
    <t>C03.04.14.02.08_36</t>
  </si>
  <si>
    <t>C03.04.14.03_36</t>
  </si>
  <si>
    <t>C03.04.14.04_36</t>
  </si>
  <si>
    <t>C03.04.14.05_36</t>
  </si>
  <si>
    <t>C03.04.15_36</t>
  </si>
  <si>
    <t>C03.04.15.01_36</t>
  </si>
  <si>
    <t>C03.04.16_36</t>
  </si>
  <si>
    <t>C03.04.16.01_36</t>
  </si>
  <si>
    <t>C03.04.16.02_36</t>
  </si>
  <si>
    <t>C03.04.16.03_36</t>
  </si>
  <si>
    <t>C03.04.17_36</t>
  </si>
  <si>
    <t>C03.04.17.01_36</t>
  </si>
  <si>
    <t>C03.04.18_36</t>
  </si>
  <si>
    <t>C03.04.18.01_36</t>
  </si>
  <si>
    <t>C03.04.19_36</t>
  </si>
  <si>
    <t>C03.04.19.01_36</t>
  </si>
  <si>
    <t>C03.04.19.02_36</t>
  </si>
  <si>
    <t>C03.04.19.03_36</t>
  </si>
  <si>
    <t>C03.04.19.04_36</t>
  </si>
  <si>
    <t>C03.04.19.05_36</t>
  </si>
  <si>
    <t>C03.04.20_36</t>
  </si>
  <si>
    <t>C03.04.20.01_36</t>
  </si>
  <si>
    <t>C03.04.20.02_36</t>
  </si>
  <si>
    <t>C03.04.20.03_36</t>
  </si>
  <si>
    <t>C03.04.20.04_36</t>
  </si>
  <si>
    <t>C03.04.20.05_36</t>
  </si>
  <si>
    <t>C03.04.20.06_36</t>
  </si>
  <si>
    <t>C03.04.21_36</t>
  </si>
  <si>
    <t>C03.04.21.01_36</t>
  </si>
  <si>
    <t>C03.04.22_36</t>
  </si>
  <si>
    <t>C03.04.22.01_36</t>
  </si>
  <si>
    <t>C03.04.23_36</t>
  </si>
  <si>
    <t>C03.04.23.01_36</t>
  </si>
  <si>
    <t>C03.04.23.02_36</t>
  </si>
  <si>
    <t>C03.04.23.03_36</t>
  </si>
  <si>
    <t>C03.04.24_36</t>
  </si>
  <si>
    <t>C03.04.24.01_36</t>
  </si>
  <si>
    <t>C03.04.25_36</t>
  </si>
  <si>
    <t>C03.04.25.01_36</t>
  </si>
  <si>
    <t>C03.04.26_36</t>
  </si>
  <si>
    <t>C03.04.26.01_36</t>
  </si>
  <si>
    <t>C03.04.26.02_36</t>
  </si>
  <si>
    <t>C03.04.26.03_36</t>
  </si>
  <si>
    <t>C03.04.27_36</t>
  </si>
  <si>
    <t>C03.04.27.01_36</t>
  </si>
  <si>
    <t>C03.04.28_36</t>
  </si>
  <si>
    <t>C03.04.28.01_36</t>
  </si>
  <si>
    <t>C03.04.29_36</t>
  </si>
  <si>
    <t>C03.04.30_36</t>
  </si>
  <si>
    <t>C03.04.31_36</t>
  </si>
  <si>
    <t>C03.04.31.01_36</t>
  </si>
  <si>
    <t>C03.04.31.02_36</t>
  </si>
  <si>
    <t>C03.04.31.03_36</t>
  </si>
  <si>
    <t>C03.04.31.04_36</t>
  </si>
  <si>
    <t>C03.04.32_36</t>
  </si>
  <si>
    <t>C03.04.32.01_36</t>
  </si>
  <si>
    <t>C03.04.33_36</t>
  </si>
  <si>
    <t>C03.04.33.03_36</t>
  </si>
  <si>
    <t>03.04_20012</t>
  </si>
  <si>
    <t xml:space="preserve">      03.04.34土建工程</t>
  </si>
  <si>
    <t>03.04.34_20012</t>
  </si>
  <si>
    <t xml:space="preserve">         03.04.34.01建筑工程</t>
  </si>
  <si>
    <t>03.04.34.01_20012</t>
  </si>
  <si>
    <t xml:space="preserve">            03.04.34.01.01钢筋工程</t>
  </si>
  <si>
    <t>03.04.34.01.01_20012</t>
  </si>
  <si>
    <t xml:space="preserve">               03.04.34.01.01.01地下钢筋主材</t>
  </si>
  <si>
    <t>03.04.34.01.01.01_20012</t>
  </si>
  <si>
    <t xml:space="preserve">               03.04.34.01.01.05除钢筋主材外全部费用</t>
  </si>
  <si>
    <t>03.04.34.01.01.05_20012</t>
  </si>
  <si>
    <t xml:space="preserve">            03.04.34.01.02模板工程</t>
  </si>
  <si>
    <t>03.04.34.01.02_20012</t>
  </si>
  <si>
    <t xml:space="preserve">               03.04.34.01.02.01木模板工程</t>
  </si>
  <si>
    <t>模板含量</t>
  </si>
  <si>
    <t>03.04.34.01.02.01_20012</t>
  </si>
  <si>
    <t xml:space="preserve">            03.04.34.01.03混凝土工程</t>
  </si>
  <si>
    <t>03.04.34.01.03_20012</t>
  </si>
  <si>
    <t xml:space="preserve">               03.04.34.01.03.01地下混凝土供货</t>
  </si>
  <si>
    <t>03.04.34.01.03.01_20012</t>
  </si>
  <si>
    <t xml:space="preserve">               03.04.34.01.03.05除混凝土主材外全部费用</t>
  </si>
  <si>
    <t>03.04.34.01.03.05_20012</t>
  </si>
  <si>
    <t xml:space="preserve">            03.04.34.01.04砌筑工程</t>
  </si>
  <si>
    <t>03.04.34.01.04_20012</t>
  </si>
  <si>
    <t xml:space="preserve">               03.04.34.01.04.01砌块工程</t>
  </si>
  <si>
    <t>03.04.34.01.04.01_20012</t>
  </si>
  <si>
    <t xml:space="preserve">            03.04.34.01.05粗装修工程</t>
  </si>
  <si>
    <t>03.04.34.01.05_20012</t>
  </si>
  <si>
    <t xml:space="preserve">            03.04.34.01.06其他建筑工程</t>
  </si>
  <si>
    <t>03.04.34.01.06_20012</t>
  </si>
  <si>
    <t xml:space="preserve">            03.04.34.01.07开办费</t>
  </si>
  <si>
    <t>03.04.34.01.07_20012</t>
  </si>
  <si>
    <t xml:space="preserve">         03.04.34.02人防工程</t>
  </si>
  <si>
    <t>03.04.34.02_20012</t>
  </si>
  <si>
    <t xml:space="preserve">            03.04.34.02.01人防门工程</t>
  </si>
  <si>
    <t>03.04.34.02.01_20012</t>
  </si>
  <si>
    <t xml:space="preserve">            03.04.34.02.02人防电气工程</t>
  </si>
  <si>
    <t>03.04.34.02.02_20012</t>
  </si>
  <si>
    <t xml:space="preserve">            03.04.34.02.03人防给排水工程</t>
  </si>
  <si>
    <t>03.04.34.02.03_20012</t>
  </si>
  <si>
    <t xml:space="preserve">            03.04.34.02.04人防通风工程及设备</t>
  </si>
  <si>
    <t>03.04.34.02.04_20012</t>
  </si>
  <si>
    <t xml:space="preserve">            03.04.34.02.05人防监测工程</t>
  </si>
  <si>
    <t>03.04.34.02.05_20012</t>
  </si>
  <si>
    <t xml:space="preserve">         03.04.34.03防水工程</t>
  </si>
  <si>
    <t>03.04.34.03_20012</t>
  </si>
  <si>
    <t xml:space="preserve">            03.04.34.03.01底板防水工程</t>
  </si>
  <si>
    <t>03.04.34.03.01_20012</t>
  </si>
  <si>
    <t xml:space="preserve">               03.04.34.03.01.01底板防水供货</t>
  </si>
  <si>
    <t>03.04.34.03.01.01_20012</t>
  </si>
  <si>
    <t xml:space="preserve">               03.04.34.03.01.02底板防水安装</t>
  </si>
  <si>
    <t>03.04.34.03.01.02_20012</t>
  </si>
  <si>
    <t xml:space="preserve">            03.04.34.03.02外墙防水工程</t>
  </si>
  <si>
    <t>03.04.34.03.02_20012</t>
  </si>
  <si>
    <t xml:space="preserve">               03.04.34.03.02.01外墙防水供货</t>
  </si>
  <si>
    <t>03.04.34.03.02.01_20012</t>
  </si>
  <si>
    <t xml:space="preserve">               03.04.34.03.02.02外墙防水安装</t>
  </si>
  <si>
    <t>03.04.34.03.02.02_20012</t>
  </si>
  <si>
    <t xml:space="preserve">            03.04.34.03.04车库顶板防水工程</t>
  </si>
  <si>
    <t>03.04.34.03.04_20012</t>
  </si>
  <si>
    <t xml:space="preserve">               03.04.34.03.04.01车库顶板防水供货</t>
  </si>
  <si>
    <t>03.04.34.03.04.01_20012</t>
  </si>
  <si>
    <t xml:space="preserve">               03.04.34.03.04.02车库顶板防水安装</t>
  </si>
  <si>
    <t>03.04.34.03.04.02_20012</t>
  </si>
  <si>
    <t xml:space="preserve">            03.04.34.03.08其他防水工程</t>
  </si>
  <si>
    <t>03.04.34.03.08_20012</t>
  </si>
  <si>
    <t xml:space="preserve">               03.04.34.03.08.01其他防水供货</t>
  </si>
  <si>
    <t>03.04.34.03.08.01_20012</t>
  </si>
  <si>
    <t xml:space="preserve">               03.04.34.03.08.02其他防水安装</t>
  </si>
  <si>
    <t>03.04.34.03.08.02_20012</t>
  </si>
  <si>
    <t xml:space="preserve">         03.04.34.04防火门工程</t>
  </si>
  <si>
    <t>03.04.34.04_20012</t>
  </si>
  <si>
    <t xml:space="preserve">            03.04.34.04.01防火门工程</t>
  </si>
  <si>
    <t>03.04.34.04.01_20012</t>
  </si>
  <si>
    <t xml:space="preserve">            03.04.34.04.02防火卷帘工程</t>
  </si>
  <si>
    <t>03.04.34.04.02_20012</t>
  </si>
  <si>
    <t xml:space="preserve">            03.04.34.04.03挡烟垂壁</t>
  </si>
  <si>
    <t>防火垂壁含量</t>
  </si>
  <si>
    <t>03.04.34.04.03_20012</t>
  </si>
  <si>
    <t xml:space="preserve">            03.04.34.04.04堆积门</t>
  </si>
  <si>
    <t>堆积门含量</t>
  </si>
  <si>
    <t>03.04.34.04.04_20012</t>
  </si>
  <si>
    <t xml:space="preserve">            03.04.34.04.05其他门工程</t>
  </si>
  <si>
    <t>其他门含量</t>
  </si>
  <si>
    <t>03.04.34.04.05_20012</t>
  </si>
  <si>
    <t xml:space="preserve">      03.04.35钢结构工程</t>
  </si>
  <si>
    <t>03.04.35_20012</t>
  </si>
  <si>
    <t xml:space="preserve">         03.04.35.01主体钢结构工程</t>
  </si>
  <si>
    <t>03.04.35.01_20012</t>
  </si>
  <si>
    <t xml:space="preserve">            03.04.35.01.01地下主体钢结构供货</t>
  </si>
  <si>
    <t>03.04.35.01.01_20012</t>
  </si>
  <si>
    <t xml:space="preserve">            03.04.35.01.05除主体钢结构供货外其他费用</t>
  </si>
  <si>
    <t>03.04.35.01.05_20012</t>
  </si>
  <si>
    <t xml:space="preserve">         03.04.35.02涂料/防火涂料</t>
  </si>
  <si>
    <t>03.04.35.02_20012</t>
  </si>
  <si>
    <t xml:space="preserve">         03.04.35.11其他钢结构工程</t>
  </si>
  <si>
    <t>03.04.35.11_20012</t>
  </si>
  <si>
    <t xml:space="preserve">         03.04.35.12钢结构第三方检测工程</t>
  </si>
  <si>
    <t>03.04.35.12_20012</t>
  </si>
  <si>
    <t xml:space="preserve">         03.04.35.13开办费</t>
  </si>
  <si>
    <t>03.04.35.13_20012</t>
  </si>
  <si>
    <t xml:space="preserve">      03.04.41常规机电工程</t>
  </si>
  <si>
    <t>03.04.41_20012</t>
  </si>
  <si>
    <t xml:space="preserve">         03.04.41.01电气工程</t>
  </si>
  <si>
    <t>03.04.41.01_20012</t>
  </si>
  <si>
    <t xml:space="preserve">            03.04.41.01.01电气安装工程</t>
  </si>
  <si>
    <t>03.04.41.01.01_20012</t>
  </si>
  <si>
    <t xml:space="preserve">            03.04.41.01.02电线电缆供货</t>
  </si>
  <si>
    <t>03.04.41.01.02_20012</t>
  </si>
  <si>
    <t xml:space="preserve">            03.04.41.01.03母线供货</t>
  </si>
  <si>
    <t>03.04.41.01.03_20012</t>
  </si>
  <si>
    <t xml:space="preserve">            03.04.41.01.04配电箱供货</t>
  </si>
  <si>
    <t>03.04.41.01.04_20012</t>
  </si>
  <si>
    <t xml:space="preserve">            03.04.41.01.05柴油发电机供货及安装</t>
  </si>
  <si>
    <t>03.04.41.01.05_20012</t>
  </si>
  <si>
    <t xml:space="preserve">            03.04.41.01.06其他甲供材</t>
  </si>
  <si>
    <t>03.04.41.01.06_20012</t>
  </si>
  <si>
    <t xml:space="preserve">         03.04.41.02给排水工程</t>
  </si>
  <si>
    <t>03.04.41.02_20012</t>
  </si>
  <si>
    <t xml:space="preserve">            03.04.41.02.01给水工程</t>
  </si>
  <si>
    <t>03.04.41.02.01_20012</t>
  </si>
  <si>
    <t xml:space="preserve">            03.04.41.02.02中水工程</t>
  </si>
  <si>
    <t>03.04.41.02.02_20012</t>
  </si>
  <si>
    <t xml:space="preserve">            03.04.41.02.03热水工程</t>
  </si>
  <si>
    <t>03.04.41.02.03_20012</t>
  </si>
  <si>
    <t xml:space="preserve">            03.04.41.02.05排水工程</t>
  </si>
  <si>
    <t>03.04.41.02.05_20012</t>
  </si>
  <si>
    <t xml:space="preserve">            03.04.41.02.06阀门供货</t>
  </si>
  <si>
    <t>03.04.41.02.06_20012</t>
  </si>
  <si>
    <t xml:space="preserve">            03.04.41.02.07水表供货</t>
  </si>
  <si>
    <t>03.04.41.02.07_20012</t>
  </si>
  <si>
    <t xml:space="preserve">            03.04.41.02.08水泵供货</t>
  </si>
  <si>
    <t>03.04.41.02.08_20012</t>
  </si>
  <si>
    <t xml:space="preserve">            03.04.41.02.09管材管件供货</t>
  </si>
  <si>
    <t>03.04.41.02.09_20012</t>
  </si>
  <si>
    <t xml:space="preserve">         03.04.41.03弱电预留预埋工程</t>
  </si>
  <si>
    <t>03.04.41.03_20012</t>
  </si>
  <si>
    <t xml:space="preserve">         03.04.41.04充电桩供货及安装</t>
  </si>
  <si>
    <t>03.04.41.04_20012</t>
  </si>
  <si>
    <t xml:space="preserve">         03.04.41.05抗震支吊架供货及安装</t>
  </si>
  <si>
    <t>03.04.41.05_20012</t>
  </si>
  <si>
    <t xml:space="preserve">         03.04.41.06其他常规机电工程</t>
  </si>
  <si>
    <t>03.04.41.06_20012</t>
  </si>
  <si>
    <t xml:space="preserve">         03.04.41.07开办费</t>
  </si>
  <si>
    <t>03.04.41.07_20012</t>
  </si>
  <si>
    <t xml:space="preserve">      03.04.42暖通空调工程</t>
  </si>
  <si>
    <t>03.04.42_20012</t>
  </si>
  <si>
    <t xml:space="preserve">         03.04.42.01采暖工程</t>
  </si>
  <si>
    <t>采暖覆盖面积占比</t>
  </si>
  <si>
    <t>03.04.42.01_20012</t>
  </si>
  <si>
    <t xml:space="preserve">         03.04.42.02通风工程</t>
  </si>
  <si>
    <t>03.04.42.02_20012</t>
  </si>
  <si>
    <t xml:space="preserve">         03.04.42.03防排烟工程</t>
  </si>
  <si>
    <t>03.04.42.03_20012</t>
  </si>
  <si>
    <t xml:space="preserve">         03.04.42.04空调工程</t>
  </si>
  <si>
    <t>03.04.42.04_20012</t>
  </si>
  <si>
    <t xml:space="preserve">            03.04.42.04.07分体空调供货及安装</t>
  </si>
  <si>
    <t>服务面积占比</t>
  </si>
  <si>
    <t>03.04.42.04.07_20012</t>
  </si>
  <si>
    <t xml:space="preserve">            03.04.42.04.08VRV空调供货及安装</t>
  </si>
  <si>
    <t>03.04.42.04.08_20012</t>
  </si>
  <si>
    <t xml:space="preserve">            03.04.42.04.09其他空调类设备</t>
  </si>
  <si>
    <t>03.04.42.04.09_20012</t>
  </si>
  <si>
    <t xml:space="preserve">         03.04.42.05锅炉房工程</t>
  </si>
  <si>
    <t>03.04.42.05_20012</t>
  </si>
  <si>
    <t xml:space="preserve">         03.04.42.06抗震支吊架</t>
  </si>
  <si>
    <t>03.04.42.06_20012</t>
  </si>
  <si>
    <t xml:space="preserve">         03.04.42.07开办费</t>
  </si>
  <si>
    <t>03.04.42.07_20012</t>
  </si>
  <si>
    <t xml:space="preserve">      03.04.43消防工程</t>
  </si>
  <si>
    <t>03.04.43_20012</t>
  </si>
  <si>
    <t xml:space="preserve">         03.04.43.01消防电工程</t>
  </si>
  <si>
    <t>03.04.43.01_20012</t>
  </si>
  <si>
    <t xml:space="preserve">            03.04.43.01.01消防报警系统工程</t>
  </si>
  <si>
    <t>03.04.43.01.01_20012</t>
  </si>
  <si>
    <t xml:space="preserve">            03.04.43.01.02电线电缆供货</t>
  </si>
  <si>
    <t>03.04.43.01.02_20012</t>
  </si>
  <si>
    <t xml:space="preserve">         03.04.43.02消防水工程</t>
  </si>
  <si>
    <t>03.04.43.02_20012</t>
  </si>
  <si>
    <t xml:space="preserve">            03.04.43.02.01消防喷淋系统工程</t>
  </si>
  <si>
    <t>03.04.43.02.01_20012</t>
  </si>
  <si>
    <t xml:space="preserve">            03.04.43.02.02消火栓系统工程</t>
  </si>
  <si>
    <t>03.04.43.02.02_20012</t>
  </si>
  <si>
    <t xml:space="preserve">            03.04.43.02.03阀门供货</t>
  </si>
  <si>
    <t>03.04.43.02.03_20012</t>
  </si>
  <si>
    <t xml:space="preserve">            03.04.43.02.04消防泵供货</t>
  </si>
  <si>
    <t>03.04.43.02.04_20012</t>
  </si>
  <si>
    <t xml:space="preserve">         03.04.43.03气体（泡沫）灭火系统工程</t>
  </si>
  <si>
    <t>03.04.43.03_20012</t>
  </si>
  <si>
    <t xml:space="preserve">         03.04.43.04抗震支吊架供货及安装</t>
  </si>
  <si>
    <t>03.04.43.04_20012</t>
  </si>
  <si>
    <t xml:space="preserve">         03.04.43.05其他消防工程</t>
  </si>
  <si>
    <t>03.04.43.05_20012</t>
  </si>
  <si>
    <t xml:space="preserve">         03.04.43.06开办费</t>
  </si>
  <si>
    <t>03.04.43.06_20012</t>
  </si>
  <si>
    <t xml:space="preserve">      03.04.44智能化工程</t>
  </si>
  <si>
    <t>03.04.44_20012</t>
  </si>
  <si>
    <t xml:space="preserve">         03.04.44.01停车场系统</t>
  </si>
  <si>
    <t>03.04.44.01_20012</t>
  </si>
  <si>
    <t xml:space="preserve">            03.04.44.01.01停车场管理系统</t>
  </si>
  <si>
    <t>套/个</t>
  </si>
  <si>
    <t>03.04.44.01.01_20012</t>
  </si>
  <si>
    <t xml:space="preserve">            03.04.44.01.02车位引导和反询系统</t>
  </si>
  <si>
    <t>03.04.44.01.02_20012</t>
  </si>
  <si>
    <t xml:space="preserve">         03.04.44.22其他智能化系统</t>
  </si>
  <si>
    <t>03.04.44.22_20012</t>
  </si>
  <si>
    <t xml:space="preserve">      03.04.45地坪处理工程</t>
  </si>
  <si>
    <t>03.04.45_20012</t>
  </si>
  <si>
    <t xml:space="preserve">         03.04.45.01地坪处理工程</t>
  </si>
  <si>
    <t>03.04.45.01_20012</t>
  </si>
  <si>
    <t xml:space="preserve">      03.04.47室内标识工程</t>
  </si>
  <si>
    <t>03.04.47_20012</t>
  </si>
  <si>
    <t xml:space="preserve">         03.04.47.01室内标识工程</t>
  </si>
  <si>
    <t>03.04.47.01_20012</t>
  </si>
  <si>
    <t xml:space="preserve">      03.04.48其他专项工程</t>
  </si>
  <si>
    <t>03.04.48_20012</t>
  </si>
  <si>
    <t>03.04.48.01机械停车工程</t>
  </si>
  <si>
    <t>车位数含量</t>
  </si>
  <si>
    <t>个/㎡</t>
  </si>
  <si>
    <t>03.04.48.01_20012</t>
  </si>
  <si>
    <t>03.04.48.15其他工程</t>
  </si>
  <si>
    <t>03.04.48.15_20012</t>
  </si>
  <si>
    <t>C03.04_$pcodes01$</t>
  </si>
  <si>
    <t>03.04.34_$pcodes01$</t>
  </si>
  <si>
    <t>03.04.34.01_$pcodes01$</t>
  </si>
  <si>
    <t>03.04.34.01.01_$pcodes01$</t>
  </si>
  <si>
    <t xml:space="preserve">               03.04.34.01.01.02地下钢筋主材</t>
  </si>
  <si>
    <t>地下建筑面积 （业态）</t>
  </si>
  <si>
    <t>03.04.34.01.01.02_$pcodes01$</t>
  </si>
  <si>
    <t xml:space="preserve">               03.04.34.01.01.03地上钢筋主材</t>
  </si>
  <si>
    <t>地上建筑面积 （业态）</t>
  </si>
  <si>
    <t>03.04.34.01.01.03_$pcodes01$</t>
  </si>
  <si>
    <t>03.04.34.01.01.05_$pcodes01$</t>
  </si>
  <si>
    <t>03.04.34.01.02_$pcodes01$</t>
  </si>
  <si>
    <t>03.04.34.01.02.01_$pcodes01$</t>
  </si>
  <si>
    <t xml:space="preserve">               03.04.34.01.02.02铝模板供货</t>
  </si>
  <si>
    <t>03.04.34.01.02.02_$pcodes01$</t>
  </si>
  <si>
    <t xml:space="preserve">               03.04.34.01.02.03铝模板施工</t>
  </si>
  <si>
    <t>03.04.34.01.02.03_$pcodes01$</t>
  </si>
  <si>
    <t xml:space="preserve">               03.04.34.01.02.04爬模板工程</t>
  </si>
  <si>
    <t>03.04.34.01.02.04_$pcodes01$</t>
  </si>
  <si>
    <t>03.04.34.01.03_$pcodes01$</t>
  </si>
  <si>
    <t xml:space="preserve">               03.04.34.01.03.02地下混凝土供货</t>
  </si>
  <si>
    <t>03.04.34.01.03.02_$pcodes01$</t>
  </si>
  <si>
    <t xml:space="preserve">               03.04.34.01.03.03地上混凝土供货</t>
  </si>
  <si>
    <t>03.04.34.01.03.03_$pcodes01$</t>
  </si>
  <si>
    <t>03.04.34.01.03.05_$pcodes01$</t>
  </si>
  <si>
    <t xml:space="preserve">               03.04.34.01.03.06预制构件供货</t>
  </si>
  <si>
    <t>03.04.34.01.03.06_$pcodes01$</t>
  </si>
  <si>
    <t xml:space="preserve">               03.04.34.01.03.07预制构件施工</t>
  </si>
  <si>
    <t>03.04.34.01.03.07_$pcodes01$</t>
  </si>
  <si>
    <t>03.04.34.01.04_$pcodes01$</t>
  </si>
  <si>
    <t>03.04.34.01.04.01_$pcodes01$</t>
  </si>
  <si>
    <t xml:space="preserve">               03.04.34.01.04.02预制条板墙工程</t>
  </si>
  <si>
    <t>03.04.34.01.04.02_$pcodes01$</t>
  </si>
  <si>
    <t xml:space="preserve">               03.04.34.01.04.04轻质隔墙工程</t>
  </si>
  <si>
    <t>03.04.34.01.04.04_$pcodes01$</t>
  </si>
  <si>
    <t>03.04.34.01.05_$pcodes01$</t>
  </si>
  <si>
    <t>03.04.34.01.06_$pcodes01$</t>
  </si>
  <si>
    <t>03.04.34.01.07_$pcodes01$</t>
  </si>
  <si>
    <t>03.04.34.03_$pcodes01$</t>
  </si>
  <si>
    <t>03.04.34.03.01_$pcodes01$</t>
  </si>
  <si>
    <t xml:space="preserve">               03.04.34.03.01.03底板防水供货</t>
  </si>
  <si>
    <t>03.04.34.03.01.03_$pcodes01$</t>
  </si>
  <si>
    <t xml:space="preserve">               03.04.34.03.01.04底板防水安装</t>
  </si>
  <si>
    <t>03.04.34.03.01.04_$pcodes01$</t>
  </si>
  <si>
    <t>03.04.34.03.02_$pcodes01$</t>
  </si>
  <si>
    <t xml:space="preserve">               03.04.34.03.02.03外墙防水供货</t>
  </si>
  <si>
    <t>03.04.34.03.02.03_$pcodes01$</t>
  </si>
  <si>
    <t xml:space="preserve">               03.04.34.03.02.04外墙防水安装</t>
  </si>
  <si>
    <t>03.04.34.03.02.04_$pcodes01$</t>
  </si>
  <si>
    <t xml:space="preserve">            03.04.34.03.03屋顶防水工程</t>
  </si>
  <si>
    <t>03.04.34.03.03_$pcodes01$</t>
  </si>
  <si>
    <t xml:space="preserve">               03.04.34.03.03.01屋顶防水供货</t>
  </si>
  <si>
    <t>03.04.34.03.03.01_$pcodes01$</t>
  </si>
  <si>
    <t xml:space="preserve">               03.04.34.03.03.02屋顶防水安装</t>
  </si>
  <si>
    <t>03.04.34.03.03.02_$pcodes01$</t>
  </si>
  <si>
    <t xml:space="preserve">            03.04.34.03.05卫生间防水工程</t>
  </si>
  <si>
    <t>03.04.34.03.05_$pcodes01$</t>
  </si>
  <si>
    <t xml:space="preserve">               03.04.34.03.05.01卫生间防水供货</t>
  </si>
  <si>
    <t>03.04.34.03.05.01_$pcodes01$</t>
  </si>
  <si>
    <t xml:space="preserve">               03.04.34.03.05.02卫生间防水安装</t>
  </si>
  <si>
    <t>03.04.34.03.05.02_$pcodes01$</t>
  </si>
  <si>
    <t xml:space="preserve">            03.04.34.03.06阳台防水工程</t>
  </si>
  <si>
    <t>03.04.34.03.06_$pcodes01$</t>
  </si>
  <si>
    <t xml:space="preserve">               03.04.34.03.06.01阳台防水供货</t>
  </si>
  <si>
    <t>03.04.34.03.06.01_$pcodes01$</t>
  </si>
  <si>
    <t xml:space="preserve">               03.04.34.03.06.02阳台防水安装</t>
  </si>
  <si>
    <t>03.04.34.03.06.02_$pcodes01$</t>
  </si>
  <si>
    <t xml:space="preserve">            03.04.34.03.07厨房防水工程</t>
  </si>
  <si>
    <t>03.04.34.03.07_$pcodes01$</t>
  </si>
  <si>
    <t xml:space="preserve">               03.04.34.03.07.01厨房防水供货</t>
  </si>
  <si>
    <t>03.04.34.03.07.01_$pcodes01$</t>
  </si>
  <si>
    <t xml:space="preserve">               03.04.34.03.07.02厨房防水安装</t>
  </si>
  <si>
    <t>03.04.34.03.07.02_$pcodes01$</t>
  </si>
  <si>
    <t>03.04.34.03.08_$pcodes01$</t>
  </si>
  <si>
    <t>03.04.34.03.08.01_$pcodes01$</t>
  </si>
  <si>
    <t>03.04.34.03.08.02_$pcodes01$</t>
  </si>
  <si>
    <t>03.04.34.04_$pcodes01$</t>
  </si>
  <si>
    <t>03.04.34.04.01_$pcodes01$</t>
  </si>
  <si>
    <t>03.04.34.04.02_$pcodes01$</t>
  </si>
  <si>
    <t>03.04.34.04.03_$pcodes01$</t>
  </si>
  <si>
    <t>03.04.35_$pcodes01$</t>
  </si>
  <si>
    <t>03.04.35.01_$pcodes01$</t>
  </si>
  <si>
    <t xml:space="preserve">            03.04.35.01.02地下主体钢结构供货</t>
  </si>
  <si>
    <t>03.04.35.01.02_$pcodes01$</t>
  </si>
  <si>
    <t xml:space="preserve">            03.04.35.01.03地上主体钢结构供货</t>
  </si>
  <si>
    <t>03.04.35.01.03_$pcodes01$</t>
  </si>
  <si>
    <t>03.04.35.01.05_$pcodes01$</t>
  </si>
  <si>
    <t>03.04.35.02_$pcodes01$</t>
  </si>
  <si>
    <t xml:space="preserve">         03.04.35.03楼承板</t>
  </si>
  <si>
    <t>楼承板含量</t>
  </si>
  <si>
    <t>03.04.35.03_$pcodes01$</t>
  </si>
  <si>
    <t xml:space="preserve">         03.04.35.04塔冠钢结构</t>
  </si>
  <si>
    <t>03.04.35.04_$pcodes01$</t>
  </si>
  <si>
    <t xml:space="preserve">         03.04.35.05钢连廊/连桥/雨棚</t>
  </si>
  <si>
    <t>03.04.35.05_$pcodes01$</t>
  </si>
  <si>
    <t xml:space="preserve">         03.04.35.06抗震阻尼设备设施费用</t>
  </si>
  <si>
    <t>03.04.35.06_$pcodes01$</t>
  </si>
  <si>
    <t>03.04.35.11_$pcodes01$</t>
  </si>
  <si>
    <t>03.04.35.12_$pcodes01$</t>
  </si>
  <si>
    <t>03.04.35.13_$pcodes01$</t>
  </si>
  <si>
    <t xml:space="preserve">      03.04.36外立面工程</t>
  </si>
  <si>
    <t>03.04.36_$pcodes01$</t>
  </si>
  <si>
    <t xml:space="preserve">         03.04.36.01幕墙工程</t>
  </si>
  <si>
    <t>03.04.36.01_$pcodes01$</t>
  </si>
  <si>
    <t xml:space="preserve">            03.04.36.01.01外墙石材幕墙工程</t>
  </si>
  <si>
    <t>03.04.36.01.01_$pcodes01$</t>
  </si>
  <si>
    <t xml:space="preserve">               03.04.36.01.01.01外墙石材幕墙供货</t>
  </si>
  <si>
    <t>石材幕墙墙积比</t>
  </si>
  <si>
    <t>03.04.36.01.01.01_$pcodes01$</t>
  </si>
  <si>
    <t xml:space="preserve">               03.04.36.01.01.02外墙石材幕墙安装</t>
  </si>
  <si>
    <t>03.04.36.01.01.02_$pcodes01$</t>
  </si>
  <si>
    <t xml:space="preserve">            03.04.36.01.02外墙玻璃幕墙工程</t>
  </si>
  <si>
    <t>玻璃幕墙墙积比</t>
  </si>
  <si>
    <t>03.04.36.01.02_$pcodes01$</t>
  </si>
  <si>
    <t xml:space="preserve">            03.04.36.01.04外墙金属板幕墙工程</t>
  </si>
  <si>
    <t>金属板幕墙墙积比</t>
  </si>
  <si>
    <t>03.04.36.01.04_$pcodes01$</t>
  </si>
  <si>
    <t xml:space="preserve">            03.04.36.01.06下沉广场幕墙</t>
  </si>
  <si>
    <t>03.04.36.01.06_$pcodes01$</t>
  </si>
  <si>
    <t xml:space="preserve">            03.04.36.01.08外墙涂料工程</t>
  </si>
  <si>
    <t>03.04.36.01.08_$pcodes01$</t>
  </si>
  <si>
    <t xml:space="preserve">               03.04.36.01.08.01外墙涂料供货</t>
  </si>
  <si>
    <t>涂料墙积比</t>
  </si>
  <si>
    <t>03.04.36.01.08.01_$pcodes01$</t>
  </si>
  <si>
    <t xml:space="preserve">               03.04.36.01.08.02外墙涂料施工</t>
  </si>
  <si>
    <t>03.04.36.01.08.02_$pcodes01$</t>
  </si>
  <si>
    <t xml:space="preserve">            03.04.36.01.09室外吊顶装饰</t>
  </si>
  <si>
    <t>室外吊顶面积占比</t>
  </si>
  <si>
    <t>03.04.36.01.09_$pcodes01$</t>
  </si>
  <si>
    <t xml:space="preserve">            03.04.36.01.11采光顶装饰工程</t>
  </si>
  <si>
    <t>采光顶面积占比</t>
  </si>
  <si>
    <t>03.04.36.01.11_$pcodes01$</t>
  </si>
  <si>
    <t xml:space="preserve">            03.04.36.01.12雨棚</t>
  </si>
  <si>
    <t>雨棚面积占比</t>
  </si>
  <si>
    <t>03.04.36.01.12_$pcodes01$</t>
  </si>
  <si>
    <t xml:space="preserve">            03.04.36.01.14其他外墙装饰</t>
  </si>
  <si>
    <t>其他外墙装饰墙积比</t>
  </si>
  <si>
    <t>03.04.36.01.14_$pcodes01$</t>
  </si>
  <si>
    <t xml:space="preserve">            03.04.36.01.16开办费</t>
  </si>
  <si>
    <t>03.04.36.01.16_$pcodes01$</t>
  </si>
  <si>
    <t xml:space="preserve">         03.04.36.02外立面门窗工程</t>
  </si>
  <si>
    <t>03.04.36.02_$pcodes01$</t>
  </si>
  <si>
    <t xml:space="preserve">            03.04.36.02.01外立面普通门窗工程</t>
  </si>
  <si>
    <t>外立面门窗窗积比</t>
  </si>
  <si>
    <t>03.04.36.02.01_$pcodes01$</t>
  </si>
  <si>
    <t xml:space="preserve">            03.04.36.02.02其他外立面门窗工程</t>
  </si>
  <si>
    <t>建筑面积（写字楼）</t>
  </si>
  <si>
    <t>03.04.36.02.02_$pcodes01$</t>
  </si>
  <si>
    <t xml:space="preserve">         03.04.36.03外墙保温工程</t>
  </si>
  <si>
    <t>03.04.36.03_$pcodes01$</t>
  </si>
  <si>
    <t xml:space="preserve">            03.04.36.03.01外墙保温</t>
  </si>
  <si>
    <t>外保温墙积比</t>
  </si>
  <si>
    <t>03.04.36.03.01_$pcodes01$</t>
  </si>
  <si>
    <t xml:space="preserve">      03.04.37精装修工程</t>
  </si>
  <si>
    <t>03.04.37_$pcodes01$</t>
  </si>
  <si>
    <t xml:space="preserve">         03.04.37.01公共区域装饰工程</t>
  </si>
  <si>
    <t>03.04.37.01_$pcodes01$</t>
  </si>
  <si>
    <t xml:space="preserve">            03.04.37.01.01普通公共区域装饰工程</t>
  </si>
  <si>
    <t>03.04.37.01.01_$pcodes01$</t>
  </si>
  <si>
    <t xml:space="preserve">               03.04.37.01.01.01普通公共区域装饰工程施工</t>
  </si>
  <si>
    <t>03.04.37.01.01.01_$pcodes01$</t>
  </si>
  <si>
    <t xml:space="preserve">               03.04.37.01.01.02普通公共区域装饰工程甲供材</t>
  </si>
  <si>
    <t>03.04.37.01.01.02_$pcodes01$</t>
  </si>
  <si>
    <t xml:space="preserve">               03.04.37.01.01.03普通公共区域装饰软装工程</t>
  </si>
  <si>
    <t>03.04.37.01.01.03_$pcodes01$</t>
  </si>
  <si>
    <t xml:space="preserve">            03.04.37.01.02室内精神堡垒</t>
  </si>
  <si>
    <t>精神堡垒含量</t>
  </si>
  <si>
    <t>03.04.37.01.02_$pcodes01$</t>
  </si>
  <si>
    <t xml:space="preserve">            03.04.37.01.03其他大堂装饰工程</t>
  </si>
  <si>
    <t>03.04.37.01.03_$pcodes01$</t>
  </si>
  <si>
    <t xml:space="preserve">         03.04.37.02扶梯、自动坡道装饰工程</t>
  </si>
  <si>
    <t>扶梯、自动坡道装饰总数</t>
  </si>
  <si>
    <t>03.04.37.02_$pcodes01$</t>
  </si>
  <si>
    <t xml:space="preserve">         03.04.37.03卫生间、饮水间装饰</t>
  </si>
  <si>
    <t>03.04.37.03_$pcodes01$</t>
  </si>
  <si>
    <t xml:space="preserve">            03.04.37.03.01卫生间、饮水间装饰施工</t>
  </si>
  <si>
    <t>03.04.37.03.01_$pcodes01$</t>
  </si>
  <si>
    <t xml:space="preserve">            03.04.37.03.02卫生间、饮水间装饰甲供材</t>
  </si>
  <si>
    <t>03.04.37.03.02_$pcodes01$</t>
  </si>
  <si>
    <t xml:space="preserve">            03.04.37.03.03卫生间、饮水间装饰软装工程</t>
  </si>
  <si>
    <t>03.04.37.03.03_$pcodes01$</t>
  </si>
  <si>
    <t xml:space="preserve">         03.04.37.04商铺标准铺面</t>
  </si>
  <si>
    <t>03.04.37.04_$pcodes01$</t>
  </si>
  <si>
    <t xml:space="preserve">         03.04.37.24后勤区域装饰工程</t>
  </si>
  <si>
    <t>03.04.37.24_$pcodes01$</t>
  </si>
  <si>
    <t xml:space="preserve">            03.04.37.24.01后勤区域装饰工程施工</t>
  </si>
  <si>
    <t>后勤区域面积</t>
  </si>
  <si>
    <t>后勤区域装饰</t>
  </si>
  <si>
    <t>03.04.37.24.01_$pcodes01$</t>
  </si>
  <si>
    <t xml:space="preserve">            03.04.37.24.02后勤区域装饰工程甲供材</t>
  </si>
  <si>
    <t>03.04.37.24.02_$pcodes01$</t>
  </si>
  <si>
    <t xml:space="preserve">         03.04.37.25电梯轿厢二次装饰工程</t>
  </si>
  <si>
    <t>直梯轿厢二次装饰数量</t>
  </si>
  <si>
    <t>03.04.37.25_$pcodes01$</t>
  </si>
  <si>
    <t xml:space="preserve">         03.04.37.26窗帘系统工程（如有）</t>
  </si>
  <si>
    <t>外遮阳面积含量</t>
  </si>
  <si>
    <t>03.04.37.26_$pcodes01$</t>
  </si>
  <si>
    <t xml:space="preserve">         03.04.37.27其他公共部位装饰工程</t>
  </si>
  <si>
    <t>03.04.37.27_$pcodes01$</t>
  </si>
  <si>
    <t xml:space="preserve">         03.04.37.28开办费</t>
  </si>
  <si>
    <t>03.04.37.28_$pcodes01$</t>
  </si>
  <si>
    <t xml:space="preserve">      03.04.38门类工程</t>
  </si>
  <si>
    <t>03.04.38_$pcodes01$</t>
  </si>
  <si>
    <t xml:space="preserve">      03.04.38.01入户门及门锁工程</t>
  </si>
  <si>
    <t>03.04.38.01_$pcodes01$</t>
  </si>
  <si>
    <t xml:space="preserve">         03.04.38.01.01入户门工程</t>
  </si>
  <si>
    <t>03.04.38.01.01_$pcodes01$</t>
  </si>
  <si>
    <t xml:space="preserve">           03.04.38.01.01.01入户门供货</t>
  </si>
  <si>
    <t>入户门含量</t>
  </si>
  <si>
    <t>樘/㎡</t>
  </si>
  <si>
    <t>03.04.38.01.01.01_$pcodes01$</t>
  </si>
  <si>
    <t xml:space="preserve">           03.04.38.01.01.02入户门安装</t>
  </si>
  <si>
    <t>03.04.38.01.01.02_$pcodes01$</t>
  </si>
  <si>
    <t xml:space="preserve">         03.04.38.01.02入户门锁工程</t>
  </si>
  <si>
    <t>03.04.38.01.02_$pcodes01$</t>
  </si>
  <si>
    <t xml:space="preserve">           03.04.38.01.02.01入户门锁供货</t>
  </si>
  <si>
    <t>入户门锁含量</t>
  </si>
  <si>
    <t>套/㎡</t>
  </si>
  <si>
    <t>03.04.38.01.02.01_$pcodes01$</t>
  </si>
  <si>
    <t xml:space="preserve">           03.04.38.01.02.02入户门锁安装</t>
  </si>
  <si>
    <t>03.04.38.01.02.02_$pcodes01$</t>
  </si>
  <si>
    <t xml:space="preserve">         03.04.38.01.03其他入户门工程</t>
  </si>
  <si>
    <t>03.04.38.01.03_$pcodes01$</t>
  </si>
  <si>
    <t xml:space="preserve">      03.04.38.02大堂门工程</t>
  </si>
  <si>
    <t>03.04.38.02_$pcodes01$</t>
  </si>
  <si>
    <t xml:space="preserve">         03.04.38.02.01旋转门</t>
  </si>
  <si>
    <t>旋转门含量</t>
  </si>
  <si>
    <t>03.04.38.02.01_$pcodes01$</t>
  </si>
  <si>
    <t xml:space="preserve">         03.04.38.02.02地弹门</t>
  </si>
  <si>
    <t>地弹门含量</t>
  </si>
  <si>
    <t>03.04.38.02.02_$pcodes01$</t>
  </si>
  <si>
    <t xml:space="preserve">         03.04.38.02.03平开门</t>
  </si>
  <si>
    <t>平开门含量</t>
  </si>
  <si>
    <t>03.04.38.02.03_$pcodes01$</t>
  </si>
  <si>
    <t xml:space="preserve">      03.04.39栏杆工程</t>
  </si>
  <si>
    <t>03.04.39_$pcodes01$</t>
  </si>
  <si>
    <t xml:space="preserve">         03.04.39.01室外平台栏杆</t>
  </si>
  <si>
    <t>03.04.39.01_$pcodes01$</t>
  </si>
  <si>
    <t xml:space="preserve">         03.04.39.02屋顶栏杆</t>
  </si>
  <si>
    <t>03.04.39.02_$pcodes01$</t>
  </si>
  <si>
    <t xml:space="preserve">         03.04.39.03其他栏杆</t>
  </si>
  <si>
    <t>03.04.39.03_$pcodes01$</t>
  </si>
  <si>
    <t xml:space="preserve">      03.04.40电梯工程</t>
  </si>
  <si>
    <t>03.04.40_$pcodes01$</t>
  </si>
  <si>
    <t xml:space="preserve">         03.04.40.01直梯供货</t>
  </si>
  <si>
    <t>03.04.40.01_$pcodes01$</t>
  </si>
  <si>
    <t xml:space="preserve">         03.04.40.02直梯安装</t>
  </si>
  <si>
    <t>03.04.40.02_$pcodes01$</t>
  </si>
  <si>
    <t xml:space="preserve">         03.04.40.03扶梯供货</t>
  </si>
  <si>
    <t>03.04.40.03_$pcodes01$</t>
  </si>
  <si>
    <t xml:space="preserve">         03.04.40.04扶梯安装</t>
  </si>
  <si>
    <t>03.04.40.04_$pcodes01$</t>
  </si>
  <si>
    <t xml:space="preserve">         03.04.40.05自动坡道供货</t>
  </si>
  <si>
    <t>03.04.40.05_$pcodes01$</t>
  </si>
  <si>
    <t xml:space="preserve">         03.04.40.06自动坡道安装</t>
  </si>
  <si>
    <t>03.04.40.06_$pcodes01$</t>
  </si>
  <si>
    <t>03.04.41_$pcodes01$</t>
  </si>
  <si>
    <t>03.04.41.01_$pcodes01$</t>
  </si>
  <si>
    <t>03.04.41.01.01_$pcodes01$</t>
  </si>
  <si>
    <t>03.04.41.01.02_$pcodes01$</t>
  </si>
  <si>
    <t>03.04.41.01.03_$pcodes01$</t>
  </si>
  <si>
    <t>03.04.41.01.04_$pcodes01$</t>
  </si>
  <si>
    <t>03.04.41.01.05_$pcodes01$</t>
  </si>
  <si>
    <t>03.04.41.01.06_$pcodes01$</t>
  </si>
  <si>
    <t>03.04.41.02_$pcodes01$</t>
  </si>
  <si>
    <t>03.04.41.02.01_$pcodes01$</t>
  </si>
  <si>
    <t>03.04.41.02.02_$pcodes01$</t>
  </si>
  <si>
    <t>03.04.41.02.03_$pcodes01$</t>
  </si>
  <si>
    <t xml:space="preserve">            03.04.41.02.04直饮水工程</t>
  </si>
  <si>
    <t>03.04.41.02.04_$pcodes01$</t>
  </si>
  <si>
    <t>03.04.41.02.05_$pcodes01$</t>
  </si>
  <si>
    <t>03.04.41.02.06_$pcodes01$</t>
  </si>
  <si>
    <t>03.04.41.02.07_$pcodes01$</t>
  </si>
  <si>
    <t>03.04.41.02.08_$pcodes01$</t>
  </si>
  <si>
    <t>03.04.41.02.09_$pcodes01$</t>
  </si>
  <si>
    <t>03.04.41.03_$pcodes01$</t>
  </si>
  <si>
    <t>03.04.41.05_$pcodes01$</t>
  </si>
  <si>
    <t>03.04.41.06_$pcodes01$</t>
  </si>
  <si>
    <t>03.04.41.07_$pcodes01$</t>
  </si>
  <si>
    <t>03.04.42_$pcodes01$</t>
  </si>
  <si>
    <t>03.04.42.01_$pcodes01$</t>
  </si>
  <si>
    <t>03.04.42.02_$pcodes01$</t>
  </si>
  <si>
    <t>03.04.42.03_$pcodes01$</t>
  </si>
  <si>
    <t>03.04.42.04_$pcodes01$</t>
  </si>
  <si>
    <t xml:space="preserve">            03.04.42.04.01空调安装工程</t>
  </si>
  <si>
    <t>03.04.42.04.01_$pcodes01$</t>
  </si>
  <si>
    <t xml:space="preserve">            03.04.42.04.02阀门供货</t>
  </si>
  <si>
    <t>03.04.42.04.02_$pcodes01$</t>
  </si>
  <si>
    <t xml:space="preserve">            03.04.42.04.03空调泵供货</t>
  </si>
  <si>
    <t>03.04.42.04.03_$pcodes01$</t>
  </si>
  <si>
    <t xml:space="preserve">            03.04.42.04.04冷水机组供货</t>
  </si>
  <si>
    <t>03.04.42.04.04_$pcodes01$</t>
  </si>
  <si>
    <t xml:space="preserve">            03.04.42.04.05冷却塔供货</t>
  </si>
  <si>
    <t>03.04.42.04.05_$pcodes01$</t>
  </si>
  <si>
    <t xml:space="preserve">            03.04.42.04.06中央空调末端供货</t>
  </si>
  <si>
    <t>03.04.42.04.06_$pcodes01$</t>
  </si>
  <si>
    <t>03.04.42.04.07_$pcodes01$</t>
  </si>
  <si>
    <t>03.04.42.04.08_$pcodes01$</t>
  </si>
  <si>
    <t>03.04.42.04.09_$pcodes01$</t>
  </si>
  <si>
    <t>03.04.42.05_$pcodes01$</t>
  </si>
  <si>
    <t>03.04.42.06_$pcodes01$</t>
  </si>
  <si>
    <t>03.04.42.07_$pcodes01$</t>
  </si>
  <si>
    <t>03.04.43_$pcodes01$</t>
  </si>
  <si>
    <t>03.04.43.01_$pcodes01$</t>
  </si>
  <si>
    <t>03.04.43.01.01_$pcodes01$</t>
  </si>
  <si>
    <t>03.04.43.01.02_$pcodes01$</t>
  </si>
  <si>
    <t>03.04.43.02_$pcodes01$</t>
  </si>
  <si>
    <t>03.04.43.02.01_$pcodes01$</t>
  </si>
  <si>
    <t>03.04.43.02.02_$pcodes01$</t>
  </si>
  <si>
    <t>03.04.43.02.03_$pcodes01$</t>
  </si>
  <si>
    <t>03.04.43.02.04_$pcodes01$</t>
  </si>
  <si>
    <t>03.04.43.03_$pcodes01$</t>
  </si>
  <si>
    <t>03.04.43.04_$pcodes01$</t>
  </si>
  <si>
    <t>03.04.43.05_$pcodes01$</t>
  </si>
  <si>
    <t>03.04.43.06_$pcodes01$</t>
  </si>
  <si>
    <t>03.04.44_$pcodes01$</t>
  </si>
  <si>
    <t xml:space="preserve">         03.04.44.02综合布线</t>
  </si>
  <si>
    <t>03.04.44.02_$pcodes01$</t>
  </si>
  <si>
    <t xml:space="preserve">            03.04.44.02.01计算机网络系统</t>
  </si>
  <si>
    <t>03.04.44.02.01_$pcodes01$</t>
  </si>
  <si>
    <t xml:space="preserve">            03.04.44.02.02信息网络系统</t>
  </si>
  <si>
    <t>03.04.44.02.02_$pcodes01$</t>
  </si>
  <si>
    <t xml:space="preserve">         03.04.44.03建筑设备管理</t>
  </si>
  <si>
    <t>03.04.44.03_$pcodes01$</t>
  </si>
  <si>
    <t xml:space="preserve">            03.04.44.03.01楼宇设备管理系统BAS</t>
  </si>
  <si>
    <t>03.04.44.03.01_$pcodes01$</t>
  </si>
  <si>
    <t xml:space="preserve">            03.04.44.03.02能耗管理系统</t>
  </si>
  <si>
    <t>03.04.44.03.02_$pcodes01$</t>
  </si>
  <si>
    <t xml:space="preserve">            03.04.44.03.03智能照明系统</t>
  </si>
  <si>
    <t>03.04.44.03.03_$pcodes01$</t>
  </si>
  <si>
    <t xml:space="preserve">            03.04.44.03.04智能化集成系统IBMS</t>
  </si>
  <si>
    <t>03.04.44.03.04_$pcodes01$</t>
  </si>
  <si>
    <t xml:space="preserve">         03.04.44.04公共安防系统</t>
  </si>
  <si>
    <t>03.04.44.04_$pcodes01$</t>
  </si>
  <si>
    <t xml:space="preserve">            03.04.44.04.01视频监控系统</t>
  </si>
  <si>
    <t>03.04.44.04.01_$pcodes01$</t>
  </si>
  <si>
    <t xml:space="preserve">            03.04.44.04.02入侵报警系统</t>
  </si>
  <si>
    <t>03.04.44.04.02_$pcodes01$</t>
  </si>
  <si>
    <t xml:space="preserve">            03.04.44.04.03门禁管理系统</t>
  </si>
  <si>
    <t>03.04.44.04.03_$pcodes01$</t>
  </si>
  <si>
    <t xml:space="preserve">            03.04.44.04.04电子巡更系统</t>
  </si>
  <si>
    <t>03.04.44.04.04_$pcodes01$</t>
  </si>
  <si>
    <t xml:space="preserve">            03.04.44.04.05无线对讲系统</t>
  </si>
  <si>
    <t>03.04.44.04.05_$pcodes01$</t>
  </si>
  <si>
    <t xml:space="preserve">            03.04.44.04.06电梯五方对讲</t>
  </si>
  <si>
    <t>03.04.44.04.06_$pcodes01$</t>
  </si>
  <si>
    <t xml:space="preserve">         03.04.44.05信息引导及发布系统</t>
  </si>
  <si>
    <t>03.04.44.05_$pcodes01$</t>
  </si>
  <si>
    <t xml:space="preserve">         03.04.44.06LED显示屏幕</t>
  </si>
  <si>
    <t>03.04.44.06_$pcodes01$</t>
  </si>
  <si>
    <t xml:space="preserve">            03.04.44.06.01室内LED显示屏幕</t>
  </si>
  <si>
    <t>显示屏幕含量</t>
  </si>
  <si>
    <t>03.04.44.06.01_$pcodes01$</t>
  </si>
  <si>
    <t xml:space="preserve">            03.04.44.06.02室外LED显示屏幕</t>
  </si>
  <si>
    <t>03.04.44.06.02_$pcodes01$</t>
  </si>
  <si>
    <t xml:space="preserve">         03.04.44.07背景音乐及紧急广播系统</t>
  </si>
  <si>
    <t>03.04.44.07_$pcodes01$</t>
  </si>
  <si>
    <t xml:space="preserve">         03.04.44.08客流分析统计</t>
  </si>
  <si>
    <t>03.04.44.08_$pcodes01$</t>
  </si>
  <si>
    <t xml:space="preserve">         03.04.44.09POS收银系统</t>
  </si>
  <si>
    <t>03.04.44.09_$pcodes01$</t>
  </si>
  <si>
    <t xml:space="preserve">         03.04.44.12移动通讯覆盖</t>
  </si>
  <si>
    <t>03.04.44.12_$pcodes01$</t>
  </si>
  <si>
    <t xml:space="preserve">         03.04.44.19商业APP系统及访客系统</t>
  </si>
  <si>
    <t>03.04.44.19_$pcodes01$</t>
  </si>
  <si>
    <t xml:space="preserve">         03.04.44.20机房工程</t>
  </si>
  <si>
    <t>03.04.44.20_$pcodes01$</t>
  </si>
  <si>
    <t xml:space="preserve">            03.04.44.20.01机房设备工程</t>
  </si>
  <si>
    <t>03.04.44.20.01_$pcodes01$</t>
  </si>
  <si>
    <t xml:space="preserve">            03.04.44.20.02机房装修工程</t>
  </si>
  <si>
    <t>03.04.44.20.02_$pcodes01$</t>
  </si>
  <si>
    <t xml:space="preserve">            03.04.44.20.03UPS供电系统</t>
  </si>
  <si>
    <t>03.04.44.20.03_$pcodes01$</t>
  </si>
  <si>
    <t xml:space="preserve">         03.04.44.21抗震支吊架供货及安装</t>
  </si>
  <si>
    <t>03.04.44.21_$pcodes01$</t>
  </si>
  <si>
    <t>03.04.44.22_$pcodes01$</t>
  </si>
  <si>
    <t xml:space="preserve">      03.04.46泛光照明工程</t>
  </si>
  <si>
    <t>03.04.46_$pcodes01$</t>
  </si>
  <si>
    <t xml:space="preserve">         03.04.46.01泛光照明工程</t>
  </si>
  <si>
    <t>外立面墙积比</t>
  </si>
  <si>
    <t>03.04.46.01_$pcodes01$</t>
  </si>
  <si>
    <t xml:space="preserve">         03.04.46.02电线电缆供货</t>
  </si>
  <si>
    <t>03.04.46.02_$pcodes01$</t>
  </si>
  <si>
    <t xml:space="preserve">         03.04.46.03商业LOGO</t>
  </si>
  <si>
    <t>字体个数含量</t>
  </si>
  <si>
    <t>03.04.46.03_$pcodes01$</t>
  </si>
  <si>
    <t xml:space="preserve">         03.04.46.04广告牌</t>
  </si>
  <si>
    <t>03.04.46.04_$pcodes01$</t>
  </si>
  <si>
    <t>03.04.47_$pcodes01$</t>
  </si>
  <si>
    <t>03.04.47.01_$pcodes01$</t>
  </si>
  <si>
    <t>03.04.48_$pcodes01$</t>
  </si>
  <si>
    <t xml:space="preserve">         03.04.48.02擦窗机</t>
  </si>
  <si>
    <t>设备含量</t>
  </si>
  <si>
    <t>台/㎡</t>
  </si>
  <si>
    <t>03.04.48.02_$pcodes01$</t>
  </si>
  <si>
    <t xml:space="preserve">         03.04.48.03蜘蛛车及其他提升设备</t>
  </si>
  <si>
    <t>03.04.48.03_$pcodes01$</t>
  </si>
  <si>
    <t xml:space="preserve">         03.04.48.04电动提升装置</t>
  </si>
  <si>
    <t>03.04.48.04_$pcodes01$</t>
  </si>
  <si>
    <t xml:space="preserve">         03.04.48.05灯光舞美音响设备</t>
  </si>
  <si>
    <t>03.04.48.05_$pcodes01$</t>
  </si>
  <si>
    <t xml:space="preserve">         03.04.48.06影院设备</t>
  </si>
  <si>
    <t>影院面积占比</t>
  </si>
  <si>
    <t>03.04.48.06_$pcodes01$</t>
  </si>
  <si>
    <t xml:space="preserve">         03.04.48.07冰场设备（如有）</t>
  </si>
  <si>
    <t>冰场面积占比</t>
  </si>
  <si>
    <t>03.04.48.07_$pcodes01$</t>
  </si>
  <si>
    <t xml:space="preserve">         03.04.48.15其他工程</t>
  </si>
  <si>
    <t>03.04.48.15_$pcodes01$</t>
  </si>
  <si>
    <t>C03.04_$pcodex01$</t>
  </si>
  <si>
    <t>03.04.34_$pcodex01$</t>
  </si>
  <si>
    <t>03.04.34.01_$pcodex01$</t>
  </si>
  <si>
    <t>03.04.34.01.01_$pcodex01$</t>
  </si>
  <si>
    <t xml:space="preserve">               03.04.34.01.01.04地上钢筋主材</t>
  </si>
  <si>
    <t>03.04.34.01.01.04_$pcodex01$</t>
  </si>
  <si>
    <t>03.04.34.01.01.05_$pcodex01$</t>
  </si>
  <si>
    <t>03.04.34.01.02_$pcodex01$</t>
  </si>
  <si>
    <t>03.04.34.01.02.01_$pcodex01$</t>
  </si>
  <si>
    <t>03.04.34.01.02.02_$pcodex01$</t>
  </si>
  <si>
    <t>03.04.34.01.02.03_$pcodex01$</t>
  </si>
  <si>
    <t>03.04.34.01.02.04_$pcodex01$</t>
  </si>
  <si>
    <t>03.04.34.01.03_$pcodex01$</t>
  </si>
  <si>
    <t xml:space="preserve">               03.04.34.01.03.04地上混凝土供货</t>
  </si>
  <si>
    <t>03.04.34.01.03.04_$pcodex01$</t>
  </si>
  <si>
    <t>03.04.34.01.03.05_$pcodex01$</t>
  </si>
  <si>
    <t xml:space="preserve">               03.04.34.01.03.08预制构件供货</t>
  </si>
  <si>
    <t>03.04.34.01.03.08_$pcodex01$</t>
  </si>
  <si>
    <t xml:space="preserve">               03.04.34.01.03.09预制构件施工</t>
  </si>
  <si>
    <t>03.04.34.01.03.09_$pcodex01$</t>
  </si>
  <si>
    <t>03.04.34.01.04_$pcodex01$</t>
  </si>
  <si>
    <t>03.04.34.01.04.01_$pcodex01$</t>
  </si>
  <si>
    <t xml:space="preserve">               03.04.34.01.04.03预制条板墙工程</t>
  </si>
  <si>
    <t>03.04.34.01.04.03_$pcodex01$</t>
  </si>
  <si>
    <t>03.04.34.01.04.04_$pcodex01$</t>
  </si>
  <si>
    <t>03.04.34.01.05_$pcodex01$</t>
  </si>
  <si>
    <t>03.04.34.01.06_$pcodex01$</t>
  </si>
  <si>
    <t>03.04.34.01.07_$pcodex01$</t>
  </si>
  <si>
    <t>03.04.34.03_$pcodex01$</t>
  </si>
  <si>
    <t>03.04.34.03.03_$pcodex01$</t>
  </si>
  <si>
    <t xml:space="preserve">               03.04.34.03.03.03屋顶防水供货</t>
  </si>
  <si>
    <t>03.04.34.03.03.03_$pcodex01$</t>
  </si>
  <si>
    <t xml:space="preserve">               03.04.34.03.03.04屋顶防水安装</t>
  </si>
  <si>
    <t>03.04.34.03.03.04_$pcodex01$</t>
  </si>
  <si>
    <t>03.04.34.03.05_$pcodex01$</t>
  </si>
  <si>
    <t>03.04.34.03.05.01_$pcodex01$</t>
  </si>
  <si>
    <t>03.04.34.03.05.02_$pcodex01$</t>
  </si>
  <si>
    <t>03.04.34.03.06_$pcodex01$</t>
  </si>
  <si>
    <t>03.04.34.03.06.01_$pcodex01$</t>
  </si>
  <si>
    <t>03.04.34.03.06.02_$pcodex01$</t>
  </si>
  <si>
    <t>03.04.34.03.07_$pcodex01$</t>
  </si>
  <si>
    <t>03.04.34.03.07.01_$pcodex01$</t>
  </si>
  <si>
    <t>03.04.34.03.07.02_$pcodex01$</t>
  </si>
  <si>
    <t>03.04.34.03.08_$pcodex01$</t>
  </si>
  <si>
    <t>03.04.34.03.08.01_$pcodex01$</t>
  </si>
  <si>
    <t>03.04.34.03.08.02_$pcodex01$</t>
  </si>
  <si>
    <t>03.04.34.04_$pcodex01$</t>
  </si>
  <si>
    <t>03.04.34.04.01_$pcodex01$</t>
  </si>
  <si>
    <t>03.04.34.04.02_$pcodex01$</t>
  </si>
  <si>
    <t>03.04.34.04.03_$pcodex01$</t>
  </si>
  <si>
    <t>03.04.35_$pcodex01$</t>
  </si>
  <si>
    <t>03.04.35.01_$pcodex01$</t>
  </si>
  <si>
    <t xml:space="preserve">            03.04.35.01.04地上主体钢结构供货</t>
  </si>
  <si>
    <t>03.04.35.01.04_$pcodex01$</t>
  </si>
  <si>
    <t>03.04.35.01.05_$pcodex01$</t>
  </si>
  <si>
    <t>03.04.35.02_$pcodex01$</t>
  </si>
  <si>
    <t xml:space="preserve">         03.04.35.07楼承板</t>
  </si>
  <si>
    <t>03.04.35.07_$pcodex01$</t>
  </si>
  <si>
    <t xml:space="preserve">         03.04.35.08塔冠钢结构</t>
  </si>
  <si>
    <t>03.04.35.08_$pcodex01$</t>
  </si>
  <si>
    <t xml:space="preserve">         03.04.35.09钢连廊/连桥/雨棚</t>
  </si>
  <si>
    <t>03.04.35.09_$pcodex01$</t>
  </si>
  <si>
    <t xml:space="preserve">         03.04.35.10抗震阻尼设备设施费用</t>
  </si>
  <si>
    <t>03.04.35.10_$pcodex01$</t>
  </si>
  <si>
    <t>03.04.35.11_$pcodex01$</t>
  </si>
  <si>
    <t>03.04.35.12_$pcodex01$</t>
  </si>
  <si>
    <t>03.04.35.13_$pcodex01$</t>
  </si>
  <si>
    <t>03.04.36_$pcodex01$</t>
  </si>
  <si>
    <t>03.04.36.01_$pcodex01$</t>
  </si>
  <si>
    <t>03.04.36.01.01_$pcodex01$</t>
  </si>
  <si>
    <t xml:space="preserve">               03.04.36.01.01.03外墙石材幕墙供货</t>
  </si>
  <si>
    <t>03.04.36.01.01.03_$pcodex01$</t>
  </si>
  <si>
    <t xml:space="preserve">               03.04.36.01.01.04外墙石材幕墙安装</t>
  </si>
  <si>
    <t>03.04.36.01.01.04_$pcodex01$</t>
  </si>
  <si>
    <t xml:space="preserve">            03.04.36.01.03外墙玻璃幕墙工程</t>
  </si>
  <si>
    <t>03.04.36.01.03_$pcodex01$</t>
  </si>
  <si>
    <t xml:space="preserve">            03.04.36.01.05外墙金属板幕墙工程</t>
  </si>
  <si>
    <t>03.04.36.01.05_$pcodex01$</t>
  </si>
  <si>
    <t xml:space="preserve">            03.04.36.01.07下沉广场幕墙</t>
  </si>
  <si>
    <t>03.04.36.01.07_$pcodex01$</t>
  </si>
  <si>
    <t>03.04.36.01.08_$pcodex01$</t>
  </si>
  <si>
    <t xml:space="preserve">               03.04.36.01.08.03外墙涂料供货</t>
  </si>
  <si>
    <t>03.04.36.01.08.03_$pcodex01$</t>
  </si>
  <si>
    <t xml:space="preserve">               03.04.36.01.08.04外墙涂料施工</t>
  </si>
  <si>
    <t>03.04.36.01.08.04_$pcodex01$</t>
  </si>
  <si>
    <t xml:space="preserve">            03.04.36.01.10室外吊顶装饰</t>
  </si>
  <si>
    <t>占比</t>
  </si>
  <si>
    <t>03.04.36.01.10_$pcodex01$</t>
  </si>
  <si>
    <t xml:space="preserve">            03.04.36.01.13雨棚</t>
  </si>
  <si>
    <t>03.04.36.01.13_$pcodex01$</t>
  </si>
  <si>
    <t xml:space="preserve">            03.04.36.01.15其他外墙装饰</t>
  </si>
  <si>
    <t>03.04.36.01.15_$pcodex01$</t>
  </si>
  <si>
    <t>03.04.36.01.16_$pcodex01$</t>
  </si>
  <si>
    <t>03.04.36.02_$pcodex01$</t>
  </si>
  <si>
    <t xml:space="preserve">            03.04.36.02.03外立面普通门窗工程</t>
  </si>
  <si>
    <t>03.04.36.02.03_$pcodex01$</t>
  </si>
  <si>
    <t xml:space="preserve">            03.04.36.02.04其他外立面门窗工程</t>
  </si>
  <si>
    <t>03.04.36.02.04_$pcodex01$</t>
  </si>
  <si>
    <t>03.04.36.03_$pcodex01$</t>
  </si>
  <si>
    <t xml:space="preserve">            03.04.36.03.02外墙保温</t>
  </si>
  <si>
    <t>03.04.36.03.02_$pcodex01$</t>
  </si>
  <si>
    <t>03.04.37_$pcodex01$</t>
  </si>
  <si>
    <t xml:space="preserve">         03.04.37.05大堂装饰工程</t>
  </si>
  <si>
    <t>03.04.37.05_$pcodex01$</t>
  </si>
  <si>
    <t xml:space="preserve">            03.04.37.05.01大堂装饰工程施工</t>
  </si>
  <si>
    <t>大堂总数量</t>
  </si>
  <si>
    <t>每个大堂面积</t>
  </si>
  <si>
    <t>03.04.37.05.01_$pcodex01$</t>
  </si>
  <si>
    <t xml:space="preserve">            03.04.37.05.02大堂装饰工程甲供材</t>
  </si>
  <si>
    <t>03.04.37.05.02_$pcodex01$</t>
  </si>
  <si>
    <t xml:space="preserve">            03.04.37.05.03大堂装饰工程软装</t>
  </si>
  <si>
    <t>03.04.37.05.03_$pcodex01$</t>
  </si>
  <si>
    <t xml:space="preserve">         03.04.37.06标准层电梯厅装饰工程</t>
  </si>
  <si>
    <t>03.04.37.06_$pcodex01$</t>
  </si>
  <si>
    <t xml:space="preserve">            03.04.37.06.01标准层电梯厅装饰工程施工</t>
  </si>
  <si>
    <t>标准层数量</t>
  </si>
  <si>
    <t>标准层电梯厅装修面积</t>
  </si>
  <si>
    <t>㎡/层</t>
  </si>
  <si>
    <t>03.04.37.06.01_$pcodex01$</t>
  </si>
  <si>
    <t xml:space="preserve">            03.04.37.06.02标准层电梯厅装饰工程甲供材</t>
  </si>
  <si>
    <t>03.04.37.06.02_$pcodex01$</t>
  </si>
  <si>
    <t xml:space="preserve">            03.04.37.06.03标准层电梯厅装饰工程软装</t>
  </si>
  <si>
    <t>03.04.37.06.03_$pcodex01$</t>
  </si>
  <si>
    <t xml:space="preserve">         03.04.37.07标准层走道（包含卫生间通道）</t>
  </si>
  <si>
    <t>03.04.37.07_$pcodex01$</t>
  </si>
  <si>
    <t xml:space="preserve">            03.04.37.07.01标准层走道装饰工程施工</t>
  </si>
  <si>
    <t>标准层走道装修面积</t>
  </si>
  <si>
    <t>03.04.37.07.01_$pcodex01$</t>
  </si>
  <si>
    <t xml:space="preserve">            03.04.37.07.02标准层走道装饰工程甲供材</t>
  </si>
  <si>
    <t>03.04.37.07.02_$pcodex01$</t>
  </si>
  <si>
    <t xml:space="preserve">            03.04.37.07.03标准层走道装饰工程软装</t>
  </si>
  <si>
    <t>03.04.37.07.03_$pcodex01$</t>
  </si>
  <si>
    <t xml:space="preserve">         03.04.37.08标准层卫生间、饮水间</t>
  </si>
  <si>
    <t>03.04.37.08_$pcodex01$</t>
  </si>
  <si>
    <t xml:space="preserve">            03.04.37.08.01标准层卫生间、饮水间装饰工程施工</t>
  </si>
  <si>
    <t>标准层卫生间等装修面积</t>
  </si>
  <si>
    <t>03.04.37.08.01_$pcodex01$</t>
  </si>
  <si>
    <t xml:space="preserve">            03.04.37.08.02标准层卫生间、饮水间装饰工程甲供材</t>
  </si>
  <si>
    <t>03.04.37.08.02_$pcodex01$</t>
  </si>
  <si>
    <t xml:space="preserve">            03.04.37.08.03标准层卫生间、饮水间装饰工程软装</t>
  </si>
  <si>
    <t>03.04.37.08.03_$pcodex01$</t>
  </si>
  <si>
    <t xml:space="preserve">         03.04.37.09标准层茶水间、清洁间</t>
  </si>
  <si>
    <t>03.04.37.09_$pcodex01$</t>
  </si>
  <si>
    <t xml:space="preserve">            03.04.37.09.01标准层茶水间、清洁间装饰工程施工</t>
  </si>
  <si>
    <t>标准层茶水间等装修面积</t>
  </si>
  <si>
    <t>03.04.37.09.01_$pcodex01$</t>
  </si>
  <si>
    <t xml:space="preserve">            03.04.37.09.02标准层茶水间、清洁间装饰工程甲供材</t>
  </si>
  <si>
    <t>03.04.37.09.02_$pcodex01$</t>
  </si>
  <si>
    <t xml:space="preserve">            03.04.37.09.03标准层茶水间、清洁间装饰工程软装</t>
  </si>
  <si>
    <t>03.04.37.09.03_$pcodex01$</t>
  </si>
  <si>
    <t xml:space="preserve">         03.04.37.10租区装饰工程</t>
  </si>
  <si>
    <t>03.04.37.10_$pcodex01$</t>
  </si>
  <si>
    <t xml:space="preserve">            03.04.37.10.01租区装饰工程施工</t>
  </si>
  <si>
    <t>标准层租区装修面积</t>
  </si>
  <si>
    <t>03.04.37.10.01_$pcodex01$</t>
  </si>
  <si>
    <t xml:space="preserve">            03.04.37.10.02标租区装饰工程甲供材</t>
  </si>
  <si>
    <t>03.04.37.10.02_$pcodex01$</t>
  </si>
  <si>
    <t xml:space="preserve">         03.04.37.11地下大堂及电梯厅走道装饰工程</t>
  </si>
  <si>
    <t>03.04.37.11_$pcodex01$</t>
  </si>
  <si>
    <t xml:space="preserve">            03.04.37.11.01地下大堂及电梯厅走道装饰工程施工</t>
  </si>
  <si>
    <t>地下装饰面积占比</t>
  </si>
  <si>
    <t>03.04.37.11.01_$pcodex01$</t>
  </si>
  <si>
    <t xml:space="preserve">            03.04.37.11.02地下大堂及电梯厅走道装饰工程甲供材</t>
  </si>
  <si>
    <t>03.04.37.11.02_$pcodex01$</t>
  </si>
  <si>
    <t xml:space="preserve">            03.04.37.11.03地下大堂及电梯厅走道装饰工程软装</t>
  </si>
  <si>
    <t>03.04.37.11.03_$pcodex01$</t>
  </si>
  <si>
    <t>03.04.37.24_$pcodex01$</t>
  </si>
  <si>
    <t>03.04.37.24.01_$pcodex01$</t>
  </si>
  <si>
    <t>03.04.37.24.02_$pcodex01$</t>
  </si>
  <si>
    <t>03.04.37.25_$pcodex01$</t>
  </si>
  <si>
    <t>03.04.37.26_$pcodex01$</t>
  </si>
  <si>
    <t>03.04.37.27_$pcodex01$</t>
  </si>
  <si>
    <t>03.04.37.28_$pcodex01$</t>
  </si>
  <si>
    <t>03.04.38_$pcodex01$</t>
  </si>
  <si>
    <t>03.04.38.01_$pcodex01$</t>
  </si>
  <si>
    <t>03.04.38.01.01_$pcodex01$</t>
  </si>
  <si>
    <t>03.04.38.01.01.01_$pcodex01$</t>
  </si>
  <si>
    <t>03.04.38.01.01.02_$pcodex01$</t>
  </si>
  <si>
    <t>03.04.38.01.02_$pcodex01$</t>
  </si>
  <si>
    <t>03.04.38.01.02.01_$pcodex01$</t>
  </si>
  <si>
    <t>03.04.38.01.02.02_$pcodex01$</t>
  </si>
  <si>
    <t>03.04.38.01.03_$pcodex01$</t>
  </si>
  <si>
    <t>03.04.38.02_$pcodex01$</t>
  </si>
  <si>
    <t>03.04.38.02.01_$pcodex01$</t>
  </si>
  <si>
    <t>03.04.38.02.02_$pcodex01$</t>
  </si>
  <si>
    <t>03.04.38.02.03_$pcodex01$</t>
  </si>
  <si>
    <t>03.04.39_$pcodex01$</t>
  </si>
  <si>
    <t>03.04.39.01_$pcodex01$</t>
  </si>
  <si>
    <t>03.04.39.02_$pcodex01$</t>
  </si>
  <si>
    <t>03.04.39.03_$pcodex01$</t>
  </si>
  <si>
    <t>03.04.40_$pcodex01$</t>
  </si>
  <si>
    <t>03.04.40.01_$pcodex01$</t>
  </si>
  <si>
    <t>03.04.40.02_$pcodex01$</t>
  </si>
  <si>
    <t>03.04.41_$pcodex01$</t>
  </si>
  <si>
    <t>03.04.41.01_$pcodex01$</t>
  </si>
  <si>
    <t>03.04.41.01.01_$pcodex01$</t>
  </si>
  <si>
    <t>03.04.41.01.02_$pcodex01$</t>
  </si>
  <si>
    <t>03.04.41.01.03_$pcodex01$</t>
  </si>
  <si>
    <t>03.04.41.01.04_$pcodex01$</t>
  </si>
  <si>
    <t>03.04.41.01.05_$pcodex01$</t>
  </si>
  <si>
    <t>03.04.41.01.06_$pcodex01$</t>
  </si>
  <si>
    <t>03.04.41.02_$pcodex01$</t>
  </si>
  <si>
    <t>03.04.41.02.01_$pcodex01$</t>
  </si>
  <si>
    <t>03.04.41.02.02_$pcodex01$</t>
  </si>
  <si>
    <t>03.04.41.02.03_$pcodex01$</t>
  </si>
  <si>
    <t>03.04.41.02.04_$pcodex01$</t>
  </si>
  <si>
    <t>03.04.41.02.05_$pcodex01$</t>
  </si>
  <si>
    <t>03.04.41.02.06_$pcodex01$</t>
  </si>
  <si>
    <t>03.04.41.02.07_$pcodex01$</t>
  </si>
  <si>
    <t>03.04.41.02.08_$pcodex01$</t>
  </si>
  <si>
    <t>03.04.41.02.09_$pcodex01$</t>
  </si>
  <si>
    <t>03.04.41.03_$pcodex01$</t>
  </si>
  <si>
    <t>03.04.41.05_$pcodex01$</t>
  </si>
  <si>
    <t>03.04.41.06_$pcodex01$</t>
  </si>
  <si>
    <t>03.04.41.07_$pcodex01$</t>
  </si>
  <si>
    <t>03.04.42_$pcodex01$</t>
  </si>
  <si>
    <t>03.04.42.01_$pcodex01$</t>
  </si>
  <si>
    <t>03.04.42.02_$pcodex01$</t>
  </si>
  <si>
    <t>03.04.42.03_$pcodex01$</t>
  </si>
  <si>
    <t>03.04.42.04_$pcodex01$</t>
  </si>
  <si>
    <t>03.04.42.04.01_$pcodex01$</t>
  </si>
  <si>
    <t>03.04.42.04.02_$pcodex01$</t>
  </si>
  <si>
    <t>03.04.42.04.03_$pcodex01$</t>
  </si>
  <si>
    <t>03.04.42.04.04_$pcodex01$</t>
  </si>
  <si>
    <t>03.04.42.04.05_$pcodex01$</t>
  </si>
  <si>
    <t>03.04.42.04.06_$pcodex01$</t>
  </si>
  <si>
    <t>03.04.42.04.07_$pcodex01$</t>
  </si>
  <si>
    <t>03.04.42.04.08_$pcodex01$</t>
  </si>
  <si>
    <t>03.04.42.04.09_$pcodex01$</t>
  </si>
  <si>
    <t>03.04.42.05_$pcodex01$</t>
  </si>
  <si>
    <t>03.04.42.06_$pcodex01$</t>
  </si>
  <si>
    <t>03.04.42.07_$pcodex01$</t>
  </si>
  <si>
    <t>03.04.43_$pcodex01$</t>
  </si>
  <si>
    <t>03.04.43.01_$pcodex01$</t>
  </si>
  <si>
    <t>03.04.43.01.01_$pcodex01$</t>
  </si>
  <si>
    <t>03.04.43.01.02_$pcodex01$</t>
  </si>
  <si>
    <t>03.04.43.02_$pcodex01$</t>
  </si>
  <si>
    <t>03.04.43.02.01_$pcodex01$</t>
  </si>
  <si>
    <t>03.04.43.02.02_$pcodex01$</t>
  </si>
  <si>
    <t>03.04.43.02.03_$pcodex01$</t>
  </si>
  <si>
    <t>03.04.43.02.04_$pcodex01$</t>
  </si>
  <si>
    <t>03.04.43.03_$pcodex01$</t>
  </si>
  <si>
    <t>03.04.43.04_$pcodex01$</t>
  </si>
  <si>
    <t>03.04.43.05_$pcodex01$</t>
  </si>
  <si>
    <t>03.04.43.06_$pcodex01$</t>
  </si>
  <si>
    <t>03.04.44_$pcodex01$</t>
  </si>
  <si>
    <t>03.04.44.02_$pcodex01$</t>
  </si>
  <si>
    <t>03.04.44.02.01_$pcodex01$</t>
  </si>
  <si>
    <t>03.04.44.02.02_$pcodex01$</t>
  </si>
  <si>
    <t>03.04.44.03_$pcodex01$</t>
  </si>
  <si>
    <t>03.04.44.03.01_$pcodex01$</t>
  </si>
  <si>
    <t>03.04.44.03.02_$pcodex01$</t>
  </si>
  <si>
    <t>03.04.44.03.03_$pcodex01$</t>
  </si>
  <si>
    <t>03.04.44.03.04_$pcodex01$</t>
  </si>
  <si>
    <t xml:space="preserve">            03.04.44.03.05空气质量监测系统</t>
  </si>
  <si>
    <t>03.04.44.03.05_$pcodex01$</t>
  </si>
  <si>
    <t>03.04.44.04_$pcodex01$</t>
  </si>
  <si>
    <t>03.04.44.04.01_$pcodex01$</t>
  </si>
  <si>
    <t>03.04.44.04.02_$pcodex01$</t>
  </si>
  <si>
    <t>03.04.44.04.03_$pcodex01$</t>
  </si>
  <si>
    <t>03.04.44.04.04_$pcodex01$</t>
  </si>
  <si>
    <t>03.04.44.04.05_$pcodex01$</t>
  </si>
  <si>
    <t>03.04.44.04.06_$pcodex01$</t>
  </si>
  <si>
    <t>03.04.44.05_$pcodex01$</t>
  </si>
  <si>
    <t>03.04.44.06_$pcodex01$</t>
  </si>
  <si>
    <t>03.04.44.06.01_$pcodex01$</t>
  </si>
  <si>
    <t>03.04.44.06.02_$pcodex01$</t>
  </si>
  <si>
    <t>03.04.44.07_$pcodex01$</t>
  </si>
  <si>
    <t xml:space="preserve">         03.04.44.10速通门</t>
  </si>
  <si>
    <t>03.04.44.10_$pcodex01$</t>
  </si>
  <si>
    <t xml:space="preserve">         03.04.44.11程控交换机系统</t>
  </si>
  <si>
    <t>03.04.44.11_$pcodex01$</t>
  </si>
  <si>
    <t>03.04.44.12_$pcodex01$</t>
  </si>
  <si>
    <t xml:space="preserve">         03.04.44.13卫星通讯</t>
  </si>
  <si>
    <t>03.04.44.13_$pcodex01$</t>
  </si>
  <si>
    <t>03.04.44.19_$pcodex01$</t>
  </si>
  <si>
    <t>03.04.44.20_$pcodex01$</t>
  </si>
  <si>
    <t>03.04.44.20.01_$pcodex01$</t>
  </si>
  <si>
    <t>03.04.44.20.02_$pcodex01$</t>
  </si>
  <si>
    <t>03.04.44.20.03_$pcodex01$</t>
  </si>
  <si>
    <t>03.04.44.21_$pcodex01$</t>
  </si>
  <si>
    <t>03.04.44.22_$pcodex01$</t>
  </si>
  <si>
    <t>03.04.46_$pcodex01$</t>
  </si>
  <si>
    <t xml:space="preserve">         03.04.46.05泛光照明工程</t>
  </si>
  <si>
    <t>03.04.46.01_$pcodex01$</t>
  </si>
  <si>
    <t xml:space="preserve">         03.04.46.06电线电缆供货</t>
  </si>
  <si>
    <t>03.04.46.02_$pcodex01$</t>
  </si>
  <si>
    <t xml:space="preserve">         03.04.46.07商业LOGO</t>
  </si>
  <si>
    <t>03.04.46.03_$pcodex01$</t>
  </si>
  <si>
    <t xml:space="preserve">         03.04.46.08广告牌</t>
  </si>
  <si>
    <t>03.04.46.04_$pcodex01$</t>
  </si>
  <si>
    <t>03.04.47_$pcodex01$</t>
  </si>
  <si>
    <t>03.04.47.01_$pcodex01$</t>
  </si>
  <si>
    <t>03.04.48_$pcodex01$</t>
  </si>
  <si>
    <t>03.04.48.02_$pcodex01$</t>
  </si>
  <si>
    <t>03.04.48.03_$pcodex01$</t>
  </si>
  <si>
    <t xml:space="preserve">         03.04.48.08厨房设备</t>
  </si>
  <si>
    <t>厨房装修面积占比</t>
  </si>
  <si>
    <t>03.04.48.08_$pcodex01$</t>
  </si>
  <si>
    <t>03.04.48.15_$pcodex01$</t>
  </si>
  <si>
    <t>C03.04_$pcodej01$</t>
  </si>
  <si>
    <t>03.04.34_$pcodej01$</t>
  </si>
  <si>
    <t>03.04.34.01_$pcodej01$</t>
  </si>
  <si>
    <t>03.04.34.01.01_$pcodej01$</t>
  </si>
  <si>
    <t>03.04.34.01.01.04_$pcodej01$</t>
  </si>
  <si>
    <t>03.04.34.01.01.05_$pcodej01$</t>
  </si>
  <si>
    <t>03.04.34.01.02_$pcodej01$</t>
  </si>
  <si>
    <t>03.04.34.01.02.01_$pcodej01$</t>
  </si>
  <si>
    <t>03.04.34.01.02.02_$pcodej01$</t>
  </si>
  <si>
    <t>03.04.34.01.02.03_$pcodej01$</t>
  </si>
  <si>
    <t>03.04.34.01.02.04_$pcodej01$</t>
  </si>
  <si>
    <t>03.04.34.01.03_$pcodej01$</t>
  </si>
  <si>
    <t>03.04.34.01.03.04_$pcodej01$</t>
  </si>
  <si>
    <t>03.04.34.01.03.05_$pcodej01$</t>
  </si>
  <si>
    <t>03.04.34.01.03.08_$pcodej01$</t>
  </si>
  <si>
    <t>03.04.34.01.03.09_$pcodej01$</t>
  </si>
  <si>
    <t>03.04.34.01.04_$pcodej01$</t>
  </si>
  <si>
    <t>03.04.34.01.04.01_$pcodej01$</t>
  </si>
  <si>
    <t>03.04.34.01.04.03_$pcodej01$</t>
  </si>
  <si>
    <t>03.04.34.01.04.04_$pcodej01$</t>
  </si>
  <si>
    <t>03.04.34.01.05_$pcodej01$</t>
  </si>
  <si>
    <t>03.04.34.01.06_$pcodej01$</t>
  </si>
  <si>
    <t>03.04.34.01.07_$pcodej01$</t>
  </si>
  <si>
    <t>03.04.34.03_$pcodej01$</t>
  </si>
  <si>
    <t>03.04.34.03.03_$pcodej01$</t>
  </si>
  <si>
    <t>03.04.34.03.03.03_$pcodej01$</t>
  </si>
  <si>
    <t>03.04.34.03.03.04_$pcodej01$</t>
  </si>
  <si>
    <t>03.04.34.03.05_$pcodej01$</t>
  </si>
  <si>
    <t>03.04.34.03.05.01_$pcodej01$</t>
  </si>
  <si>
    <t>03.04.34.03.05.02_$pcodej01$</t>
  </si>
  <si>
    <t>03.04.34.03.06_$pcodej01$</t>
  </si>
  <si>
    <t>03.04.34.03.06.01_$pcodej01$</t>
  </si>
  <si>
    <t>03.04.34.03.06.02_$pcodej01$</t>
  </si>
  <si>
    <t>03.04.34.03.07_$pcodej01$</t>
  </si>
  <si>
    <t>03.04.34.03.07.01_$pcodej01$</t>
  </si>
  <si>
    <t>03.04.34.03.07.02_$pcodej01$</t>
  </si>
  <si>
    <t>03.04.34.03.08_$pcodej01$</t>
  </si>
  <si>
    <t>03.04.34.03.08.01_$pcodej01$</t>
  </si>
  <si>
    <t>03.04.34.03.08.02_$pcodej01$</t>
  </si>
  <si>
    <t>03.04.34.04_$pcodej01$</t>
  </si>
  <si>
    <t>03.04.34.04.01_$pcodej01$</t>
  </si>
  <si>
    <t>03.04.34.04.02_$pcodej01$</t>
  </si>
  <si>
    <t>03.04.34.04.03_$pcodej01$</t>
  </si>
  <si>
    <t>03.04.35_$pcodej01$</t>
  </si>
  <si>
    <t>03.04.35.01_$pcodej01$</t>
  </si>
  <si>
    <t>03.04.35.01.04_$pcodej01$</t>
  </si>
  <si>
    <t>03.04.35.01.05_$pcodej01$</t>
  </si>
  <si>
    <t>03.04.35.02_$pcodej01$</t>
  </si>
  <si>
    <t>03.04.35.07_$pcodej01$</t>
  </si>
  <si>
    <t>03.04.35.08_$pcodej01$</t>
  </si>
  <si>
    <t>03.04.35.09_$pcodej01$</t>
  </si>
  <si>
    <t>03.04.35.10_$pcodej01$</t>
  </si>
  <si>
    <t>03.04.35.11_$pcodej01$</t>
  </si>
  <si>
    <t>03.04.35.12_$pcodej01$</t>
  </si>
  <si>
    <t>03.04.35.13_$pcodej01$</t>
  </si>
  <si>
    <t>03.04.36_$pcodej01$</t>
  </si>
  <si>
    <t>03.04.36.01_$pcodej01$</t>
  </si>
  <si>
    <t>03.04.36.01.01_$pcodej01$</t>
  </si>
  <si>
    <t>03.04.36.01.01.03_$pcodej01$</t>
  </si>
  <si>
    <t>03.04.36.01.01.04_$pcodej01$</t>
  </si>
  <si>
    <t>03.04.36.01.03_$pcodej01$</t>
  </si>
  <si>
    <t>03.04.36.01.05_$pcodej01$</t>
  </si>
  <si>
    <t>03.04.36.01.07_$pcodej01$</t>
  </si>
  <si>
    <t>03.04.36.01.08_$pcodej01$</t>
  </si>
  <si>
    <t>03.04.36.01.08.03_$pcodej01$</t>
  </si>
  <si>
    <t>03.04.36.01.08.04_$pcodej01$</t>
  </si>
  <si>
    <t>03.04.36.01.10_$pcodej01$</t>
  </si>
  <si>
    <t>03.04.36.01.13_$pcodej01$</t>
  </si>
  <si>
    <t>03.04.36.01.15_$pcodej01$</t>
  </si>
  <si>
    <t>03.04.36.01.16_$pcodej01$</t>
  </si>
  <si>
    <t>03.04.36.02_$pcodej01$</t>
  </si>
  <si>
    <t>03.04.36.02.03_$pcodej01$</t>
  </si>
  <si>
    <t>03.04.36.02.04_$pcodej01$</t>
  </si>
  <si>
    <t>03.04.36.03_$pcodej01$</t>
  </si>
  <si>
    <t>03.04.36.03.02_$pcodej01$</t>
  </si>
  <si>
    <t>03.04.37_$pcodej01$</t>
  </si>
  <si>
    <t>03.04.37.05_$pcodej01$</t>
  </si>
  <si>
    <t>03.04.37.05.01_$pcodej01$</t>
  </si>
  <si>
    <t>03.04.37.05.02_$pcodej01$</t>
  </si>
  <si>
    <t>03.04.37.05.03_$pcodej01$</t>
  </si>
  <si>
    <t>03.04.37.06_$pcodej01$</t>
  </si>
  <si>
    <t>03.04.37.06.01_$pcodej01$</t>
  </si>
  <si>
    <t>03.04.37.06.02_$pcodej01$</t>
  </si>
  <si>
    <t>03.04.37.06.03_$pcodej01$</t>
  </si>
  <si>
    <t>03.04.37.07_$pcodej01$</t>
  </si>
  <si>
    <t>03.04.37.07.01_$pcodej01$</t>
  </si>
  <si>
    <t>03.04.37.07.02_$pcodej01$</t>
  </si>
  <si>
    <t>03.04.37.07.03_$pcodej01$</t>
  </si>
  <si>
    <t xml:space="preserve">         03.04.37.12大床房</t>
  </si>
  <si>
    <t>03.04.37.12_$pcodej01$</t>
  </si>
  <si>
    <t xml:space="preserve">            03.04.37.12.01大床房装饰工程施工</t>
  </si>
  <si>
    <t>大床房数量</t>
  </si>
  <si>
    <t>户内面积</t>
  </si>
  <si>
    <t>㎡/间</t>
  </si>
  <si>
    <t>03.04.37.12.01_$pcodej01$</t>
  </si>
  <si>
    <t xml:space="preserve">            03.04.37.12.02大床房装饰工程甲供材</t>
  </si>
  <si>
    <t>03.04.37.12.02_$pcodej01$</t>
  </si>
  <si>
    <t xml:space="preserve">            03.04.37.12.03大床房装饰工程软装</t>
  </si>
  <si>
    <t>03.04.37.12.03_$pcodej01$</t>
  </si>
  <si>
    <t xml:space="preserve">         03.04.37.13双床房</t>
  </si>
  <si>
    <t>03.04.37.13_$pcodej01$</t>
  </si>
  <si>
    <t xml:space="preserve">            03.04.37.13.01双床房装饰工程施工</t>
  </si>
  <si>
    <t>双床房数量</t>
  </si>
  <si>
    <t>03.04.37.13.01_$pcodej01$</t>
  </si>
  <si>
    <t xml:space="preserve">            03.04.37.13.02双床房装饰工程甲供材</t>
  </si>
  <si>
    <t>03.04.37.13.02_$pcodej01$</t>
  </si>
  <si>
    <t xml:space="preserve">            03.04.37.13.03双床房装饰工程软装</t>
  </si>
  <si>
    <t>03.04.37.13.03_$pcodej01$</t>
  </si>
  <si>
    <t xml:space="preserve">         03.04.37.14家庭房</t>
  </si>
  <si>
    <t>03.04.37.14_$pcodej01$</t>
  </si>
  <si>
    <t xml:space="preserve">            03.04.37.14.01家庭房装饰工程施工</t>
  </si>
  <si>
    <t>家庭房数量</t>
  </si>
  <si>
    <t>03.04.37.14.01_$pcodej01$</t>
  </si>
  <si>
    <t xml:space="preserve">            03.04.37.14.02家庭房装饰工程甲供材</t>
  </si>
  <si>
    <t>03.04.37.14.02_$pcodej01$</t>
  </si>
  <si>
    <t xml:space="preserve">            03.04.37.14.03家庭房装饰工程软装</t>
  </si>
  <si>
    <t>03.04.37.14.03_$pcodej01$</t>
  </si>
  <si>
    <t xml:space="preserve">         03.04.37.15总统套房</t>
  </si>
  <si>
    <t>03.04.37.15_$pcodej01$</t>
  </si>
  <si>
    <t xml:space="preserve">            03.04.37.15.01总统套房装饰工程施工</t>
  </si>
  <si>
    <t>总统套房数量</t>
  </si>
  <si>
    <t>总统套房面积</t>
  </si>
  <si>
    <t>03.04.37.15.01_$pcodej01$</t>
  </si>
  <si>
    <t xml:space="preserve">            03.04.37.15.02总统套房装饰工程甲供材</t>
  </si>
  <si>
    <t>03.04.37.15.02_$pcodej01$</t>
  </si>
  <si>
    <t xml:space="preserve">            03.04.37.15.03总统套房装饰工程软装</t>
  </si>
  <si>
    <t>03.04.37.15.03_$pcodej01$</t>
  </si>
  <si>
    <t xml:space="preserve">         03.04.37.16公共区域卫生间</t>
  </si>
  <si>
    <t>03.04.37.16_$pcodej01$</t>
  </si>
  <si>
    <t xml:space="preserve">            03.04.37.16.01公共区域卫生间装饰工程施工</t>
  </si>
  <si>
    <t>卫生间、饮水间装修面积</t>
  </si>
  <si>
    <t>03.04.37.16.01_$pcodej01$</t>
  </si>
  <si>
    <t xml:space="preserve">            03.04.37.16.02公共区域卫生间装饰工程甲供材</t>
  </si>
  <si>
    <t>03.04.37.16.02_$pcodej01$</t>
  </si>
  <si>
    <t xml:space="preserve">            03.04.37.16.03公共区域卫生间装饰工程软装</t>
  </si>
  <si>
    <t>03.04.37.16.03_$pcodej01$</t>
  </si>
  <si>
    <t xml:space="preserve">         03.04.37.17宴会厅装饰</t>
  </si>
  <si>
    <t>03.04.37.17_$pcodej01$</t>
  </si>
  <si>
    <t xml:space="preserve">            03.04.37.17.01宴会厅装饰工程施工</t>
  </si>
  <si>
    <t>宴会厅装修面积</t>
  </si>
  <si>
    <t>03.04.37.17.01_$pcodej01$</t>
  </si>
  <si>
    <t xml:space="preserve">            03.04.37.17.02宴会厅装饰工程甲供材</t>
  </si>
  <si>
    <t>03.04.37.17.02_$pcodej01$</t>
  </si>
  <si>
    <t xml:space="preserve">            03.04.37.17.03宴会厅装饰工程软装</t>
  </si>
  <si>
    <t>03.04.37.17.03_$pcodej01$</t>
  </si>
  <si>
    <t xml:space="preserve">         03.04.37.18餐厅装饰</t>
  </si>
  <si>
    <t>03.04.37.18_$pcodej01$</t>
  </si>
  <si>
    <t xml:space="preserve">            03.04.37.18.01餐厅装饰工程施工</t>
  </si>
  <si>
    <t>餐厅装修面积</t>
  </si>
  <si>
    <t>03.04.37.18.01_$pcodej01$</t>
  </si>
  <si>
    <t xml:space="preserve">            03.04.37.18.02餐厅装饰工程甲供材</t>
  </si>
  <si>
    <t>03.04.37.18.02_$pcodej01$</t>
  </si>
  <si>
    <t xml:space="preserve">            03.04.37.18.03餐厅装饰工程软装</t>
  </si>
  <si>
    <t>03.04.37.18.03_$pcodej01$</t>
  </si>
  <si>
    <t xml:space="preserve">         03.04.37.19会议室装饰</t>
  </si>
  <si>
    <t>03.04.37.19_$pcodej01$</t>
  </si>
  <si>
    <t xml:space="preserve">            03.04.37.19.01会议室装饰工程施工</t>
  </si>
  <si>
    <t>会议室装修面积</t>
  </si>
  <si>
    <t>03.04.37.19.01_$pcodej01$</t>
  </si>
  <si>
    <t xml:space="preserve">            03.04.37.19.02会议室装饰工程甲供材</t>
  </si>
  <si>
    <t>03.04.37.19.02_$pcodej01$</t>
  </si>
  <si>
    <t xml:space="preserve">            03.04.37.19.03会议室装饰工程软装</t>
  </si>
  <si>
    <t>03.04.37.19.03_$pcodej01$</t>
  </si>
  <si>
    <t xml:space="preserve">         03.04.37.20健身房装饰</t>
  </si>
  <si>
    <t>03.04.37.20_$pcodej01$</t>
  </si>
  <si>
    <t xml:space="preserve">            03.04.37.20.01健身房装饰工程施工</t>
  </si>
  <si>
    <t>健身房装修面积</t>
  </si>
  <si>
    <t>03.04.37.20.01_$pcodej01$</t>
  </si>
  <si>
    <t xml:space="preserve">            03.04.37.20.02健身房装饰工程甲供材</t>
  </si>
  <si>
    <t>03.04.37.20.02_$pcodej01$</t>
  </si>
  <si>
    <t xml:space="preserve">            03.04.37.20.03健身房装饰工程软装</t>
  </si>
  <si>
    <t>03.04.37.20.03_$pcodej01$</t>
  </si>
  <si>
    <t xml:space="preserve">         03.04.37.21室内游泳池装修</t>
  </si>
  <si>
    <t>03.04.37.21_$pcodej01$</t>
  </si>
  <si>
    <t xml:space="preserve">            03.04.37.21.01室内游泳池装饰工程施工</t>
  </si>
  <si>
    <t>游泳池装修面积</t>
  </si>
  <si>
    <t>03.04.37.21.01_$pcodej01$</t>
  </si>
  <si>
    <t xml:space="preserve">            03.04.37.21.02室内游泳池装饰工程甲供材</t>
  </si>
  <si>
    <t>03.04.37.21.02_$pcodej01$</t>
  </si>
  <si>
    <t xml:space="preserve">            03.04.37.21.03室内游泳池装饰工程软装</t>
  </si>
  <si>
    <t>03.04.37.21.03_$pcodej01$</t>
  </si>
  <si>
    <t xml:space="preserve">         03.04.37.22SPA及棋牌室装修</t>
  </si>
  <si>
    <t>03.04.37.22_$pcodej01$</t>
  </si>
  <si>
    <t xml:space="preserve">            03.04.37.22.01SPA及棋牌室装饰工程施工</t>
  </si>
  <si>
    <t>SPA及棋牌室装修面积</t>
  </si>
  <si>
    <t>03.04.37.22.01_$pcodej01$</t>
  </si>
  <si>
    <t xml:space="preserve">            03.04.37.22.02SPA及棋牌室装饰工程甲供材</t>
  </si>
  <si>
    <t>03.04.37.22.02_$pcodej01$</t>
  </si>
  <si>
    <t xml:space="preserve">            03.04.37.22.03SPA及棋牌室装饰工程软装</t>
  </si>
  <si>
    <t>03.04.37.22.03_$pcodej01$</t>
  </si>
  <si>
    <t xml:space="preserve">         03.04.37.23厨房装修</t>
  </si>
  <si>
    <t>03.04.37.23_$pcodej01$</t>
  </si>
  <si>
    <t xml:space="preserve">            03.04.37.23.01厨房装饰工程施工</t>
  </si>
  <si>
    <t>厨房装修面积</t>
  </si>
  <si>
    <t>03.04.37.23.01_$pcodej01$</t>
  </si>
  <si>
    <t xml:space="preserve">            03.04.37.23.02厨房装饰工程甲供材</t>
  </si>
  <si>
    <t>03.04.37.23.02_$pcodej01$</t>
  </si>
  <si>
    <t xml:space="preserve">            03.04.37.23.03厨房装饰工程软装</t>
  </si>
  <si>
    <t>03.04.37.23.03_$pcodej01$</t>
  </si>
  <si>
    <t>03.04.37.24_$pcodej01$</t>
  </si>
  <si>
    <t>03.04.37.24.01_$pcodej01$</t>
  </si>
  <si>
    <t>03.04.37.24.02_$pcodej01$</t>
  </si>
  <si>
    <t>03.04.37.25_$pcodej01$</t>
  </si>
  <si>
    <t>03.04.37.26_$pcodej01$</t>
  </si>
  <si>
    <t>03.04.37.27_$pcodej01$</t>
  </si>
  <si>
    <t>03.04.37.28_$pcodej01$</t>
  </si>
  <si>
    <t>03.04.38_$pcodej01$</t>
  </si>
  <si>
    <t>03.04.38.01_$pcodej01$</t>
  </si>
  <si>
    <t>03.04.38.01.01_$pcodej01$</t>
  </si>
  <si>
    <t>03.04.38.01.01.01_$pcodej01$</t>
  </si>
  <si>
    <t>03.04.38.01.01.02_$pcodej01$</t>
  </si>
  <si>
    <t>03.04.38.01.02_$pcodej01$</t>
  </si>
  <si>
    <t>03.04.38.01.02.01_$pcodej01$</t>
  </si>
  <si>
    <t>03.04.38.01.02.02_$pcodej01$</t>
  </si>
  <si>
    <t>03.04.38.01.03_$pcodej01$</t>
  </si>
  <si>
    <t>03.04.38.02_$pcodej01$</t>
  </si>
  <si>
    <t>03.04.38.02.01_$pcodej01$</t>
  </si>
  <si>
    <t>03.04.38.02.02_$pcodej01$</t>
  </si>
  <si>
    <t>03.04.38.02.03_$pcodej01$</t>
  </si>
  <si>
    <t>03.04.39_$pcodej01$</t>
  </si>
  <si>
    <t>03.04.39.01_$pcodej01$</t>
  </si>
  <si>
    <t>03.04.39.02_$pcodej01$</t>
  </si>
  <si>
    <t>03.04.39.03_$pcodej01$</t>
  </si>
  <si>
    <t>03.04.40_$pcodej01$</t>
  </si>
  <si>
    <t>03.04.40.01_$pcodej01$</t>
  </si>
  <si>
    <t>03.04.40.02_$pcodej01$</t>
  </si>
  <si>
    <t>03.04.41_$pcodej01$</t>
  </si>
  <si>
    <t>03.04.41.01_$pcodej01$</t>
  </si>
  <si>
    <t>03.04.41.01.01_$pcodej01$</t>
  </si>
  <si>
    <t>03.04.41.01.02_$pcodej01$</t>
  </si>
  <si>
    <t>03.04.41.01.03_$pcodej01$</t>
  </si>
  <si>
    <t>03.04.41.01.04_$pcodej01$</t>
  </si>
  <si>
    <t>03.04.41.01.05_$pcodej01$</t>
  </si>
  <si>
    <t>03.04.41.01.06_$pcodej01$</t>
  </si>
  <si>
    <t>03.04.41.02_$pcodej01$</t>
  </si>
  <si>
    <t>03.04.41.02.01_$pcodej01$</t>
  </si>
  <si>
    <t>03.04.41.02.02_$pcodej01$</t>
  </si>
  <si>
    <t>03.04.41.02.03_$pcodej01$</t>
  </si>
  <si>
    <t>03.04.41.02.04_$pcodej01$</t>
  </si>
  <si>
    <t>03.04.41.02.05_$pcodej01$</t>
  </si>
  <si>
    <t>03.04.41.02.06_$pcodej01$</t>
  </si>
  <si>
    <t>03.04.41.02.07_$pcodej01$</t>
  </si>
  <si>
    <t>03.04.41.02.08_$pcodej01$</t>
  </si>
  <si>
    <t>03.04.41.02.09_$pcodej01$</t>
  </si>
  <si>
    <t>03.04.41.03_$pcodej01$</t>
  </si>
  <si>
    <t>03.04.41.05_$pcodej01$</t>
  </si>
  <si>
    <t>03.04.41.06_$pcodej01$</t>
  </si>
  <si>
    <t>03.04.41.07_$pcodej01$</t>
  </si>
  <si>
    <t>03.04.42_$pcodej01$</t>
  </si>
  <si>
    <t>03.04.42.01_$pcodej01$</t>
  </si>
  <si>
    <t>03.04.42.02_$pcodej01$</t>
  </si>
  <si>
    <t>03.04.42.03_$pcodej01$</t>
  </si>
  <si>
    <t>03.04.42.04_$pcodej01$</t>
  </si>
  <si>
    <t>03.04.42.04.01_$pcodej01$</t>
  </si>
  <si>
    <t>03.04.42.04.02_$pcodej01$</t>
  </si>
  <si>
    <t>03.04.42.04.03_$pcodej01$</t>
  </si>
  <si>
    <t>03.04.42.04.04_$pcodej01$</t>
  </si>
  <si>
    <t>03.04.42.04.05_$pcodej01$</t>
  </si>
  <si>
    <t>03.04.42.04.06_$pcodej01$</t>
  </si>
  <si>
    <t>03.04.42.04.07_$pcodej01$</t>
  </si>
  <si>
    <t>03.04.42.04.08_$pcodej01$</t>
  </si>
  <si>
    <t>03.04.42.04.09_$pcodej01$</t>
  </si>
  <si>
    <t>03.04.42.05_$pcodej01$</t>
  </si>
  <si>
    <t>03.04.42.06_$pcodej01$</t>
  </si>
  <si>
    <t>03.04.42.07_$pcodej01$</t>
  </si>
  <si>
    <t>03.04.43_$pcodej01$</t>
  </si>
  <si>
    <t>03.04.43.01_$pcodej01$</t>
  </si>
  <si>
    <t>03.04.43.01.01_$pcodej01$</t>
  </si>
  <si>
    <t>03.04.43.01.02_$pcodej01$</t>
  </si>
  <si>
    <t>03.04.43.02_$pcodej01$</t>
  </si>
  <si>
    <t>03.04.43.02.01_$pcodej01$</t>
  </si>
  <si>
    <t>03.04.43.02.02_$pcodej01$</t>
  </si>
  <si>
    <t>03.04.43.02.03_$pcodej01$</t>
  </si>
  <si>
    <t>03.04.43.02.04_$pcodej01$</t>
  </si>
  <si>
    <t>03.04.43.03_$pcodej01$</t>
  </si>
  <si>
    <t>03.04.43.04_$pcodej01$</t>
  </si>
  <si>
    <t>03.04.43.05_$pcodej01$</t>
  </si>
  <si>
    <t>03.04.43.06_$pcodej01$</t>
  </si>
  <si>
    <t>03.04.44_$pcodej01$</t>
  </si>
  <si>
    <t>03.04.44.02_$pcodej01$</t>
  </si>
  <si>
    <t>03.04.44.02.01_$pcodej01$</t>
  </si>
  <si>
    <t>03.04.44.02.02_$pcodej01$</t>
  </si>
  <si>
    <t>03.04.44.03_$pcodej01$</t>
  </si>
  <si>
    <t>03.04.44.03.01_$pcodej01$</t>
  </si>
  <si>
    <t>03.04.44.03.02_$pcodej01$</t>
  </si>
  <si>
    <t>03.04.44.03.03_$pcodej01$</t>
  </si>
  <si>
    <t>03.04.44.03.04_$pcodej01$</t>
  </si>
  <si>
    <t>03.04.44.04_$pcodej01$</t>
  </si>
  <si>
    <t>03.04.44.04.01_$pcodej01$</t>
  </si>
  <si>
    <t>03.04.44.04.02_$pcodej01$</t>
  </si>
  <si>
    <t>03.04.44.04.03_$pcodej01$</t>
  </si>
  <si>
    <t>03.04.44.04.04_$pcodej01$</t>
  </si>
  <si>
    <t>03.04.44.04.05_$pcodej01$</t>
  </si>
  <si>
    <t>03.04.44.04.06_$pcodej01$</t>
  </si>
  <si>
    <t>03.04.44.05_$pcodej01$</t>
  </si>
  <si>
    <t>03.04.44.06_$pcodej01$</t>
  </si>
  <si>
    <t>03.04.44.06.01_$pcodej01$</t>
  </si>
  <si>
    <t>03.04.44.06.02_$pcodej01$</t>
  </si>
  <si>
    <t>03.04.44.07_$pcodej01$</t>
  </si>
  <si>
    <t>03.04.44.11_$pcodej01$</t>
  </si>
  <si>
    <t>03.04.44.12_$pcodej01$</t>
  </si>
  <si>
    <t>03.04.44.13_$pcodej01$</t>
  </si>
  <si>
    <t xml:space="preserve">         03.04.44.14多媒体会议系统(AV)</t>
  </si>
  <si>
    <t>03.04.44.14_$pcodej01$</t>
  </si>
  <si>
    <t xml:space="preserve">         03.04.44.15客房控制系统（RCU)</t>
  </si>
  <si>
    <t>03.04.44.15_$pcodej01$</t>
  </si>
  <si>
    <t xml:space="preserve">         03.04.44.16客房门锁及控制系统</t>
  </si>
  <si>
    <t>03.04.44.16_$pcodej01$</t>
  </si>
  <si>
    <t xml:space="preserve">         03.04.44.17IPTV互动点播系统</t>
  </si>
  <si>
    <t>03.04.44.17_$pcodej01$</t>
  </si>
  <si>
    <t xml:space="preserve">         03.04.44.18有线电视及卫星电视接收系统</t>
  </si>
  <si>
    <t>03.04.44.18_$pcodej01$</t>
  </si>
  <si>
    <t>03.04.44.19_$pcodej01$</t>
  </si>
  <si>
    <t>03.04.44.20_$pcodej01$</t>
  </si>
  <si>
    <t>03.04.44.20.01_$pcodej01$</t>
  </si>
  <si>
    <t>03.04.44.20.02_$pcodej01$</t>
  </si>
  <si>
    <t>03.04.44.20.03_$pcodej01$</t>
  </si>
  <si>
    <t>03.04.44.21_$pcodej01$</t>
  </si>
  <si>
    <t>03.04.44.22_$pcodej01$</t>
  </si>
  <si>
    <t>03.04.46_$pcodej01$</t>
  </si>
  <si>
    <t>03.04.46.01_$pcodej01$</t>
  </si>
  <si>
    <t>03.04.46.02_$pcodej01$</t>
  </si>
  <si>
    <t>03.04.46.03_$pcodej01$</t>
  </si>
  <si>
    <t>03.04.46.04_$pcodej01$</t>
  </si>
  <si>
    <t>03.04.47_$pcodej01$</t>
  </si>
  <si>
    <t>03.04.47.01_$pcodej01$</t>
  </si>
  <si>
    <t>03.04.48_$pcodej01$</t>
  </si>
  <si>
    <t>03.04.48.02_$pcodej01$</t>
  </si>
  <si>
    <t>03.04.48.03_$pcodej01$</t>
  </si>
  <si>
    <t>03.04.48.08_$pcodej01$</t>
  </si>
  <si>
    <t xml:space="preserve">         03.04.48.09泳池设备设施</t>
  </si>
  <si>
    <t>泳池面积占比</t>
  </si>
  <si>
    <t>03.04.48.09_$pcodej01$</t>
  </si>
  <si>
    <t xml:space="preserve">         03.04.48.10健身设备</t>
  </si>
  <si>
    <t>03.04.48.10_$pcodej01$</t>
  </si>
  <si>
    <t xml:space="preserve">         03.04.48.11SPA设备</t>
  </si>
  <si>
    <t>03.04.48.11_$pcodej01$</t>
  </si>
  <si>
    <t xml:space="preserve">         03.04.48.12洗衣房设备</t>
  </si>
  <si>
    <t>03.04.48.12_$pcodej01$</t>
  </si>
  <si>
    <t xml:space="preserve">         03.04.48.13垃圾处理设备设施</t>
  </si>
  <si>
    <t>03.04.48.13_$pcodej01$</t>
  </si>
  <si>
    <t xml:space="preserve">         03.04.48.14太阳能热水器</t>
  </si>
  <si>
    <t>03.04.48.14_$pcodej01$</t>
  </si>
  <si>
    <t xml:space="preserve">            03.04.48.14.01太阳能热水器安装</t>
  </si>
  <si>
    <t>每间热水器数</t>
  </si>
  <si>
    <t>03.04.48.14.01_$pcodej01$</t>
  </si>
  <si>
    <t xml:space="preserve">            03.04.48.14.02太阳能热水器供货</t>
  </si>
  <si>
    <t>03.04.48.14.02_$pcodej01$</t>
  </si>
  <si>
    <t>03.04.48.15_$pcodej01$</t>
  </si>
  <si>
    <t>C03.04_$pcode7$</t>
  </si>
  <si>
    <t>03.04.34_$pcode7$</t>
  </si>
  <si>
    <t>03.04.34.01_$pcode7$</t>
  </si>
  <si>
    <t>03.04.34.01.01_$pcode7$</t>
  </si>
  <si>
    <t>03.04.34.01.01.02_$pcode7$</t>
  </si>
  <si>
    <t>03.04.34.01.01.03_$pcode7$</t>
  </si>
  <si>
    <t>03.04.34.01.01.05_$pcode7$</t>
  </si>
  <si>
    <t>03.04.34.01.02_$pcode7$</t>
  </si>
  <si>
    <t>03.04.34.01.02.01_$pcode7$</t>
  </si>
  <si>
    <t>03.04.34.01.02.02_$pcode7$</t>
  </si>
  <si>
    <t>03.04.34.01.02.03_$pcode7$</t>
  </si>
  <si>
    <t>03.04.34.01.02.04_$pcode7$</t>
  </si>
  <si>
    <t>03.04.34.01.03_$pcode7$</t>
  </si>
  <si>
    <t>03.04.34.01.03.02_$pcode7$</t>
  </si>
  <si>
    <t>03.04.34.01.03.03_$pcode7$</t>
  </si>
  <si>
    <t>03.04.34.01.03.05_$pcode7$</t>
  </si>
  <si>
    <t>03.04.34.01.03.06_$pcode7$</t>
  </si>
  <si>
    <t>03.04.34.01.03.07_$pcode7$</t>
  </si>
  <si>
    <t>03.04.34.01.04_$pcode7$</t>
  </si>
  <si>
    <t>03.04.34.01.04.01_$pcode7$</t>
  </si>
  <si>
    <t>03.04.34.01.04.02_$pcode7$</t>
  </si>
  <si>
    <t>03.04.34.01.04.04_$pcode7$</t>
  </si>
  <si>
    <t>03.04.34.01.05_$pcode7$</t>
  </si>
  <si>
    <t>03.04.34.01.06_$pcode7$</t>
  </si>
  <si>
    <t>03.04.34.01.07_$pcode7$</t>
  </si>
  <si>
    <t>03.04.34.03_$pcode7$</t>
  </si>
  <si>
    <t>03.04.34.03.01_$pcode7$</t>
  </si>
  <si>
    <t>03.04.34.03.01.03_$pcode7$</t>
  </si>
  <si>
    <t>03.04.34.03.01.04_$pcode7$</t>
  </si>
  <si>
    <t>03.04.34.03.02_$pcode7$</t>
  </si>
  <si>
    <t>03.04.34.03.02.03_$pcode7$</t>
  </si>
  <si>
    <t>03.04.34.03.02.04_$pcode7$</t>
  </si>
  <si>
    <t>03.04.34.03.03_$pcode7$</t>
  </si>
  <si>
    <t>03.04.34.03.03.01_$pcode7$</t>
  </si>
  <si>
    <t>03.04.34.03.03.02_$pcode7$</t>
  </si>
  <si>
    <t>03.04.34.03.05_$pcode7$</t>
  </si>
  <si>
    <t>03.04.34.03.05.01_$pcode7$</t>
  </si>
  <si>
    <t>03.04.34.03.05.02_$pcode7$</t>
  </si>
  <si>
    <t>03.04.34.03.06_$pcode7$</t>
  </si>
  <si>
    <t>03.04.34.03.06.01_$pcode7$</t>
  </si>
  <si>
    <t>03.04.34.03.06.02_$pcode7$</t>
  </si>
  <si>
    <t>03.04.34.03.07_$pcode7$</t>
  </si>
  <si>
    <t>03.04.34.03.07.01_$pcode7$</t>
  </si>
  <si>
    <t>03.04.34.03.07.02_$pcode7$</t>
  </si>
  <si>
    <t>03.04.34.03.08_$pcode7$</t>
  </si>
  <si>
    <t>03.04.34.03.08.01_$pcode7$</t>
  </si>
  <si>
    <t>03.04.34.03.08.02_$pcode7$</t>
  </si>
  <si>
    <t>03.04.34.04_$pcode7$</t>
  </si>
  <si>
    <t>03.04.34.04.01_$pcode7$</t>
  </si>
  <si>
    <t>03.04.34.04.02_$pcode7$</t>
  </si>
  <si>
    <t>03.04.34.04.03_$pcode7$</t>
  </si>
  <si>
    <t>03.04.35_$pcode7$</t>
  </si>
  <si>
    <t>03.04.35.01_$pcode7$</t>
  </si>
  <si>
    <t>03.04.35.01.02_$pcode7$</t>
  </si>
  <si>
    <t>03.04.35.01.03_$pcode7$</t>
  </si>
  <si>
    <t>03.04.35.01.05_$pcode7$</t>
  </si>
  <si>
    <t>03.04.35.02_$pcode7$</t>
  </si>
  <si>
    <t>03.04.35.03_$pcode7$</t>
  </si>
  <si>
    <t>03.04.35.04_$pcode7$</t>
  </si>
  <si>
    <t>03.04.35.05_$pcode7$</t>
  </si>
  <si>
    <t>03.04.35.06_$pcode7$</t>
  </si>
  <si>
    <t>03.04.35.11_$pcode7$</t>
  </si>
  <si>
    <t>03.04.35.12_$pcode7$</t>
  </si>
  <si>
    <t>03.04.35.13_$pcode7$</t>
  </si>
  <si>
    <t>03.04.36_$pcode7$</t>
  </si>
  <si>
    <t>03.04.36.01_$pcode7$</t>
  </si>
  <si>
    <t>03.04.36.01.01_$pcode7$</t>
  </si>
  <si>
    <t>03.04.36.01.01.01_$pcode7$</t>
  </si>
  <si>
    <t>03.04.36.01.01.02_$pcode7$</t>
  </si>
  <si>
    <t>03.04.36.01.02_$pcode7$</t>
  </si>
  <si>
    <t>03.04.36.01.04_$pcode7$</t>
  </si>
  <si>
    <t>03.04.36.01.06_$pcode7$</t>
  </si>
  <si>
    <t>03.04.36.01.08_$pcode7$</t>
  </si>
  <si>
    <t>03.04.36.01.08.01_$pcode7$</t>
  </si>
  <si>
    <t>03.04.36.01.08.02_$pcode7$</t>
  </si>
  <si>
    <t>03.04.36.01.09_$pcode7$</t>
  </si>
  <si>
    <t>03.04.36.01.11_$pcode7$</t>
  </si>
  <si>
    <t>03.04.36.01.12_$pcode7$</t>
  </si>
  <si>
    <t>03.04.36.01.14_$pcode7$</t>
  </si>
  <si>
    <t>03.04.36.01.16_$pcode7$</t>
  </si>
  <si>
    <t>03.04.36.02_$pcode7$</t>
  </si>
  <si>
    <t>03.04.36.02.01_$pcode7$</t>
  </si>
  <si>
    <t>03.04.36.02.02_$pcode7$</t>
  </si>
  <si>
    <t>03.04.36.03_$pcode7$</t>
  </si>
  <si>
    <t>03.04.36.03.01_$pcode7$</t>
  </si>
  <si>
    <t>03.04.37_$pcode7$</t>
  </si>
  <si>
    <t>03.04.37.01_$pcode7$</t>
  </si>
  <si>
    <t>03.04.37.01.01_$pcode7$</t>
  </si>
  <si>
    <t>03.04.37.01.01.01_$pcode7$</t>
  </si>
  <si>
    <t>03.04.37.01.01.02_$pcode7$</t>
  </si>
  <si>
    <t>03.04.37.01.01.03_$pcode7$</t>
  </si>
  <si>
    <t>03.04.37.01.02_$pcode7$</t>
  </si>
  <si>
    <t>03.04.37.01.03_$pcode7$</t>
  </si>
  <si>
    <t>03.04.37.02_$pcode7$</t>
  </si>
  <si>
    <t>03.04.37.03_$pcode7$</t>
  </si>
  <si>
    <t>03.04.37.03.01_$pcode7$</t>
  </si>
  <si>
    <t>03.04.37.03.02_$pcode7$</t>
  </si>
  <si>
    <t>03.04.37.03.03_$pcode7$</t>
  </si>
  <si>
    <t>03.04.37.04_$pcode7$</t>
  </si>
  <si>
    <t>03.04.37.24_$pcode7$</t>
  </si>
  <si>
    <t>03.04.37.24.01_$pcode7$</t>
  </si>
  <si>
    <t>03.04.37.24.02_$pcode7$</t>
  </si>
  <si>
    <t>03.04.37.25_$pcode7$</t>
  </si>
  <si>
    <t>03.04.37.26_$pcode7$</t>
  </si>
  <si>
    <t>03.04.37.27_$pcode7$</t>
  </si>
  <si>
    <t>03.04.37.28_$pcode7$</t>
  </si>
  <si>
    <t>03.04.38_$pcode7$</t>
  </si>
  <si>
    <t>03.04.38.01_$pcode7$</t>
  </si>
  <si>
    <t>03.04.38.01.01_$pcode7$</t>
  </si>
  <si>
    <t>03.04.38.01.01.01_$pcode7$</t>
  </si>
  <si>
    <t>03.04.38.01.01.02_$pcode7$</t>
  </si>
  <si>
    <t>03.04.38.01.02_$pcode7$</t>
  </si>
  <si>
    <t>03.04.38.01.02.01_$pcode7$</t>
  </si>
  <si>
    <t>03.04.38.01.02.02_$pcode7$</t>
  </si>
  <si>
    <t>03.04.38.01.03_$pcode7$</t>
  </si>
  <si>
    <t>03.04.38.02_$pcode7$</t>
  </si>
  <si>
    <t>03.04.38.02.01_$pcode7$</t>
  </si>
  <si>
    <t>03.04.38.02.02_$pcode7$</t>
  </si>
  <si>
    <t>03.04.38.02.03_$pcode7$</t>
  </si>
  <si>
    <t>03.04.39_$pcode7$</t>
  </si>
  <si>
    <t>03.04.39.01_$pcode7$</t>
  </si>
  <si>
    <t>03.04.39.02_$pcode7$</t>
  </si>
  <si>
    <t>03.04.39.03_$pcode7$</t>
  </si>
  <si>
    <t>03.04.40_$pcode7$</t>
  </si>
  <si>
    <t>03.04.40.01_$pcode7$</t>
  </si>
  <si>
    <t>03.04.40.02_$pcode7$</t>
  </si>
  <si>
    <t>03.04.40.03_$pcode7$</t>
  </si>
  <si>
    <t>03.04.40.04_$pcode7$</t>
  </si>
  <si>
    <t>03.04.40.05_$pcode7$</t>
  </si>
  <si>
    <t>03.04.40.06_$pcode7$</t>
  </si>
  <si>
    <t>03.04.41_$pcode7$</t>
  </si>
  <si>
    <t>03.04.41.01_$pcode7$</t>
  </si>
  <si>
    <t>03.04.41.01.01_$pcode7$</t>
  </si>
  <si>
    <t>03.04.41.01.02_$pcode7$</t>
  </si>
  <si>
    <t>03.04.41.01.03_$pcode7$</t>
  </si>
  <si>
    <t>03.04.41.01.04_$pcode7$</t>
  </si>
  <si>
    <t>03.04.41.01.05_$pcode7$</t>
  </si>
  <si>
    <t>03.04.41.01.06_$pcode7$</t>
  </si>
  <si>
    <t>03.04.41.02_$pcode7$</t>
  </si>
  <si>
    <t>03.04.41.02.01_$pcode7$</t>
  </si>
  <si>
    <t>03.04.41.02.02_$pcode7$</t>
  </si>
  <si>
    <t>03.04.41.02.03_$pcode7$</t>
  </si>
  <si>
    <t>03.04.41.02.04_$pcode7$</t>
  </si>
  <si>
    <t>03.04.41.02.05_$pcode7$</t>
  </si>
  <si>
    <t>03.04.41.02.06_$pcode7$</t>
  </si>
  <si>
    <t>03.04.41.02.07_$pcode7$</t>
  </si>
  <si>
    <t>03.04.41.02.08_$pcode7$</t>
  </si>
  <si>
    <t>03.04.41.02.09_$pcode7$</t>
  </si>
  <si>
    <t>03.04.41.03_$pcode7$</t>
  </si>
  <si>
    <t>03.04.41.05_$pcode7$</t>
  </si>
  <si>
    <t>03.04.41.06_$pcode7$</t>
  </si>
  <si>
    <t>03.04.41.07_$pcode7$</t>
  </si>
  <si>
    <t>03.04.42_$pcode7$</t>
  </si>
  <si>
    <t>03.04.42.01_$pcode7$</t>
  </si>
  <si>
    <t>03.04.42.02_$pcode7$</t>
  </si>
  <si>
    <t>03.04.42.03_$pcode7$</t>
  </si>
  <si>
    <t>03.04.42.04_$pcode7$</t>
  </si>
  <si>
    <t>03.04.42.04.01_$pcode7$</t>
  </si>
  <si>
    <t>03.04.42.04.02_$pcode7$</t>
  </si>
  <si>
    <t>03.04.42.04.03_$pcode7$</t>
  </si>
  <si>
    <t>03.04.42.04.04_$pcode7$</t>
  </si>
  <si>
    <t>03.04.42.04.05_$pcode7$</t>
  </si>
  <si>
    <t>03.04.42.04.06_$pcode7$</t>
  </si>
  <si>
    <t>03.04.42.04.07_$pcode7$</t>
  </si>
  <si>
    <t>03.04.42.04.08_$pcode7$</t>
  </si>
  <si>
    <t>03.04.42.04.09_$pcode7$</t>
  </si>
  <si>
    <t>03.04.42.05_$pcode7$</t>
  </si>
  <si>
    <t>03.04.42.06_$pcode7$</t>
  </si>
  <si>
    <t>03.04.42.07_$pcode7$</t>
  </si>
  <si>
    <t>03.04.43_$pcode7$</t>
  </si>
  <si>
    <t>03.04.43.01_$pcode7$</t>
  </si>
  <si>
    <t>03.04.43.01.01_$pcode7$</t>
  </si>
  <si>
    <t>03.04.43.01.02_$pcode7$</t>
  </si>
  <si>
    <t>03.04.43.02_$pcode7$</t>
  </si>
  <si>
    <t>03.04.43.02.01_$pcode7$</t>
  </si>
  <si>
    <t>03.04.43.02.02_$pcode7$</t>
  </si>
  <si>
    <t>03.04.43.02.03_$pcode7$</t>
  </si>
  <si>
    <t>03.04.43.02.04_$pcode7$</t>
  </si>
  <si>
    <t>03.04.43.03_$pcode7$</t>
  </si>
  <si>
    <t>03.04.43.04_$pcode7$</t>
  </si>
  <si>
    <t>03.04.43.05_$pcode7$</t>
  </si>
  <si>
    <t>03.04.43.06_$pcode7$</t>
  </si>
  <si>
    <t>03.04.44_$pcode7$</t>
  </si>
  <si>
    <t>03.04.44.02_$pcode7$</t>
  </si>
  <si>
    <t>03.04.44.02.01_$pcode7$</t>
  </si>
  <si>
    <t>03.04.44.02.02_$pcode7$</t>
  </si>
  <si>
    <t>03.04.44.03_$pcode7$</t>
  </si>
  <si>
    <t>03.04.44.03.01_$pcode7$</t>
  </si>
  <si>
    <t>03.04.44.03.02_$pcode7$</t>
  </si>
  <si>
    <t>03.04.44.03.03_$pcode7$</t>
  </si>
  <si>
    <t>03.04.44.03.04_$pcode7$</t>
  </si>
  <si>
    <t>03.04.44.04_$pcode7$</t>
  </si>
  <si>
    <t>03.04.44.04.01_$pcode7$</t>
  </si>
  <si>
    <t>03.04.44.04.02_$pcode7$</t>
  </si>
  <si>
    <t>03.04.44.04.03_$pcode7$</t>
  </si>
  <si>
    <t>03.04.44.04.04_$pcode7$</t>
  </si>
  <si>
    <t>03.04.44.04.05_$pcode7$</t>
  </si>
  <si>
    <t>03.04.44.04.06_$pcode7$</t>
  </si>
  <si>
    <t>03.04.44.05_$pcode7$</t>
  </si>
  <si>
    <t>03.04.44.06_$pcode7$</t>
  </si>
  <si>
    <t>03.04.44.06.01_$pcode7$</t>
  </si>
  <si>
    <t>03.04.44.06.02_$pcode7$</t>
  </si>
  <si>
    <t>03.04.44.07_$pcode7$</t>
  </si>
  <si>
    <t>03.04.44.08_$pcode7$</t>
  </si>
  <si>
    <t>03.04.44.09_$pcode7$</t>
  </si>
  <si>
    <t>03.04.44.12_$pcode7$</t>
  </si>
  <si>
    <t>03.04.44.19_$pcode7$</t>
  </si>
  <si>
    <t>03.04.44.20_$pcode7$</t>
  </si>
  <si>
    <t>03.04.44.20.01_$pcode7$</t>
  </si>
  <si>
    <t>03.04.44.20.02_$pcode7$</t>
  </si>
  <si>
    <t>03.04.44.20.03_$pcode7$</t>
  </si>
  <si>
    <t>03.04.44.21_$pcode7$</t>
  </si>
  <si>
    <t>03.04.44.22_$pcode7$</t>
  </si>
  <si>
    <t>03.04.46_$pcode7$</t>
  </si>
  <si>
    <t>03.04.46.01_$pcode7$</t>
  </si>
  <si>
    <t>03.04.46.02_$pcode7$</t>
  </si>
  <si>
    <t>03.04.46.03_$pcode7$</t>
  </si>
  <si>
    <t>03.04.46.04_$pcode7$</t>
  </si>
  <si>
    <t>03.04.47_$pcode7$</t>
  </si>
  <si>
    <t>03.04.47.01_$pcode7$</t>
  </si>
  <si>
    <t>03.04.48_$pcode7$</t>
  </si>
  <si>
    <t>03.04.48.02_$pcode7$</t>
  </si>
  <si>
    <t>03.04.48.03_$pcode7$</t>
  </si>
  <si>
    <t>03.04.48.04_$pcode7$</t>
  </si>
  <si>
    <t>03.04.48.05_$pcode7$</t>
  </si>
  <si>
    <t>03.04.48.06_$pcode7$</t>
  </si>
  <si>
    <t>03.04.48.07_$pcode7$</t>
  </si>
  <si>
    <t>03.04.48.15_$pcode7$</t>
  </si>
  <si>
    <t>C03.04_$pcode8$</t>
  </si>
  <si>
    <t>03.04.34_$pcode8$</t>
  </si>
  <si>
    <t>03.04.34.01_$pcode8$</t>
  </si>
  <si>
    <t>03.04.34.01.01_$pcode8$</t>
  </si>
  <si>
    <t>03.04.34.01.01.04_$pcode8$</t>
  </si>
  <si>
    <t>03.04.34.01.01.05_$pcode8$</t>
  </si>
  <si>
    <t>03.04.34.01.02_$pcode8$</t>
  </si>
  <si>
    <t>03.04.34.01.02.01_$pcode8$</t>
  </si>
  <si>
    <t>03.04.34.01.02.02_$pcode8$</t>
  </si>
  <si>
    <t>03.04.34.01.02.03_$pcode8$</t>
  </si>
  <si>
    <t>03.04.34.01.02.04_$pcode8$</t>
  </si>
  <si>
    <t>03.04.34.01.03_$pcode8$</t>
  </si>
  <si>
    <t>03.04.34.01.03.04_$pcode8$</t>
  </si>
  <si>
    <t>03.04.34.01.03.05_$pcode8$</t>
  </si>
  <si>
    <t>03.04.34.01.03.08_$pcode8$</t>
  </si>
  <si>
    <t>03.04.34.01.03.09_$pcode8$</t>
  </si>
  <si>
    <t>03.04.34.01.04_$pcode8$</t>
  </si>
  <si>
    <t>03.04.34.01.04.01_$pcode8$</t>
  </si>
  <si>
    <t>03.04.34.01.04.03_$pcode8$</t>
  </si>
  <si>
    <t>03.04.34.01.04.04_$pcode8$</t>
  </si>
  <si>
    <t>03.04.34.01.05_$pcode8$</t>
  </si>
  <si>
    <t>03.04.34.01.06_$pcode8$</t>
  </si>
  <si>
    <t>03.04.34.01.07_$pcode8$</t>
  </si>
  <si>
    <t>03.04.34.03_$pcode8$</t>
  </si>
  <si>
    <t>03.04.34.03.03_$pcode8$</t>
  </si>
  <si>
    <t>03.04.34.03.03.03_$pcode8$</t>
  </si>
  <si>
    <t>03.04.34.03.03.04_$pcode8$</t>
  </si>
  <si>
    <t>03.04.34.03.05_$pcode8$</t>
  </si>
  <si>
    <t>03.04.34.03.05.01_$pcode8$</t>
  </si>
  <si>
    <t>03.04.34.03.05.02_$pcode8$</t>
  </si>
  <si>
    <t>03.04.34.03.06_$pcode8$</t>
  </si>
  <si>
    <t>03.04.34.03.06.01_$pcode8$</t>
  </si>
  <si>
    <t>03.04.34.03.06.02_$pcode8$</t>
  </si>
  <si>
    <t>03.04.34.03.07_$pcode8$</t>
  </si>
  <si>
    <t>03.04.34.03.07.01_$pcode8$</t>
  </si>
  <si>
    <t>03.04.34.03.07.02_$pcode8$</t>
  </si>
  <si>
    <t>03.04.34.03.08_$pcode8$</t>
  </si>
  <si>
    <t>03.04.34.03.08.01_$pcode8$</t>
  </si>
  <si>
    <t>03.04.34.03.08.02_$pcode8$</t>
  </si>
  <si>
    <t>03.04.34.04_$pcode8$</t>
  </si>
  <si>
    <t>03.04.34.04.01_$pcode8$</t>
  </si>
  <si>
    <t>03.04.34.04.02_$pcode8$</t>
  </si>
  <si>
    <t>03.04.34.04.03_$pcode8$</t>
  </si>
  <si>
    <t>03.04.35_$pcode8$</t>
  </si>
  <si>
    <t>03.04.35.01_$pcode8$</t>
  </si>
  <si>
    <t>03.04.35.01.04_$pcode8$</t>
  </si>
  <si>
    <t>03.04.35.01.05_$pcode8$</t>
  </si>
  <si>
    <t>03.04.35.02_$pcode8$</t>
  </si>
  <si>
    <t>03.04.35.07_$pcode8$</t>
  </si>
  <si>
    <t>03.04.35.08_$pcode8$</t>
  </si>
  <si>
    <t>03.04.35.09_$pcode8$</t>
  </si>
  <si>
    <t>03.04.35.10_$pcode8$</t>
  </si>
  <si>
    <t>03.04.35.11_$pcode8$</t>
  </si>
  <si>
    <t>03.04.35.12_$pcode8$</t>
  </si>
  <si>
    <t>03.04.35.13_$pcode8$</t>
  </si>
  <si>
    <t>03.04.36_$pcode8$</t>
  </si>
  <si>
    <t>03.04.36.01_$pcode8$</t>
  </si>
  <si>
    <t>03.04.36.01.01_$pcode8$</t>
  </si>
  <si>
    <t>03.04.36.01.01.03_$pcode8$</t>
  </si>
  <si>
    <t>03.04.36.01.01.04_$pcode8$</t>
  </si>
  <si>
    <t>03.04.36.01.03_$pcode8$</t>
  </si>
  <si>
    <t>03.04.36.01.05_$pcode8$</t>
  </si>
  <si>
    <t>03.04.36.01.07_$pcode8$</t>
  </si>
  <si>
    <t>03.04.36.01.08_$pcode8$</t>
  </si>
  <si>
    <t>03.04.36.01.08.03_$pcode8$</t>
  </si>
  <si>
    <t>03.04.36.01.08.04_$pcode8$</t>
  </si>
  <si>
    <t>03.04.36.01.10_$pcode8$</t>
  </si>
  <si>
    <t>03.04.36.01.13_$pcode8$</t>
  </si>
  <si>
    <t>03.04.36.01.15_$pcode8$</t>
  </si>
  <si>
    <t>03.04.36.01.16_$pcode8$</t>
  </si>
  <si>
    <t>03.04.36.02_$pcode8$</t>
  </si>
  <si>
    <t>03.04.36.02.03_$pcode8$</t>
  </si>
  <si>
    <t>03.04.36.02.04_$pcode8$</t>
  </si>
  <si>
    <t>03.04.36.03_$pcode8$</t>
  </si>
  <si>
    <t>03.04.36.03.02_$pcode8$</t>
  </si>
  <si>
    <t>03.04.37_$pcode8$</t>
  </si>
  <si>
    <t>03.04.37.05_$pcode8$</t>
  </si>
  <si>
    <t>03.04.37.05.01_$pcode8$</t>
  </si>
  <si>
    <t>03.04.37.05.02_$pcode8$</t>
  </si>
  <si>
    <t>03.04.37.05.03_$pcode8$</t>
  </si>
  <si>
    <t>03.04.37.06_$pcode8$</t>
  </si>
  <si>
    <t>03.04.37.06.01_$pcode8$</t>
  </si>
  <si>
    <t>03.04.37.06.02_$pcode8$</t>
  </si>
  <si>
    <t>03.04.37.06.03_$pcode8$</t>
  </si>
  <si>
    <t>03.04.37.07_$pcode8$</t>
  </si>
  <si>
    <t>03.04.37.07.01_$pcode8$</t>
  </si>
  <si>
    <t>03.04.37.07.02_$pcode8$</t>
  </si>
  <si>
    <t>03.04.37.07.03_$pcode8$</t>
  </si>
  <si>
    <t>03.04.37.08_$pcode8$</t>
  </si>
  <si>
    <t>03.04.37.08.01_$pcode8$</t>
  </si>
  <si>
    <t>03.04.37.08.02_$pcode8$</t>
  </si>
  <si>
    <t>03.04.37.08.03_$pcode8$</t>
  </si>
  <si>
    <t>03.04.37.09_$pcode8$</t>
  </si>
  <si>
    <t>03.04.37.09.01_$pcode8$</t>
  </si>
  <si>
    <t>03.04.37.09.02_$pcode8$</t>
  </si>
  <si>
    <t>03.04.37.09.03_$pcode8$</t>
  </si>
  <si>
    <t>03.04.37.10_$pcode8$</t>
  </si>
  <si>
    <t>03.04.37.10.01_$pcode8$</t>
  </si>
  <si>
    <t>03.04.37.10.02_$pcode8$</t>
  </si>
  <si>
    <t>03.04.37.11_$pcode8$</t>
  </si>
  <si>
    <t>03.04.37.11.01_$pcode8$</t>
  </si>
  <si>
    <t>03.04.37.11.02_$pcode8$</t>
  </si>
  <si>
    <t>03.04.37.11.03_$pcode8$</t>
  </si>
  <si>
    <t>03.04.37.24_$pcode8$</t>
  </si>
  <si>
    <t>03.04.37.24.01_$pcode8$</t>
  </si>
  <si>
    <t>03.04.37.24.02_$pcode8$</t>
  </si>
  <si>
    <t>03.04.37.25_$pcode8$</t>
  </si>
  <si>
    <t>03.04.37.26_$pcode8$</t>
  </si>
  <si>
    <t>03.04.37.27_$pcode8$</t>
  </si>
  <si>
    <t>03.04.37.28_$pcode8$</t>
  </si>
  <si>
    <t>03.04.38_$pcode8$</t>
  </si>
  <si>
    <t>03.04.38.01_$pcode8$</t>
  </si>
  <si>
    <t>03.04.38.01.01_$pcode8$</t>
  </si>
  <si>
    <t>03.04.38.01.01.01_$pcode8$</t>
  </si>
  <si>
    <t>03.04.38.01.01.02_$pcode8$</t>
  </si>
  <si>
    <t>03.04.38.01.02_$pcode8$</t>
  </si>
  <si>
    <t>03.04.38.01.02.01_$pcode8$</t>
  </si>
  <si>
    <t>03.04.38.01.02.02_$pcode8$</t>
  </si>
  <si>
    <t>03.04.38.01.03_$pcode8$</t>
  </si>
  <si>
    <t>03.04.38.02_$pcode8$</t>
  </si>
  <si>
    <t>03.04.38.02.01_$pcode8$</t>
  </si>
  <si>
    <t>03.04.38.02.02_$pcode8$</t>
  </si>
  <si>
    <t>03.04.38.02.03_$pcode8$</t>
  </si>
  <si>
    <t>03.04.39_$pcode8$</t>
  </si>
  <si>
    <t>03.04.39.01_$pcode8$</t>
  </si>
  <si>
    <t>03.04.39.02_$pcode8$</t>
  </si>
  <si>
    <t>03.04.39.03_$pcode8$</t>
  </si>
  <si>
    <t>03.04.40_$pcode8$</t>
  </si>
  <si>
    <t>03.04.40.01_$pcode8$</t>
  </si>
  <si>
    <t>03.04.40.02_$pcode8$</t>
  </si>
  <si>
    <t>03.04.41_$pcode8$</t>
  </si>
  <si>
    <t>03.04.41.01_$pcode8$</t>
  </si>
  <si>
    <t>03.04.41.01.01_$pcode8$</t>
  </si>
  <si>
    <t>03.04.41.01.02_$pcode8$</t>
  </si>
  <si>
    <t>03.04.41.01.03_$pcode8$</t>
  </si>
  <si>
    <t>03.04.41.01.04_$pcode8$</t>
  </si>
  <si>
    <t>03.04.41.01.05_$pcode8$</t>
  </si>
  <si>
    <t>03.04.41.01.06_$pcode8$</t>
  </si>
  <si>
    <t>03.04.41.02_$pcode8$</t>
  </si>
  <si>
    <t>03.04.41.02.01_$pcode8$</t>
  </si>
  <si>
    <t>03.04.41.02.02_$pcode8$</t>
  </si>
  <si>
    <t>03.04.41.02.03_$pcode8$</t>
  </si>
  <si>
    <t>03.04.41.02.04_$pcode8$</t>
  </si>
  <si>
    <t>03.04.41.02.05_$pcode8$</t>
  </si>
  <si>
    <t>03.04.41.02.06_$pcode8$</t>
  </si>
  <si>
    <t>03.04.41.02.07_$pcode8$</t>
  </si>
  <si>
    <t>03.04.41.02.08_$pcode8$</t>
  </si>
  <si>
    <t>03.04.41.02.09_$pcode8$</t>
  </si>
  <si>
    <t>03.04.41.03_$pcode8$</t>
  </si>
  <si>
    <t>03.04.41.05_$pcode8$</t>
  </si>
  <si>
    <t>03.04.41.06_$pcode8$</t>
  </si>
  <si>
    <t>03.04.41.07_$pcode8$</t>
  </si>
  <si>
    <t>03.04.42_$pcode8$</t>
  </si>
  <si>
    <t>03.04.42.01_$pcode8$</t>
  </si>
  <si>
    <t>03.04.42.02_$pcode8$</t>
  </si>
  <si>
    <t>03.04.42.03_$pcode8$</t>
  </si>
  <si>
    <t>03.04.42.04_$pcode8$</t>
  </si>
  <si>
    <t>03.04.42.04.01_$pcode8$</t>
  </si>
  <si>
    <t>03.04.42.04.02_$pcode8$</t>
  </si>
  <si>
    <t>03.04.42.04.03_$pcode8$</t>
  </si>
  <si>
    <t>03.04.42.04.04_$pcode8$</t>
  </si>
  <si>
    <t>03.04.42.04.05_$pcode8$</t>
  </si>
  <si>
    <t>03.04.42.04.06_$pcode8$</t>
  </si>
  <si>
    <t>03.04.42.04.07_$pcode8$</t>
  </si>
  <si>
    <t>03.04.42.04.08_$pcode8$</t>
  </si>
  <si>
    <t>03.04.42.04.09_$pcode8$</t>
  </si>
  <si>
    <t>03.04.42.05_$pcode8$</t>
  </si>
  <si>
    <t>03.04.42.06_$pcode8$</t>
  </si>
  <si>
    <t>03.04.42.07_$pcode8$</t>
  </si>
  <si>
    <t>03.04.43_$pcode8$</t>
  </si>
  <si>
    <t>03.04.43.01_$pcode8$</t>
  </si>
  <si>
    <t>03.04.43.01.01_$pcode8$</t>
  </si>
  <si>
    <t>03.04.43.01.02_$pcode8$</t>
  </si>
  <si>
    <t>03.04.43.02_$pcode8$</t>
  </si>
  <si>
    <t>03.04.43.02.01_$pcode8$</t>
  </si>
  <si>
    <t>03.04.43.02.02_$pcode8$</t>
  </si>
  <si>
    <t>03.04.43.02.03_$pcode8$</t>
  </si>
  <si>
    <t>03.04.43.02.04_$pcode8$</t>
  </si>
  <si>
    <t>03.04.43.03_$pcode8$</t>
  </si>
  <si>
    <t>03.04.43.04_$pcode8$</t>
  </si>
  <si>
    <t>03.04.43.05_$pcode8$</t>
  </si>
  <si>
    <t>03.04.43.06_$pcode8$</t>
  </si>
  <si>
    <t>03.04.44_$pcode8$</t>
  </si>
  <si>
    <t>03.04.44.02_$pcode8$</t>
  </si>
  <si>
    <t>03.04.44.02.01_$pcode8$</t>
  </si>
  <si>
    <t>03.04.44.02.02_$pcode8$</t>
  </si>
  <si>
    <t>03.04.44.03_$pcode8$</t>
  </si>
  <si>
    <t>03.04.44.03.01_$pcode8$</t>
  </si>
  <si>
    <t>03.04.44.03.02_$pcode8$</t>
  </si>
  <si>
    <t>03.04.44.03.03_$pcode8$</t>
  </si>
  <si>
    <t>03.04.44.03.04_$pcode8$</t>
  </si>
  <si>
    <t>03.04.44.03.05_$pcode8$</t>
  </si>
  <si>
    <t>03.04.44.04_$pcode8$</t>
  </si>
  <si>
    <t>03.04.44.04.01_$pcode8$</t>
  </si>
  <si>
    <t>03.04.44.04.02_$pcode8$</t>
  </si>
  <si>
    <t>03.04.44.04.03_$pcode8$</t>
  </si>
  <si>
    <t>03.04.44.04.04_$pcode8$</t>
  </si>
  <si>
    <t>03.04.44.04.05_$pcode8$</t>
  </si>
  <si>
    <t>03.04.44.04.06_$pcode8$</t>
  </si>
  <si>
    <t>03.04.44.05_$pcode8$</t>
  </si>
  <si>
    <t>03.04.44.06_$pcode8$</t>
  </si>
  <si>
    <t>03.04.44.06.01_$pcode8$</t>
  </si>
  <si>
    <t>03.04.44.06.02_$pcode8$</t>
  </si>
  <si>
    <t>03.04.44.07_$pcode8$</t>
  </si>
  <si>
    <t>03.04.44.10_$pcode8$</t>
  </si>
  <si>
    <t>03.04.44.11_$pcode8$</t>
  </si>
  <si>
    <t>03.04.44.12_$pcode8$</t>
  </si>
  <si>
    <t>03.04.44.13_$pcode8$</t>
  </si>
  <si>
    <t>03.04.44.19_$pcode8$</t>
  </si>
  <si>
    <t>03.04.44.20_$pcode8$</t>
  </si>
  <si>
    <t>03.04.44.20.01_$pcode8$</t>
  </si>
  <si>
    <t>03.04.44.20.02_$pcode8$</t>
  </si>
  <si>
    <t>03.04.44.20.03_$pcode8$</t>
  </si>
  <si>
    <t>03.04.44.21_$pcode8$</t>
  </si>
  <si>
    <t>03.04.44.22_$pcode8$</t>
  </si>
  <si>
    <t>03.04.46_$pcode8$</t>
  </si>
  <si>
    <t>03.04.46.01_$pcode8$</t>
  </si>
  <si>
    <t>03.04.46.02_$pcode8$</t>
  </si>
  <si>
    <t>03.04.46.03_$pcode8$</t>
  </si>
  <si>
    <t>03.04.46.04_$pcode8$</t>
  </si>
  <si>
    <t>03.04.47_$pcode8$</t>
  </si>
  <si>
    <t>03.04.47.01_$pcode8$</t>
  </si>
  <si>
    <t>03.04.48_$pcode8$</t>
  </si>
  <si>
    <t>台/台</t>
  </si>
  <si>
    <t>03.04.48.02_$pcode8$</t>
  </si>
  <si>
    <t>03.04.48.03_$pcode8$</t>
  </si>
  <si>
    <t>03.04.48.08_$pcode8$</t>
  </si>
  <si>
    <t>03.04.48.15_$pcode8$</t>
  </si>
  <si>
    <t>C03.04_$pcode9$</t>
  </si>
  <si>
    <t>03.04.34_$pcode9$</t>
  </si>
  <si>
    <t>03.04.34.01_$pcode9$</t>
  </si>
  <si>
    <t>03.04.34.01.01_$pcode9$</t>
  </si>
  <si>
    <t>03.04.34.01.01.04_$pcode9$</t>
  </si>
  <si>
    <t>03.04.34.01.01.05_$pcode9$</t>
  </si>
  <si>
    <t>03.04.34.01.02_$pcode9$</t>
  </si>
  <si>
    <t>03.04.34.01.02.01_$pcode9$</t>
  </si>
  <si>
    <t>03.04.34.01.02.02_$pcode9$</t>
  </si>
  <si>
    <t>03.04.34.01.02.03_$pcode9$</t>
  </si>
  <si>
    <t>03.04.34.01.02.04_$pcode9$</t>
  </si>
  <si>
    <t>03.04.34.01.03_$pcode9$</t>
  </si>
  <si>
    <t>03.04.34.01.03.04_$pcode9$</t>
  </si>
  <si>
    <t>03.04.34.01.03.05_$pcode9$</t>
  </si>
  <si>
    <t>03.04.34.01.03.08_$pcode9$</t>
  </si>
  <si>
    <t>03.04.34.01.03.09_$pcode9$</t>
  </si>
  <si>
    <t>03.04.34.01.04_$pcode9$</t>
  </si>
  <si>
    <t>03.04.34.01.04.01_$pcode9$</t>
  </si>
  <si>
    <t>03.04.34.01.04.03_$pcode9$</t>
  </si>
  <si>
    <t>03.04.34.01.04.04_$pcode9$</t>
  </si>
  <si>
    <t>03.04.34.01.05_$pcode9$</t>
  </si>
  <si>
    <t>03.04.34.01.06_$pcode9$</t>
  </si>
  <si>
    <t>03.04.34.01.07_$pcode9$</t>
  </si>
  <si>
    <t>03.04.34.03_$pcode9$</t>
  </si>
  <si>
    <t>03.04.34.03.03_$pcode9$</t>
  </si>
  <si>
    <t>03.04.34.03.03.03_$pcode9$</t>
  </si>
  <si>
    <t>03.04.34.03.03.04_$pcode9$</t>
  </si>
  <si>
    <t>03.04.34.03.05_$pcode9$</t>
  </si>
  <si>
    <t>03.04.34.03.05.01_$pcode9$</t>
  </si>
  <si>
    <t>03.04.34.03.05.02_$pcode9$</t>
  </si>
  <si>
    <t>03.04.34.03.06_$pcode9$</t>
  </si>
  <si>
    <t>03.04.34.03.06.01_$pcode9$</t>
  </si>
  <si>
    <t>03.04.34.03.06.02_$pcode9$</t>
  </si>
  <si>
    <t>03.04.34.03.07_$pcode9$</t>
  </si>
  <si>
    <t>03.04.34.03.07.01_$pcode9$</t>
  </si>
  <si>
    <t>03.04.34.03.07.02_$pcode9$</t>
  </si>
  <si>
    <t>03.04.34.03.08_$pcode9$</t>
  </si>
  <si>
    <t>03.04.34.03.08.01_$pcode9$</t>
  </si>
  <si>
    <t>03.04.34.03.08.02_$pcode9$</t>
  </si>
  <si>
    <t>03.04.34.04_$pcode9$</t>
  </si>
  <si>
    <t>03.04.34.04.01_$pcode9$</t>
  </si>
  <si>
    <t>03.04.34.04.02_$pcode9$</t>
  </si>
  <si>
    <t>03.04.34.04.03_$pcode9$</t>
  </si>
  <si>
    <t>03.04.35_$pcode9$</t>
  </si>
  <si>
    <t>03.04.35.01_$pcode9$</t>
  </si>
  <si>
    <t>03.04.35.01.04_$pcode9$</t>
  </si>
  <si>
    <t>03.04.35.01.05_$pcode9$</t>
  </si>
  <si>
    <t>03.04.35.02_$pcode9$</t>
  </si>
  <si>
    <t>03.04.35.07_$pcode9$</t>
  </si>
  <si>
    <t>03.04.35.08_$pcode9$</t>
  </si>
  <si>
    <t>03.04.35.09_$pcode9$</t>
  </si>
  <si>
    <t>03.04.35.10_$pcode9$</t>
  </si>
  <si>
    <t>03.04.35.11_$pcode9$</t>
  </si>
  <si>
    <t>03.04.35.12_$pcode9$</t>
  </si>
  <si>
    <t>03.04.35.13_$pcode9$</t>
  </si>
  <si>
    <t>03.04.36_$pcode9$</t>
  </si>
  <si>
    <t>03.04.36.01_$pcode9$</t>
  </si>
  <si>
    <t>03.04.36.01.01_$pcode9$</t>
  </si>
  <si>
    <t>03.04.36.01.01.03_$pcode9$</t>
  </si>
  <si>
    <t>03.04.36.01.01.04_$pcode9$</t>
  </si>
  <si>
    <t>03.04.36.01.03_$pcode9$</t>
  </si>
  <si>
    <t>03.04.36.01.05_$pcode9$</t>
  </si>
  <si>
    <t>03.04.36.01.07_$pcode9$</t>
  </si>
  <si>
    <t>03.04.36.01.08_$pcode9$</t>
  </si>
  <si>
    <t>03.04.36.01.08.03_$pcode9$</t>
  </si>
  <si>
    <t>03.04.36.01.08.04_$pcode9$</t>
  </si>
  <si>
    <t>03.04.36.01.10_$pcode9$</t>
  </si>
  <si>
    <t>03.04.36.01.13_$pcode9$</t>
  </si>
  <si>
    <t>03.04.36.01.15_$pcode9$</t>
  </si>
  <si>
    <t>03.04.36.01.16_$pcode9$</t>
  </si>
  <si>
    <t>03.04.36.02_$pcode9$</t>
  </si>
  <si>
    <t>03.04.36.02.03_$pcode9$</t>
  </si>
  <si>
    <t>03.04.36.02.04_$pcode9$</t>
  </si>
  <si>
    <t>03.04.36.03_$pcode9$</t>
  </si>
  <si>
    <t>03.04.36.03.02_$pcode9$</t>
  </si>
  <si>
    <t>03.04.37_$pcode9$</t>
  </si>
  <si>
    <t>03.04.37.05_$pcode9$</t>
  </si>
  <si>
    <t>03.04.37.05.01_$pcode9$</t>
  </si>
  <si>
    <t>03.04.37.05.02_$pcode9$</t>
  </si>
  <si>
    <t>03.04.37.05.03_$pcode9$</t>
  </si>
  <si>
    <t>03.04.37.06_$pcode9$</t>
  </si>
  <si>
    <t>03.04.37.06.01_$pcode9$</t>
  </si>
  <si>
    <t>03.04.37.06.02_$pcode9$</t>
  </si>
  <si>
    <t>03.04.37.06.03_$pcode9$</t>
  </si>
  <si>
    <t>03.04.37.07_$pcode9$</t>
  </si>
  <si>
    <t>03.04.37.07.01_$pcode9$</t>
  </si>
  <si>
    <t>03.04.37.07.02_$pcode9$</t>
  </si>
  <si>
    <t>03.04.37.07.03_$pcode9$</t>
  </si>
  <si>
    <t>03.04.37.08_$pcode9$</t>
  </si>
  <si>
    <t>03.04.37.08.01_$pcode9$</t>
  </si>
  <si>
    <t>03.04.37.08.02_$pcode9$</t>
  </si>
  <si>
    <t>03.04.37.08.03_$pcode9$</t>
  </si>
  <si>
    <t>03.04.37.09_$pcode9$</t>
  </si>
  <si>
    <t>03.04.37.09.01_$pcode9$</t>
  </si>
  <si>
    <t>03.04.37.09.02_$pcode9$</t>
  </si>
  <si>
    <t>03.04.37.09.03_$pcode9$</t>
  </si>
  <si>
    <t>03.04.37.10_$pcode9$</t>
  </si>
  <si>
    <t>03.04.37.10.01_$pcode9$</t>
  </si>
  <si>
    <t>03.04.37.10.02_$pcode9$</t>
  </si>
  <si>
    <t>03.04.37.11_$pcode9$</t>
  </si>
  <si>
    <t>03.04.37.11.01_$pcode9$</t>
  </si>
  <si>
    <t>03.04.37.11.02_$pcode9$</t>
  </si>
  <si>
    <t>03.04.37.11.03_$pcode9$</t>
  </si>
  <si>
    <t>03.04.37.24_$pcode9$</t>
  </si>
  <si>
    <t>03.04.37.24.01_$pcode9$</t>
  </si>
  <si>
    <t>03.04.37.24.02_$pcode9$</t>
  </si>
  <si>
    <t>03.04.37.25_$pcode9$</t>
  </si>
  <si>
    <t>03.04.37.26_$pcode9$</t>
  </si>
  <si>
    <t>03.04.37.27_$pcode9$</t>
  </si>
  <si>
    <t>03.04.37.28_$pcode9$</t>
  </si>
  <si>
    <t>03.04.38_$pcode9$</t>
  </si>
  <si>
    <t>03.04.38.01_$pcode9$</t>
  </si>
  <si>
    <t>03.04.38.01.01_$pcode9$</t>
  </si>
  <si>
    <t>03.04.38.01.01.01_$pcode9$</t>
  </si>
  <si>
    <t>03.04.38.01.01.02_$pcode9$</t>
  </si>
  <si>
    <t>03.04.38.01.02_$pcode9$</t>
  </si>
  <si>
    <t>03.04.38.01.02.01_$pcode9$</t>
  </si>
  <si>
    <t>03.04.38.01.02.02_$pcode9$</t>
  </si>
  <si>
    <t>03.04.38.01.03_$pcode9$</t>
  </si>
  <si>
    <t>03.04.38.02_$pcode9$</t>
  </si>
  <si>
    <t>03.04.38.02.01_$pcode9$</t>
  </si>
  <si>
    <t>03.04.38.02.02_$pcode9$</t>
  </si>
  <si>
    <t>03.04.38.02.03_$pcode9$</t>
  </si>
  <si>
    <t>03.04.39_$pcode9$</t>
  </si>
  <si>
    <t>03.04.39.01_$pcode9$</t>
  </si>
  <si>
    <t>03.04.39.02_$pcode9$</t>
  </si>
  <si>
    <t>03.04.39.03_$pcode9$</t>
  </si>
  <si>
    <t>03.04.40_$pcode9$</t>
  </si>
  <si>
    <t>03.04.40.01_$pcode9$</t>
  </si>
  <si>
    <t>03.04.40.02_$pcode9$</t>
  </si>
  <si>
    <t>03.04.41_$pcode9$</t>
  </si>
  <si>
    <t>03.04.41.01_$pcode9$</t>
  </si>
  <si>
    <t>03.04.41.01.01_$pcode9$</t>
  </si>
  <si>
    <t>03.04.41.01.02_$pcode9$</t>
  </si>
  <si>
    <t>03.04.41.01.03_$pcode9$</t>
  </si>
  <si>
    <t>03.04.41.01.04_$pcode9$</t>
  </si>
  <si>
    <t>03.04.41.01.05_$pcode9$</t>
  </si>
  <si>
    <t>03.04.41.01.06_$pcode9$</t>
  </si>
  <si>
    <t>03.04.41.02_$pcode9$</t>
  </si>
  <si>
    <t>03.04.41.02.01_$pcode9$</t>
  </si>
  <si>
    <t>03.04.41.02.02_$pcode9$</t>
  </si>
  <si>
    <t>03.04.41.02.03_$pcode9$</t>
  </si>
  <si>
    <t>03.04.41.02.04_$pcode9$</t>
  </si>
  <si>
    <t>03.04.41.02.05_$pcode9$</t>
  </si>
  <si>
    <t>03.04.41.02.06_$pcode9$</t>
  </si>
  <si>
    <t>03.04.41.02.07_$pcode9$</t>
  </si>
  <si>
    <t>03.04.41.02.08_$pcode9$</t>
  </si>
  <si>
    <t>03.04.41.02.09_$pcode9$</t>
  </si>
  <si>
    <t>03.04.41.03_$pcode9$</t>
  </si>
  <si>
    <t>03.04.41.05_$pcode9$</t>
  </si>
  <si>
    <t>03.04.41.06_$pcode9$</t>
  </si>
  <si>
    <t>03.04.41.07_$pcode9$</t>
  </si>
  <si>
    <t>03.04.42_$pcode9$</t>
  </si>
  <si>
    <t>03.04.42.01_$pcode9$</t>
  </si>
  <si>
    <t>03.04.42.02_$pcode9$</t>
  </si>
  <si>
    <t>03.04.42.03_$pcode9$</t>
  </si>
  <si>
    <t>03.04.42.04_$pcode9$</t>
  </si>
  <si>
    <t>03.04.42.04.01_$pcode9$</t>
  </si>
  <si>
    <t>03.04.42.04.02_$pcode9$</t>
  </si>
  <si>
    <t>03.04.42.04.03_$pcode9$</t>
  </si>
  <si>
    <t>03.04.42.04.04_$pcode9$</t>
  </si>
  <si>
    <t>03.04.42.04.05_$pcode9$</t>
  </si>
  <si>
    <t>03.04.42.04.06_$pcode9$</t>
  </si>
  <si>
    <t>03.04.42.04.07_$pcode9$</t>
  </si>
  <si>
    <t>03.04.42.04.08_$pcode9$</t>
  </si>
  <si>
    <t>03.04.42.04.09_$pcode9$</t>
  </si>
  <si>
    <t>03.04.42.05_$pcode9$</t>
  </si>
  <si>
    <t>03.04.42.06_$pcode9$</t>
  </si>
  <si>
    <t>03.04.42.07_$pcode9$</t>
  </si>
  <si>
    <t>03.04.43_$pcode9$</t>
  </si>
  <si>
    <t>03.04.43.01_$pcode9$</t>
  </si>
  <si>
    <t>03.04.43.01.01_$pcode9$</t>
  </si>
  <si>
    <t>03.04.43.01.02_$pcode9$</t>
  </si>
  <si>
    <t>03.04.43.02_$pcode9$</t>
  </si>
  <si>
    <t>03.04.43.02.01_$pcode9$</t>
  </si>
  <si>
    <t>03.04.43.02.02_$pcode9$</t>
  </si>
  <si>
    <t>03.04.43.02.03_$pcode9$</t>
  </si>
  <si>
    <t>03.04.43.02.04_$pcode9$</t>
  </si>
  <si>
    <t>03.04.43.03_$pcode9$</t>
  </si>
  <si>
    <t>03.04.43.04_$pcode9$</t>
  </si>
  <si>
    <t>03.04.43.05_$pcode9$</t>
  </si>
  <si>
    <t>03.04.43.06_$pcode9$</t>
  </si>
  <si>
    <t>03.04.44_$pcode9$</t>
  </si>
  <si>
    <t>03.04.44.02_$pcode9$</t>
  </si>
  <si>
    <t>03.04.44.02.01_$pcode9$</t>
  </si>
  <si>
    <t>03.04.44.02.02_$pcode9$</t>
  </si>
  <si>
    <t>03.04.44.03_$pcode9$</t>
  </si>
  <si>
    <t>03.04.44.03.01_$pcode9$</t>
  </si>
  <si>
    <t>03.04.44.03.02_$pcode9$</t>
  </si>
  <si>
    <t>03.04.44.03.03_$pcode9$</t>
  </si>
  <si>
    <t>03.04.44.03.04_$pcode9$</t>
  </si>
  <si>
    <t>03.04.44.03.05_$pcode9$</t>
  </si>
  <si>
    <t>03.04.44.04_$pcode9$</t>
  </si>
  <si>
    <t>03.04.44.04.01_$pcode9$</t>
  </si>
  <si>
    <t>03.04.44.04.02_$pcode9$</t>
  </si>
  <si>
    <t>03.04.44.04.03_$pcode9$</t>
  </si>
  <si>
    <t>03.04.44.04.04_$pcode9$</t>
  </si>
  <si>
    <t>03.04.44.04.05_$pcode9$</t>
  </si>
  <si>
    <t>03.04.44.04.06_$pcode9$</t>
  </si>
  <si>
    <t>03.04.44.05_$pcode9$</t>
  </si>
  <si>
    <t>03.04.44.06_$pcode9$</t>
  </si>
  <si>
    <t>03.04.44.06.01_$pcode9$</t>
  </si>
  <si>
    <t>03.04.44.06.02_$pcode9$</t>
  </si>
  <si>
    <t>03.04.44.07_$pcode9$</t>
  </si>
  <si>
    <t>03.04.44.10_$pcode9$</t>
  </si>
  <si>
    <t>03.04.44.11_$pcode9$</t>
  </si>
  <si>
    <t>03.04.44.12_$pcode9$</t>
  </si>
  <si>
    <t>03.04.44.13_$pcode9$</t>
  </si>
  <si>
    <t>03.04.44.19_$pcode9$</t>
  </si>
  <si>
    <t>03.04.44.20_$pcode9$</t>
  </si>
  <si>
    <t>03.04.44.20.01_$pcode9$</t>
  </si>
  <si>
    <t>03.04.44.20.02_$pcode9$</t>
  </si>
  <si>
    <t>03.04.44.20.03_$pcode9$</t>
  </si>
  <si>
    <t>03.04.44.21_$pcode9$</t>
  </si>
  <si>
    <t>03.04.44.22_$pcode9$</t>
  </si>
  <si>
    <t>03.04.46_$pcode9$</t>
  </si>
  <si>
    <t>03.04.46.01_$pcode9$</t>
  </si>
  <si>
    <t>03.04.46.02_$pcode9$</t>
  </si>
  <si>
    <t>03.04.46.03_$pcode9$</t>
  </si>
  <si>
    <t>03.04.46.04_$pcode9$</t>
  </si>
  <si>
    <t>03.04.47_$pcode9$</t>
  </si>
  <si>
    <t>03.04.47.01_$pcode9$</t>
  </si>
  <si>
    <t>03.04.48_$pcode9$</t>
  </si>
  <si>
    <t>03.04.48.02_$pcode9$</t>
  </si>
  <si>
    <t>03.04.48.03_$pcode9$</t>
  </si>
  <si>
    <t>03.04.48.08_$pcode9$</t>
  </si>
  <si>
    <t>03.04.48.15_$pcode9$</t>
  </si>
  <si>
    <t>C03.04_$pcode10$</t>
  </si>
  <si>
    <t>03.04.34_$pcode10$</t>
  </si>
  <si>
    <t>03.04.34.01_$pcode10$</t>
  </si>
  <si>
    <t>03.04.34.01.01_$pcode10$</t>
  </si>
  <si>
    <t>03.04.34.01.01.04_$pcode10$</t>
  </si>
  <si>
    <t>03.04.34.01.01.05_$pcode10$</t>
  </si>
  <si>
    <t>03.04.34.01.02_$pcode10$</t>
  </si>
  <si>
    <t>03.04.34.01.02.01_$pcode10$</t>
  </si>
  <si>
    <t>03.04.34.01.02.02_$pcode10$</t>
  </si>
  <si>
    <t>03.04.34.01.02.03_$pcode10$</t>
  </si>
  <si>
    <t>03.04.34.01.02.04_$pcode10$</t>
  </si>
  <si>
    <t>03.04.34.01.03_$pcode10$</t>
  </si>
  <si>
    <t>03.04.34.01.03.04_$pcode10$</t>
  </si>
  <si>
    <t>03.04.34.01.03.05_$pcode10$</t>
  </si>
  <si>
    <t>03.04.34.01.03.08_$pcode10$</t>
  </si>
  <si>
    <t>03.04.34.01.03.09_$pcode10$</t>
  </si>
  <si>
    <t>03.04.34.01.04_$pcode10$</t>
  </si>
  <si>
    <t>03.04.34.01.04.01_$pcode10$</t>
  </si>
  <si>
    <t>03.04.34.01.04.03_$pcode10$</t>
  </si>
  <si>
    <t>03.04.34.01.04.04_$pcode10$</t>
  </si>
  <si>
    <t>03.04.34.01.05_$pcode10$</t>
  </si>
  <si>
    <t>03.04.34.01.06_$pcode10$</t>
  </si>
  <si>
    <t>03.04.34.01.07_$pcode10$</t>
  </si>
  <si>
    <t>03.04.34.03_$pcode10$</t>
  </si>
  <si>
    <t>03.04.34.03.03_$pcode10$</t>
  </si>
  <si>
    <t>03.04.34.03.03.03_$pcode10$</t>
  </si>
  <si>
    <t>03.04.34.03.03.04_$pcode10$</t>
  </si>
  <si>
    <t>03.04.34.03.05_$pcode10$</t>
  </si>
  <si>
    <t>03.04.34.03.05.01_$pcode10$</t>
  </si>
  <si>
    <t>03.04.34.03.05.02_$pcode10$</t>
  </si>
  <si>
    <t>03.04.34.03.06_$pcode10$</t>
  </si>
  <si>
    <t>03.04.34.03.06.01_$pcode10$</t>
  </si>
  <si>
    <t>03.04.34.03.06.02_$pcode10$</t>
  </si>
  <si>
    <t>03.04.34.03.07_$pcode10$</t>
  </si>
  <si>
    <t>03.04.34.03.07.01_$pcode10$</t>
  </si>
  <si>
    <t>03.04.34.03.07.02_$pcode10$</t>
  </si>
  <si>
    <t>03.04.34.03.08_$pcode10$</t>
  </si>
  <si>
    <t>03.04.34.03.08.01_$pcode10$</t>
  </si>
  <si>
    <t>03.04.34.03.08.02_$pcode10$</t>
  </si>
  <si>
    <t>03.04.34.04_$pcode10$</t>
  </si>
  <si>
    <t>03.04.34.04.01_$pcode10$</t>
  </si>
  <si>
    <t>03.04.34.04.02_$pcode10$</t>
  </si>
  <si>
    <t>03.04.34.04.03_$pcode10$</t>
  </si>
  <si>
    <t>03.04.35_$pcode10$</t>
  </si>
  <si>
    <t>03.04.35.01_$pcode10$</t>
  </si>
  <si>
    <t>03.04.35.01.04_$pcode10$</t>
  </si>
  <si>
    <t>03.04.35.01.05_$pcode10$</t>
  </si>
  <si>
    <t>03.04.35.02_$pcode10$</t>
  </si>
  <si>
    <t>03.04.35.07_$pcode10$</t>
  </si>
  <si>
    <t>03.04.35.08_$pcode10$</t>
  </si>
  <si>
    <t>03.04.35.09_$pcode10$</t>
  </si>
  <si>
    <t>03.04.35.10_$pcode10$</t>
  </si>
  <si>
    <t>03.04.35.11_$pcode10$</t>
  </si>
  <si>
    <t>03.04.35.12_$pcode10$</t>
  </si>
  <si>
    <t>03.04.35.13_$pcode10$</t>
  </si>
  <si>
    <t>03.04.36_$pcode10$</t>
  </si>
  <si>
    <t>03.04.36.01_$pcode10$</t>
  </si>
  <si>
    <t>03.04.36.01.01_$pcode10$</t>
  </si>
  <si>
    <t>03.04.36.01.01.03_$pcode10$</t>
  </si>
  <si>
    <t>03.04.36.01.01.04_$pcode10$</t>
  </si>
  <si>
    <t>03.04.36.01.03_$pcode10$</t>
  </si>
  <si>
    <t>03.04.36.01.05_$pcode10$</t>
  </si>
  <si>
    <t>03.04.36.01.07_$pcode10$</t>
  </si>
  <si>
    <t>03.04.36.01.08_$pcode10$</t>
  </si>
  <si>
    <t>03.04.36.01.08.03_$pcode10$</t>
  </si>
  <si>
    <t>03.04.36.01.08.04_$pcode10$</t>
  </si>
  <si>
    <t>03.04.36.01.10_$pcode10$</t>
  </si>
  <si>
    <t>03.04.36.01.13_$pcode10$</t>
  </si>
  <si>
    <t>03.04.36.01.15_$pcode10$</t>
  </si>
  <si>
    <t>03.04.36.01.16_$pcode10$</t>
  </si>
  <si>
    <t>03.04.36.02_$pcode10$</t>
  </si>
  <si>
    <t>03.04.36.02.03_$pcode10$</t>
  </si>
  <si>
    <t>03.04.36.02.04_$pcode10$</t>
  </si>
  <si>
    <t>03.04.36.03_$pcode10$</t>
  </si>
  <si>
    <t>03.04.36.03.02_$pcode10$</t>
  </si>
  <si>
    <t>03.04.37_$pcode10$</t>
  </si>
  <si>
    <t>03.04.37.05_$pcode10$</t>
  </si>
  <si>
    <t>03.04.37.05.01_$pcode10$</t>
  </si>
  <si>
    <t>03.04.37.05.02_$pcode10$</t>
  </si>
  <si>
    <t>03.04.37.05.03_$pcode10$</t>
  </si>
  <si>
    <t>03.04.37.06_$pcode10$</t>
  </si>
  <si>
    <t>03.04.37.06.01_$pcode10$</t>
  </si>
  <si>
    <t>03.04.37.06.02_$pcode10$</t>
  </si>
  <si>
    <t>03.04.37.06.03_$pcode10$</t>
  </si>
  <si>
    <t>03.04.37.07_$pcode10$</t>
  </si>
  <si>
    <t>03.04.37.07.01_$pcode10$</t>
  </si>
  <si>
    <t>03.04.37.07.02_$pcode10$</t>
  </si>
  <si>
    <t>03.04.37.07.03_$pcode10$</t>
  </si>
  <si>
    <t>03.04.37.12_$pcode10$</t>
  </si>
  <si>
    <t>03.04.37.12.01_$pcode10$</t>
  </si>
  <si>
    <t>03.04.37.12.02_$pcode10$</t>
  </si>
  <si>
    <t>03.04.37.12.03_$pcode10$</t>
  </si>
  <si>
    <t>03.04.37.13_$pcode10$</t>
  </si>
  <si>
    <t>03.04.37.13.01_$pcode10$</t>
  </si>
  <si>
    <t>03.04.37.13.02_$pcode10$</t>
  </si>
  <si>
    <t>03.04.37.13.03_$pcode10$</t>
  </si>
  <si>
    <t>03.04.37.14_$pcode10$</t>
  </si>
  <si>
    <t>03.04.37.14.01_$pcode10$</t>
  </si>
  <si>
    <t>03.04.37.14.02_$pcode10$</t>
  </si>
  <si>
    <t>03.04.37.14.03_$pcode10$</t>
  </si>
  <si>
    <t>03.04.37.15_$pcode10$</t>
  </si>
  <si>
    <t>03.04.37.15.01_$pcode10$</t>
  </si>
  <si>
    <t>03.04.37.15.02_$pcode10$</t>
  </si>
  <si>
    <t>03.04.37.15.03_$pcode10$</t>
  </si>
  <si>
    <t>03.04.37.16_$pcode10$</t>
  </si>
  <si>
    <t>03.04.37.16.01_$pcode10$</t>
  </si>
  <si>
    <t>03.04.37.16.02_$pcode10$</t>
  </si>
  <si>
    <t>03.04.37.16.03_$pcode10$</t>
  </si>
  <si>
    <t>03.04.37.17_$pcode10$</t>
  </si>
  <si>
    <t>03.04.37.17.01_$pcode10$</t>
  </si>
  <si>
    <t>03.04.37.17.02_$pcode10$</t>
  </si>
  <si>
    <t>03.04.37.17.03_$pcode10$</t>
  </si>
  <si>
    <t>03.04.37.18_$pcode10$</t>
  </si>
  <si>
    <t>03.04.37.18.01_$pcode10$</t>
  </si>
  <si>
    <t>03.04.37.18.02_$pcode10$</t>
  </si>
  <si>
    <t>03.04.37.18.03_$pcode10$</t>
  </si>
  <si>
    <t>03.04.37.19_$pcode10$</t>
  </si>
  <si>
    <t>03.04.37.19.01_$pcode10$</t>
  </si>
  <si>
    <t>03.04.37.19.02_$pcode10$</t>
  </si>
  <si>
    <t>03.04.37.19.03_$pcode10$</t>
  </si>
  <si>
    <t>03.04.37.20_$pcode10$</t>
  </si>
  <si>
    <t>03.04.37.20.01_$pcode10$</t>
  </si>
  <si>
    <t>03.04.37.20.02_$pcode10$</t>
  </si>
  <si>
    <t>03.04.37.20.03_$pcode10$</t>
  </si>
  <si>
    <t>03.04.37.21_$pcode10$</t>
  </si>
  <si>
    <t>03.04.37.21.01_$pcode10$</t>
  </si>
  <si>
    <t>03.04.37.21.02_$pcode10$</t>
  </si>
  <si>
    <t>03.04.37.21.03_$pcode10$</t>
  </si>
  <si>
    <t>03.04.37.22_$pcode10$</t>
  </si>
  <si>
    <t>03.04.37.22.01_$pcode10$</t>
  </si>
  <si>
    <t>03.04.37.22.02_$pcode10$</t>
  </si>
  <si>
    <t>03.04.37.22.03_$pcode10$</t>
  </si>
  <si>
    <t>03.04.37.23_$pcode10$</t>
  </si>
  <si>
    <t>03.04.37.23.01_$pcode10$</t>
  </si>
  <si>
    <t>03.04.37.23.02_$pcode10$</t>
  </si>
  <si>
    <t>03.04.37.23.03_$pcode10$</t>
  </si>
  <si>
    <t>03.04.37.24_$pcode10$</t>
  </si>
  <si>
    <t>03.04.37.24.01_$pcode10$</t>
  </si>
  <si>
    <t>03.04.37.24.02_$pcode10$</t>
  </si>
  <si>
    <t>03.04.37.25_$pcode10$</t>
  </si>
  <si>
    <t>03.04.37.26_$pcode10$</t>
  </si>
  <si>
    <t>03.04.37.27_$pcode10$</t>
  </si>
  <si>
    <t>03.04.37.28_$pcode10$</t>
  </si>
  <si>
    <t>03.04.38_$pcode10$</t>
  </si>
  <si>
    <t>03.04.38.01_$pcode10$</t>
  </si>
  <si>
    <t>03.04.38.01.01_$pcode10$</t>
  </si>
  <si>
    <t>03.04.38.01.01.01_$pcode10$</t>
  </si>
  <si>
    <t>03.04.38.01.01.02_$pcode10$</t>
  </si>
  <si>
    <t>03.04.38.01.02_$pcode10$</t>
  </si>
  <si>
    <t>03.04.38.01.02.01_$pcode10$</t>
  </si>
  <si>
    <t>03.04.38.01.02.02_$pcode10$</t>
  </si>
  <si>
    <t>03.04.38.01.03_$pcode10$</t>
  </si>
  <si>
    <t>03.04.38.02_$pcode10$</t>
  </si>
  <si>
    <t>03.04.38.02.01_$pcode10$</t>
  </si>
  <si>
    <t>03.04.38.02.02_$pcode10$</t>
  </si>
  <si>
    <t>03.04.38.02.03_$pcode10$</t>
  </si>
  <si>
    <t>03.04.39_$pcode10$</t>
  </si>
  <si>
    <t>03.04.39.01_$pcode10$</t>
  </si>
  <si>
    <t>03.04.39.02_$pcode10$</t>
  </si>
  <si>
    <t>03.04.39.03_$pcode10$</t>
  </si>
  <si>
    <t>03.04.40_$pcode10$</t>
  </si>
  <si>
    <t>03.04.40.01_$pcode10$</t>
  </si>
  <si>
    <t>03.04.40.02_$pcode10$</t>
  </si>
  <si>
    <t>03.04.41_$pcode10$</t>
  </si>
  <si>
    <t>03.04.41.01_$pcode10$</t>
  </si>
  <si>
    <t>03.04.41.01.01_$pcode10$</t>
  </si>
  <si>
    <t>03.04.41.01.02_$pcode10$</t>
  </si>
  <si>
    <t>03.04.41.01.03_$pcode10$</t>
  </si>
  <si>
    <t>03.04.41.01.04_$pcode10$</t>
  </si>
  <si>
    <t>03.04.41.01.05_$pcode10$</t>
  </si>
  <si>
    <t>03.04.41.01.06_$pcode10$</t>
  </si>
  <si>
    <t>03.04.41.02_$pcode10$</t>
  </si>
  <si>
    <t>03.04.41.02.01_$pcode10$</t>
  </si>
  <si>
    <t>03.04.41.02.02_$pcode10$</t>
  </si>
  <si>
    <t>03.04.41.02.03_$pcode10$</t>
  </si>
  <si>
    <t>03.04.41.02.04_$pcode10$</t>
  </si>
  <si>
    <t>03.04.41.02.05_$pcode10$</t>
  </si>
  <si>
    <t>03.04.41.02.06_$pcode10$</t>
  </si>
  <si>
    <t>03.04.41.02.07_$pcode10$</t>
  </si>
  <si>
    <t>03.04.41.02.08_$pcode10$</t>
  </si>
  <si>
    <t>03.04.41.02.09_$pcode10$</t>
  </si>
  <si>
    <t>03.04.41.03_$pcode10$</t>
  </si>
  <si>
    <t>03.04.41.05_$pcode10$</t>
  </si>
  <si>
    <t>03.04.41.06_$pcode10$</t>
  </si>
  <si>
    <t>03.04.41.07_$pcode10$</t>
  </si>
  <si>
    <t>03.04.42_$pcode10$</t>
  </si>
  <si>
    <t>03.04.42.01_$pcode10$</t>
  </si>
  <si>
    <t>03.04.42.02_$pcode10$</t>
  </si>
  <si>
    <t>03.04.42.03_$pcode10$</t>
  </si>
  <si>
    <t>03.04.42.04_$pcode10$</t>
  </si>
  <si>
    <t>03.04.42.04.01_$pcode10$</t>
  </si>
  <si>
    <t>03.04.42.04.02_$pcode10$</t>
  </si>
  <si>
    <t>03.04.42.04.03_$pcode10$</t>
  </si>
  <si>
    <t>03.04.42.04.04_$pcode10$</t>
  </si>
  <si>
    <t>03.04.42.04.05_$pcode10$</t>
  </si>
  <si>
    <t>03.04.42.04.06_$pcode10$</t>
  </si>
  <si>
    <t>03.04.42.04.07_$pcode10$</t>
  </si>
  <si>
    <t>03.04.42.04.08_$pcode10$</t>
  </si>
  <si>
    <t>03.04.42.04.09_$pcode10$</t>
  </si>
  <si>
    <t>03.04.42.05_$pcode10$</t>
  </si>
  <si>
    <t>03.04.42.06_$pcode10$</t>
  </si>
  <si>
    <t>03.04.42.07_$pcode10$</t>
  </si>
  <si>
    <t>03.04.43_$pcode10$</t>
  </si>
  <si>
    <t>03.04.43.01_$pcode10$</t>
  </si>
  <si>
    <t>03.04.43.01.01_$pcode10$</t>
  </si>
  <si>
    <t>03.04.43.01.02_$pcode10$</t>
  </si>
  <si>
    <t>03.04.43.02_$pcode10$</t>
  </si>
  <si>
    <t>03.04.43.02.01_$pcode10$</t>
  </si>
  <si>
    <t>03.04.43.02.02_$pcode10$</t>
  </si>
  <si>
    <t>03.04.43.02.03_$pcode10$</t>
  </si>
  <si>
    <t>03.04.43.02.04_$pcode10$</t>
  </si>
  <si>
    <t>03.04.43.03_$pcode10$</t>
  </si>
  <si>
    <t>03.04.43.04_$pcode10$</t>
  </si>
  <si>
    <t>03.04.43.05_$pcode10$</t>
  </si>
  <si>
    <t>03.04.43.06_$pcode10$</t>
  </si>
  <si>
    <t>03.04.44_$pcode10$</t>
  </si>
  <si>
    <t>03.04.44.02_$pcode10$</t>
  </si>
  <si>
    <t>03.04.44.02.01_$pcode10$</t>
  </si>
  <si>
    <t>03.04.44.02.02_$pcode10$</t>
  </si>
  <si>
    <t>03.04.44.03_$pcode10$</t>
  </si>
  <si>
    <t>03.04.44.03.01_$pcode10$</t>
  </si>
  <si>
    <t>03.04.44.03.02_$pcode10$</t>
  </si>
  <si>
    <t>03.04.44.03.03_$pcode10$</t>
  </si>
  <si>
    <t>03.04.44.03.04_$pcode10$</t>
  </si>
  <si>
    <t>03.04.44.04_$pcode10$</t>
  </si>
  <si>
    <t>03.04.44.04.01_$pcode10$</t>
  </si>
  <si>
    <t>03.04.44.04.02_$pcode10$</t>
  </si>
  <si>
    <t>03.04.44.04.03_$pcode10$</t>
  </si>
  <si>
    <t>03.04.44.04.04_$pcode10$</t>
  </si>
  <si>
    <t>03.04.44.04.05_$pcode10$</t>
  </si>
  <si>
    <t>03.04.44.04.06_$pcode10$</t>
  </si>
  <si>
    <t>03.04.44.05_$pcode10$</t>
  </si>
  <si>
    <t>03.04.44.06_$pcode10$</t>
  </si>
  <si>
    <t>03.04.44.06.01_$pcode10$</t>
  </si>
  <si>
    <t>03.04.44.06.02_$pcode10$</t>
  </si>
  <si>
    <t>03.04.44.07_$pcode10$</t>
  </si>
  <si>
    <t>03.04.44.11_$pcode10$</t>
  </si>
  <si>
    <t>03.04.44.12_$pcode10$</t>
  </si>
  <si>
    <t>03.04.44.13_$pcode10$</t>
  </si>
  <si>
    <t>03.04.44.14_$pcode10$</t>
  </si>
  <si>
    <t>03.04.44.15_$pcode10$</t>
  </si>
  <si>
    <t>03.04.44.16_$pcode10$</t>
  </si>
  <si>
    <t>03.04.44.17_$pcode10$</t>
  </si>
  <si>
    <t>03.04.44.18_$pcode10$</t>
  </si>
  <si>
    <t>03.04.44.19_$pcode10$</t>
  </si>
  <si>
    <t>03.04.44.20_$pcode10$</t>
  </si>
  <si>
    <t>03.04.44.20.01_$pcode10$</t>
  </si>
  <si>
    <t>03.04.44.20.02_$pcode10$</t>
  </si>
  <si>
    <t>03.04.44.20.03_$pcode10$</t>
  </si>
  <si>
    <t>03.04.44.21_$pcode10$</t>
  </si>
  <si>
    <t>03.04.44.22_$pcode10$</t>
  </si>
  <si>
    <t>03.04.46_$pcode10$</t>
  </si>
  <si>
    <t>03.04.46.01_$pcode10$</t>
  </si>
  <si>
    <t>03.04.46.02_$pcode10$</t>
  </si>
  <si>
    <t>03.04.46.03_$pcode10$</t>
  </si>
  <si>
    <t>03.04.46.04_$pcode10$</t>
  </si>
  <si>
    <t>03.04.47_$pcode10$</t>
  </si>
  <si>
    <t>03.04.47.01_$pcode10$</t>
  </si>
  <si>
    <t>03.04.48_$pcode10$</t>
  </si>
  <si>
    <t>03.04.48.02_$pcode10$</t>
  </si>
  <si>
    <t>03.04.48.03_$pcode10$</t>
  </si>
  <si>
    <t>03.04.48.08_$pcode10$</t>
  </si>
  <si>
    <t>03.04.48.09_$pcode10$</t>
  </si>
  <si>
    <t>03.04.48.10_$pcode10$</t>
  </si>
  <si>
    <t>03.04.48.11_$pcode10$</t>
  </si>
  <si>
    <t>03.04.48.12_$pcode10$</t>
  </si>
  <si>
    <t>03.04.48.13_$pcode10$</t>
  </si>
  <si>
    <t>03.04.48.14_$pcode10$</t>
  </si>
  <si>
    <t>03.04.48.14.01_$pcode10$</t>
  </si>
  <si>
    <t>03.04.48.14.02_$pcode10$</t>
  </si>
  <si>
    <t>03.04.48.15_$pcode10$</t>
  </si>
  <si>
    <t xml:space="preserve">   03.05配套工程</t>
  </si>
  <si>
    <t>C03.05</t>
  </si>
  <si>
    <t xml:space="preserve">      03.05.01小区给水管网工程</t>
  </si>
  <si>
    <t>C03.05.01</t>
  </si>
  <si>
    <t xml:space="preserve">         03.05.01.01总表前给水工程</t>
  </si>
  <si>
    <t>C03.05.01.01</t>
  </si>
  <si>
    <t xml:space="preserve">         03.05.01.02总表后给水工程</t>
  </si>
  <si>
    <t>C03.05.01.02</t>
  </si>
  <si>
    <t xml:space="preserve">         03.05.01.03管材管件供货</t>
  </si>
  <si>
    <t>C03.05.01.03</t>
  </si>
  <si>
    <t xml:space="preserve">         03.05.01.04阀门供货</t>
  </si>
  <si>
    <t>C03.05.01.04</t>
  </si>
  <si>
    <t xml:space="preserve">      03.05.02小区室外排水管网工程</t>
  </si>
  <si>
    <t>C03.05.02</t>
  </si>
  <si>
    <t xml:space="preserve">         03.05.02.01室外排水工程</t>
  </si>
  <si>
    <t>C03.05.02.01</t>
  </si>
  <si>
    <t xml:space="preserve">         03.05.02.02管材管件供货</t>
  </si>
  <si>
    <t>C03.05.02.02</t>
  </si>
  <si>
    <t xml:space="preserve">      03.05.03变配电工程</t>
  </si>
  <si>
    <t>C03.05.03</t>
  </si>
  <si>
    <t xml:space="preserve">         03.05.03.01高压进线</t>
  </si>
  <si>
    <t>㎡/km</t>
  </si>
  <si>
    <t>C03.05.03.01</t>
  </si>
  <si>
    <t xml:space="preserve">         03.05.03.02红线内高低压配电房</t>
  </si>
  <si>
    <t>受电面积</t>
  </si>
  <si>
    <t>C03.05.03.02</t>
  </si>
  <si>
    <t xml:space="preserve">         03.05.03.03住户表前配电</t>
  </si>
  <si>
    <t>住宅面积</t>
  </si>
  <si>
    <t>C03.05.03.03</t>
  </si>
  <si>
    <t xml:space="preserve">         03.05.03.04非住宅表前配电</t>
  </si>
  <si>
    <t>非住宅面积</t>
  </si>
  <si>
    <t>C03.05.03.04</t>
  </si>
  <si>
    <t xml:space="preserve">         03.05.03.05发电机组工程</t>
  </si>
  <si>
    <t>C03.05.03.05</t>
  </si>
  <si>
    <t xml:space="preserve">         03.05.03.06发电机环保工程</t>
  </si>
  <si>
    <t>C03.05.03.06</t>
  </si>
  <si>
    <t xml:space="preserve">         03.05.03.07其他变配电工程</t>
  </si>
  <si>
    <t>C03.05.03.07</t>
  </si>
  <si>
    <t xml:space="preserve">      03.05.04小区燃气工程</t>
  </si>
  <si>
    <t>C03.05.04</t>
  </si>
  <si>
    <t xml:space="preserve">         03.05.04.01小区燃气</t>
  </si>
  <si>
    <t>C03.05.04.01</t>
  </si>
  <si>
    <t xml:space="preserve">         03.05.04.02住户燃气</t>
  </si>
  <si>
    <t>C03.05.04.02</t>
  </si>
  <si>
    <t xml:space="preserve">         03.05.04.03燃气进线</t>
  </si>
  <si>
    <t>C03.05.04.03</t>
  </si>
  <si>
    <t xml:space="preserve">         03.05.04.04单体内燃气</t>
  </si>
  <si>
    <t>户数含量</t>
  </si>
  <si>
    <t>户/㎡</t>
  </si>
  <si>
    <t>C03.05.04.04</t>
  </si>
  <si>
    <t xml:space="preserve">      03.05.05小区采暖管网工程</t>
  </si>
  <si>
    <t>C03.05.05</t>
  </si>
  <si>
    <t xml:space="preserve">         03.05.05.01小区采暖管网工程</t>
  </si>
  <si>
    <t>C03.05.05.01</t>
  </si>
  <si>
    <t xml:space="preserve">      03.05.06其他</t>
  </si>
  <si>
    <t>C03.05.06</t>
  </si>
  <si>
    <t xml:space="preserve">         03.05.06.01其他配套工程</t>
  </si>
  <si>
    <t>请备注详情</t>
  </si>
  <si>
    <t>C03.05.06.01</t>
  </si>
  <si>
    <t xml:space="preserve">   03.06室外工程</t>
  </si>
  <si>
    <t>C03.06</t>
  </si>
  <si>
    <t xml:space="preserve">      03.06.01小区道路</t>
  </si>
  <si>
    <t>C03.06.01</t>
  </si>
  <si>
    <t xml:space="preserve">         03.06.01.01市政道路工程</t>
  </si>
  <si>
    <t>C03.06.01.01</t>
  </si>
  <si>
    <t xml:space="preserve">         03.06.01.02园建道路工程</t>
  </si>
  <si>
    <t>C03.06.01.02</t>
  </si>
  <si>
    <t xml:space="preserve">      03.06.02室外园建</t>
  </si>
  <si>
    <t>C03.06.02</t>
  </si>
  <si>
    <t xml:space="preserve">         03.06.02.01小区园建工程</t>
  </si>
  <si>
    <t>C03.06.02.01</t>
  </si>
  <si>
    <t xml:space="preserve">         03.06.02.02水景工程</t>
  </si>
  <si>
    <t>C03.06.02.02</t>
  </si>
  <si>
    <t xml:space="preserve">         03.06.02.03首层住宅围栏工程</t>
  </si>
  <si>
    <t>C03.06.02.03</t>
  </si>
  <si>
    <t xml:space="preserve">         03.06.02.04小区出入口、围墙工程</t>
  </si>
  <si>
    <t>C03.06.02.04</t>
  </si>
  <si>
    <t xml:space="preserve">         03.06.02.05电线电缆供货</t>
  </si>
  <si>
    <t>C03.06.02.05</t>
  </si>
  <si>
    <t xml:space="preserve">         03.06.02.06室外真石漆供货</t>
  </si>
  <si>
    <t>C03.06.02.06</t>
  </si>
  <si>
    <t xml:space="preserve">         03.06.02.07室外泳池、水景设备供货</t>
  </si>
  <si>
    <t>C03.06.02.07</t>
  </si>
  <si>
    <t xml:space="preserve">         03.06.02.08其他室外园建工程</t>
  </si>
  <si>
    <t>C03.06.02.08</t>
  </si>
  <si>
    <t xml:space="preserve">      03.06.03室外绿化</t>
  </si>
  <si>
    <t>C03.06.03</t>
  </si>
  <si>
    <t xml:space="preserve">         03.06.03.01乔木</t>
  </si>
  <si>
    <t>C03.06.03.01</t>
  </si>
  <si>
    <t xml:space="preserve">         03.06.03.02灌木</t>
  </si>
  <si>
    <t>C03.06.03.02</t>
  </si>
  <si>
    <t xml:space="preserve">         03.06.03.03植被</t>
  </si>
  <si>
    <t>C03.06.03.03</t>
  </si>
  <si>
    <t xml:space="preserve">         03.06.03.04种植土</t>
  </si>
  <si>
    <t>C03.06.03.04</t>
  </si>
  <si>
    <t xml:space="preserve">      03.06.04室外雕塑及小品</t>
  </si>
  <si>
    <t>C03.06.04</t>
  </si>
  <si>
    <t xml:space="preserve">         03.06.04.01游乐设施</t>
  </si>
  <si>
    <t>C03.06.04.01</t>
  </si>
  <si>
    <t xml:space="preserve">         03.06.04.02雕塑工程</t>
  </si>
  <si>
    <t>C03.06.04.02</t>
  </si>
  <si>
    <t xml:space="preserve">         03.06.04.03室外铁艺工程</t>
  </si>
  <si>
    <t>C03.06.04.03</t>
  </si>
  <si>
    <t xml:space="preserve">         03.06.04.04园区小品</t>
  </si>
  <si>
    <t>C03.06.04.04</t>
  </si>
  <si>
    <t xml:space="preserve">         03.06.04.05其他室外装饰工程</t>
  </si>
  <si>
    <t>C03.06.04.05</t>
  </si>
  <si>
    <t xml:space="preserve">      03.06.05小区背景音乐系统</t>
  </si>
  <si>
    <t>C03.06.05</t>
  </si>
  <si>
    <t xml:space="preserve">         03.06.05.01小区背景音乐系统</t>
  </si>
  <si>
    <t>C03.06.05.01</t>
  </si>
  <si>
    <t xml:space="preserve">      03.06.06小区照明系统</t>
  </si>
  <si>
    <t>C03.06.06</t>
  </si>
  <si>
    <t xml:space="preserve">         03.06.06.01小区照明工程</t>
  </si>
  <si>
    <t>C03.06.06.01</t>
  </si>
  <si>
    <t xml:space="preserve">         03.06.06.02景观灯供货</t>
  </si>
  <si>
    <t>C03.06.06.02</t>
  </si>
  <si>
    <t xml:space="preserve">      03.06.07小区标识工程</t>
  </si>
  <si>
    <t>C03.06.07</t>
  </si>
  <si>
    <t xml:space="preserve">         03.06.07.01小区标识工程</t>
  </si>
  <si>
    <t>C03.06.07.01</t>
  </si>
  <si>
    <t xml:space="preserve">      03.06.08其他</t>
  </si>
  <si>
    <t>C03.06.08</t>
  </si>
  <si>
    <t xml:space="preserve">         03.06.08.01其他室外工程</t>
  </si>
  <si>
    <t>C03.06.08.01</t>
  </si>
  <si>
    <t xml:space="preserve">      03.06.09地面景观工程</t>
  </si>
  <si>
    <t>C03.06.09</t>
  </si>
  <si>
    <t xml:space="preserve">         03.06.09.01市政绿地景观工程</t>
  </si>
  <si>
    <t>C03.06.09.01</t>
  </si>
  <si>
    <t xml:space="preserve">         03.06.09.02地面铺装工程</t>
  </si>
  <si>
    <t>C03.06.09.02</t>
  </si>
  <si>
    <t xml:space="preserve">         03.06.09.03水景工程</t>
  </si>
  <si>
    <t>C03.06.09.03</t>
  </si>
  <si>
    <t xml:space="preserve">         03.06.09.04绿化工程</t>
  </si>
  <si>
    <t>C03.06.09.04</t>
  </si>
  <si>
    <t xml:space="preserve">         03.06.09.05种植池工程</t>
  </si>
  <si>
    <t>C03.06.09.05</t>
  </si>
  <si>
    <t xml:space="preserve">         03.06.09.06雕塑及小品工程</t>
  </si>
  <si>
    <t>C03.06.09.06</t>
  </si>
  <si>
    <t xml:space="preserve">         03.06.09.07照明及给排水系统工程</t>
  </si>
  <si>
    <t>C03.06.09.07</t>
  </si>
  <si>
    <t xml:space="preserve">      03.06.10下沉广场景观工程</t>
  </si>
  <si>
    <t>C03.06.10</t>
  </si>
  <si>
    <t xml:space="preserve">         03.06.10.01铺装工程</t>
  </si>
  <si>
    <t>C03.06.10.01</t>
  </si>
  <si>
    <t xml:space="preserve">         03.06.10.02竖向及顶面景观工程</t>
  </si>
  <si>
    <t>C03.06.10.02</t>
  </si>
  <si>
    <t xml:space="preserve">         03.06.10.03绿化工程</t>
  </si>
  <si>
    <t>C03.06.10.03</t>
  </si>
  <si>
    <t xml:space="preserve">      03.06.11室内主题空间景观工程</t>
  </si>
  <si>
    <t>C03.06.11</t>
  </si>
  <si>
    <t xml:space="preserve">         03.06.11.01室内主题空间景观工程</t>
  </si>
  <si>
    <t>C03.06.11.01</t>
  </si>
  <si>
    <t xml:space="preserve">      03.06.12屋顶景观工程</t>
  </si>
  <si>
    <t>C03.06.13</t>
  </si>
  <si>
    <t xml:space="preserve">         03.06.12.01屋顶景观工程</t>
  </si>
  <si>
    <t>屋顶绿化面占比</t>
  </si>
  <si>
    <t>C03.06.13.01</t>
  </si>
  <si>
    <t xml:space="preserve">      03.06.13标识工程</t>
  </si>
  <si>
    <t>C03.06.14</t>
  </si>
  <si>
    <t xml:space="preserve">         03.06.13.01标识工程</t>
  </si>
  <si>
    <t>C03.06.14.01</t>
  </si>
  <si>
    <t xml:space="preserve">   03.07户内装饰工程</t>
  </si>
  <si>
    <t>C03.07</t>
  </si>
  <si>
    <t>C03.07_$pcode1$</t>
  </si>
  <si>
    <t>C03.07_12</t>
  </si>
  <si>
    <t>C03.07_13</t>
  </si>
  <si>
    <t>C03.07_14</t>
  </si>
  <si>
    <t>C03.07_$pcode2$</t>
  </si>
  <si>
    <t>C03.07_$pcode3$</t>
  </si>
  <si>
    <t>C03.07_$pcode4$</t>
  </si>
  <si>
    <t>C03.07_$pcode5$</t>
  </si>
  <si>
    <t>C03.07_$pcode6$</t>
  </si>
  <si>
    <t>C03.07_33</t>
  </si>
  <si>
    <t xml:space="preserve">   03.08基础设施工程</t>
  </si>
  <si>
    <t>C03.08</t>
  </si>
  <si>
    <t xml:space="preserve">      03.08.01变配电工程</t>
  </si>
  <si>
    <t>C03.08.01</t>
  </si>
  <si>
    <t xml:space="preserve">         03.08.01.01变配电工程</t>
  </si>
  <si>
    <t>C03.08.01.01</t>
  </si>
  <si>
    <t xml:space="preserve">      03.08.02燃气工程</t>
  </si>
  <si>
    <t>C03.08.02</t>
  </si>
  <si>
    <t xml:space="preserve">         03.08.02.01燃气工程</t>
  </si>
  <si>
    <t>C03.08.02.01</t>
  </si>
  <si>
    <t xml:space="preserve">      03.08.03热力工程</t>
  </si>
  <si>
    <t>C03.08.03</t>
  </si>
  <si>
    <t xml:space="preserve">         03.08.03.01热力工程</t>
  </si>
  <si>
    <t>C03.08.03.01</t>
  </si>
  <si>
    <t xml:space="preserve">      03.08.04园建工程</t>
  </si>
  <si>
    <t>C03.08.04</t>
  </si>
  <si>
    <t xml:space="preserve">         03.08.04.01园建工程</t>
  </si>
  <si>
    <t>C03.08.04.01</t>
  </si>
  <si>
    <t xml:space="preserve">      03.08.05绿化工程</t>
  </si>
  <si>
    <t>C03.08.05</t>
  </si>
  <si>
    <t xml:space="preserve">         03.08.05.01绿化工程</t>
  </si>
  <si>
    <t>C03.08.05.01</t>
  </si>
  <si>
    <t xml:space="preserve">      03.08.06道路工程</t>
  </si>
  <si>
    <t>C03.08.06</t>
  </si>
  <si>
    <t xml:space="preserve">         03.08.06.01道路工程</t>
  </si>
  <si>
    <t>C03.08.06.01</t>
  </si>
  <si>
    <t xml:space="preserve">      03.08.07桥梁工程</t>
  </si>
  <si>
    <t>C03.08.07</t>
  </si>
  <si>
    <t xml:space="preserve">         03.08.07.01桥梁工程</t>
  </si>
  <si>
    <t>C03.08.07.01</t>
  </si>
  <si>
    <t xml:space="preserve">      03.08.08涵洞工程</t>
  </si>
  <si>
    <t>C03.08.08</t>
  </si>
  <si>
    <t xml:space="preserve">         03.08.08.01涵洞工程</t>
  </si>
  <si>
    <t>C03.08.08.01</t>
  </si>
  <si>
    <t xml:space="preserve">      03.08.09截洪沟工程</t>
  </si>
  <si>
    <t>C03.08.09</t>
  </si>
  <si>
    <t xml:space="preserve">         03.08.09.01截洪沟工程</t>
  </si>
  <si>
    <t>C03.08.09.01</t>
  </si>
  <si>
    <t xml:space="preserve">      03.08.10山体工程</t>
  </si>
  <si>
    <t>C03.08.10</t>
  </si>
  <si>
    <t xml:space="preserve">         03.08.10.01山体工程</t>
  </si>
  <si>
    <t>C03.08.10.01</t>
  </si>
  <si>
    <t xml:space="preserve">      03.08.11河道整治工程</t>
  </si>
  <si>
    <t>C03.08.11</t>
  </si>
  <si>
    <t xml:space="preserve">         03.08.11.01河道整治工程</t>
  </si>
  <si>
    <t>C03.08.11.01</t>
  </si>
  <si>
    <t xml:space="preserve">      03.08.12配套工程</t>
  </si>
  <si>
    <t>C03.08.12</t>
  </si>
  <si>
    <t xml:space="preserve">         03.08.12.01配套工程</t>
  </si>
  <si>
    <t>C03.08.12.01</t>
  </si>
  <si>
    <t xml:space="preserve">      03.08.13其他基础设施工程</t>
  </si>
  <si>
    <t>C03.08.13</t>
  </si>
  <si>
    <t xml:space="preserve">         03.08.13.01其他基础设施工程</t>
  </si>
  <si>
    <t>C03.08.13.01</t>
  </si>
  <si>
    <t xml:space="preserve">      03.08.14地铁连接通道及相关费用工程</t>
  </si>
  <si>
    <t>C03.08.14</t>
  </si>
  <si>
    <t xml:space="preserve">      03.08.14.01地铁连接通道及相关费用工程</t>
  </si>
  <si>
    <t>C03.08.14.01</t>
  </si>
  <si>
    <t xml:space="preserve">   03.09卖场包装费用</t>
  </si>
  <si>
    <t>C03.09</t>
  </si>
  <si>
    <t xml:space="preserve">      03.09.01临时售楼处、临时租赁中心、临时样板房工程</t>
  </si>
  <si>
    <t>C03.09.01</t>
  </si>
  <si>
    <t xml:space="preserve">         03.09.01.01临时售楼处建安工程</t>
  </si>
  <si>
    <t>卖场面积</t>
  </si>
  <si>
    <t>C03.09.01.01</t>
  </si>
  <si>
    <t xml:space="preserve">         03.09.01.02临时样板房建安工程</t>
  </si>
  <si>
    <t>C03.09.01.02</t>
  </si>
  <si>
    <t xml:space="preserve">         03.09.01.03临时售楼处装饰工程</t>
  </si>
  <si>
    <t>C03.09.01.03</t>
  </si>
  <si>
    <t xml:space="preserve">         03.09.01.04临时样板房装饰工程</t>
  </si>
  <si>
    <t>C03.09.01.04</t>
  </si>
  <si>
    <t xml:space="preserve">         03.09.01.05临时售楼处门窗</t>
  </si>
  <si>
    <t>C03.09.01.05</t>
  </si>
  <si>
    <t xml:space="preserve">         03.09.01.06临时售楼处外立面装饰</t>
  </si>
  <si>
    <t>C03.09.01.06</t>
  </si>
  <si>
    <t xml:space="preserve">         03.09.01.07其他临时卖场工程</t>
  </si>
  <si>
    <t>C03.09.01.07</t>
  </si>
  <si>
    <t xml:space="preserve">      03.09.02实体售楼处、实体租赁中心、实体样板房、样板展示区工程</t>
  </si>
  <si>
    <t>C03.09.02</t>
  </si>
  <si>
    <t xml:space="preserve">         03.09.02.01售楼处装饰工程</t>
  </si>
  <si>
    <t>C03.09.02.01</t>
  </si>
  <si>
    <t xml:space="preserve">         03.09.02.02样板房装饰工程</t>
  </si>
  <si>
    <t>C03.09.02.02</t>
  </si>
  <si>
    <t xml:space="preserve">         03.09.02.03售楼处门窗</t>
  </si>
  <si>
    <t>C03.09.02.03</t>
  </si>
  <si>
    <t xml:space="preserve">         03.09.02.04售楼处外立面装饰</t>
  </si>
  <si>
    <t>C03.09.02.04</t>
  </si>
  <si>
    <t xml:space="preserve">         03.09.02.05其他实体卖场工程</t>
  </si>
  <si>
    <t>C03.09.02.05</t>
  </si>
  <si>
    <t xml:space="preserve">      03.09.03售楼处、样板房空调工程</t>
  </si>
  <si>
    <t>C03.09.03</t>
  </si>
  <si>
    <t xml:space="preserve">         03.09.03.01售楼处、样板房空调工程</t>
  </si>
  <si>
    <t>C03.09.03.01</t>
  </si>
  <si>
    <t xml:space="preserve">      03.09.04售楼通道、租赁通道工程</t>
  </si>
  <si>
    <t>C03.09.04</t>
  </si>
  <si>
    <t xml:space="preserve">         03.09.04.01售楼通道、租赁通道工程</t>
  </si>
  <si>
    <t>C03.09.04.01</t>
  </si>
  <si>
    <t xml:space="preserve">      03.09.05售楼园建绿化工程</t>
  </si>
  <si>
    <t>C03.09.05</t>
  </si>
  <si>
    <t xml:space="preserve">         03.09.05.01售楼园建绿化工程</t>
  </si>
  <si>
    <t>C03.09.05.01</t>
  </si>
  <si>
    <t xml:space="preserve">      03.09.06其他</t>
  </si>
  <si>
    <t>C03.09.06</t>
  </si>
  <si>
    <t xml:space="preserve">         03.09.06.01其他售楼工程</t>
  </si>
  <si>
    <t>C03.09.06.01</t>
  </si>
  <si>
    <t xml:space="preserve">      03.09.07写字楼租赁展示区工程</t>
  </si>
  <si>
    <t>C03.09.07</t>
  </si>
  <si>
    <t xml:space="preserve">      03.09.07.01写字楼租赁展示区工程</t>
  </si>
  <si>
    <t>写字楼租赁展示区面积占比</t>
  </si>
  <si>
    <t>C03.09.07.01</t>
  </si>
  <si>
    <t xml:space="preserve">      03.09.08商场租赁展示区工程</t>
  </si>
  <si>
    <t>C03.09.08</t>
  </si>
  <si>
    <t xml:space="preserve">      03.09.08.01商场租赁展示区工程</t>
  </si>
  <si>
    <t>商场租赁展示区面积占比</t>
  </si>
  <si>
    <t>C03.09.08.01</t>
  </si>
  <si>
    <t xml:space="preserve">      03.09.09商业其他展示工程</t>
  </si>
  <si>
    <t>C03.09.09</t>
  </si>
  <si>
    <t xml:space="preserve">      03.09.09.01商业其他展示工程</t>
  </si>
  <si>
    <t>租赁展示区面积占比</t>
  </si>
  <si>
    <t>C03.09.09.01</t>
  </si>
  <si>
    <t xml:space="preserve">   03.10专项设备设施费用</t>
  </si>
  <si>
    <t>C03.10</t>
  </si>
  <si>
    <t xml:space="preserve">      03.10.01专项设备设施工程_x000D_
</t>
  </si>
  <si>
    <t>C03.10.01</t>
  </si>
  <si>
    <t xml:space="preserve">         03.10.01.01设备1</t>
  </si>
  <si>
    <t>C03.10.01.01</t>
  </si>
  <si>
    <t xml:space="preserve">         03.10.01.02其他</t>
  </si>
  <si>
    <t>C03.10.01.02</t>
  </si>
  <si>
    <t>项目基础信息复核表（手动输入）</t>
  </si>
  <si>
    <t>C060001</t>
  </si>
  <si>
    <t>子目名称</t>
  </si>
  <si>
    <t>比照尺度</t>
  </si>
  <si>
    <t>本次情况描述</t>
  </si>
  <si>
    <t>是否优化完成</t>
  </si>
  <si>
    <t>C060002</t>
  </si>
  <si>
    <t>可售比</t>
  </si>
  <si>
    <t>本项目可售比XX%</t>
  </si>
  <si>
    <t>C060003</t>
  </si>
  <si>
    <t>地库面积占比</t>
  </si>
  <si>
    <t>本项目地库占比XX%</t>
  </si>
  <si>
    <t>C060004</t>
  </si>
  <si>
    <t>车位个数</t>
  </si>
  <si>
    <t>当地规范对车位个数的设置要求描述：YYY</t>
  </si>
  <si>
    <t>按规范应设XX个，实际设置XX个，车户比XX个/户。无差异/有差异，差异原因：</t>
  </si>
  <si>
    <t>是/仍需优化，建议：</t>
  </si>
  <si>
    <t>C060005</t>
  </si>
  <si>
    <t>地上车位数</t>
  </si>
  <si>
    <t>当地规范或出让条件对地上停车比例要求描述：YYY</t>
  </si>
  <si>
    <t>按规范可设XX个地上车位，实际设置XX个地上车位。无差异/有差异，差异原因：</t>
  </si>
  <si>
    <t>C060006</t>
  </si>
  <si>
    <t>停车效率</t>
  </si>
  <si>
    <t>标准成本刻度XXm2/个</t>
  </si>
  <si>
    <t>本项目XXm2/个（内部类似项目XXm2/个；外部对标项目XXm2/个），无差异/偏高偏低原因：</t>
  </si>
  <si>
    <t>C060007</t>
  </si>
  <si>
    <t>配套设置用房</t>
  </si>
  <si>
    <t>社区组织用房、物业用房标准描述</t>
  </si>
  <si>
    <t>未超标设置/有超标设置，原因简述：</t>
  </si>
  <si>
    <t>C060008</t>
  </si>
  <si>
    <t>标准成本刻度XXm2/大堂</t>
  </si>
  <si>
    <t>本项目大堂面积XXm2/个（内部类似项目XXm2/个；外部对标项目XXm2/个），偏大偏小原因：</t>
  </si>
  <si>
    <t>C060009</t>
  </si>
  <si>
    <t>外墙装饰</t>
  </si>
  <si>
    <t>外墙门窗窗积比XXm2/m2，墙积比XXm2/m2，外墙、屋面造型是否异形、繁琐，有待简化</t>
  </si>
  <si>
    <t>C060010</t>
  </si>
  <si>
    <t>代征道路/景观</t>
  </si>
  <si>
    <t>本项目代征情况，来源依据：</t>
  </si>
  <si>
    <t>C060011</t>
  </si>
  <si>
    <t>补充。。。</t>
  </si>
  <si>
    <t>C060012</t>
  </si>
  <si>
    <t>二、</t>
  </si>
  <si>
    <t>毛坯单方差异展示（本次测算-项目标准刻度）（单位：元/m2）（自动链接）</t>
  </si>
  <si>
    <t>C060013</t>
  </si>
  <si>
    <t>类别</t>
  </si>
  <si>
    <t>物业类型</t>
  </si>
  <si>
    <t>C060014</t>
  </si>
  <si>
    <t>单方差异</t>
  </si>
  <si>
    <t>高层毛坯单方</t>
  </si>
  <si>
    <t>C060015</t>
  </si>
  <si>
    <t>小高层毛坯单方</t>
  </si>
  <si>
    <t>C060016</t>
  </si>
  <si>
    <t>多层毛坯单方</t>
  </si>
  <si>
    <t>C060017</t>
  </si>
  <si>
    <t>本次项目测算</t>
  </si>
  <si>
    <t>C060018</t>
  </si>
  <si>
    <t>C060019</t>
  </si>
  <si>
    <t>C060020</t>
  </si>
  <si>
    <t>项目标准刻度</t>
  </si>
  <si>
    <t>C060021</t>
  </si>
  <si>
    <t>C060022</t>
  </si>
  <si>
    <t>C060023</t>
  </si>
  <si>
    <t>三、</t>
  </si>
  <si>
    <t>暂定成本差异分析（具体项目，地区）（单位：元/m2）</t>
  </si>
  <si>
    <t>C060024</t>
  </si>
  <si>
    <t>科目</t>
  </si>
  <si>
    <t>本次测算单方A</t>
  </si>
  <si>
    <t>标准刻度单方B</t>
  </si>
  <si>
    <t>差异A-B</t>
  </si>
  <si>
    <t>差异原因说明</t>
  </si>
  <si>
    <t>C060025</t>
  </si>
  <si>
    <t>C060026</t>
  </si>
  <si>
    <t>C060027</t>
  </si>
  <si>
    <t>C060028</t>
  </si>
  <si>
    <t>四、</t>
  </si>
  <si>
    <t>弹性成本差异分析（相对业态面积单方，单位：元/m2）</t>
  </si>
  <si>
    <t>C060029</t>
  </si>
  <si>
    <t>弹性成本科目</t>
  </si>
  <si>
    <t>本次项目测算A</t>
  </si>
  <si>
    <t>项目标准成本刻度B</t>
  </si>
  <si>
    <t>配置差异</t>
  </si>
  <si>
    <t>含量差异</t>
  </si>
  <si>
    <t>价格差异</t>
  </si>
  <si>
    <t>差异简述，及优化与控制</t>
  </si>
  <si>
    <t>C060030</t>
  </si>
  <si>
    <r>
      <rPr>
        <sz val="10"/>
        <rFont val="微软雅黑"/>
        <family val="2"/>
        <charset val="134"/>
      </rPr>
      <t>入户门工程</t>
    </r>
  </si>
  <si>
    <r>
      <rPr>
        <sz val="10"/>
        <rFont val="微软雅黑"/>
        <family val="2"/>
        <charset val="134"/>
      </rPr>
      <t>外立面门窗工程</t>
    </r>
  </si>
  <si>
    <r>
      <rPr>
        <sz val="10"/>
        <rFont val="微软雅黑"/>
        <family val="2"/>
        <charset val="134"/>
      </rPr>
      <t>外立面装饰工程</t>
    </r>
  </si>
  <si>
    <r>
      <rPr>
        <sz val="10"/>
        <rFont val="微软雅黑"/>
        <family val="2"/>
        <charset val="134"/>
      </rPr>
      <t>栏杆工程</t>
    </r>
  </si>
  <si>
    <t>安防工程</t>
  </si>
  <si>
    <r>
      <rPr>
        <sz val="10"/>
        <rFont val="微软雅黑"/>
        <family val="2"/>
        <charset val="134"/>
      </rPr>
      <t>电梯工程</t>
    </r>
  </si>
  <si>
    <t>C060038</t>
  </si>
  <si>
    <t>C060046</t>
  </si>
  <si>
    <t>多层</t>
  </si>
  <si>
    <t>C060054</t>
  </si>
  <si>
    <t>室外</t>
  </si>
  <si>
    <t>五、</t>
  </si>
  <si>
    <t>固定成本差异分析</t>
  </si>
  <si>
    <t>C060056</t>
  </si>
  <si>
    <t>①</t>
  </si>
  <si>
    <t>地库固定成本差异分析</t>
  </si>
  <si>
    <t>差异小计（元./m2）：</t>
  </si>
  <si>
    <t xml:space="preserve">     差异简述，及优化与控制</t>
  </si>
  <si>
    <t>C060057</t>
  </si>
  <si>
    <t>类型</t>
  </si>
  <si>
    <t>固定成本科目</t>
  </si>
  <si>
    <t>影响单方差异</t>
  </si>
  <si>
    <t>C060058</t>
  </si>
  <si>
    <t>C060059</t>
  </si>
  <si>
    <t>砼</t>
  </si>
  <si>
    <t>C060060</t>
  </si>
  <si>
    <t>主材价格差异</t>
  </si>
  <si>
    <t>C060061</t>
  </si>
  <si>
    <t>C060062</t>
  </si>
  <si>
    <t>其他差异</t>
  </si>
  <si>
    <t>土建改造工程</t>
  </si>
  <si>
    <t>C060063</t>
  </si>
  <si>
    <t>C060064</t>
  </si>
  <si>
    <t>充电桩</t>
  </si>
  <si>
    <t>C060065</t>
  </si>
  <si>
    <t>停车场出入口</t>
  </si>
  <si>
    <t>C060066</t>
  </si>
  <si>
    <t>机械停车位</t>
  </si>
  <si>
    <t>C060067</t>
  </si>
  <si>
    <t>其他单体工程</t>
  </si>
  <si>
    <t>C060068</t>
  </si>
  <si>
    <t>②</t>
  </si>
  <si>
    <t>高层固定成本差异分析</t>
  </si>
  <si>
    <t>C060069</t>
  </si>
  <si>
    <t>C060070</t>
  </si>
  <si>
    <t>C060071</t>
  </si>
  <si>
    <t>C060072</t>
  </si>
  <si>
    <t>C060073</t>
  </si>
  <si>
    <t>土建改造</t>
  </si>
  <si>
    <t>C060074</t>
  </si>
  <si>
    <t>外墙保温</t>
  </si>
  <si>
    <t>C060075</t>
  </si>
  <si>
    <t>C060076</t>
  </si>
  <si>
    <t>C060077</t>
  </si>
  <si>
    <t>③</t>
  </si>
  <si>
    <t>小高层固定成本差异分析</t>
  </si>
  <si>
    <t>C060078</t>
  </si>
  <si>
    <t>C060079</t>
  </si>
  <si>
    <t>C060080</t>
  </si>
  <si>
    <t>C060081</t>
  </si>
  <si>
    <t>C060082</t>
  </si>
  <si>
    <t>C060083</t>
  </si>
  <si>
    <t>C060084</t>
  </si>
  <si>
    <t>C060085</t>
  </si>
  <si>
    <t>C060086</t>
  </si>
  <si>
    <t>④</t>
  </si>
  <si>
    <t>多层固定成本差异分析</t>
  </si>
  <si>
    <t>C060087</t>
  </si>
  <si>
    <t>C060088</t>
  </si>
  <si>
    <t>C060089</t>
  </si>
  <si>
    <t>C060090</t>
  </si>
  <si>
    <t>C060091</t>
  </si>
  <si>
    <t>C060092</t>
  </si>
  <si>
    <t>C060093</t>
  </si>
  <si>
    <t>C060094</t>
  </si>
  <si>
    <t>C060095</t>
  </si>
  <si>
    <t>六、</t>
  </si>
  <si>
    <t>汇报PPT所需表格</t>
  </si>
  <si>
    <t>C060096</t>
  </si>
  <si>
    <t>表1</t>
  </si>
  <si>
    <t>各阶段建安成本汇总表</t>
  </si>
  <si>
    <t>C060097</t>
  </si>
  <si>
    <t>成本阶段</t>
  </si>
  <si>
    <t>建筑面积(㎡)</t>
  </si>
  <si>
    <t>可售面积(㎡)</t>
  </si>
  <si>
    <t>总建安(万元)</t>
  </si>
  <si>
    <t>毛坯建安(万元)</t>
  </si>
  <si>
    <t>总建面单方</t>
  </si>
  <si>
    <t>毛坯建面单方</t>
  </si>
  <si>
    <t>总可售单方</t>
  </si>
  <si>
    <t>毛坯可售单方</t>
  </si>
  <si>
    <t>C060098</t>
  </si>
  <si>
    <t>可研阶段</t>
  </si>
  <si>
    <t>C060099</t>
  </si>
  <si>
    <t>启动阶段</t>
  </si>
  <si>
    <t>C060100</t>
  </si>
  <si>
    <t>表2</t>
  </si>
  <si>
    <t>总建安成本、建面单方、可售单方成本控制目标</t>
  </si>
  <si>
    <t>C060101</t>
  </si>
  <si>
    <t>类    型</t>
  </si>
  <si>
    <t>建面单方（元/㎡）</t>
  </si>
  <si>
    <t>可售单方（元/㎡）</t>
  </si>
  <si>
    <t>C060102</t>
  </si>
  <si>
    <t>毛    坯</t>
  </si>
  <si>
    <t>C060103</t>
  </si>
  <si>
    <t>C060104</t>
  </si>
  <si>
    <t>卖场包装费</t>
  </si>
  <si>
    <t>C060105</t>
  </si>
  <si>
    <t>C060106</t>
  </si>
  <si>
    <t>专项设备设施</t>
  </si>
  <si>
    <t>C060107</t>
  </si>
  <si>
    <t>C060108</t>
  </si>
  <si>
    <t>表3</t>
  </si>
  <si>
    <t>可研指标差异</t>
  </si>
  <si>
    <t>C060109</t>
  </si>
  <si>
    <t>C060110</t>
  </si>
  <si>
    <t>C060111</t>
  </si>
  <si>
    <t>C060112</t>
  </si>
  <si>
    <t>差异</t>
  </si>
  <si>
    <t>C060113</t>
  </si>
  <si>
    <t>中间上会版（若有）</t>
  </si>
  <si>
    <t>C060114</t>
  </si>
  <si>
    <t>表4</t>
  </si>
  <si>
    <t xml:space="preserve">不同物业类型毛坯建安成本_x000D_
</t>
  </si>
  <si>
    <t>C060115</t>
  </si>
  <si>
    <t>建筑面积（㎡）</t>
  </si>
  <si>
    <t>可售面积（㎡）</t>
  </si>
  <si>
    <t>毛坯总价（万元）</t>
  </si>
  <si>
    <t>C060116</t>
  </si>
  <si>
    <t>全项目</t>
  </si>
  <si>
    <t>C060117</t>
  </si>
  <si>
    <t>C060118_$pcode1$</t>
  </si>
  <si>
    <t>C060119_12</t>
  </si>
  <si>
    <t>C060120_13</t>
  </si>
  <si>
    <t>C060121_14</t>
  </si>
  <si>
    <t>C060122_$pcode2$</t>
  </si>
  <si>
    <t>C060123_$pcode3$</t>
  </si>
  <si>
    <t>C060124_$pcode4$</t>
  </si>
  <si>
    <t>C060124_$pcode5$</t>
  </si>
  <si>
    <t>C060124_$pcode6$</t>
  </si>
  <si>
    <t>表5</t>
  </si>
  <si>
    <t>毛坯建面单方成本差异分析</t>
  </si>
  <si>
    <t>C060127</t>
  </si>
  <si>
    <t>本项目</t>
  </si>
  <si>
    <t>单方差值</t>
  </si>
  <si>
    <t>C060128</t>
  </si>
  <si>
    <t>高 层</t>
  </si>
  <si>
    <t>C060129_14</t>
  </si>
  <si>
    <t>C060130_13</t>
  </si>
  <si>
    <t>C060131_12</t>
  </si>
  <si>
    <t>表6</t>
  </si>
  <si>
    <t>暂定成本及特殊事项分析</t>
  </si>
  <si>
    <t>C060132</t>
  </si>
  <si>
    <t>项目</t>
  </si>
  <si>
    <t>均值/刻度</t>
  </si>
  <si>
    <t>C060133</t>
  </si>
  <si>
    <t>含量/指标</t>
  </si>
  <si>
    <t>建面单方</t>
  </si>
  <si>
    <t>C060134</t>
  </si>
  <si>
    <t>暂定成本</t>
  </si>
  <si>
    <t>前期</t>
  </si>
  <si>
    <t>特殊说明（如有）</t>
  </si>
  <si>
    <t>C060135</t>
  </si>
  <si>
    <t>桩基</t>
  </si>
  <si>
    <t>桩基形式/主要桩型/桩长/单价</t>
  </si>
  <si>
    <t>C060136</t>
  </si>
  <si>
    <t>岩土</t>
  </si>
  <si>
    <t>土量/单价；支护形式/周长/延米单价</t>
  </si>
  <si>
    <t>C060137</t>
  </si>
  <si>
    <t>C060138</t>
  </si>
  <si>
    <t>表7</t>
  </si>
  <si>
    <t>固定成本含量指标</t>
  </si>
  <si>
    <t>C060139</t>
  </si>
  <si>
    <t>钢筋主材</t>
  </si>
  <si>
    <t>砼主材</t>
  </si>
  <si>
    <t>装配单方</t>
  </si>
  <si>
    <t>C060140</t>
  </si>
  <si>
    <t>（kg/㎡）</t>
  </si>
  <si>
    <t>（m³/㎡）</t>
  </si>
  <si>
    <t>（元/kg）</t>
  </si>
  <si>
    <t>（元/m³）</t>
  </si>
  <si>
    <t>（元/m2）</t>
  </si>
  <si>
    <r>
      <rPr>
        <b/>
        <sz val="12"/>
        <color rgb="FFFFFFFF"/>
        <rFont val="微软雅黑"/>
        <family val="2"/>
        <charset val="134"/>
      </rPr>
      <t>（元/m</t>
    </r>
    <r>
      <rPr>
        <b/>
        <vertAlign val="superscript"/>
        <sz val="12"/>
        <color rgb="FFFFFFFF"/>
        <rFont val="微软雅黑"/>
        <family val="2"/>
        <charset val="134"/>
      </rPr>
      <t>2</t>
    </r>
    <r>
      <rPr>
        <b/>
        <sz val="12"/>
        <color rgb="FFFFFFFF"/>
        <rFont val="微软雅黑"/>
        <family val="2"/>
        <charset val="134"/>
      </rPr>
      <t>）</t>
    </r>
  </si>
  <si>
    <t>C060141</t>
  </si>
  <si>
    <t>地下室</t>
  </si>
  <si>
    <t>C060142_21_1</t>
  </si>
  <si>
    <t>刻度</t>
  </si>
  <si>
    <t>C060143_21_2</t>
  </si>
  <si>
    <t>C060144_12_1</t>
  </si>
  <si>
    <t>C060145_12_2</t>
  </si>
  <si>
    <t>C060146_13_1</t>
  </si>
  <si>
    <t>C060147_13_2</t>
  </si>
  <si>
    <t>C060148_14_1</t>
  </si>
  <si>
    <t>C060149_14_2</t>
  </si>
  <si>
    <t>表8</t>
  </si>
  <si>
    <t>弹性成本主要配置（详03表备注说明）</t>
  </si>
  <si>
    <t>公司业态</t>
  </si>
  <si>
    <t>单方成本信息（元/m2）（保留到整数）</t>
  </si>
  <si>
    <t>毛坯单方明细（元/m2）（保留到整数）</t>
  </si>
  <si>
    <t>地库单体指标</t>
  </si>
  <si>
    <t>高层单体指标</t>
  </si>
  <si>
    <t>小高层单体指标</t>
  </si>
  <si>
    <t>多层单体指标</t>
  </si>
  <si>
    <t>$pname2$单体指标</t>
  </si>
  <si>
    <t>$pname3$单体指标</t>
  </si>
  <si>
    <t>$pname4$单体指标</t>
  </si>
  <si>
    <t>$pname5$单体指标</t>
  </si>
  <si>
    <t>$pname6$单体指标</t>
  </si>
  <si>
    <t>幼儿园单体指标</t>
  </si>
  <si>
    <t>其他公共配套单体指标</t>
  </si>
  <si>
    <t>地区公司</t>
  </si>
  <si>
    <t>区域</t>
  </si>
  <si>
    <t>定档</t>
  </si>
  <si>
    <t>可售比(%)</t>
  </si>
  <si>
    <t>地库占比(%)</t>
  </si>
  <si>
    <t>建设用地面积(m2)</t>
  </si>
  <si>
    <t>总建筑面积(m2)</t>
  </si>
  <si>
    <t>户数(户)</t>
  </si>
  <si>
    <t>平均地上楼层数(F)</t>
  </si>
  <si>
    <t>车户比_x000D_
(个/户)</t>
  </si>
  <si>
    <t>停车效率(m2/个)</t>
  </si>
  <si>
    <t>毛坯单方</t>
  </si>
  <si>
    <t>总建安单方</t>
  </si>
  <si>
    <t>总建安可售单方</t>
  </si>
  <si>
    <t>单体工程相对业态单方</t>
  </si>
  <si>
    <t>物业类型毛坯单方</t>
  </si>
  <si>
    <t>钢筋材料_x000D_
(元/t）</t>
  </si>
  <si>
    <t>砼材料_x000D_
(元/m3）</t>
  </si>
  <si>
    <t>钢筋施工_x000D_
(元/t）</t>
  </si>
  <si>
    <t>砼施工_x000D_
(元/m3）</t>
  </si>
  <si>
    <t>模板综合单价_x000D_
（元/m2）</t>
  </si>
  <si>
    <t>砌体综合单价_x000D_
(元/m3）</t>
  </si>
  <si>
    <t>开办费_x000D_
(元/m2）</t>
  </si>
  <si>
    <t>钢筋含量(kg/m2)</t>
  </si>
  <si>
    <t>砼含量(m3/m2)</t>
  </si>
  <si>
    <t>模板含量(m2/m2)</t>
  </si>
  <si>
    <t>砌体含量(m3/m2)</t>
  </si>
  <si>
    <t>模板综合单价_x000D_
(元/m2）</t>
  </si>
  <si>
    <t>电梯工程_x000D_
(元/m2）</t>
  </si>
  <si>
    <t>墙积比_x000D_
(m2/m2)</t>
  </si>
  <si>
    <t>窗积比_x000D_
(m2/m2)</t>
  </si>
  <si>
    <t>大堂占比_x000D_
(m2/m2)</t>
  </si>
  <si>
    <t>电梯厅占比_x000D_
(m2/m2)</t>
  </si>
  <si>
    <t>毛坯单方小计</t>
  </si>
  <si>
    <t>固定成本</t>
  </si>
  <si>
    <t>弹性成本</t>
  </si>
  <si>
    <t>地库</t>
  </si>
  <si>
    <t>上海</t>
  </si>
  <si>
    <t>华东</t>
  </si>
  <si>
    <t>高层、小高层</t>
  </si>
  <si>
    <t>U2</t>
  </si>
  <si>
    <t>C070001</t>
  </si>
  <si>
    <t>可租售比</t>
  </si>
  <si>
    <t>≥65%</t>
  </si>
  <si>
    <t>≥57%</t>
  </si>
  <si>
    <t>本项目得铺率XX%</t>
  </si>
  <si>
    <t>精装修面积</t>
  </si>
  <si>
    <t>标准成本刻度精装面积占比：</t>
  </si>
  <si>
    <t>本项目精装面积占比XX%，偏大偏小原因：</t>
  </si>
  <si>
    <t>外立面</t>
  </si>
  <si>
    <t>标准成本刻度墙积比：</t>
  </si>
  <si>
    <t>本项目墙积比XX，外墙、屋面造型是否异形、繁琐，有待简化</t>
  </si>
  <si>
    <t>可租售单方差异展示（本次测算-项目标准刻度）（单位：元/m2）（自动链接）</t>
  </si>
  <si>
    <t>外立面工程</t>
  </si>
  <si>
    <t>门类工程</t>
  </si>
  <si>
    <t>暖通空调工程</t>
  </si>
  <si>
    <t>泛光照明工程</t>
  </si>
  <si>
    <t>标识工程</t>
  </si>
  <si>
    <t>其他专项工程</t>
  </si>
  <si>
    <t>常规机电工程</t>
  </si>
  <si>
    <t>集中商业固定成本差异分析</t>
  </si>
  <si>
    <t>地上含量差异</t>
  </si>
  <si>
    <t>地下含量差异</t>
  </si>
  <si>
    <t>写字楼固定成本差异分析</t>
  </si>
  <si>
    <t>酒店固定成本差异分析</t>
  </si>
  <si>
    <t>⑤</t>
  </si>
  <si>
    <t>前期工程差异分析</t>
  </si>
  <si>
    <t>建筑面积
(㎡)</t>
  </si>
  <si>
    <t>可租售面积
(㎡)</t>
  </si>
  <si>
    <t>总建安成本
(万元)</t>
  </si>
  <si>
    <t>总建面单方
（元/㎡）</t>
  </si>
  <si>
    <t>可租售单方
（元/㎡）</t>
  </si>
  <si>
    <t>可研
（220101）</t>
  </si>
  <si>
    <t>立项会
（220201）</t>
  </si>
  <si>
    <t>预备会/启动会
（220101）</t>
  </si>
  <si>
    <t>建面单方成本、可租售单方成本控制目标</t>
  </si>
  <si>
    <t>总价
（万元）</t>
  </si>
  <si>
    <t>建面单方
（元/㎡）</t>
  </si>
  <si>
    <t>业态成本</t>
  </si>
  <si>
    <t xml:space="preserve">不同物业类型单方成本
</t>
  </si>
  <si>
    <t>可租售面积
（㎡）</t>
  </si>
  <si>
    <t>总建安成本
（万元）</t>
  </si>
  <si>
    <t>可租售单方差异展示</t>
  </si>
  <si>
    <t>项目名称</t>
  </si>
  <si>
    <t>得铺率/实用率</t>
  </si>
  <si>
    <t>特殊事项</t>
  </si>
  <si>
    <t>影响单方</t>
  </si>
  <si>
    <t>不计容连廊</t>
  </si>
  <si>
    <t>屋顶花园</t>
  </si>
  <si>
    <t>下沉广场</t>
  </si>
  <si>
    <t>地铁连通通道</t>
  </si>
  <si>
    <t>产业化要求</t>
  </si>
  <si>
    <t>交付标准差异</t>
  </si>
  <si>
    <t>类似项目</t>
  </si>
  <si>
    <r>
      <rPr>
        <sz val="12"/>
        <color theme="1"/>
        <rFont val="微软雅黑"/>
        <family val="2"/>
        <charset val="134"/>
      </rPr>
      <t>可租售单方差异分析</t>
    </r>
    <r>
      <rPr>
        <sz val="12"/>
        <color rgb="FFFF0000"/>
        <rFont val="微软雅黑"/>
        <family val="2"/>
        <charset val="134"/>
      </rPr>
      <t>（集中商业）</t>
    </r>
  </si>
  <si>
    <t>科目名称</t>
  </si>
  <si>
    <t>标准刻度（A标）</t>
  </si>
  <si>
    <t>差异说明</t>
  </si>
  <si>
    <t>原因××</t>
  </si>
  <si>
    <t>门类及栏杆工程</t>
  </si>
  <si>
    <t>商铺调改</t>
  </si>
  <si>
    <t>土建工程（含钢结构）</t>
  </si>
  <si>
    <t>车库分摊</t>
  </si>
  <si>
    <t>桩基岩土</t>
  </si>
  <si>
    <r>
      <rPr>
        <sz val="12"/>
        <color theme="1"/>
        <rFont val="微软雅黑"/>
        <family val="2"/>
        <charset val="134"/>
      </rPr>
      <t>可租售单方差异分析</t>
    </r>
    <r>
      <rPr>
        <sz val="12"/>
        <color rgb="FFFF0000"/>
        <rFont val="微软雅黑"/>
        <family val="2"/>
        <charset val="134"/>
      </rPr>
      <t>（写字楼）</t>
    </r>
  </si>
  <si>
    <t>标准刻度（OIII标）</t>
  </si>
  <si>
    <t>土建工程</t>
  </si>
  <si>
    <t>钢结构工程</t>
  </si>
  <si>
    <t>技术含量指标</t>
  </si>
  <si>
    <t>抗震设防烈度/建筑场地类别</t>
  </si>
  <si>
    <t>本项目：</t>
  </si>
  <si>
    <t>类似项目：</t>
  </si>
  <si>
    <t>钢筋含量
（kg/㎡）</t>
  </si>
  <si>
    <t>钢结构含量
（kg/㎡）</t>
  </si>
  <si>
    <t>砼含量
（m³/㎡）</t>
  </si>
  <si>
    <t>外立面墙积比
（㎡/㎡）</t>
  </si>
  <si>
    <t>精装修面积占比
（㎡/㎡）</t>
  </si>
  <si>
    <t>综合用电指标
（VA/㎡）</t>
  </si>
  <si>
    <t>本项目
（地下/地上）</t>
  </si>
  <si>
    <t>标准刻度（A标）
（地下/地上）</t>
  </si>
  <si>
    <t>类似项目
（地下/地上）</t>
  </si>
  <si>
    <t>标准刻度（OIII标准）</t>
  </si>
  <si>
    <t>表9</t>
  </si>
  <si>
    <r>
      <rPr>
        <sz val="12"/>
        <color theme="1"/>
        <rFont val="微软雅黑"/>
        <family val="2"/>
        <charset val="134"/>
      </rPr>
      <t>精装修及幕墙主要配置</t>
    </r>
    <r>
      <rPr>
        <sz val="12"/>
        <color rgb="FFFF0000"/>
        <rFont val="微软雅黑"/>
        <family val="2"/>
        <charset val="134"/>
      </rPr>
      <t>（集中商业）</t>
    </r>
  </si>
  <si>
    <t>单项工程</t>
  </si>
  <si>
    <t>单方（元/㎡）</t>
  </si>
  <si>
    <t>配置选型</t>
  </si>
  <si>
    <t>标准刻度OIII</t>
  </si>
  <si>
    <t>本项目配置</t>
  </si>
  <si>
    <t>设计标准配置</t>
  </si>
  <si>
    <t>类似项目配置</t>
  </si>
  <si>
    <t>前场精装修</t>
  </si>
  <si>
    <t>卫生间</t>
  </si>
  <si>
    <t>后场精装修</t>
  </si>
  <si>
    <r>
      <rPr>
        <sz val="12"/>
        <color theme="1"/>
        <rFont val="微软雅黑"/>
        <family val="2"/>
        <charset val="134"/>
      </rPr>
      <t>精装修及幕墙主要配置</t>
    </r>
    <r>
      <rPr>
        <sz val="12"/>
        <color rgb="FFFF0000"/>
        <rFont val="微软雅黑"/>
        <family val="2"/>
        <charset val="134"/>
      </rPr>
      <t>（写字楼）</t>
    </r>
  </si>
  <si>
    <t>大堂</t>
  </si>
  <si>
    <t>电梯厅</t>
  </si>
  <si>
    <t>走道</t>
  </si>
  <si>
    <t>租户区</t>
  </si>
  <si>
    <t>表10</t>
  </si>
  <si>
    <r>
      <rPr>
        <sz val="12"/>
        <color theme="1"/>
        <rFont val="微软雅黑"/>
        <family val="2"/>
        <charset val="134"/>
      </rPr>
      <t>综合机电主要配置</t>
    </r>
    <r>
      <rPr>
        <sz val="12"/>
        <color rgb="FFFF0000"/>
        <rFont val="微软雅黑"/>
        <family val="2"/>
        <charset val="134"/>
      </rPr>
      <t>（集中商业）</t>
    </r>
  </si>
  <si>
    <t>建议梯速：低区2~2.5m/s、中区3~4m/s、高区5~6m/s；
建议载重1600kg；</t>
  </si>
  <si>
    <t>空调水系统采用两管制；
公共区采用全空气；
租区采用风机风机盘管FCU/全空气+VAV-BOX）；</t>
  </si>
  <si>
    <t>控制线型灯具使用含量，建议控制在0.35m/㎡以下</t>
  </si>
  <si>
    <t>用电指标在90~110VA/㎡</t>
  </si>
  <si>
    <r>
      <rPr>
        <sz val="12"/>
        <color theme="1"/>
        <rFont val="微软雅黑"/>
        <family val="2"/>
        <charset val="134"/>
      </rPr>
      <t>综合机电主要配置</t>
    </r>
    <r>
      <rPr>
        <sz val="12"/>
        <color rgb="FFFF0000"/>
        <rFont val="微软雅黑"/>
        <family val="2"/>
        <charset val="134"/>
      </rPr>
      <t>（写字楼）</t>
    </r>
  </si>
  <si>
    <t>室外工程主要配置</t>
  </si>
  <si>
    <t>面积
（㎡）</t>
  </si>
  <si>
    <t>单价
（元/㎡）</t>
  </si>
  <si>
    <t>地面景观</t>
  </si>
  <si>
    <t>下沉广场景观</t>
  </si>
  <si>
    <t>屋顶景观</t>
  </si>
  <si>
    <t>红线外景观</t>
  </si>
  <si>
    <t>热负荷指标W/㎡</t>
  </si>
  <si>
    <t>01</t>
  </si>
  <si>
    <t>公司业态（输入）</t>
  </si>
  <si>
    <t>01.01</t>
  </si>
  <si>
    <t>**公司</t>
  </si>
  <si>
    <t>01.02</t>
  </si>
  <si>
    <t>**区域</t>
  </si>
  <si>
    <t>01.03</t>
  </si>
  <si>
    <t>项目名称（备案）</t>
  </si>
  <si>
    <t>01.04</t>
  </si>
  <si>
    <t>推广案名</t>
  </si>
  <si>
    <t>**案名</t>
  </si>
  <si>
    <t>01.05</t>
  </si>
  <si>
    <t>01.06</t>
  </si>
  <si>
    <t>O2</t>
  </si>
  <si>
    <t>01.07</t>
  </si>
  <si>
    <t>首年租金（元/月/㎡）</t>
  </si>
  <si>
    <t>01.08</t>
  </si>
  <si>
    <t>三年租金（元/月/㎡）</t>
  </si>
  <si>
    <t>01.09</t>
  </si>
  <si>
    <t>（有/无）</t>
  </si>
  <si>
    <t>01.10</t>
  </si>
  <si>
    <t>01.11</t>
  </si>
  <si>
    <t>01.12</t>
  </si>
  <si>
    <t>机械车位（个）</t>
  </si>
  <si>
    <t>01.13</t>
  </si>
  <si>
    <t>01.14</t>
  </si>
  <si>
    <t>商铺隔断（如防火玻璃隔墙）</t>
  </si>
  <si>
    <t>02</t>
  </si>
  <si>
    <t>面积指标</t>
  </si>
  <si>
    <t>**指标</t>
  </si>
  <si>
    <t>02.01</t>
  </si>
  <si>
    <t>地库及机房（万㎡）</t>
  </si>
  <si>
    <t>02.02</t>
  </si>
  <si>
    <t>地下集中商业（万㎡）</t>
  </si>
  <si>
    <t>02.03</t>
  </si>
  <si>
    <t>地上集中商业（万㎡）</t>
  </si>
  <si>
    <t>02.04</t>
  </si>
  <si>
    <t>写字楼（万㎡）</t>
  </si>
  <si>
    <t>02.05</t>
  </si>
  <si>
    <t>酒店（万㎡）</t>
  </si>
  <si>
    <t>02.06</t>
  </si>
  <si>
    <t>02.07</t>
  </si>
  <si>
    <t>02.08</t>
  </si>
  <si>
    <t>04</t>
  </si>
  <si>
    <t>毛坯单方明细（元/m2）</t>
  </si>
  <si>
    <t>04.01</t>
  </si>
  <si>
    <t>04.02</t>
  </si>
  <si>
    <t>04.03</t>
  </si>
  <si>
    <t>04.04</t>
  </si>
  <si>
    <t>04.04.01</t>
  </si>
  <si>
    <t>建筑工程</t>
  </si>
  <si>
    <t>其中：</t>
  </si>
  <si>
    <t>地下钢筋含量（kg/㎡）</t>
  </si>
  <si>
    <t>地下钢筋供货单方（元/㎡）</t>
  </si>
  <si>
    <t>钢筋安装单方（元/㎡）</t>
  </si>
  <si>
    <t>钢筋供货单价（元/kg）（验证）</t>
  </si>
  <si>
    <t>钢筋施工单价（元/kg）（验证）</t>
  </si>
  <si>
    <t>地下砼含量（m³/㎡）</t>
  </si>
  <si>
    <t>地下砼供货单方（元/㎡）</t>
  </si>
  <si>
    <t>砼安装单方（元/㎡）</t>
  </si>
  <si>
    <t>砼供货单价（元/m³）（验证）</t>
  </si>
  <si>
    <t>砼施工单价（元/m³）（验证）</t>
  </si>
  <si>
    <t>砌筑工程</t>
  </si>
  <si>
    <t>粗装修工程</t>
  </si>
  <si>
    <t>其他建筑工程</t>
  </si>
  <si>
    <t>开办费</t>
  </si>
  <si>
    <t>防水工程</t>
  </si>
  <si>
    <t>防火门工程</t>
  </si>
  <si>
    <t>04.04.02</t>
  </si>
  <si>
    <t>地下钢结构含量（kg/㎡）</t>
  </si>
  <si>
    <t>主体钢结构单方（元/㎡）</t>
  </si>
  <si>
    <t>其他钢结构单方（元/㎡）</t>
  </si>
  <si>
    <t>钢结构综合单价（元/kg）（验证）</t>
  </si>
  <si>
    <t>04.04.08</t>
  </si>
  <si>
    <t>用电指标VA/㎡</t>
  </si>
  <si>
    <t>04.04.09</t>
  </si>
  <si>
    <t>冷负荷指标W/㎡</t>
  </si>
  <si>
    <t>04.04.10</t>
  </si>
  <si>
    <t>04.04.11</t>
  </si>
  <si>
    <t>04.04.12</t>
  </si>
  <si>
    <t>地坪工程</t>
  </si>
  <si>
    <t>04.04.13</t>
  </si>
  <si>
    <t>室内识工程</t>
  </si>
  <si>
    <t>04.04.14</t>
  </si>
  <si>
    <t>地上钢筋含量（kg/㎡）</t>
  </si>
  <si>
    <t>地上钢筋供货单方（元/㎡）</t>
  </si>
  <si>
    <t>地上砼含量（m³/㎡）</t>
  </si>
  <si>
    <t>地上砼供货单方（元/㎡）</t>
  </si>
  <si>
    <t>地上钢结构含量（kg/㎡）</t>
  </si>
  <si>
    <t>04.04.03</t>
  </si>
  <si>
    <t>石材幕墙平米单价</t>
  </si>
  <si>
    <t>玻璃幕墙平米单价</t>
  </si>
  <si>
    <t>铝板幕墙平米单价</t>
  </si>
  <si>
    <t>铝板幕墙墙积比</t>
  </si>
  <si>
    <t>涂料幕墙平米单价</t>
  </si>
  <si>
    <t>涂料幕墙墙积比</t>
  </si>
  <si>
    <t>其他工程（元/㎡）</t>
  </si>
  <si>
    <t>采光顶单方</t>
  </si>
  <si>
    <t>采光顶平米单价</t>
  </si>
  <si>
    <t>采光顶面积</t>
  </si>
  <si>
    <t>04.04.04</t>
  </si>
  <si>
    <t>前场精装修占比</t>
  </si>
  <si>
    <t>前场精装修单方</t>
  </si>
  <si>
    <t>前场公区软装</t>
  </si>
  <si>
    <t>卫生间精装修占比</t>
  </si>
  <si>
    <t>卫生间精装修单方</t>
  </si>
  <si>
    <t>后场精装修占比</t>
  </si>
  <si>
    <t>后场精装修单方</t>
  </si>
  <si>
    <t>04.04.05</t>
  </si>
  <si>
    <t>04.04.06</t>
  </si>
  <si>
    <t>04.04.07</t>
  </si>
  <si>
    <t>其中LED</t>
  </si>
  <si>
    <t>室内标识工程</t>
  </si>
  <si>
    <t>大堂精装修占比</t>
  </si>
  <si>
    <t>大堂精装修单方</t>
  </si>
  <si>
    <t>标准层电梯厅精装修占比</t>
  </si>
  <si>
    <t>标准层电梯厅精装修单方</t>
  </si>
  <si>
    <t>标准层走道精装修占比</t>
  </si>
  <si>
    <t>标准层走道精装修单方</t>
  </si>
  <si>
    <t>标准层卫生间精装修占比</t>
  </si>
  <si>
    <t>标准层卫生间精装修单方</t>
  </si>
  <si>
    <t>标准层茶水间精装修占比</t>
  </si>
  <si>
    <t>标准层茶水间精装修单方</t>
  </si>
  <si>
    <t>租区精装修占比</t>
  </si>
  <si>
    <t>租区精装修单方</t>
  </si>
  <si>
    <t>地下大堂及电梯厅走道精装修占比</t>
  </si>
  <si>
    <t>地下大堂及电梯厅走道精装修单方</t>
  </si>
  <si>
    <t>大床房精装修占比</t>
  </si>
  <si>
    <t>大床房精装修单方</t>
  </si>
  <si>
    <t>双床房精装修占比</t>
  </si>
  <si>
    <t>双床房精装修单方</t>
  </si>
  <si>
    <t>家庭房精装修占比</t>
  </si>
  <si>
    <t>家庭房精装修单方</t>
  </si>
  <si>
    <t>总统套房精装修占比</t>
  </si>
  <si>
    <t>总统套房精装修单方</t>
  </si>
  <si>
    <t>公区卫生间精装修占比</t>
  </si>
  <si>
    <t>公区卫生间精装修单方</t>
  </si>
  <si>
    <t>宴会厅精装修占比</t>
  </si>
  <si>
    <t>宴会厅精装修单方</t>
  </si>
  <si>
    <t>餐厅精装修占比</t>
  </si>
  <si>
    <t>餐厅精装修单方</t>
  </si>
  <si>
    <t>会议室精装修占比</t>
  </si>
  <si>
    <t>会议室精装修单方</t>
  </si>
  <si>
    <t>健身房精装修占比</t>
  </si>
  <si>
    <t>健身房精装修单方</t>
  </si>
  <si>
    <t>室内游泳池精装修占比</t>
  </si>
  <si>
    <t>室内游泳池精装修单方</t>
  </si>
  <si>
    <t>SPA及棋牌室精装修占比</t>
  </si>
  <si>
    <t>SPA及棋牌室精装修单方</t>
  </si>
  <si>
    <t>厨房精装修占比</t>
  </si>
  <si>
    <t>厨房精装修单方</t>
  </si>
  <si>
    <t>04.05</t>
  </si>
  <si>
    <t>04.06</t>
  </si>
  <si>
    <t>04.08</t>
  </si>
  <si>
    <t>04.09</t>
  </si>
  <si>
    <t>04.10</t>
  </si>
  <si>
    <t>05</t>
  </si>
  <si>
    <t>物业类型毛坯单方（元/m2）</t>
  </si>
  <si>
    <t>05.01</t>
  </si>
  <si>
    <t>05.02</t>
  </si>
  <si>
    <t>05.03</t>
  </si>
  <si>
    <t>05.04</t>
  </si>
  <si>
    <t>05.05</t>
  </si>
  <si>
    <t>05.06</t>
  </si>
  <si>
    <t>06</t>
  </si>
  <si>
    <t>开办费比例明细</t>
  </si>
  <si>
    <t>06.01</t>
  </si>
  <si>
    <t>06.01.01</t>
  </si>
  <si>
    <t>06.01.02</t>
  </si>
  <si>
    <t>06.01.05</t>
  </si>
  <si>
    <t>06.01.06</t>
  </si>
  <si>
    <t>06.01.07</t>
  </si>
  <si>
    <t>06.02</t>
  </si>
  <si>
    <t>06.02.01</t>
  </si>
  <si>
    <t>06.02.02</t>
  </si>
  <si>
    <t>06.02.03</t>
  </si>
  <si>
    <t>06.02.04</t>
  </si>
  <si>
    <t>06.02.05</t>
  </si>
  <si>
    <t>06.02.06</t>
  </si>
  <si>
    <t>06.02.07</t>
  </si>
  <si>
    <t>06.03</t>
  </si>
  <si>
    <t>06.03.01</t>
  </si>
  <si>
    <t>06.03.02</t>
  </si>
  <si>
    <t>06.03.03</t>
  </si>
  <si>
    <t>06.03.04</t>
  </si>
  <si>
    <t>06.03.05</t>
  </si>
  <si>
    <t>06.03.06</t>
  </si>
  <si>
    <t>06.03.07</t>
  </si>
  <si>
    <t>06.04</t>
  </si>
  <si>
    <t>06.04.01</t>
  </si>
  <si>
    <t>06.04.02</t>
  </si>
  <si>
    <t>06.04.03</t>
  </si>
  <si>
    <t>06.04.04</t>
  </si>
  <si>
    <t>06.04.05</t>
  </si>
  <si>
    <t>06.04.06</t>
  </si>
  <si>
    <t>06.04.07</t>
  </si>
  <si>
    <t>投资会成本简述</t>
  </si>
  <si>
    <t>城市</t>
  </si>
  <si>
    <t>总建面</t>
  </si>
  <si>
    <t>计容面积</t>
  </si>
  <si>
    <t>土地</t>
  </si>
  <si>
    <t>档次</t>
  </si>
  <si>
    <t>交付</t>
  </si>
  <si>
    <t>售价</t>
  </si>
  <si>
    <t>起拍可售楼面价</t>
    <phoneticPr fontId="87" type="noConversion"/>
  </si>
  <si>
    <t>可售单方</t>
  </si>
  <si>
    <t>起拍成本利润率</t>
  </si>
  <si>
    <t>精装标准</t>
  </si>
  <si>
    <t>景观单方</t>
  </si>
  <si>
    <t>卖场成本</t>
  </si>
  <si>
    <t>是否</t>
  </si>
  <si>
    <t>建议</t>
  </si>
  <si>
    <t>(万㎡)</t>
  </si>
  <si>
    <t>（万㎡）</t>
  </si>
  <si>
    <t>标准</t>
  </si>
  <si>
    <t>(万元/㎡)</t>
  </si>
  <si>
    <t>(元/㎡)</t>
    <phoneticPr fontId="87" type="noConversion"/>
  </si>
  <si>
    <t>(元/㎡)</t>
  </si>
  <si>
    <t>（万元）</t>
  </si>
  <si>
    <t>竞自持</t>
  </si>
  <si>
    <t>苏州</t>
  </si>
  <si>
    <t>一、项目概况</t>
  </si>
  <si>
    <t>总建安
（万元）</t>
  </si>
  <si>
    <t>毛坯建安
（万元）</t>
  </si>
  <si>
    <t>毛坯建面单方
（元/㎡）</t>
  </si>
  <si>
    <t>总可售单方
（元/㎡）</t>
  </si>
  <si>
    <t>毛坯可售单方
（元/㎡）</t>
  </si>
  <si>
    <t>配置分级</t>
  </si>
  <si>
    <t>面积占比
（%）</t>
  </si>
  <si>
    <t>精装修标准
（元/㎡）</t>
  </si>
  <si>
    <t>/</t>
    <phoneticPr fontId="87" type="noConversion"/>
  </si>
  <si>
    <t>商铺及其他公共配套</t>
  </si>
  <si>
    <t>二、基础数据复核</t>
  </si>
  <si>
    <t>校核项</t>
  </si>
  <si>
    <t>地下占比</t>
  </si>
  <si>
    <t>地下建造面积比</t>
  </si>
  <si>
    <t>业态1地上赠送率</t>
  </si>
  <si>
    <t>业态2地上赠送率</t>
  </si>
  <si>
    <t>计算方式</t>
  </si>
  <si>
    <t>可售面积/
总建筑面积</t>
  </si>
  <si>
    <t>地下建筑面积/
总建筑面积</t>
  </si>
  <si>
    <t>地下车库面积/
地下车位数</t>
  </si>
  <si>
    <t>地下车位数/
户数</t>
  </si>
  <si>
    <t>地下建造面积/
地下建筑面积</t>
  </si>
  <si>
    <t>室外工程面积/
占地面积</t>
  </si>
  <si>
    <t>塔楼建造面积/
建筑面积</t>
  </si>
  <si>
    <t>本次指标</t>
  </si>
  <si>
    <t>常规指标</t>
  </si>
  <si>
    <t>名称</t>
  </si>
  <si>
    <t>规划指标</t>
  </si>
  <si>
    <t>物业管理用房</t>
  </si>
  <si>
    <t>建设用地占地</t>
  </si>
  <si>
    <t>物业类型比例</t>
  </si>
  <si>
    <t>门卫</t>
  </si>
  <si>
    <t>配电房</t>
  </si>
  <si>
    <t>公建配套面积</t>
  </si>
  <si>
    <t>公建设施占总建筑比例</t>
  </si>
  <si>
    <t>配套商业</t>
  </si>
  <si>
    <t>人防地库</t>
  </si>
  <si>
    <t>非人防地库</t>
  </si>
  <si>
    <t>(2)+(3)+(4)+(5)</t>
  </si>
  <si>
    <t>容积率面积</t>
  </si>
  <si>
    <t>(2)+(3)</t>
  </si>
  <si>
    <t>R</t>
  </si>
  <si>
    <t>(7)/(1)</t>
  </si>
  <si>
    <t>注：</t>
  </si>
  <si>
    <t>面积段</t>
  </si>
  <si>
    <t>户型描述</t>
  </si>
  <si>
    <t>户数比</t>
  </si>
  <si>
    <t>面积比</t>
  </si>
  <si>
    <t>商业面积</t>
  </si>
  <si>
    <t>总户数</t>
  </si>
  <si>
    <t>访客车位</t>
  </si>
  <si>
    <t>总车位数</t>
  </si>
  <si>
    <t>地面停车位占比</t>
  </si>
  <si>
    <t>其中：住宅用地地下车位数</t>
  </si>
  <si>
    <t>商业配套占地</t>
  </si>
  <si>
    <t>商业用地地下车位数</t>
  </si>
  <si>
    <t>人防面积</t>
  </si>
  <si>
    <t>总占地面积</t>
  </si>
  <si>
    <t>其中：住宅用地人防面积</t>
  </si>
  <si>
    <t>商业用地人防面积</t>
  </si>
  <si>
    <t>人防停车位</t>
  </si>
  <si>
    <t>其中：住宅用地人防车位</t>
  </si>
  <si>
    <t>商业用地人防车位</t>
  </si>
  <si>
    <t>非人防地下停车位</t>
  </si>
  <si>
    <t>其中：住宅用地非人防停车位</t>
  </si>
  <si>
    <t>商业用地非人防车位</t>
  </si>
  <si>
    <t>别墅部分消化高层车位数</t>
  </si>
  <si>
    <t>配电房计算</t>
  </si>
  <si>
    <t>建筑占地面积</t>
  </si>
  <si>
    <t>绿化园建面积</t>
  </si>
  <si>
    <t>05表测算附表 桩基工程</t>
  </si>
  <si>
    <t>桩基工程</t>
  </si>
  <si>
    <t>桩型</t>
  </si>
  <si>
    <t>部位</t>
  </si>
  <si>
    <t>基底面积
（m2)</t>
  </si>
  <si>
    <t>桩基含量</t>
  </si>
  <si>
    <t>桩数（根）</t>
  </si>
  <si>
    <t>单桩桩长
（m）</t>
  </si>
  <si>
    <t>综合单价
（元/m）</t>
  </si>
  <si>
    <t>控制值
（万元）</t>
  </si>
  <si>
    <r>
      <rPr>
        <b/>
        <sz val="9"/>
        <color rgb="FFFFFFFF"/>
        <rFont val="宋体"/>
        <family val="3"/>
        <charset val="134"/>
      </rPr>
      <t>建筑面积（</t>
    </r>
    <r>
      <rPr>
        <b/>
        <sz val="9"/>
        <color rgb="FFFFFFFF"/>
        <rFont val="Arial"/>
        <family val="2"/>
      </rPr>
      <t>m2</t>
    </r>
    <r>
      <rPr>
        <b/>
        <sz val="9"/>
        <color rgb="FFFFFFFF"/>
        <rFont val="宋体"/>
        <family val="3"/>
        <charset val="134"/>
      </rPr>
      <t>）</t>
    </r>
  </si>
  <si>
    <t>相对建筑面积单位成本（元/m2）</t>
  </si>
  <si>
    <t>百分比</t>
  </si>
  <si>
    <t>模拟总桩长</t>
  </si>
  <si>
    <t>试桩</t>
  </si>
  <si>
    <t>一栋楼1根，每个桩型至少3根；地库至少3根</t>
    <phoneticPr fontId="84" type="noConversion"/>
  </si>
  <si>
    <t>试桩开办费</t>
  </si>
  <si>
    <t>机械进退场</t>
  </si>
  <si>
    <t>费用小计</t>
  </si>
  <si>
    <t>指标输出至05表</t>
  </si>
  <si>
    <t>桩基检测</t>
  </si>
  <si>
    <t>检测类型</t>
  </si>
  <si>
    <t>检测基数</t>
  </si>
  <si>
    <t>检测比例</t>
  </si>
  <si>
    <t>承载力极限值
（KN)</t>
  </si>
  <si>
    <t>检测工程量</t>
  </si>
  <si>
    <t>综合单价
（元）</t>
  </si>
  <si>
    <r>
      <rPr>
        <sz val="9"/>
        <color rgb="FFFFFFFF"/>
        <rFont val="宋体"/>
        <family val="3"/>
        <charset val="134"/>
      </rPr>
      <t>相对建筑面积（</t>
    </r>
    <r>
      <rPr>
        <sz val="9"/>
        <color rgb="FFFFFFFF"/>
        <rFont val="Arial"/>
        <family val="2"/>
      </rPr>
      <t>m2</t>
    </r>
    <r>
      <rPr>
        <sz val="9"/>
        <color rgb="FFFFFFFF"/>
        <rFont val="宋体"/>
        <family val="3"/>
        <charset val="134"/>
      </rPr>
      <t>）</t>
    </r>
  </si>
  <si>
    <t>相对建筑面积单位成本
（元/m2）</t>
  </si>
  <si>
    <t>静载-塔楼</t>
  </si>
  <si>
    <t>按每栋楼3根、不足 50 根的按照 2 根检测</t>
    <phoneticPr fontId="84" type="noConversion"/>
  </si>
  <si>
    <t>静载-地库（抗压）</t>
  </si>
  <si>
    <t>地库桩基的1%</t>
  </si>
  <si>
    <t>静载-地库（抗拔）</t>
  </si>
  <si>
    <t>声波</t>
  </si>
  <si>
    <t>全检</t>
  </si>
  <si>
    <t>小应变</t>
  </si>
  <si>
    <t>大应变</t>
  </si>
  <si>
    <t>1/10，且不少于十根</t>
  </si>
  <si>
    <t>钻芯-塔楼</t>
  </si>
  <si>
    <t>按每栋楼3根、仅灌注桩</t>
    <phoneticPr fontId="84" type="noConversion"/>
  </si>
  <si>
    <t>钻芯-地库</t>
  </si>
  <si>
    <t>地库桩基的2%、仅灌注桩</t>
    <phoneticPr fontId="84" type="noConversion"/>
  </si>
  <si>
    <t>试桩静载检测</t>
  </si>
  <si>
    <t>检测吨位数按照破坏上浮 20%</t>
    <phoneticPr fontId="84" type="noConversion"/>
  </si>
  <si>
    <t>土壤氡检测及进出场费</t>
    <phoneticPr fontId="84" type="noConversion"/>
  </si>
  <si>
    <t>沉降观测</t>
  </si>
  <si>
    <t>参考以往项目单方计算</t>
  </si>
  <si>
    <t>总计</t>
  </si>
  <si>
    <t>05表测算附表 土方工程</t>
  </si>
  <si>
    <t>土方工程</t>
  </si>
  <si>
    <t>基坑长度
（m）</t>
  </si>
  <si>
    <t>开挖面积
（m2）</t>
  </si>
  <si>
    <t>开挖深度
（m)</t>
  </si>
  <si>
    <t>土方量（m3）</t>
  </si>
  <si>
    <t>综合单价
（元/m3）</t>
  </si>
  <si>
    <t>土方开挖及外运</t>
  </si>
  <si>
    <t>基坑开挖-底板（含筏板、承台）</t>
  </si>
  <si>
    <t>基坑开挖-人防地库</t>
    <phoneticPr fontId="84" type="noConversion"/>
  </si>
  <si>
    <t>按照支护图纸测算，已含肥槽</t>
  </si>
  <si>
    <t>基坑开挖-非人防地库+储藏间及地下会所</t>
    <phoneticPr fontId="84" type="noConversion"/>
  </si>
  <si>
    <t>场地土方</t>
  </si>
  <si>
    <t>考虑现状土略低于设计正负零</t>
    <phoneticPr fontId="84" type="noConversion"/>
  </si>
  <si>
    <t>场地堆土</t>
  </si>
  <si>
    <t>开挖内倒扣减</t>
  </si>
  <si>
    <t>场地内倒</t>
  </si>
  <si>
    <t>结合土方平衡方案，场内倒运土方量，注意次数</t>
  </si>
  <si>
    <t>土方回填</t>
  </si>
  <si>
    <t>侧墙回填</t>
  </si>
  <si>
    <t>顶板回填</t>
  </si>
  <si>
    <t>景观面积</t>
  </si>
  <si>
    <t>其他土方</t>
  </si>
  <si>
    <t>基坑外</t>
  </si>
  <si>
    <t>费用合计</t>
  </si>
  <si>
    <t>05表测算附表 支护工程</t>
  </si>
  <si>
    <t>支护工程</t>
  </si>
  <si>
    <t>支护形式</t>
  </si>
  <si>
    <t>桩径</t>
  </si>
  <si>
    <t>基坑面积
（m2)</t>
  </si>
  <si>
    <t>支护长度（m）</t>
  </si>
  <si>
    <t>含量/说明</t>
  </si>
  <si>
    <t>延米费用</t>
  </si>
  <si>
    <t>三轴搅拌桩+灌注桩</t>
  </si>
  <si>
    <t>挂网喷浆</t>
  </si>
  <si>
    <t>坡面挂网喷射80厚C20细石砼面层，含泄水孔</t>
  </si>
  <si>
    <t>排水沟</t>
  </si>
  <si>
    <t>基坑降水</t>
  </si>
  <si>
    <t>降水</t>
  </si>
  <si>
    <t>基坑监测及其他</t>
  </si>
  <si>
    <t>实体工程费用合计</t>
  </si>
  <si>
    <t>开办费及预留变更</t>
  </si>
  <si>
    <t>地铁保护区自动化监测</t>
  </si>
  <si>
    <t>一</t>
  </si>
  <si>
    <t>总价</t>
  </si>
  <si>
    <t>单方</t>
  </si>
  <si>
    <t>苏州项目预算 电梯汇总报价</t>
    <phoneticPr fontId="125" type="noConversion"/>
  </si>
  <si>
    <t>楼号</t>
  </si>
  <si>
    <t>梯号</t>
  </si>
  <si>
    <t>用途</t>
  </si>
  <si>
    <t>型号</t>
  </si>
  <si>
    <t>载重（kg）</t>
  </si>
  <si>
    <t>速度（m/s）</t>
  </si>
  <si>
    <t>台数</t>
  </si>
  <si>
    <t>站</t>
  </si>
  <si>
    <t>门</t>
  </si>
  <si>
    <t>提升高度</t>
  </si>
  <si>
    <t>轿厢结构高</t>
    <phoneticPr fontId="125" type="noConversion"/>
  </si>
  <si>
    <t>开门尺寸</t>
  </si>
  <si>
    <t>设备单价</t>
  </si>
  <si>
    <t>客梯</t>
  </si>
  <si>
    <t>Schindler 3000</t>
  </si>
  <si>
    <t>900*2300</t>
  </si>
  <si>
    <t>备注：
1、设备税率13%，安装税率9%；
2、三年保养，政府验收费，一年年检费，白铁皮门洞临时封堵。</t>
  </si>
  <si>
    <t>03表测算附表 门窗工程</t>
  </si>
  <si>
    <t>北卧室立面窗</t>
  </si>
  <si>
    <t>厨房卫生间窗</t>
  </si>
  <si>
    <t>公区楼梯间窗</t>
  </si>
  <si>
    <t>窗户合计</t>
  </si>
  <si>
    <t>护窗栏杆</t>
  </si>
  <si>
    <t>防火玻璃栏板</t>
  </si>
  <si>
    <t>代号</t>
  </si>
  <si>
    <t>单户面积
（㎡）</t>
  </si>
  <si>
    <t>同户型面积小计（㎡）</t>
  </si>
  <si>
    <t>总面积
（㎡）</t>
  </si>
  <si>
    <t>每户延米
（m）</t>
  </si>
  <si>
    <t>总延米
（m）</t>
  </si>
  <si>
    <t>合计1</t>
  </si>
  <si>
    <t>门窗面积</t>
  </si>
  <si>
    <t>建筑面积</t>
  </si>
  <si>
    <t>计容配套用房面积</t>
    <phoneticPr fontId="87" type="noConversion"/>
  </si>
  <si>
    <t>规划容积率</t>
    <phoneticPr fontId="87" type="noConversion"/>
  </si>
  <si>
    <r>
      <t>m</t>
    </r>
    <r>
      <rPr>
        <vertAlign val="superscript"/>
        <sz val="10"/>
        <rFont val="微软雅黑"/>
        <family val="2"/>
        <charset val="134"/>
      </rPr>
      <t>2</t>
    </r>
  </si>
  <si>
    <t>理论计容</t>
    <phoneticPr fontId="87" type="noConversion"/>
  </si>
  <si>
    <t>可销售面积</t>
    <phoneticPr fontId="87" type="noConversion"/>
  </si>
  <si>
    <t>普通住宅</t>
    <phoneticPr fontId="87" type="noConversion"/>
  </si>
  <si>
    <t>精装洋房143㎡（普宅）</t>
    <phoneticPr fontId="87" type="noConversion"/>
  </si>
  <si>
    <t>合计</t>
    <phoneticPr fontId="87" type="noConversion"/>
  </si>
  <si>
    <t>精装小高层（普宅）</t>
    <phoneticPr fontId="87" type="noConversion"/>
  </si>
  <si>
    <t>非普通住宅</t>
    <phoneticPr fontId="87" type="noConversion"/>
  </si>
  <si>
    <t>精装洋房（非普）</t>
    <phoneticPr fontId="87" type="noConversion"/>
  </si>
  <si>
    <t>消防控制室</t>
  </si>
  <si>
    <t>垃圾房</t>
  </si>
  <si>
    <t>其他</t>
    <phoneticPr fontId="87" type="noConversion"/>
  </si>
  <si>
    <t>可售商业（其他）</t>
    <phoneticPr fontId="87" type="noConversion"/>
  </si>
  <si>
    <t>架空层</t>
    <phoneticPr fontId="87" type="noConversion"/>
  </si>
  <si>
    <t>居委会及配套</t>
  </si>
  <si>
    <t>不计容合计</t>
    <phoneticPr fontId="87" type="noConversion"/>
  </si>
  <si>
    <t>地下会所+地下庭院</t>
    <phoneticPr fontId="87" type="noConversion"/>
  </si>
  <si>
    <t>地下可售（储藏室）</t>
    <phoneticPr fontId="87" type="noConversion"/>
  </si>
  <si>
    <t>户型详细技术指标</t>
  </si>
  <si>
    <t>占地面积</t>
    <phoneticPr fontId="87" type="noConversion"/>
  </si>
  <si>
    <t>有效车位</t>
    <phoneticPr fontId="87" type="noConversion"/>
  </si>
  <si>
    <t>计容面积占比</t>
    <phoneticPr fontId="87" type="noConversion"/>
  </si>
  <si>
    <t>可销售建筑面积</t>
    <phoneticPr fontId="87" type="noConversion"/>
  </si>
  <si>
    <t>4房2卫</t>
    <phoneticPr fontId="87" type="noConversion"/>
  </si>
  <si>
    <t>容积率校核（应为0）</t>
    <phoneticPr fontId="87" type="noConversion"/>
  </si>
  <si>
    <t>4房3卫</t>
    <phoneticPr fontId="87" type="noConversion"/>
  </si>
  <si>
    <t>面积汇总</t>
    <phoneticPr fontId="87" type="noConversion"/>
  </si>
  <si>
    <r>
      <t>m</t>
    </r>
    <r>
      <rPr>
        <vertAlign val="superscript"/>
        <sz val="8"/>
        <color theme="1"/>
        <rFont val="微软雅黑"/>
        <family val="2"/>
        <charset val="134"/>
      </rPr>
      <t>2</t>
    </r>
  </si>
  <si>
    <t>配套面积</t>
    <phoneticPr fontId="87" type="noConversion"/>
  </si>
  <si>
    <t>户数</t>
    <phoneticPr fontId="87" type="noConversion"/>
  </si>
  <si>
    <t>车位总数</t>
    <phoneticPr fontId="87" type="noConversion"/>
  </si>
  <si>
    <t>住宅车位数(roundup公式）</t>
    <phoneticPr fontId="87" type="noConversion"/>
  </si>
  <si>
    <t>1.2个/户且1.2个/100㎡</t>
    <phoneticPr fontId="87" type="noConversion"/>
  </si>
  <si>
    <t>商业车位数(roundup公式）</t>
    <phoneticPr fontId="87" type="noConversion"/>
  </si>
  <si>
    <t>0.6个/100平米计容面积</t>
    <phoneticPr fontId="87" type="noConversion"/>
  </si>
  <si>
    <t>配套车位数(roundup公式）</t>
    <phoneticPr fontId="87" type="noConversion"/>
  </si>
  <si>
    <t>0.8个/100平米计容面积</t>
    <phoneticPr fontId="87" type="noConversion"/>
  </si>
  <si>
    <t>总停车位数*4%且≤30</t>
    <phoneticPr fontId="87" type="noConversion"/>
  </si>
  <si>
    <t>每5万m2计容面积配180m2</t>
    <phoneticPr fontId="87" type="noConversion"/>
  </si>
  <si>
    <t>U4</t>
    <phoneticPr fontId="84" type="noConversion"/>
  </si>
  <si>
    <t>10F小高层</t>
    <phoneticPr fontId="84" type="noConversion"/>
  </si>
  <si>
    <t>物业及其他配套</t>
    <phoneticPr fontId="84" type="noConversion"/>
  </si>
  <si>
    <t>地面环氧磨石，造型铝板/不锈钢吊顶+墙柱面石材</t>
    <phoneticPr fontId="84" type="noConversion"/>
  </si>
  <si>
    <t>①硬装标准：墙地面均贴砖；②软装标准：( 无 )</t>
    <phoneticPr fontId="84" type="noConversion"/>
  </si>
  <si>
    <t>部位：( 多层楼梯间-全贴砖 )；数量：( =15*11 )；单个面积：( 15 )</t>
    <phoneticPr fontId="84" type="noConversion"/>
  </si>
  <si>
    <t>年度标单价 1300 元/m2；临时办公区面积暂估 550m2；</t>
    <phoneticPr fontId="84" type="noConversion"/>
  </si>
  <si>
    <t>临时/正式道口开挖涉及绿化、管线、道路等迁改补偿费 30万；临时用地 4.5 亩，第一年租金 9 万，第二年 18 万，合计租金  27 万；生活区租地在总包范围，不考虑</t>
    <phoneticPr fontId="84" type="noConversion"/>
  </si>
  <si>
    <t>地下车库（室外覆土1.2m，带售楼处）</t>
  </si>
  <si>
    <t>内容</t>
  </si>
  <si>
    <t>建造面积
（m2）</t>
  </si>
  <si>
    <t>硬装
（元/m2）</t>
  </si>
  <si>
    <t>软装
（元/m2）</t>
  </si>
  <si>
    <t>合计单价
（元/m2）</t>
  </si>
  <si>
    <t>配置内容</t>
  </si>
  <si>
    <t>计入科目</t>
  </si>
  <si>
    <t>临时售楼处</t>
  </si>
  <si>
    <t>建造费用</t>
  </si>
  <si>
    <t>含搭建、拆改费用</t>
  </si>
  <si>
    <t>售楼处硬软装</t>
  </si>
  <si>
    <t>/</t>
    <phoneticPr fontId="144" type="noConversion"/>
  </si>
  <si>
    <t>含接待区、策展区、沙盘区、签约区、VIP室、办公储物区等</t>
  </si>
  <si>
    <t>示范区景观（红线内）</t>
  </si>
  <si>
    <t>非大区景观成本增量，包含室外水景，廊架，风雨连廊，别墅小院围墙及小院门等</t>
  </si>
  <si>
    <t>正式售楼处
（社区大堂及会所）</t>
  </si>
  <si>
    <t>售楼处硬软装（原为物业用房）</t>
    <phoneticPr fontId="144" type="noConversion"/>
  </si>
  <si>
    <t>会所软硬装</t>
    <phoneticPr fontId="144" type="noConversion"/>
  </si>
  <si>
    <t>示范区景观（红线内）-实景范围</t>
    <phoneticPr fontId="144" type="noConversion"/>
  </si>
  <si>
    <t>示范区景观（红线内）-下沉庭院</t>
    <phoneticPr fontId="144" type="noConversion"/>
  </si>
  <si>
    <t>非大区景观成本增量，包含室外水景，廊架，风雨连廊，别墅小院围墙及小院门等</t>
    <phoneticPr fontId="144" type="noConversion"/>
  </si>
  <si>
    <t>临时样板间</t>
  </si>
  <si>
    <t>临时样板间硬软装</t>
  </si>
  <si>
    <t>实体样板间</t>
  </si>
  <si>
    <t>营销围挡</t>
    <phoneticPr fontId="144" type="noConversion"/>
  </si>
  <si>
    <t>实景展示区成本组成</t>
    <phoneticPr fontId="144" type="noConversion"/>
  </si>
  <si>
    <t>2025年11月7日苏州市HRB400信息价</t>
    <phoneticPr fontId="84" type="noConversion"/>
  </si>
  <si>
    <t>2025年10月苏州市泵送C30信息价*0.9+18泵送费</t>
    <phoneticPr fontId="84" type="noConversion"/>
  </si>
  <si>
    <t>单体</t>
  </si>
  <si>
    <t>桩图集</t>
  </si>
  <si>
    <t>砼等级</t>
  </si>
  <si>
    <t>预估抗压承载力特征值（KN）</t>
  </si>
  <si>
    <t>预估抗拔承载力特征值（KN）</t>
  </si>
  <si>
    <t>预估长度（m）</t>
  </si>
  <si>
    <t>预估桩数量（根）</t>
  </si>
  <si>
    <t>10F小高140（4栋）,160（1栋），190（2栋）户型（北侧一排）</t>
  </si>
  <si>
    <t>混凝土灌注桩∅600</t>
  </si>
  <si>
    <t>《钢筋混凝土灌注桩》(10SG813)</t>
  </si>
  <si>
    <t>YZ600-29-3，20/8根18,9/4根18-35</t>
  </si>
  <si>
    <t>C35</t>
  </si>
  <si>
    <r>
      <t>单栋140户型51根；160户型59根190户型69根，</t>
    </r>
    <r>
      <rPr>
        <sz val="14"/>
        <color rgb="FF7030A0"/>
        <rFont val="微软雅黑"/>
        <family val="2"/>
        <charset val="134"/>
      </rPr>
      <t>地铁保护范围</t>
    </r>
  </si>
  <si>
    <t>10F小高140（4栋）,160（4栋）户型
（南侧一排）</t>
  </si>
  <si>
    <t>混凝土预应力空心管桩∅500</t>
  </si>
  <si>
    <t>《预应力混凝土管桩》(苏G03-2012)</t>
  </si>
  <si>
    <t>PHC-500(110)AB-C60-14,14</t>
  </si>
  <si>
    <t>C80</t>
  </si>
  <si>
    <r>
      <t xml:space="preserve">单栋140户型51根；160户型59根
</t>
    </r>
    <r>
      <rPr>
        <sz val="16"/>
        <color rgb="FF7030A0"/>
        <rFont val="微软雅黑"/>
        <family val="2"/>
        <charset val="134"/>
      </rPr>
      <t>非地铁保护范围</t>
    </r>
  </si>
  <si>
    <t>BZ600-29-3，29/12根18-35</t>
  </si>
  <si>
    <r>
      <t xml:space="preserve">桩基仅考虑抗拔
</t>
    </r>
    <r>
      <rPr>
        <sz val="16"/>
        <color rgb="FF7030A0"/>
        <rFont val="微软雅黑"/>
        <family val="2"/>
        <charset val="134"/>
      </rPr>
      <t>地铁保护范围</t>
    </r>
  </si>
  <si>
    <t>混凝土预应力实心方桩</t>
  </si>
  <si>
    <t>《预制混凝土方桩》20G361</t>
  </si>
  <si>
    <t>YZH-400B-15G-C60</t>
  </si>
  <si>
    <t>C60</t>
  </si>
  <si>
    <r>
      <t>桩基仅考虑抗拔</t>
    </r>
    <r>
      <rPr>
        <sz val="9"/>
        <color rgb="FF7030A0"/>
        <rFont val="微软雅黑"/>
        <family val="2"/>
        <charset val="134"/>
      </rPr>
      <t xml:space="preserve">
</t>
    </r>
    <r>
      <rPr>
        <sz val="14"/>
        <color rgb="FF7030A0"/>
        <rFont val="微软雅黑"/>
        <family val="2"/>
        <charset val="134"/>
      </rPr>
      <t>非地铁保护范围，二选一</t>
    </r>
  </si>
  <si>
    <t>YZH-350B-15G-C60</t>
  </si>
  <si>
    <t>注：1. 按周边地勘报告进行参考估算。</t>
  </si>
  <si>
    <t>2.未注明桩顶标高约-6.000m</t>
  </si>
  <si>
    <t>å</t>
    <phoneticPr fontId="84" type="noConversion"/>
  </si>
  <si>
    <t>①类型：(超A级子母门+门槛+猫眼+拉手贝母片+安装费) ；②品牌：( 天山)；③ 型号：( 子母门 )</t>
    <phoneticPr fontId="84" type="noConversion"/>
  </si>
  <si>
    <t>①类型：(电子锁) ；②品牌：( 飞利浦五合一马达锁)；</t>
    <phoneticPr fontId="84" type="noConversion"/>
  </si>
  <si>
    <t>阳台为封窗，内侧设置防火玻璃栏板</t>
    <phoneticPr fontId="84" type="noConversion"/>
  </si>
  <si>
    <r>
      <t>φ850-600</t>
    </r>
    <r>
      <rPr>
        <sz val="10"/>
        <color rgb="FF000000"/>
        <rFont val="宋体"/>
        <family val="3"/>
        <charset val="134"/>
      </rPr>
      <t>三轴搅拌桩水泥掺量</t>
    </r>
    <r>
      <rPr>
        <sz val="10"/>
        <color rgb="FF000000"/>
        <rFont val="Arial"/>
        <family val="2"/>
      </rPr>
      <t>20%
L=15.0m</t>
    </r>
  </si>
  <si>
    <t>间隔 1200</t>
  </si>
  <si>
    <t>元/米</t>
  </si>
  <si>
    <t>φ800@1000钻孔灌注桩GZ1
有效桩长L=10.0m</t>
  </si>
  <si>
    <t>间隔 1000</t>
  </si>
  <si>
    <t>φ48*3，L=3.0m@1000钢管</t>
  </si>
  <si>
    <r>
      <t>φ850-600</t>
    </r>
    <r>
      <rPr>
        <sz val="10"/>
        <color rgb="FF000000"/>
        <rFont val="宋体"/>
        <family val="3"/>
        <charset val="134"/>
      </rPr>
      <t>三轴搅拌桩水泥掺量</t>
    </r>
    <r>
      <rPr>
        <sz val="10"/>
        <color rgb="FF000000"/>
        <rFont val="Arial"/>
        <family val="2"/>
      </rPr>
      <t>20%
L=11.5m</t>
    </r>
  </si>
  <si>
    <r>
      <t>H700x300x13x24-1200</t>
    </r>
    <r>
      <rPr>
        <sz val="10"/>
        <color rgb="FF000000"/>
        <rFont val="宋体"/>
        <family val="3"/>
        <charset val="134"/>
      </rPr>
      <t xml:space="preserve">型钢
</t>
    </r>
    <r>
      <rPr>
        <sz val="10"/>
        <color rgb="FF000000"/>
        <rFont val="Arial"/>
        <family val="2"/>
      </rPr>
      <t>L=12.0m(</t>
    </r>
    <r>
      <rPr>
        <sz val="10"/>
        <color rgb="FF000000"/>
        <rFont val="宋体"/>
        <family val="3"/>
        <charset val="134"/>
      </rPr>
      <t>插一跳一</t>
    </r>
    <r>
      <rPr>
        <sz val="10"/>
        <color rgb="FF000000"/>
        <rFont val="Arial"/>
        <family val="2"/>
      </rPr>
      <t>)</t>
    </r>
  </si>
  <si>
    <t>标准租期按照 8个月</t>
  </si>
  <si>
    <t xml:space="preserve">冠梁：
尺寸-长：1.0
尺寸-宽：0.8 </t>
  </si>
  <si>
    <t>截面积：0.80</t>
  </si>
  <si>
    <r>
      <rPr>
        <sz val="9"/>
        <color rgb="FF000000"/>
        <rFont val="Microsoft YaHei"/>
        <family val="2"/>
        <charset val="134"/>
      </rPr>
      <t>砼</t>
    </r>
    <r>
      <rPr>
        <sz val="9"/>
        <color rgb="FF000000"/>
        <rFont val="Arial"/>
        <family val="2"/>
      </rPr>
      <t>/m3</t>
    </r>
  </si>
  <si>
    <r>
      <rPr>
        <sz val="9"/>
        <color rgb="FF000000"/>
        <rFont val="Microsoft YaHei"/>
        <family val="2"/>
        <charset val="134"/>
      </rPr>
      <t>模板</t>
    </r>
    <r>
      <rPr>
        <sz val="9"/>
        <color rgb="FF000000"/>
        <rFont val="Arial"/>
        <family val="2"/>
      </rPr>
      <t>/m2</t>
    </r>
  </si>
  <si>
    <t>m2</t>
  </si>
  <si>
    <r>
      <rPr>
        <sz val="9"/>
        <color rgb="FF000000"/>
        <rFont val="Microsoft YaHei"/>
        <family val="2"/>
        <charset val="134"/>
      </rPr>
      <t>钢筋</t>
    </r>
    <r>
      <rPr>
        <sz val="9"/>
        <color rgb="FF000000"/>
        <rFont val="Arial"/>
        <family val="2"/>
      </rPr>
      <t>/kg</t>
    </r>
  </si>
  <si>
    <t xml:space="preserve">冠梁：
尺寸-长：1.2 
尺寸-宽：0.8 </t>
  </si>
  <si>
    <t>截面积：0.96</t>
  </si>
  <si>
    <t>冠梁土方开挖</t>
  </si>
  <si>
    <t>截面积 0.12</t>
  </si>
  <si>
    <t>地铁保护区监测</t>
    <phoneticPr fontId="84" type="noConversion"/>
  </si>
  <si>
    <t>姑苏第</t>
    <phoneticPr fontId="84" type="noConversion"/>
  </si>
  <si>
    <r>
      <rPr>
        <sz val="10"/>
        <color rgb="FFFF0000"/>
        <rFont val="Microsoft YaHei"/>
        <family val="2"/>
        <charset val="134"/>
      </rPr>
      <t>转到</t>
    </r>
    <r>
      <rPr>
        <sz val="10"/>
        <color rgb="FFFF0000"/>
        <rFont val="Arial"/>
        <family val="2"/>
      </rPr>
      <t>05</t>
    </r>
    <r>
      <rPr>
        <sz val="10"/>
        <color rgb="FFFF0000"/>
        <rFont val="Microsoft YaHei"/>
        <family val="2"/>
        <charset val="134"/>
      </rPr>
      <t>表单方</t>
    </r>
    <phoneticPr fontId="84" type="noConversion"/>
  </si>
  <si>
    <t>YZ600-29-3，20/8根18,9/4根18-35</t>
    <phoneticPr fontId="84" type="noConversion"/>
  </si>
  <si>
    <t>BZ600-29-3，29/12根18-35</t>
    <phoneticPr fontId="84" type="noConversion"/>
  </si>
  <si>
    <t>《钢筋混凝土灌注桩》(10SG813)</t>
    <phoneticPr fontId="84" type="noConversion"/>
  </si>
  <si>
    <t>贯通梯</t>
    <phoneticPr fontId="84" type="noConversion"/>
  </si>
  <si>
    <t>阳台玻璃栏杆</t>
  </si>
  <si>
    <r>
      <rPr>
        <b/>
        <sz val="10"/>
        <color rgb="FFFFFFFF"/>
        <rFont val="华文细黑"/>
        <charset val="134"/>
      </rPr>
      <t>每户面积</t>
    </r>
    <r>
      <rPr>
        <b/>
        <sz val="10"/>
        <color rgb="FFFFFFFF"/>
        <rFont val="华文细黑"/>
        <charset val="134"/>
      </rPr>
      <t xml:space="preserve">
</t>
    </r>
    <r>
      <rPr>
        <b/>
        <sz val="10"/>
        <color rgb="FFFFFFFF"/>
        <rFont val="华文细黑"/>
        <charset val="134"/>
      </rPr>
      <t>（㎡）</t>
    </r>
  </si>
  <si>
    <t>三玻门窗面积</t>
    <phoneticPr fontId="84" type="noConversion"/>
  </si>
  <si>
    <t>三玻综合单价（刻度）</t>
    <phoneticPr fontId="84" type="noConversion"/>
  </si>
  <si>
    <t>换算到本次测算</t>
    <phoneticPr fontId="84" type="noConversion"/>
  </si>
  <si>
    <t>清洁屋*1；参考狮山云起招标价格20万每个</t>
    <phoneticPr fontId="84" type="noConversion"/>
  </si>
  <si>
    <t>无机房</t>
  </si>
  <si>
    <t>3 终端单方 28；4 终端户型单方 35</t>
    <phoneticPr fontId="84" type="noConversion"/>
  </si>
  <si>
    <t>680 每户，电梯 15 层以下每部 1.6 万</t>
    <phoneticPr fontId="84" type="noConversion"/>
  </si>
  <si>
    <t>塑钢钢化推拉门综合单价</t>
    <phoneticPr fontId="84" type="noConversion"/>
  </si>
  <si>
    <t>90.51</t>
  </si>
  <si>
    <t>①大墙面保温材料类型2：( 大于27m采用岩棉 )；②厚度( 35 )</t>
    <phoneticPr fontId="84" type="noConversion"/>
  </si>
  <si>
    <t>好房子：满足隔声要求增加聚氨酯隔音垫+12</t>
    <phoneticPr fontId="84" type="noConversion"/>
  </si>
  <si>
    <t>特征值</t>
  </si>
  <si>
    <t>设计桩径
（㎜）</t>
  </si>
  <si>
    <t>桩长（m）</t>
  </si>
  <si>
    <t>空孔（m）</t>
  </si>
  <si>
    <t>混凝土强度</t>
  </si>
  <si>
    <t xml:space="preserve"> 混凝土方量   （m³）</t>
  </si>
  <si>
    <t>Φ6钢筋重量（kg）</t>
  </si>
  <si>
    <t>Φ12钢筋重量（kg）</t>
  </si>
  <si>
    <t>Φ18钢筋重量（kg）</t>
  </si>
  <si>
    <t>钢筋汇总重量（kg）</t>
  </si>
  <si>
    <t>每米含量</t>
  </si>
  <si>
    <t>加密区</t>
  </si>
  <si>
    <t>非加密区</t>
  </si>
  <si>
    <t>间距2m加强筋</t>
  </si>
  <si>
    <t>主筋</t>
  </si>
  <si>
    <t>主筋锚固</t>
  </si>
  <si>
    <t>塔楼</t>
  </si>
  <si>
    <t>地库抗压</t>
  </si>
  <si>
    <t>桩基工程主要单价分析表</t>
  </si>
  <si>
    <t>本工程</t>
  </si>
  <si>
    <t>每米工程量（A1）</t>
  </si>
  <si>
    <t>延米单价
(元/m)A2</t>
  </si>
  <si>
    <t>立方米单价（元/m3)A3</t>
  </si>
  <si>
    <t>塔楼，600mm旋挖灌注桩（有效桩长≥38m）</t>
  </si>
  <si>
    <t>每米工程量</t>
  </si>
  <si>
    <t>每立方米工程量</t>
  </si>
  <si>
    <t>每立方米单价（元/m3）A</t>
  </si>
  <si>
    <t>截面积</t>
  </si>
  <si>
    <t>成孔</t>
  </si>
  <si>
    <t>m3/m</t>
  </si>
  <si>
    <t>kg/m</t>
  </si>
  <si>
    <t>砼(C35)</t>
  </si>
  <si>
    <t>后注浆</t>
  </si>
  <si>
    <t>t/m</t>
  </si>
  <si>
    <t>注浆管</t>
  </si>
  <si>
    <t>声测管</t>
  </si>
  <si>
    <t>钻芯导管</t>
  </si>
  <si>
    <t>截桩</t>
  </si>
  <si>
    <t>根/m</t>
  </si>
  <si>
    <t>地下室，600mm旋挖灌注桩（抗拔、有效桩长≥15m）</t>
  </si>
  <si>
    <r>
      <rPr>
        <sz val="11"/>
        <rFont val="宋体"/>
        <family val="3"/>
        <charset val="134"/>
      </rPr>
      <t>m/m</t>
    </r>
    <r>
      <rPr>
        <sz val="11"/>
        <rFont val="宋体"/>
        <family val="3"/>
        <charset val="134"/>
      </rPr>
      <t>3</t>
    </r>
  </si>
  <si>
    <r>
      <rPr>
        <sz val="11"/>
        <rFont val="宋体"/>
        <family val="3"/>
        <charset val="134"/>
      </rPr>
      <t>m3/m</t>
    </r>
    <r>
      <rPr>
        <sz val="11"/>
        <rFont val="宋体"/>
        <family val="3"/>
        <charset val="134"/>
      </rPr>
      <t>3</t>
    </r>
  </si>
  <si>
    <r>
      <rPr>
        <sz val="11"/>
        <rFont val="宋体"/>
        <family val="3"/>
        <charset val="134"/>
      </rPr>
      <t>kg/m</t>
    </r>
    <r>
      <rPr>
        <sz val="11"/>
        <rFont val="宋体"/>
        <family val="3"/>
        <charset val="134"/>
      </rPr>
      <t>3</t>
    </r>
  </si>
  <si>
    <t>砼(C30)</t>
  </si>
  <si>
    <t>后注浆
(2T)</t>
  </si>
  <si>
    <r>
      <rPr>
        <sz val="11"/>
        <rFont val="宋体"/>
        <family val="3"/>
        <charset val="134"/>
      </rPr>
      <t>t/m</t>
    </r>
    <r>
      <rPr>
        <sz val="11"/>
        <rFont val="宋体"/>
        <family val="3"/>
        <charset val="134"/>
      </rPr>
      <t>3</t>
    </r>
  </si>
  <si>
    <t>侧注浆
(1T)</t>
  </si>
  <si>
    <r>
      <rPr>
        <sz val="11"/>
        <rFont val="宋体"/>
        <family val="3"/>
        <charset val="134"/>
      </rPr>
      <t>根/m</t>
    </r>
    <r>
      <rPr>
        <sz val="11"/>
        <rFont val="宋体"/>
        <family val="3"/>
        <charset val="134"/>
      </rPr>
      <t>3</t>
    </r>
  </si>
  <si>
    <t>装配整体式剪力墙结构预制装配率计算统计表（住宅）</t>
  </si>
  <si>
    <t>技术配置选项</t>
  </si>
  <si>
    <t>项目实施情况</t>
  </si>
  <si>
    <t>体积或者面积</t>
  </si>
  <si>
    <t>对应部分总体积或面积</t>
  </si>
  <si>
    <t>权重</t>
  </si>
  <si>
    <t>比值</t>
  </si>
  <si>
    <t>主体结构和
外围护结构
预制构件
Z1</t>
  </si>
  <si>
    <t>预制外剪力墙板</t>
  </si>
  <si>
    <t>预制夹心保温外墙板</t>
  </si>
  <si>
    <t>预制双层叠合剪力墙板</t>
  </si>
  <si>
    <t>预制内剪力墙板（含外墙）</t>
  </si>
  <si>
    <t>采用</t>
  </si>
  <si>
    <t>预制梁</t>
  </si>
  <si>
    <t>预制叠合板</t>
  </si>
  <si>
    <t>预制楼梯板</t>
  </si>
  <si>
    <t>预制阳台板</t>
  </si>
  <si>
    <t>预制空调板</t>
  </si>
  <si>
    <t>PCF 混凝土外墙模板</t>
  </si>
  <si>
    <t>混凝土外挂墙板</t>
  </si>
  <si>
    <t>预制混凝土飘窗墙板</t>
  </si>
  <si>
    <t>预制女儿墙</t>
  </si>
  <si>
    <t>合计（X1/Y1）</t>
  </si>
  <si>
    <r>
      <t>合计</t>
    </r>
    <r>
      <rPr>
        <sz val="11"/>
        <color rgb="FF000000"/>
        <rFont val="Helvetica"/>
        <family val="2"/>
      </rPr>
      <t xml:space="preserve"> </t>
    </r>
    <r>
      <rPr>
        <sz val="11"/>
        <color rgb="FF000000"/>
        <rFont val="SimHei"/>
        <family val="3"/>
      </rPr>
      <t>X1</t>
    </r>
  </si>
  <si>
    <r>
      <t>合计</t>
    </r>
    <r>
      <rPr>
        <sz val="11"/>
        <color rgb="FF000000"/>
        <rFont val="Helvetica"/>
        <family val="2"/>
      </rPr>
      <t xml:space="preserve"> </t>
    </r>
    <r>
      <rPr>
        <sz val="11"/>
        <color rgb="FF000000"/>
        <rFont val="SimHei"/>
        <family val="3"/>
      </rPr>
      <t>Y1</t>
    </r>
  </si>
  <si>
    <t>装配式内外围护构件 
Z2</t>
  </si>
  <si>
    <t>蒸压轻质加气混凝土外墙系统</t>
  </si>
  <si>
    <t>轻钢龙骨石膏板隔墙</t>
  </si>
  <si>
    <t>蒸压轻质加气混凝土墙板</t>
  </si>
  <si>
    <t>钢筋陶粒混凝土轻质墙板</t>
  </si>
  <si>
    <t>合计（X2/Y2）</t>
  </si>
  <si>
    <r>
      <t>合计</t>
    </r>
    <r>
      <rPr>
        <sz val="11"/>
        <color rgb="FF000000"/>
        <rFont val="Helvetica"/>
        <family val="2"/>
      </rPr>
      <t xml:space="preserve"> </t>
    </r>
    <r>
      <rPr>
        <sz val="11"/>
        <color rgb="FF000000"/>
        <rFont val="SimHei"/>
        <family val="3"/>
      </rPr>
      <t>X2</t>
    </r>
  </si>
  <si>
    <r>
      <t>合计</t>
    </r>
    <r>
      <rPr>
        <sz val="11"/>
        <color rgb="FF000000"/>
        <rFont val="Helvetica"/>
        <family val="2"/>
      </rPr>
      <t xml:space="preserve"> </t>
    </r>
    <r>
      <rPr>
        <sz val="11"/>
        <color rgb="FF000000"/>
        <rFont val="SimHei"/>
        <family val="3"/>
      </rPr>
      <t>Y2</t>
    </r>
  </si>
  <si>
    <t>内装建筑部品
Z3</t>
  </si>
  <si>
    <t>集成式厨房</t>
  </si>
  <si>
    <t>集成式卫生间</t>
  </si>
  <si>
    <t>装配式吊顶</t>
  </si>
  <si>
    <t>楼地面干式铺装</t>
  </si>
  <si>
    <t>装配式墙板（带饰面）</t>
  </si>
  <si>
    <t>装配式栏杆</t>
  </si>
  <si>
    <t>合计（X3/Y3）</t>
  </si>
  <si>
    <r>
      <t>合计</t>
    </r>
    <r>
      <rPr>
        <sz val="11"/>
        <color rgb="FF000000"/>
        <rFont val="Helvetica"/>
        <family val="2"/>
      </rPr>
      <t xml:space="preserve"> </t>
    </r>
    <r>
      <rPr>
        <sz val="11"/>
        <color rgb="FF000000"/>
        <rFont val="SimHei"/>
        <family val="3"/>
      </rPr>
      <t>X3</t>
    </r>
  </si>
  <si>
    <r>
      <t>合计</t>
    </r>
    <r>
      <rPr>
        <sz val="11"/>
        <color rgb="FF000000"/>
        <rFont val="Helvetica"/>
        <family val="2"/>
      </rPr>
      <t xml:space="preserve"> </t>
    </r>
    <r>
      <rPr>
        <sz val="11"/>
        <color rgb="FF000000"/>
        <rFont val="SimHei"/>
        <family val="3"/>
      </rPr>
      <t>Y3</t>
    </r>
  </si>
  <si>
    <t>创新加分项- S</t>
  </si>
  <si>
    <t>标准化、 模块化、 集约化设 计</t>
  </si>
  <si>
    <t>标准化的居住户型单元和公共建筑基本功 能单元</t>
  </si>
  <si>
    <t>不超过5%</t>
  </si>
  <si>
    <t>标准化门窗</t>
  </si>
  <si>
    <t>设备管线与结构相分离</t>
  </si>
  <si>
    <t>绿色建筑 技术集成 应用</t>
  </si>
  <si>
    <t>绿色建筑二星</t>
  </si>
  <si>
    <t>绿色建筑三星</t>
  </si>
  <si>
    <t>被动式超低能耗技术集成应用</t>
  </si>
  <si>
    <t>隔震减震技术集成应用</t>
  </si>
  <si>
    <t>以 BIM 为核心的信息化技术集成 应用</t>
  </si>
  <si>
    <t>工业化施 工技术集 成应用</t>
  </si>
  <si>
    <t>工地预制围墙（道路 板）</t>
  </si>
  <si>
    <t>封闭式板式木组件</t>
  </si>
  <si>
    <t>预制空间模块木组件</t>
  </si>
  <si>
    <t>预制装配率 =Z1+Z2+Z3+S</t>
  </si>
  <si>
    <t>劳动路含量</t>
    <phoneticPr fontId="87" type="noConversion"/>
  </si>
  <si>
    <t>楼栋编号</t>
  </si>
  <si>
    <t>地上楼栋面积</t>
  </si>
  <si>
    <t>预制装配式总体积</t>
  </si>
  <si>
    <t>新三板总体积</t>
  </si>
  <si>
    <t>预制装配率50%单方价差</t>
  </si>
  <si>
    <t>预制装配率约30%单方价差</t>
  </si>
  <si>
    <t>PC叠合板板含阳台板工程量</t>
  </si>
  <si>
    <t>PC板单价</t>
  </si>
  <si>
    <t>传统现浇板单价</t>
  </si>
  <si>
    <t>PC板价单价差</t>
  </si>
  <si>
    <t>PC板单方差</t>
  </si>
  <si>
    <t>PC楼梯工程量</t>
  </si>
  <si>
    <t>PC楼梯单价</t>
  </si>
  <si>
    <t>传统现浇楼梯单价</t>
  </si>
  <si>
    <t>PC楼梯单价差</t>
  </si>
  <si>
    <t>PC楼梯单方差</t>
  </si>
  <si>
    <t>ALC隔墙工程量</t>
  </si>
  <si>
    <t>ALC隔墙单价</t>
  </si>
  <si>
    <t>原对应砌体墙单价</t>
  </si>
  <si>
    <t>ALC内隔墙单价差</t>
  </si>
  <si>
    <t>ALC内隔墙单方差</t>
  </si>
  <si>
    <t>PC剪力墙工程量</t>
  </si>
  <si>
    <t>PC剪力墙单价</t>
  </si>
  <si>
    <t>原剪力墙做法单价</t>
  </si>
  <si>
    <t>PC剪力墙单价差</t>
  </si>
  <si>
    <t>PC剪力墙单方差</t>
  </si>
  <si>
    <t>劳动路项目</t>
    <phoneticPr fontId="87" type="noConversion"/>
  </si>
  <si>
    <t>2#、6#、7#（150户型、小高）</t>
    <phoneticPr fontId="84" type="noConversion"/>
  </si>
  <si>
    <t>1#、3#（130小高）</t>
    <phoneticPr fontId="84" type="noConversion"/>
  </si>
  <si>
    <t>塔吊运输，开办费影响单方</t>
    <phoneticPr fontId="84" type="noConversion"/>
  </si>
  <si>
    <t>出让条件</t>
    <phoneticPr fontId="84" type="noConversion"/>
  </si>
  <si>
    <t>其中45%的面积做到预制装配率50%（即 45% 的楼栋按照预制装配率 50%），剩余面积按30%装配率（江苏省规不低于30%）</t>
    <phoneticPr fontId="84" type="noConversion"/>
  </si>
  <si>
    <t>本次测算</t>
    <phoneticPr fontId="84" type="noConversion"/>
  </si>
  <si>
    <t>链接至 03 表</t>
    <phoneticPr fontId="84" type="noConversion"/>
  </si>
  <si>
    <t>现浇板含量参考</t>
    <phoneticPr fontId="87" type="noConversion"/>
  </si>
  <si>
    <t>含量</t>
    <phoneticPr fontId="84" type="noConversion"/>
  </si>
  <si>
    <t>单价</t>
    <phoneticPr fontId="84" type="noConversion"/>
  </si>
  <si>
    <t>现浇楼梯含量</t>
    <phoneticPr fontId="87" type="noConversion"/>
  </si>
  <si>
    <t>砌体墙单价参考</t>
    <phoneticPr fontId="84" type="noConversion"/>
  </si>
  <si>
    <t>单价来源</t>
    <phoneticPr fontId="84" type="noConversion"/>
  </si>
  <si>
    <t>剪力墙含量参考</t>
    <phoneticPr fontId="87" type="noConversion"/>
  </si>
  <si>
    <t>钢筋含量kg/m3</t>
    <phoneticPr fontId="87" type="noConversion"/>
  </si>
  <si>
    <t>砌体墙</t>
    <phoneticPr fontId="84" type="noConversion"/>
  </si>
  <si>
    <t>劳动路总包合同</t>
    <phoneticPr fontId="84" type="noConversion"/>
  </si>
  <si>
    <t>模板含量m2/m3</t>
    <phoneticPr fontId="87" type="noConversion"/>
  </si>
  <si>
    <t>ALC 隔墙</t>
    <phoneticPr fontId="84" type="noConversion"/>
  </si>
  <si>
    <t>混凝土</t>
    <phoneticPr fontId="87" type="noConversion"/>
  </si>
  <si>
    <t>姑苏项目地下室用钢量统计</t>
  </si>
  <si>
    <t>构件</t>
  </si>
  <si>
    <t>姑苏第人防地库占比</t>
    <phoneticPr fontId="84" type="noConversion"/>
  </si>
  <si>
    <t>非人防塔楼</t>
  </si>
  <si>
    <t>非人防塔楼外</t>
  </si>
  <si>
    <t>人防塔楼</t>
  </si>
  <si>
    <t>人防塔楼外</t>
  </si>
  <si>
    <t>集团刻度</t>
  </si>
  <si>
    <t>本地块</t>
    <phoneticPr fontId="84" type="noConversion"/>
  </si>
  <si>
    <t>集团限额</t>
  </si>
  <si>
    <t>基础</t>
  </si>
  <si>
    <t>柱、墙</t>
  </si>
  <si>
    <t>梁</t>
  </si>
  <si>
    <t>板</t>
  </si>
  <si>
    <t>含量指标KG/m2</t>
  </si>
  <si>
    <t>姑苏项目地下室用砼量统计</t>
  </si>
  <si>
    <t>垫层</t>
    <phoneticPr fontId="87" type="noConversion"/>
  </si>
  <si>
    <t>含量指标m3/m2</t>
  </si>
  <si>
    <t>刻度项目为高层，本项目类似姑苏第小高项目，体量偏小，参考姑苏第项目修正</t>
    <phoneticPr fontId="84" type="noConversion"/>
  </si>
  <si>
    <t>姑苏第V4</t>
    <phoneticPr fontId="84" type="noConversion"/>
  </si>
  <si>
    <t>禧宸V3F</t>
    <phoneticPr fontId="84" type="noConversion"/>
  </si>
  <si>
    <t>狮山云起V3F</t>
    <phoneticPr fontId="84" type="noConversion"/>
  </si>
  <si>
    <t>地下大堂+首层大堂各一个</t>
    <phoneticPr fontId="84" type="noConversion"/>
  </si>
  <si>
    <t>地下防水根据小高地库修正，参考禧宸项目下浮5%</t>
    <phoneticPr fontId="84" type="noConversion"/>
  </si>
  <si>
    <t>参考禧宸项目含量，较刻度降低</t>
    <phoneticPr fontId="84" type="noConversion"/>
  </si>
  <si>
    <t>单位工程名称</t>
  </si>
  <si>
    <t>金额(元)</t>
  </si>
  <si>
    <t>室外给水工程</t>
  </si>
  <si>
    <t>立管给水工程</t>
  </si>
  <si>
    <t>地库给水工程</t>
  </si>
  <si>
    <t>泵房工程</t>
    <phoneticPr fontId="84" type="noConversion"/>
  </si>
  <si>
    <t>雨水工程</t>
  </si>
  <si>
    <t>污水工程</t>
  </si>
  <si>
    <t>苏州园区DK20230010号地块居配工程(居配自建)</t>
  </si>
  <si>
    <t>苏州园区DK20230010地块（车坊）项目居配工程（外部工程）</t>
  </si>
  <si>
    <t>苏州园区DK20230010地块住宅项目供电监理合同（内部）</t>
  </si>
  <si>
    <t>苏州园区DK20230010地块住宅项目供电监理合同（外部）</t>
  </si>
  <si>
    <t>苏州园区DK20230010地块（车坊）项目电缆通道工程合同</t>
  </si>
  <si>
    <t>苏州园区DK20230010地块（车坊）项目外线接入工程及内线配电工程委托设计合同</t>
  </si>
  <si>
    <t>苏州园区DK20230010地块小区雨污水工程</t>
  </si>
  <si>
    <t>苏州园区DK20230010地块（车坊）项目矿物绝缘电缆设备采购合同</t>
  </si>
  <si>
    <t>总面积</t>
    <phoneticPr fontId="84" type="noConversion"/>
  </si>
  <si>
    <t>单方</t>
    <phoneticPr fontId="84" type="noConversion"/>
  </si>
  <si>
    <t>合计</t>
    <phoneticPr fontId="84" type="noConversion"/>
  </si>
  <si>
    <t>可退费不考虑</t>
    <phoneticPr fontId="84" type="noConversion"/>
  </si>
  <si>
    <t>报建费</t>
    <phoneticPr fontId="84" type="noConversion"/>
  </si>
  <si>
    <t>/</t>
    <phoneticPr fontId="84" type="noConversion"/>
  </si>
  <si>
    <t>本次测算考虑</t>
    <phoneticPr fontId="84" type="noConversion"/>
  </si>
  <si>
    <t>自来水（垄断）</t>
    <phoneticPr fontId="84" type="noConversion"/>
  </si>
  <si>
    <t>雨污水（垄断）</t>
    <phoneticPr fontId="84" type="noConversion"/>
  </si>
  <si>
    <t>电力配套（自采）</t>
    <phoneticPr fontId="84" type="noConversion"/>
  </si>
  <si>
    <t>高度4m,延米长度850,参考年度标单价1400一延米</t>
    <phoneticPr fontId="84" type="noConversion"/>
  </si>
  <si>
    <t>考虑 1% 的容积率奖励（+500 的计容面积），预制装配面积做到 100%（即全部楼栋）</t>
    <phoneticPr fontId="84" type="noConversion"/>
  </si>
  <si>
    <t>装配面积比例：100%；增加装配面积，增加1%容积率奖励</t>
    <phoneticPr fontId="84" type="noConversion"/>
  </si>
  <si>
    <t>延米单价</t>
    <phoneticPr fontId="84" type="noConversion"/>
  </si>
  <si>
    <t>①种类：(  )；②厚度：(  )；③档次：(进口)</t>
    <phoneticPr fontId="84" type="noConversion"/>
  </si>
  <si>
    <t>最少人防面积</t>
    <phoneticPr fontId="87" type="noConversion"/>
  </si>
  <si>
    <t>差异</t>
    <phoneticPr fontId="87" type="noConversion"/>
  </si>
  <si>
    <t>省规应建人防面积</t>
    <phoneticPr fontId="87" type="noConversion"/>
  </si>
  <si>
    <t>容积率奖励</t>
    <phoneticPr fontId="87" type="noConversion"/>
  </si>
  <si>
    <t>用地面积</t>
  </si>
  <si>
    <t xml:space="preserve"> 地上建筑面积 </t>
  </si>
  <si>
    <t>其中</t>
  </si>
  <si>
    <t>地上计容建筑面积</t>
  </si>
  <si>
    <t>精装洋房</t>
    <phoneticPr fontId="87" type="noConversion"/>
  </si>
  <si>
    <t>红线内配建及配套</t>
  </si>
  <si>
    <t>地上不计容建筑面积</t>
    <phoneticPr fontId="87" type="noConversion"/>
  </si>
  <si>
    <t>其中</t>
    <phoneticPr fontId="87" type="noConversion"/>
  </si>
  <si>
    <t>地上不计容配套面积</t>
    <phoneticPr fontId="87" type="noConversion"/>
  </si>
  <si>
    <t>地下建筑面积</t>
    <phoneticPr fontId="87" type="noConversion"/>
  </si>
  <si>
    <t>首层面积</t>
  </si>
  <si>
    <t>住宅首层</t>
  </si>
  <si>
    <t>覆盖率</t>
  </si>
  <si>
    <t>机动车停车位</t>
  </si>
  <si>
    <t>非人防车位</t>
  </si>
  <si>
    <t>普通窗，阳台封窗</t>
    <phoneticPr fontId="84" type="noConversion"/>
  </si>
  <si>
    <t>充电桩安装 30%</t>
    <phoneticPr fontId="84" type="noConversion"/>
  </si>
  <si>
    <t>防火玻璃栏板</t>
    <phoneticPr fontId="84" type="noConversion"/>
  </si>
  <si>
    <t>门窗采用三玻，阳台拆改部分推拉门按照塑钢综合换算（户内三玻两腔+客厅推拉门塑钢）</t>
    <phoneticPr fontId="84" type="noConversion"/>
  </si>
  <si>
    <t>设备费供应链加价后</t>
    <phoneticPr fontId="125" type="noConversion"/>
  </si>
  <si>
    <t>扣除电梯装饰</t>
    <phoneticPr fontId="125" type="noConversion"/>
  </si>
  <si>
    <t>①型号：(迅达Schindler3000 )；②载重：( 1000 )；③梯速：( 1.75 )；④是否无机房：( 是 )</t>
    <phoneticPr fontId="84" type="noConversion"/>
  </si>
  <si>
    <t>⑤层数：(11 )；⑥站数：( 12 )；⑦辅助配置(多选)：(轿厢装修扣除在公区装饰中考虑，厅门提升，带空调；⑧是否贯通门：( 是 )</t>
    <phoneticPr fontId="84" type="noConversion"/>
  </si>
  <si>
    <t>苏州园区DK20230010地块项目供电高可靠性费用</t>
    <phoneticPr fontId="84" type="noConversion"/>
  </si>
  <si>
    <t>苏州园区DK20230010地块项目配电房除湿防凝露系统安装工程</t>
    <phoneticPr fontId="84" type="noConversion"/>
  </si>
  <si>
    <t>考虑自采我司大总包成本优势下浮</t>
    <phoneticPr fontId="84" type="noConversion"/>
  </si>
  <si>
    <t>架空层封闭玻璃幕墙</t>
    <phoneticPr fontId="84" type="noConversion"/>
  </si>
  <si>
    <t>部分架空层封闭玻璃幕墙</t>
    <phoneticPr fontId="84" type="noConversion"/>
  </si>
  <si>
    <t>产品名称及规格参数</t>
  </si>
  <si>
    <t>工程量合计</t>
  </si>
  <si>
    <r>
      <rPr>
        <b/>
        <sz val="10"/>
        <rFont val="微软雅黑"/>
        <family val="2"/>
        <charset val="134"/>
      </rPr>
      <t>设备供货  单价</t>
    </r>
    <r>
      <rPr>
        <b/>
        <sz val="10"/>
        <color rgb="FFFF0000"/>
        <rFont val="微软雅黑"/>
        <family val="2"/>
        <charset val="134"/>
      </rPr>
      <t>（13%）</t>
    </r>
  </si>
  <si>
    <r>
      <rPr>
        <b/>
        <sz val="10"/>
        <rFont val="微软雅黑"/>
        <family val="2"/>
        <charset val="134"/>
      </rPr>
      <t xml:space="preserve">设备供货      合价    </t>
    </r>
    <r>
      <rPr>
        <b/>
        <sz val="10"/>
        <color rgb="FFFF0000"/>
        <rFont val="微软雅黑"/>
        <family val="2"/>
        <charset val="134"/>
      </rPr>
      <t>（13%）</t>
    </r>
  </si>
  <si>
    <r>
      <rPr>
        <b/>
        <sz val="10"/>
        <rFont val="微软雅黑"/>
        <family val="2"/>
        <charset val="134"/>
      </rPr>
      <t>设备安装单价</t>
    </r>
    <r>
      <rPr>
        <b/>
        <sz val="10"/>
        <color rgb="FFFF0000"/>
        <rFont val="微软雅黑"/>
        <family val="2"/>
        <charset val="134"/>
      </rPr>
      <t>（9%）</t>
    </r>
  </si>
  <si>
    <r>
      <rPr>
        <b/>
        <sz val="10"/>
        <rFont val="微软雅黑"/>
        <family val="2"/>
        <charset val="134"/>
      </rPr>
      <t>材料单价</t>
    </r>
    <r>
      <rPr>
        <b/>
        <sz val="10"/>
        <color rgb="FFFF0000"/>
        <rFont val="微软雅黑"/>
        <family val="2"/>
        <charset val="134"/>
      </rPr>
      <t>（9%）</t>
    </r>
  </si>
  <si>
    <r>
      <rPr>
        <b/>
        <sz val="10"/>
        <rFont val="微软雅黑"/>
        <family val="2"/>
        <charset val="134"/>
      </rPr>
      <t>材料安装  单价</t>
    </r>
    <r>
      <rPr>
        <b/>
        <sz val="10"/>
        <color rgb="FFFF0000"/>
        <rFont val="微软雅黑"/>
        <family val="2"/>
        <charset val="134"/>
      </rPr>
      <t>（9%）</t>
    </r>
  </si>
  <si>
    <r>
      <rPr>
        <b/>
        <sz val="10"/>
        <rFont val="微软雅黑"/>
        <family val="2"/>
        <charset val="134"/>
      </rPr>
      <t>设备安装及材料安装合价（元）</t>
    </r>
    <r>
      <rPr>
        <b/>
        <sz val="10"/>
        <color rgb="FFFF0000"/>
        <rFont val="微软雅黑"/>
        <family val="2"/>
        <charset val="134"/>
      </rPr>
      <t>（9%）</t>
    </r>
  </si>
  <si>
    <t>集热器专用连接件</t>
  </si>
  <si>
    <t>快装接头-不锈钢</t>
  </si>
  <si>
    <t>循环水泵 PH-751EH</t>
  </si>
  <si>
    <t>橡胶软连接DN20</t>
  </si>
  <si>
    <t>压力表</t>
  </si>
  <si>
    <t>分体系统控制器（强弱电分离）-触控式</t>
  </si>
  <si>
    <t>膨胀罐-18L（304不锈钢）</t>
  </si>
  <si>
    <t>水泵防雨罩</t>
  </si>
  <si>
    <t>水箱基础</t>
  </si>
  <si>
    <t>水箱固定支架</t>
  </si>
  <si>
    <t>铜闸阀 DN20</t>
  </si>
  <si>
    <t>TP阀-DN20</t>
  </si>
  <si>
    <t>铜止回阀 对夹 DN20</t>
  </si>
  <si>
    <t>安全阀-DN20</t>
  </si>
  <si>
    <t>Y型过滤器 DN20</t>
  </si>
  <si>
    <t>排气阀 DN20</t>
  </si>
  <si>
    <t>泄压阀</t>
  </si>
  <si>
    <t>温度计</t>
  </si>
  <si>
    <t>薄壁不锈钢管 DN20</t>
  </si>
  <si>
    <t>米</t>
  </si>
  <si>
    <t>丙二醇，防冻温度-30℃</t>
  </si>
  <si>
    <t>L</t>
  </si>
  <si>
    <t>50mm橡塑保温-DN20</t>
  </si>
  <si>
    <t>铝皮外护0.3mm</t>
  </si>
  <si>
    <t>信号线RVVP2×1mm2</t>
  </si>
  <si>
    <t>电源线RVV3×2.5mm2</t>
  </si>
  <si>
    <r>
      <rPr>
        <sz val="10"/>
        <rFont val="宋体"/>
        <family val="3"/>
        <charset val="134"/>
      </rPr>
      <t>PVC电线管</t>
    </r>
    <r>
      <rPr>
        <sz val="10"/>
        <rFont val="宋体"/>
        <family val="3"/>
        <charset val="134"/>
      </rPr>
      <t xml:space="preserve"> DN2</t>
    </r>
    <r>
      <rPr>
        <sz val="10"/>
        <rFont val="宋体"/>
        <family val="3"/>
        <charset val="134"/>
      </rPr>
      <t>0</t>
    </r>
  </si>
  <si>
    <t>穿屋面、楼面套管</t>
  </si>
  <si>
    <t>避雷系统 10mm镀锌圆钢</t>
  </si>
  <si>
    <t>集热器支架，4#热镀锌角钢</t>
  </si>
  <si>
    <t>管道支架，4#镀锌角钢焊接，外表做防锈处理</t>
  </si>
  <si>
    <r>
      <rPr>
        <b/>
        <sz val="10"/>
        <rFont val="宋体"/>
        <family val="3"/>
        <charset val="134"/>
      </rPr>
      <t>设备供货合价</t>
    </r>
    <r>
      <rPr>
        <b/>
        <sz val="10"/>
        <color rgb="FFFF0000"/>
        <rFont val="宋体"/>
        <family val="3"/>
        <charset val="134"/>
      </rPr>
      <t>（13%）</t>
    </r>
  </si>
  <si>
    <r>
      <rPr>
        <b/>
        <sz val="10"/>
        <rFont val="宋体"/>
        <family val="3"/>
        <charset val="134"/>
      </rPr>
      <t>设备安装及材料安装合价（元）</t>
    </r>
    <r>
      <rPr>
        <b/>
        <sz val="10"/>
        <color rgb="FFFF0000"/>
        <rFont val="宋体"/>
        <family val="3"/>
        <charset val="134"/>
      </rPr>
      <t>（9%）</t>
    </r>
  </si>
  <si>
    <t>合计（设备+材料、安装）：</t>
  </si>
  <si>
    <t>车位装修：地面为环氧地坪，增加聚氨酯罩面，车档采用不锈钢；
车道地面：地面为彩石研磨，单方 120；地坪漆35元/m2</t>
    <phoneticPr fontId="84" type="noConversion"/>
  </si>
  <si>
    <t>户型</t>
    <phoneticPr fontId="87" type="noConversion"/>
  </si>
  <si>
    <t>11F洋房</t>
    <phoneticPr fontId="87" type="noConversion"/>
  </si>
  <si>
    <t>本项目车位配比方案</t>
  </si>
  <si>
    <t>类目</t>
  </si>
  <si>
    <r>
      <t>面积</t>
    </r>
    <r>
      <rPr>
        <b/>
        <sz val="8"/>
        <color rgb="FFFFFFFF"/>
        <rFont val="Arial"/>
        <family val="2"/>
      </rPr>
      <t>/</t>
    </r>
    <r>
      <rPr>
        <b/>
        <sz val="8"/>
        <color rgb="FFFFFFFF"/>
        <rFont val="微软雅黑"/>
        <family val="2"/>
        <charset val="134"/>
      </rPr>
      <t>个数</t>
    </r>
  </si>
  <si>
    <t>住宅建筑面积</t>
  </si>
  <si>
    <r>
      <t xml:space="preserve"> </t>
    </r>
    <r>
      <rPr>
        <sz val="8"/>
        <color rgb="FF000000"/>
        <rFont val="微软雅黑"/>
        <family val="2"/>
        <charset val="134"/>
      </rPr>
      <t>配套设施</t>
    </r>
    <phoneticPr fontId="87" type="noConversion"/>
  </si>
  <si>
    <t>住宅总户数</t>
  </si>
  <si>
    <t>指标计算</t>
  </si>
  <si>
    <t>住宅车位</t>
    <phoneticPr fontId="87" type="noConversion"/>
  </si>
  <si>
    <r>
      <t>1.2</t>
    </r>
    <r>
      <rPr>
        <sz val="8"/>
        <color rgb="FF000000"/>
        <rFont val="微软雅黑"/>
        <family val="2"/>
        <charset val="134"/>
      </rPr>
      <t>个</t>
    </r>
    <r>
      <rPr>
        <sz val="8"/>
        <color rgb="FF000000"/>
        <rFont val="Arial"/>
        <family val="2"/>
      </rPr>
      <t>/</t>
    </r>
    <r>
      <rPr>
        <sz val="8"/>
        <color rgb="FF000000"/>
        <rFont val="微软雅黑"/>
        <family val="2"/>
        <charset val="134"/>
      </rPr>
      <t>户且</t>
    </r>
    <r>
      <rPr>
        <sz val="8"/>
        <color rgb="FF000000"/>
        <rFont val="Arial"/>
        <family val="2"/>
      </rPr>
      <t>1.2</t>
    </r>
    <r>
      <rPr>
        <sz val="8"/>
        <color rgb="FF000000"/>
        <rFont val="微软雅黑"/>
        <family val="2"/>
        <charset val="134"/>
      </rPr>
      <t>个</t>
    </r>
    <r>
      <rPr>
        <sz val="8"/>
        <color rgb="FF000000"/>
        <rFont val="Arial"/>
        <family val="2"/>
      </rPr>
      <t>/100</t>
    </r>
    <r>
      <rPr>
        <sz val="8"/>
        <color rgb="FF000000"/>
        <rFont val="微软雅黑"/>
        <family val="2"/>
        <charset val="134"/>
      </rPr>
      <t>平</t>
    </r>
    <phoneticPr fontId="87" type="noConversion"/>
  </si>
  <si>
    <t>配套车位</t>
    <phoneticPr fontId="87" type="noConversion"/>
  </si>
  <si>
    <r>
      <rPr>
        <sz val="8"/>
        <color rgb="FF000000"/>
        <rFont val="微软雅黑"/>
        <family val="2"/>
        <charset val="134"/>
      </rPr>
      <t>0.8个</t>
    </r>
    <r>
      <rPr>
        <sz val="8"/>
        <color rgb="FF000000"/>
        <rFont val="Arial"/>
        <family val="2"/>
      </rPr>
      <t>/100</t>
    </r>
    <r>
      <rPr>
        <sz val="8"/>
        <color rgb="FF000000"/>
        <rFont val="微软雅黑"/>
        <family val="2"/>
        <charset val="134"/>
      </rPr>
      <t>平米建筑面积</t>
    </r>
    <phoneticPr fontId="87" type="noConversion"/>
  </si>
  <si>
    <t>4%*总停车位且≤30</t>
    <phoneticPr fontId="87" type="noConversion"/>
  </si>
  <si>
    <t>地下车位</t>
  </si>
  <si>
    <t>人防车位</t>
  </si>
  <si>
    <t>人防车位44㎡/个</t>
    <phoneticPr fontId="87" type="noConversion"/>
  </si>
  <si>
    <t>可售车位比</t>
  </si>
  <si>
    <t>%</t>
    <phoneticPr fontId="87" type="noConversion"/>
  </si>
  <si>
    <t>辆</t>
  </si>
  <si>
    <t>南卧室窗</t>
    <phoneticPr fontId="84" type="noConversion"/>
  </si>
  <si>
    <t>首层及山墙干挂石材</t>
    <phoneticPr fontId="84" type="noConversion"/>
  </si>
  <si>
    <t>电梯2</t>
    <phoneticPr fontId="84" type="noConversion"/>
  </si>
  <si>
    <t>类型</t>
    <phoneticPr fontId="84" type="noConversion"/>
  </si>
  <si>
    <t>地上钢筋指标修正</t>
    <phoneticPr fontId="84" type="noConversion"/>
  </si>
  <si>
    <t>建筑面积</t>
    <phoneticPr fontId="84" type="noConversion"/>
  </si>
  <si>
    <t>钢筋刻度</t>
    <phoneticPr fontId="84" type="noConversion"/>
  </si>
  <si>
    <t>混凝土刻度</t>
    <phoneticPr fontId="84" type="noConversion"/>
  </si>
  <si>
    <t>按照面积折算后修正刻度</t>
    <phoneticPr fontId="84" type="noConversion"/>
  </si>
  <si>
    <t>无闷顶理论钢筋及砼总量</t>
    <phoneticPr fontId="84" type="noConversion"/>
  </si>
  <si>
    <t>面积</t>
    <phoneticPr fontId="84" type="noConversion"/>
  </si>
  <si>
    <t>闷顶建造面积（不计容）</t>
    <phoneticPr fontId="84" type="noConversion"/>
  </si>
  <si>
    <t>闷顶钢筋及砼增量，含量按照标准层含量刻度的0.7倍折算</t>
    <phoneticPr fontId="84" type="noConversion"/>
  </si>
  <si>
    <t>外立面推拉门（不改造）</t>
    <phoneticPr fontId="84" type="noConversion"/>
  </si>
  <si>
    <t>客厅推拉门（拆改）</t>
    <phoneticPr fontId="84" type="noConversion"/>
  </si>
  <si>
    <t>阳台封窗</t>
    <phoneticPr fontId="84" type="noConversion"/>
  </si>
  <si>
    <t>本地块地下室用钢量统计</t>
    <phoneticPr fontId="84" type="noConversion"/>
  </si>
  <si>
    <t>本地块地下室用砼量统计</t>
    <phoneticPr fontId="84" type="noConversion"/>
  </si>
  <si>
    <t>设备平台顶面局部涂料</t>
    <phoneticPr fontId="84" type="noConversion"/>
  </si>
  <si>
    <t>封窗窗积比</t>
    <phoneticPr fontId="84" type="noConversion"/>
  </si>
  <si>
    <t>参考新U3+硬装3000；大堂挑高5m；单方上浮1.5倍，硬装4500，软装500</t>
    <phoneticPr fontId="84" type="noConversion"/>
  </si>
  <si>
    <t>参考新U3+硬装1900；</t>
    <phoneticPr fontId="84" type="noConversion"/>
  </si>
  <si>
    <t>参考新U3+硬装3500；软装500</t>
    <phoneticPr fontId="84" type="noConversion"/>
  </si>
  <si>
    <t>1、地下室无线信号覆盖；收费标准15元/m2；
2、车库坡道顶盖及坡道装饰按照2个考虑，80万元/个；
4、地库车道吊顶为铝板+灯带+柱面装修；装修单方750 元/m2，扣除车马厅部分，面积3000m2。地面彩石地坪计入地下地坪工程。
5、会所中央车站，单方3000 元/m2；面积 190m2；</t>
    <phoneticPr fontId="87" type="noConversion"/>
  </si>
  <si>
    <t>封窗影响单方</t>
    <phoneticPr fontId="84" type="noConversion"/>
  </si>
  <si>
    <t>精装洋房176㎡（非普）</t>
    <phoneticPr fontId="87" type="noConversion"/>
  </si>
  <si>
    <t>闷顶</t>
    <phoneticPr fontId="87" type="noConversion"/>
  </si>
  <si>
    <t>架空层+闷顶+不计容配套</t>
    <phoneticPr fontId="87" type="noConversion"/>
  </si>
  <si>
    <t>U3+一城一策限额</t>
    <phoneticPr fontId="84" type="noConversion"/>
  </si>
  <si>
    <t>参考新U3+标准950；大区景观面积1.8万方，小于2万方，上浮10%至1045</t>
    <phoneticPr fontId="84" type="noConversion"/>
  </si>
  <si>
    <t>1-1 剖面*（北侧西侧临近地铁）</t>
    <phoneticPr fontId="84" type="noConversion"/>
  </si>
  <si>
    <t>2-2 剖面（南侧东侧远离地铁区域+会所坑中坑部位）</t>
    <phoneticPr fontId="84" type="noConversion"/>
  </si>
  <si>
    <t>本项目外立面一城一策口径单方</t>
    <phoneticPr fontId="84" type="noConversion"/>
  </si>
  <si>
    <t xml:space="preserve">1.太阳能专业负责屋面集热器、水箱、循环泵、控制仪、信号线及集热器与水箱间集热循环管的供货及安装；                                                                                                                                                                                                                                       2.需甲方按要求预留循环管道穿屋面、穿楼板及穿墙的套管；                                                                                                                                                                                                                                                                                                                            3.需甲方按要求预留屋顶集热器基础，水箱旁预留电源插座；   
4.本报价不包含太阳能能效检测费；                                                                                                                                                                                            </t>
    <phoneticPr fontId="84" type="noConversion"/>
  </si>
  <si>
    <t>新建主卧阳台墙面及装饰2500一户+拆除推拉门及墙垛，壁纸以及地面装饰恢复5000一户</t>
    <phoneticPr fontId="84" type="noConversion"/>
  </si>
  <si>
    <t>南侧红线外景观6360平，增加园路以及绿化修整，单方200；</t>
    <phoneticPr fontId="84" type="noConversion"/>
  </si>
  <si>
    <t>东侧红线外景观面积2800平；增加绿化，单方360；</t>
    <phoneticPr fontId="84" type="noConversion"/>
  </si>
  <si>
    <t>封闭架空层</t>
    <phoneticPr fontId="84" type="noConversion"/>
  </si>
  <si>
    <t>非封闭</t>
    <phoneticPr fontId="84" type="noConversion"/>
  </si>
  <si>
    <t>190户型封闭架空层6000元/m2;其他非封闭架空层单方2000；综合2650</t>
    <phoneticPr fontId="84" type="noConversion"/>
  </si>
  <si>
    <t>含健身房泳池，沙盘等区域</t>
    <phoneticPr fontId="84" type="noConversion"/>
  </si>
  <si>
    <t>售楼处空调</t>
    <phoneticPr fontId="144" type="noConversion"/>
  </si>
  <si>
    <t>实体样板间硬软装（创意）-176户型</t>
    <phoneticPr fontId="144" type="noConversion"/>
  </si>
  <si>
    <t>实体样板间硬软装（创意）-143户型</t>
    <phoneticPr fontId="144" type="noConversion"/>
  </si>
  <si>
    <t>大区装标 3000；展示升级部分 2500；软装 5000</t>
    <phoneticPr fontId="144" type="noConversion"/>
  </si>
  <si>
    <t>拆改单方400+装修单方800</t>
    <phoneticPr fontId="84" type="noConversion"/>
  </si>
  <si>
    <t>参考禧宸姑苏第小高业态单方</t>
    <phoneticPr fontId="84" type="noConversion"/>
  </si>
  <si>
    <t>中海园区项目太阳能估价（平板分体承压系统300L单盘管水箱+6平方米平板集热器）（循环管采用不锈钢管卡压）</t>
  </si>
  <si>
    <r>
      <rPr>
        <b/>
        <sz val="10"/>
        <rFont val="微软雅黑"/>
        <family val="2"/>
        <charset val="134"/>
      </rPr>
      <t>设备安装及材料安装单价（元）</t>
    </r>
    <r>
      <rPr>
        <b/>
        <sz val="10"/>
        <color rgb="FFFF0000"/>
        <rFont val="微软雅黑"/>
        <family val="2"/>
        <charset val="134"/>
      </rPr>
      <t>（9%）</t>
    </r>
  </si>
  <si>
    <t>黑膜平板集热器-2000*1000*80mm，2㎡</t>
  </si>
  <si>
    <t>单盘管换热水箱（强制循环分体系统）-300L（IPX6）</t>
  </si>
  <si>
    <t>①品牌：( 中科蓝天 ) ；②型号：( 承压式一体机300L )；每单元10户按照顶6户设置太阳能；
坡屋面需平板分体承压系统300L单盘管水箱+6平方米平板集热器</t>
    <phoneticPr fontId="84" type="noConversion"/>
  </si>
  <si>
    <t>坡屋面屋面瓦工程（集采陶土瓦）</t>
    <phoneticPr fontId="84" type="noConversion"/>
  </si>
  <si>
    <t>1、地下室无线信号覆盖；收费标准15元/m2；
2、车库坡道顶盖及坡道装饰按照2个考虑，80万元/个；
3、地库车道吊顶为铝板+灯带+柱面装修；装修单方750 元/m2，扣除车马厅部分，面积3000m2。地面彩石地坪计入地下地坪工程
4、会所与地库连接处前厅，单方 3000 元/m2；面积 190m2；</t>
    <phoneticPr fontId="84" type="noConversion"/>
  </si>
  <si>
    <t>同肥槽开挖量，地铁出入口临近部位采用素砼回填</t>
    <phoneticPr fontId="84" type="noConversion"/>
  </si>
  <si>
    <t>2台临电参考禧宸30万/台（售楼处一台，大区施工一台）</t>
    <phoneticPr fontId="84" type="noConversion"/>
  </si>
  <si>
    <t>临时展厅</t>
    <phoneticPr fontId="84" type="noConversion"/>
  </si>
  <si>
    <t>集装箱租赁费单方1000；装修3000+软装2000</t>
    <phoneticPr fontId="84" type="noConversion"/>
  </si>
  <si>
    <t>园区永旺北地块</t>
    <phoneticPr fontId="87" type="noConversion"/>
  </si>
  <si>
    <t>C1</t>
    <phoneticPr fontId="87" type="noConversion"/>
  </si>
  <si>
    <t>U3+</t>
    <phoneticPr fontId="87" type="noConversion"/>
  </si>
  <si>
    <t>精装</t>
    <phoneticPr fontId="87" type="noConversion"/>
  </si>
  <si>
    <t>U3+</t>
    <phoneticPr fontId="92" type="noConversion"/>
  </si>
  <si>
    <t>小高层</t>
    <phoneticPr fontId="87" type="noConversion"/>
  </si>
  <si>
    <t>2.25万/m2</t>
    <phoneticPr fontId="84" type="noConversion"/>
  </si>
  <si>
    <t>11万/个</t>
    <phoneticPr fontId="84" type="noConversion"/>
  </si>
  <si>
    <t>地下1层，车库层高3.8，人防占比8%</t>
    <phoneticPr fontId="87" type="noConversion"/>
  </si>
  <si>
    <t>精装交付，小高层，层高 3.1，预制装配率 50%</t>
    <phoneticPr fontId="84" type="noConversion"/>
  </si>
  <si>
    <t>物业配套用房单独设置</t>
    <phoneticPr fontId="84" type="noConversion"/>
  </si>
  <si>
    <t>业态差异：本项目主要为11层小高，单车位指标提升，户均车位配比较刻度+0.46</t>
    <phoneticPr fontId="87" type="noConversion"/>
  </si>
  <si>
    <t>10F小高140（4栋）,160（4栋）户型
（南侧一排）</t>
    <phoneticPr fontId="84" type="noConversion"/>
  </si>
  <si>
    <t>10F小高140（4栋）,160（3栋），户型（北侧一排）</t>
    <phoneticPr fontId="84" type="noConversion"/>
  </si>
  <si>
    <t>封窗因素引起的单方差</t>
    <phoneticPr fontId="84" type="noConversion"/>
  </si>
  <si>
    <t>窗积比</t>
    <phoneticPr fontId="84" type="noConversion"/>
  </si>
  <si>
    <t>若无封窗（推拉门铝合金三玻）</t>
    <phoneticPr fontId="84" type="noConversion"/>
  </si>
  <si>
    <t>原来计算逻辑</t>
    <phoneticPr fontId="84" type="noConversion"/>
  </si>
  <si>
    <t>封窗部分的窗积比*封窗门窗的单价</t>
    <phoneticPr fontId="84" type="noConversion"/>
  </si>
  <si>
    <t>有封窗（推拉门做了塑钢）</t>
    <phoneticPr fontId="84" type="noConversion"/>
  </si>
  <si>
    <t>集团意见：算两种方案的差异</t>
    <phoneticPr fontId="84" type="noConversion"/>
  </si>
  <si>
    <t>苏州公司园区永旺北地块项目信息及特性交圈输入表</t>
    <phoneticPr fontId="125" type="noConversion"/>
  </si>
  <si>
    <t xml:space="preserve">2022年4月版      </t>
    <phoneticPr fontId="125" type="noConversion"/>
  </si>
  <si>
    <t>本表随投资会成本测算资料同步提交，涉及影响成本的部分各职能线下交圈，由合约管理部填写，填写说明：
① 地块特征根据项目情况填写。
② 风险描述：根据项目实际特性简要说明；如不涉及或无异常，可描述为“是”“否”“与以往一致”等。
③ 落实措施：主要包括资料提供/数据交圈/指导意见，定性填写，描述大概金额，无需填写具体测算指标（测算指标在成本测算中体现即可）。如已有应对措施且风险可控，风险项选“否”；如风险较大不确定性或缺乏相应落实措施，风险项选“是”。
④风险项：信息交圈责任部门为各协同职能部门，如有个别风险项难以确定，应征询协同部门意见。城市特征值征询投资、报建与设计意见。</t>
    <phoneticPr fontId="125" type="noConversion"/>
  </si>
  <si>
    <t>是否涉及</t>
    <phoneticPr fontId="125" type="noConversion"/>
  </si>
  <si>
    <t>内容描述</t>
    <phoneticPr fontId="125" type="noConversion"/>
  </si>
  <si>
    <t>测算考虑</t>
    <phoneticPr fontId="125" type="noConversion"/>
  </si>
  <si>
    <t>一、</t>
    <phoneticPr fontId="125" type="noConversion"/>
  </si>
  <si>
    <t>城市特征</t>
    <phoneticPr fontId="125" type="noConversion"/>
  </si>
  <si>
    <t>城市层级的通用政策，如政策、规范等与本年度城市特征值一致则无需额外修正</t>
    <phoneticPr fontId="125" type="noConversion"/>
  </si>
  <si>
    <t>投资</t>
    <phoneticPr fontId="125" type="noConversion"/>
  </si>
  <si>
    <t>产业政策</t>
    <phoneticPr fontId="125" type="noConversion"/>
  </si>
  <si>
    <t>装配式政策</t>
    <phoneticPr fontId="125" type="noConversion"/>
  </si>
  <si>
    <t xml:space="preserve"> </t>
    <phoneticPr fontId="87" type="noConversion"/>
  </si>
  <si>
    <r>
      <rPr>
        <b/>
        <sz val="10"/>
        <rFont val="微软雅黑"/>
        <family val="2"/>
        <charset val="134"/>
      </rPr>
      <t>标准刻度：</t>
    </r>
    <r>
      <rPr>
        <sz val="10"/>
        <rFont val="微软雅黑"/>
        <family val="2"/>
        <charset val="134"/>
      </rPr>
      <t>预制装配式面积____%，单体预制率____%，预制装配率____%</t>
    </r>
    <r>
      <rPr>
        <b/>
        <sz val="10"/>
        <rFont val="宋体"/>
        <family val="3"/>
        <charset val="134"/>
      </rPr>
      <t/>
    </r>
    <phoneticPr fontId="125" type="noConversion"/>
  </si>
  <si>
    <t>钢结构政策</t>
    <phoneticPr fontId="125" type="noConversion"/>
  </si>
  <si>
    <r>
      <rPr>
        <b/>
        <sz val="10"/>
        <rFont val="微软雅黑"/>
        <family val="2"/>
        <charset val="134"/>
      </rPr>
      <t>标准刻度：</t>
    </r>
    <r>
      <rPr>
        <sz val="10"/>
        <rFont val="微软雅黑"/>
        <family val="2"/>
        <charset val="134"/>
      </rPr>
      <t>XXXXXXXX</t>
    </r>
    <phoneticPr fontId="125" type="noConversion"/>
  </si>
  <si>
    <t>超低能耗政策</t>
    <phoneticPr fontId="125" type="noConversion"/>
  </si>
  <si>
    <t>与以往一致</t>
    <phoneticPr fontId="125" type="noConversion"/>
  </si>
  <si>
    <t>绿色建筑政策</t>
    <phoneticPr fontId="125" type="noConversion"/>
  </si>
  <si>
    <r>
      <rPr>
        <b/>
        <sz val="10"/>
        <rFont val="微软雅黑"/>
        <family val="2"/>
        <charset val="134"/>
      </rPr>
      <t>标准刻度：</t>
    </r>
    <r>
      <rPr>
        <sz val="10"/>
        <rFont val="微软雅黑"/>
        <family val="2"/>
        <charset val="134"/>
      </rPr>
      <t>___星</t>
    </r>
    <r>
      <rPr>
        <b/>
        <sz val="10"/>
        <rFont val="宋体"/>
        <family val="3"/>
        <charset val="134"/>
      </rPr>
      <t/>
    </r>
    <phoneticPr fontId="125" type="noConversion"/>
  </si>
  <si>
    <t>全装修政策</t>
    <phoneticPr fontId="125" type="noConversion"/>
  </si>
  <si>
    <r>
      <rPr>
        <b/>
        <sz val="10"/>
        <rFont val="微软雅黑"/>
        <family val="2"/>
        <charset val="134"/>
      </rPr>
      <t>基础装：</t>
    </r>
    <r>
      <rPr>
        <sz val="10"/>
        <rFont val="微软雅黑"/>
        <family val="2"/>
        <charset val="134"/>
      </rPr>
      <t xml:space="preserve">成本XXX元/m2，售价XXXX元/m2，溢价率XXX%
</t>
    </r>
    <r>
      <rPr>
        <b/>
        <sz val="10"/>
        <rFont val="微软雅黑"/>
        <family val="2"/>
        <charset val="134"/>
      </rPr>
      <t>升级装：</t>
    </r>
    <r>
      <rPr>
        <sz val="10"/>
        <rFont val="微软雅黑"/>
        <family val="2"/>
        <charset val="134"/>
      </rPr>
      <t>成本XXXX元/m2，售价XXXX元/m2，溢价率XXX%</t>
    </r>
    <phoneticPr fontId="125" type="noConversion"/>
  </si>
  <si>
    <t>海绵城市</t>
    <phoneticPr fontId="125" type="noConversion"/>
  </si>
  <si>
    <t>…</t>
    <phoneticPr fontId="125" type="noConversion"/>
  </si>
  <si>
    <t>设计</t>
    <phoneticPr fontId="125" type="noConversion"/>
  </si>
  <si>
    <t>建筑规范</t>
    <phoneticPr fontId="125" type="noConversion"/>
  </si>
  <si>
    <t>常规配建面积规则</t>
    <phoneticPr fontId="125" type="noConversion"/>
  </si>
  <si>
    <t>例：A社区用房：60m2每百户（含20m2每百户居家养老用房）；B物业经营：地上4‰；C物业办公：地上3‰；D公变：个数-（住宅面积*80/1000+商业面积*150/1000+办公面积*100/1000）/（800*4）；面积：160m2/个（20*8）；E专变：常规住宅1个，商业1个，面积160m2/个；F环网站：60m2/个；G电视机房：每500户15m2；H通信机房：70m2；I消控室：住宅和商业（集中商业（总建面9万m2）消控室面积约150m2）及办公均需单独设置消控室，常规60m2/个；J水泵房：规范查表</t>
    <phoneticPr fontId="125" type="noConversion"/>
  </si>
  <si>
    <t>配建设施下地政策</t>
    <phoneticPr fontId="125" type="noConversion"/>
  </si>
  <si>
    <t>常规赠送率</t>
    <phoneticPr fontId="125" type="noConversion"/>
  </si>
  <si>
    <t>阳台、飘窗、设备阳台、地下夹层、庭院</t>
    <phoneticPr fontId="125" type="noConversion"/>
  </si>
  <si>
    <t>人防建设标准</t>
    <phoneticPr fontId="125" type="noConversion"/>
  </si>
  <si>
    <t>新建民用住宅应修建人防比例10%，新建其他民用建筑应修建人防比例7%</t>
    <phoneticPr fontId="125" type="noConversion"/>
  </si>
  <si>
    <t>是否异地建设，人防等级XXX, 单方增加___元/m2</t>
    <phoneticPr fontId="125" type="noConversion"/>
  </si>
  <si>
    <t>车位配比</t>
    <phoneticPr fontId="125" type="noConversion"/>
  </si>
  <si>
    <t>规范对车位个数的设置要求描述：按地上住宅建筑面积1.05个/100平方，非住宅为1.02个/100平方，商业为1.0个/100平方</t>
    <phoneticPr fontId="125" type="noConversion"/>
  </si>
  <si>
    <t>常规地上车位占比</t>
    <phoneticPr fontId="125" type="noConversion"/>
  </si>
  <si>
    <t>规范要求：不超过住宅户数的15%，不小于总车位的3%</t>
    <phoneticPr fontId="125" type="noConversion"/>
  </si>
  <si>
    <t>户数的10%</t>
    <phoneticPr fontId="125" type="noConversion"/>
  </si>
  <si>
    <t>充电设施</t>
    <phoneticPr fontId="125" type="noConversion"/>
  </si>
  <si>
    <t xml:space="preserve">设备安装配比：_________ 
预留容量和电线电缆：_________ </t>
    <phoneticPr fontId="125" type="noConversion"/>
  </si>
  <si>
    <t>测算单方______元/m2</t>
    <phoneticPr fontId="125" type="noConversion"/>
  </si>
  <si>
    <t>机械车位设置要求</t>
    <phoneticPr fontId="125" type="noConversion"/>
  </si>
  <si>
    <t>覆土深度要求</t>
    <phoneticPr fontId="125" type="noConversion"/>
  </si>
  <si>
    <t>覆土深度：______m</t>
    <phoneticPr fontId="125" type="noConversion"/>
  </si>
  <si>
    <t>消防配置要求</t>
    <phoneticPr fontId="125" type="noConversion"/>
  </si>
  <si>
    <t>担架梯</t>
    <phoneticPr fontId="125" type="noConversion"/>
  </si>
  <si>
    <t>节能配置要求</t>
    <phoneticPr fontId="125" type="noConversion"/>
  </si>
  <si>
    <t>太阳能，空气能，常规保温，门窗要求</t>
    <phoneticPr fontId="125" type="noConversion"/>
  </si>
  <si>
    <t>地块特征</t>
    <phoneticPr fontId="125" type="noConversion"/>
  </si>
  <si>
    <t>地块特殊信息</t>
    <phoneticPr fontId="125" type="noConversion"/>
  </si>
  <si>
    <t>出让条件</t>
    <phoneticPr fontId="125" type="noConversion"/>
  </si>
  <si>
    <t>品质政策</t>
    <phoneticPr fontId="125" type="noConversion"/>
  </si>
  <si>
    <t>公建化立面政策</t>
    <phoneticPr fontId="125" type="noConversion"/>
  </si>
  <si>
    <t>是</t>
  </si>
  <si>
    <t>外立面材料至少为铝板</t>
    <phoneticPr fontId="92" type="noConversion"/>
  </si>
  <si>
    <t>未来社区要求</t>
    <phoneticPr fontId="125" type="noConversion"/>
  </si>
  <si>
    <t>泛光照明要求</t>
    <phoneticPr fontId="125" type="noConversion"/>
  </si>
  <si>
    <t>按照刻度计算</t>
    <phoneticPr fontId="125" type="noConversion"/>
  </si>
  <si>
    <t>配建要求</t>
    <phoneticPr fontId="125" type="noConversion"/>
  </si>
  <si>
    <t>无</t>
    <phoneticPr fontId="125" type="noConversion"/>
  </si>
  <si>
    <t>文保建筑</t>
    <phoneticPr fontId="125" type="noConversion"/>
  </si>
  <si>
    <t>无</t>
    <phoneticPr fontId="92" type="noConversion"/>
  </si>
  <si>
    <t>文物保护面积_________，测算单方_______元/m2</t>
    <phoneticPr fontId="125" type="noConversion"/>
  </si>
  <si>
    <t>场内建筑____m2 
信号基站____处 
公交站台____m2
高压电线____m</t>
    <phoneticPr fontId="125" type="noConversion"/>
  </si>
  <si>
    <t>地下管线：__________
地下清障：__________</t>
    <phoneticPr fontId="125" type="noConversion"/>
  </si>
  <si>
    <t>地下通道/人行天桥联通要求</t>
    <phoneticPr fontId="125" type="noConversion"/>
  </si>
  <si>
    <t>地下连通道面积_______，测算单方_______元/m2 
人行天桥面积_______，测算单方_______元/m2</t>
    <phoneticPr fontId="125" type="noConversion"/>
  </si>
  <si>
    <t>……</t>
    <phoneticPr fontId="125" type="noConversion"/>
  </si>
  <si>
    <t>地质地形及土壤条件</t>
    <phoneticPr fontId="125" type="noConversion"/>
  </si>
  <si>
    <t>场地高差，高差米数_____m 
坡地建筑，测算单方____元/m2
挡土墙设置，测算____元/延米
室外电梯，测算____元/台，共____台</t>
    <phoneticPr fontId="125" type="noConversion"/>
  </si>
  <si>
    <t>场地堆土，堆土方量______m3</t>
    <phoneticPr fontId="125" type="noConversion"/>
  </si>
  <si>
    <t>土壤污染</t>
    <phoneticPr fontId="125" type="noConversion"/>
  </si>
  <si>
    <t>土壤治理：________</t>
    <phoneticPr fontId="125" type="noConversion"/>
  </si>
  <si>
    <t>场地内淤泥</t>
    <phoneticPr fontId="125" type="noConversion"/>
  </si>
  <si>
    <t>淤泥面积________m2，深度______m</t>
    <phoneticPr fontId="125" type="noConversion"/>
  </si>
  <si>
    <t>场地内河道</t>
    <phoneticPr fontId="125" type="noConversion"/>
  </si>
  <si>
    <t>河道面积________m2，是/否涉及改道</t>
    <phoneticPr fontId="125" type="noConversion"/>
  </si>
  <si>
    <t>场地内植被</t>
    <phoneticPr fontId="125" type="noConversion"/>
  </si>
  <si>
    <t>灌木面积_________m2，乔木数量_________棵</t>
    <phoneticPr fontId="125" type="noConversion"/>
  </si>
  <si>
    <t>地质勘察</t>
    <phoneticPr fontId="125" type="noConversion"/>
  </si>
  <si>
    <t>石方爆破及引孔：_________ 
地下软弱土层 ：_________
其他：_________</t>
    <phoneticPr fontId="125" type="noConversion"/>
  </si>
  <si>
    <t>多个子地块</t>
    <phoneticPr fontId="125" type="noConversion"/>
  </si>
  <si>
    <t>景观测算影响：_________ 
支护测算影响：_________ 
配电房设置影响：__________</t>
    <phoneticPr fontId="125" type="noConversion"/>
  </si>
  <si>
    <t xml:space="preserve">场地与道路高差，高差米数_____m </t>
    <phoneticPr fontId="125" type="noConversion"/>
  </si>
  <si>
    <t>南侧：__道路__
北侧：__河道______
东侧：__河道________
西侧：__市政道路________</t>
    <phoneticPr fontId="125" type="noConversion"/>
  </si>
  <si>
    <t>临时道路____m2 
红线外租地____m2 ，时间____月</t>
    <phoneticPr fontId="125" type="noConversion"/>
  </si>
  <si>
    <t>红线外不利因素</t>
    <phoneticPr fontId="125" type="noConversion"/>
  </si>
  <si>
    <t>降噪、遮挡、工期、民扰等</t>
    <phoneticPr fontId="125" type="noConversion"/>
  </si>
  <si>
    <t>临近一号线，在地铁影响线范围</t>
    <phoneticPr fontId="92" type="noConversion"/>
  </si>
  <si>
    <t xml:space="preserve">轨交接驳费用：_________ 
轨交支护采用________形式
轨道检测费用：_________ </t>
    <phoneticPr fontId="125" type="noConversion"/>
  </si>
  <si>
    <t>当地
常规做法</t>
    <phoneticPr fontId="125" type="noConversion"/>
  </si>
  <si>
    <t>阳台封闭要求</t>
    <phoneticPr fontId="125" type="noConversion"/>
  </si>
  <si>
    <t>全封闭</t>
    <phoneticPr fontId="92" type="noConversion"/>
  </si>
  <si>
    <t>防火栏板+封窗</t>
    <phoneticPr fontId="125" type="noConversion"/>
  </si>
  <si>
    <t>预售条件</t>
    <phoneticPr fontId="125" type="noConversion"/>
  </si>
  <si>
    <t>正负零预售
封顶预售 
其他：_____1/5 结构预售________</t>
    <phoneticPr fontId="125" type="noConversion"/>
  </si>
  <si>
    <t>交付条件</t>
    <phoneticPr fontId="125" type="noConversion"/>
  </si>
  <si>
    <t>验收条件、交付条件</t>
    <phoneticPr fontId="125" type="noConversion"/>
  </si>
  <si>
    <t>精装验收，精装交付；别墅毛坯</t>
    <phoneticPr fontId="125" type="noConversion"/>
  </si>
  <si>
    <t>参考项目（自开发）</t>
    <phoneticPr fontId="125" type="noConversion"/>
  </si>
  <si>
    <t>参考项目（友商开发）</t>
    <phoneticPr fontId="125" type="noConversion"/>
  </si>
  <si>
    <t>客户敏感点</t>
    <phoneticPr fontId="125" type="noConversion"/>
  </si>
  <si>
    <t>单体弹性配置敏感点</t>
    <phoneticPr fontId="125" type="noConversion"/>
  </si>
  <si>
    <t>外立面，公区装修</t>
    <phoneticPr fontId="92" type="noConversion"/>
  </si>
  <si>
    <t>精装修配置敏感点</t>
    <phoneticPr fontId="125" type="noConversion"/>
  </si>
  <si>
    <t>详见测算表</t>
    <phoneticPr fontId="92" type="noConversion"/>
  </si>
  <si>
    <t>景观配置敏感点</t>
    <phoneticPr fontId="125" type="noConversion"/>
  </si>
  <si>
    <t>大门、风雨连廊</t>
    <phoneticPr fontId="92" type="noConversion"/>
  </si>
  <si>
    <t>限价情况</t>
    <phoneticPr fontId="125" type="noConversion"/>
  </si>
  <si>
    <t>是否存在限价情况</t>
    <phoneticPr fontId="125" type="noConversion"/>
  </si>
  <si>
    <t>限价金额：__________</t>
    <phoneticPr fontId="125" type="noConversion"/>
  </si>
  <si>
    <t>车位盈亏平衡点</t>
    <phoneticPr fontId="125" type="noConversion"/>
  </si>
  <si>
    <t>商品住宅 248/285；别墅 300-500</t>
    <phoneticPr fontId="125" type="noConversion"/>
  </si>
  <si>
    <t>屋顶：____屋面闷顶______
庭院：__________
地下空间：__________</t>
    <phoneticPr fontId="125" type="noConversion"/>
  </si>
  <si>
    <t>顶层不折价</t>
    <phoneticPr fontId="92" type="noConversion"/>
  </si>
  <si>
    <t>户内后改造</t>
    <phoneticPr fontId="125" type="noConversion"/>
  </si>
  <si>
    <t>阳台改造</t>
    <phoneticPr fontId="92" type="noConversion"/>
  </si>
  <si>
    <t>工销房</t>
    <phoneticPr fontId="125" type="noConversion"/>
  </si>
  <si>
    <t>是否存在工销房</t>
    <phoneticPr fontId="125" type="noConversion"/>
  </si>
  <si>
    <t>总包合同总额_________，工抵房金额________，报价影响________</t>
    <phoneticPr fontId="125" type="noConversion"/>
  </si>
  <si>
    <t>柱网尺寸</t>
    <phoneticPr fontId="125" type="noConversion"/>
  </si>
  <si>
    <t>小柱网：______m*______m
中柱网：___8.1___m*__5.6___m
大柱网：______m*______m</t>
    <phoneticPr fontId="125" type="noConversion"/>
  </si>
  <si>
    <t>地下室赠送率（地下赠送面积/地下室面积）</t>
    <phoneticPr fontId="125" type="noConversion"/>
  </si>
  <si>
    <t>地下夹层</t>
    <phoneticPr fontId="125" type="noConversion"/>
  </si>
  <si>
    <t>地下夹层面积_________</t>
    <phoneticPr fontId="125" type="noConversion"/>
  </si>
  <si>
    <t>地下空腔面积_________</t>
    <phoneticPr fontId="125" type="noConversion"/>
  </si>
  <si>
    <t>城市会客厅</t>
    <phoneticPr fontId="125" type="noConversion"/>
  </si>
  <si>
    <t>避难层面积_________</t>
    <phoneticPr fontId="125" type="noConversion"/>
  </si>
  <si>
    <t>城市会客厅功能： 
活动空间____%，硬装____元/m2，软装____元/m2 
展示空间____%，硬装____元/m2，软装____元/m2</t>
    <phoneticPr fontId="125" type="noConversion"/>
  </si>
  <si>
    <t>架空层</t>
    <phoneticPr fontId="125" type="noConversion"/>
  </si>
  <si>
    <t>架空层面积____3248_____（同时计建面和室外面积）</t>
    <phoneticPr fontId="125" type="noConversion"/>
  </si>
  <si>
    <t>架空层功能：
非机动车停车____%，硬装____元/m2
活动空间__70__%，硬装__4000__元/m2，软装____元/m2
展示空间__30__%，硬装__2500__元/m2，软装____元/m2</t>
    <phoneticPr fontId="125" type="noConversion"/>
  </si>
  <si>
    <t>避难层</t>
    <phoneticPr fontId="125" type="noConversion"/>
  </si>
  <si>
    <t>避难层功能： 
活动空间____%，硬装____元/m2，软装____元/m2 
展示空间____%，硬装____元/m2，软装____元/m2</t>
    <phoneticPr fontId="125" type="noConversion"/>
  </si>
  <si>
    <t>同层排水</t>
    <phoneticPr fontId="125" type="noConversion"/>
  </si>
  <si>
    <t>不降板同层排水  
微降板同层排水，降板高度要求___150_______
其他___________</t>
    <phoneticPr fontId="125" type="noConversion"/>
  </si>
  <si>
    <t>屋顶构架</t>
    <phoneticPr fontId="125" type="noConversion"/>
  </si>
  <si>
    <t>屋面构架，测算造价____元/个</t>
    <phoneticPr fontId="125" type="noConversion"/>
  </si>
  <si>
    <t>公区后改造</t>
    <phoneticPr fontId="125" type="noConversion"/>
  </si>
  <si>
    <t>如竣工后改造的小区门头、风雨连廊等</t>
    <phoneticPr fontId="125" type="noConversion"/>
  </si>
  <si>
    <t>全部与预制桩</t>
    <phoneticPr fontId="92" type="noConversion"/>
  </si>
  <si>
    <t>出土时间/弃土方案/土方平衡</t>
    <phoneticPr fontId="125" type="noConversion"/>
  </si>
  <si>
    <t>出土时间：__________
弃土方案：__________
土方平衡：__________</t>
    <phoneticPr fontId="125" type="noConversion"/>
  </si>
  <si>
    <t>特殊支护、复杂支护</t>
    <phoneticPr fontId="125" type="noConversion"/>
  </si>
  <si>
    <t>检测</t>
    <phoneticPr fontId="125" type="noConversion"/>
  </si>
  <si>
    <t>工程检测</t>
    <phoneticPr fontId="125" type="noConversion"/>
  </si>
  <si>
    <t>桩基大应变检测：____3%______ 
轨交监测：__________
其他：__________</t>
    <phoneticPr fontId="125" type="noConversion"/>
  </si>
  <si>
    <t>评奖</t>
    <phoneticPr fontId="125" type="noConversion"/>
  </si>
  <si>
    <t>是否要求评奖</t>
    <phoneticPr fontId="125" type="noConversion"/>
  </si>
  <si>
    <t>市级：__________
省级：__________
国家级：__________</t>
    <phoneticPr fontId="125" type="noConversion"/>
  </si>
  <si>
    <t>新工艺</t>
    <phoneticPr fontId="125" type="noConversion"/>
  </si>
  <si>
    <t>集团推荐新工艺及其它</t>
    <phoneticPr fontId="125" type="noConversion"/>
  </si>
  <si>
    <t>铝模、钢背楞木模、全钢爬架、全砼外墙+外墙企口、卫生间止水节、楼板厚度控制器、高精砌块、薄抹灰/面抹灰、地暖模块、冲孔钢板防护网</t>
    <phoneticPr fontId="125" type="noConversion"/>
  </si>
  <si>
    <t>标准刻度：已考虑（铝模、钢背楞木模、全钢爬架……）
本次新增：XXXX
本次取消：XXXX
建筑工程单方：+XXX元/m2或-XXX元/m2</t>
    <phoneticPr fontId="125" type="noConversion"/>
  </si>
  <si>
    <t>后改造成本</t>
    <phoneticPr fontId="125" type="noConversion"/>
  </si>
  <si>
    <t>如分包过总包账</t>
    <phoneticPr fontId="125" type="noConversion"/>
  </si>
  <si>
    <t>配套</t>
    <phoneticPr fontId="125" type="noConversion"/>
  </si>
  <si>
    <t>外线高压电缆及敷设沿线的配套情况</t>
    <phoneticPr fontId="125" type="noConversion"/>
  </si>
  <si>
    <t>接入位置：__________
电缆长度：__________
敷设路线是否已有供使用的电缆沟：__________
需要开挖道路与破坏绿化带等：__________</t>
    <phoneticPr fontId="125" type="noConversion"/>
  </si>
  <si>
    <t>地块周边市政管网水、气的接入位置和距离</t>
    <phoneticPr fontId="125" type="noConversion"/>
  </si>
  <si>
    <t>接入位置：__________
管道长度：__________</t>
    <phoneticPr fontId="125" type="noConversion"/>
  </si>
  <si>
    <t>配建</t>
    <phoneticPr fontId="125" type="noConversion"/>
  </si>
  <si>
    <t>配建用房装饰标准要求</t>
    <phoneticPr fontId="125" type="noConversion"/>
  </si>
  <si>
    <t>当地对配建用房是否有移交要求</t>
    <phoneticPr fontId="125" type="noConversion"/>
  </si>
  <si>
    <t>面积_________，装修标准要求_______元/m2，测算单方_______元/m2</t>
    <phoneticPr fontId="125" type="noConversion"/>
  </si>
  <si>
    <t>客服</t>
    <phoneticPr fontId="125" type="noConversion"/>
  </si>
  <si>
    <t>精装修
加载</t>
    <phoneticPr fontId="125" type="noConversion"/>
  </si>
  <si>
    <t>精装修加载</t>
    <phoneticPr fontId="1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</si>
</sst>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_(* \(#,##0.00\);_(* &quot;-&quot;??_);_(@_)"/>
    <numFmt numFmtId="176" formatCode="_ * #,##0.00_ ;_ * \-#,##0.00_ ;_ * &quot;-&quot;??_ ;_ @_ "/>
    <numFmt numFmtId="177" formatCode="_ * #,##0_ ;_ * \-#,##0_ ;_ * &quot;-&quot;??_ ;_ @_ "/>
    <numFmt numFmtId="178" formatCode="_ * #,##0.00_ ;_ * \-#,##0.00_ ;_ * &quot;-&quot;??.00_ ;_ @_ "/>
    <numFmt numFmtId="179" formatCode="#,##0.00_ "/>
    <numFmt numFmtId="180" formatCode="#,##0_ "/>
    <numFmt numFmtId="181" formatCode="0_ "/>
    <numFmt numFmtId="182" formatCode="0.0%"/>
    <numFmt numFmtId="183" formatCode="\+0;\-0;0"/>
    <numFmt numFmtId="184" formatCode="0.00_ "/>
    <numFmt numFmtId="185" formatCode="0.0000"/>
    <numFmt numFmtId="186" formatCode="#,##0.0"/>
    <numFmt numFmtId="187" formatCode="#,##0.0000"/>
    <numFmt numFmtId="188" formatCode="#,##0.0_ "/>
    <numFmt numFmtId="189" formatCode="0.00_);[Red]\(0.00\)"/>
    <numFmt numFmtId="190" formatCode="0.000"/>
    <numFmt numFmtId="191" formatCode="0.00000"/>
    <numFmt numFmtId="192" formatCode="#,##0.000_ "/>
    <numFmt numFmtId="193" formatCode="_(* #,##0_);_(* \(#,##0\);_(* &quot;-&quot;??_);_(@_)"/>
    <numFmt numFmtId="194" formatCode="#,##0.00000"/>
    <numFmt numFmtId="195" formatCode="0.0"/>
    <numFmt numFmtId="196" formatCode="#"/>
    <numFmt numFmtId="197" formatCode="0.0000_ "/>
    <numFmt numFmtId="198" formatCode="0.0_);[Red]\(0.0\)"/>
    <numFmt numFmtId="199" formatCode="0_);[Red]\(0\)"/>
    <numFmt numFmtId="200" formatCode="0.000_ "/>
  </numFmts>
  <fonts count="194">
    <font>
      <sz val="10"/>
      <color rgb="FF000000"/>
      <name val="Arial"/>
    </font>
    <font>
      <sz val="11"/>
      <color theme="1"/>
      <name val="宋体"/>
      <family val="2"/>
      <scheme val="minor"/>
    </font>
    <font>
      <sz val="11"/>
      <color theme="0"/>
      <name val="宋体"/>
      <family val="2"/>
      <scheme val="minor"/>
    </font>
    <font>
      <sz val="11"/>
      <color rgb="FF000000"/>
      <name val="Calibri"/>
      <family val="2"/>
    </font>
    <font>
      <b/>
      <sz val="11"/>
      <color theme="1"/>
      <name val="宋体"/>
      <family val="2"/>
      <scheme val="minor"/>
    </font>
    <font>
      <u/>
      <sz val="11"/>
      <color rgb="FF0000FF"/>
      <name val="宋体"/>
      <family val="2"/>
      <scheme val="minor"/>
    </font>
    <font>
      <u/>
      <sz val="11"/>
      <color rgb="FF800080"/>
      <name val="宋体"/>
      <family val="2"/>
      <scheme val="minor"/>
    </font>
    <font>
      <sz val="12"/>
      <name val="宋体"/>
      <family val="3"/>
      <charset val="134"/>
    </font>
    <font>
      <sz val="10"/>
      <color rgb="FF000000"/>
      <name val="Times New Roman"/>
      <family val="1"/>
    </font>
    <font>
      <sz val="9"/>
      <color theme="1"/>
      <name val="Microsoft YaHei Light"/>
      <family val="2"/>
      <charset val="134"/>
    </font>
    <font>
      <sz val="9"/>
      <color theme="0"/>
      <name val="Microsoft YaHei Light"/>
      <family val="2"/>
      <charset val="134"/>
    </font>
    <font>
      <sz val="11"/>
      <color theme="1"/>
      <name val="微软雅黑"/>
      <family val="2"/>
      <charset val="134"/>
    </font>
    <font>
      <sz val="10"/>
      <color theme="1"/>
      <name val="微软雅黑"/>
      <family val="2"/>
      <charset val="134"/>
    </font>
    <font>
      <sz val="12"/>
      <color theme="1"/>
      <name val="微软雅黑"/>
      <family val="2"/>
      <charset val="134"/>
    </font>
    <font>
      <sz val="12"/>
      <name val="微软雅黑"/>
      <family val="2"/>
      <charset val="134"/>
    </font>
    <font>
      <sz val="10"/>
      <name val="微软雅黑"/>
      <family val="2"/>
      <charset val="134"/>
    </font>
    <font>
      <b/>
      <sz val="12"/>
      <color theme="1"/>
      <name val="微软雅黑"/>
      <family val="2"/>
      <charset val="134"/>
    </font>
    <font>
      <b/>
      <sz val="10"/>
      <color theme="1"/>
      <name val="微软雅黑"/>
      <family val="2"/>
      <charset val="134"/>
    </font>
    <font>
      <b/>
      <sz val="10"/>
      <name val="微软雅黑"/>
      <family val="2"/>
      <charset val="134"/>
    </font>
    <font>
      <b/>
      <sz val="12"/>
      <color rgb="FFFFFFFF"/>
      <name val="微软雅黑"/>
      <family val="2"/>
      <charset val="134"/>
    </font>
    <font>
      <b/>
      <sz val="12"/>
      <color rgb="FF000000"/>
      <name val="微软雅黑"/>
      <family val="2"/>
      <charset val="134"/>
    </font>
    <font>
      <sz val="12"/>
      <color rgb="FF000000"/>
      <name val="微软雅黑"/>
      <family val="2"/>
      <charset val="134"/>
    </font>
    <font>
      <sz val="12"/>
      <name val="Arial"/>
      <family val="2"/>
    </font>
    <font>
      <sz val="9"/>
      <color theme="1"/>
      <name val="微软雅黑"/>
      <family val="2"/>
      <charset val="134"/>
    </font>
    <font>
      <sz val="9"/>
      <color theme="1"/>
      <name val="宋体"/>
      <family val="2"/>
      <scheme val="minor"/>
    </font>
    <font>
      <sz val="9"/>
      <color theme="0"/>
      <name val="微软雅黑"/>
      <family val="2"/>
      <charset val="134"/>
    </font>
    <font>
      <b/>
      <sz val="12"/>
      <color rgb="FFFF0000"/>
      <name val="微软雅黑"/>
      <family val="2"/>
      <charset val="134"/>
    </font>
    <font>
      <sz val="12"/>
      <color rgb="FF0070C0"/>
      <name val="微软雅黑"/>
      <family val="2"/>
      <charset val="134"/>
    </font>
    <font>
      <sz val="10"/>
      <name val="Arial"/>
      <family val="2"/>
    </font>
    <font>
      <sz val="10"/>
      <color theme="1"/>
      <name val="Arial"/>
      <family val="2"/>
    </font>
    <font>
      <b/>
      <sz val="12"/>
      <name val="微软雅黑"/>
      <family val="2"/>
      <charset val="134"/>
    </font>
    <font>
      <sz val="10"/>
      <color rgb="FF000000"/>
      <name val="Tahoma"/>
      <family val="2"/>
    </font>
    <font>
      <sz val="10"/>
      <name val="Tahoma"/>
      <family val="2"/>
    </font>
    <font>
      <sz val="10"/>
      <color theme="1"/>
      <name val="宋体"/>
      <family val="3"/>
      <charset val="134"/>
    </font>
    <font>
      <sz val="10"/>
      <color rgb="FFFF0000"/>
      <name val="微软雅黑"/>
      <family val="2"/>
      <charset val="134"/>
    </font>
    <font>
      <b/>
      <sz val="14"/>
      <name val="Arial"/>
      <family val="2"/>
    </font>
    <font>
      <b/>
      <sz val="16"/>
      <name val="黑体"/>
      <family val="3"/>
      <charset val="134"/>
    </font>
    <font>
      <sz val="10"/>
      <name val="宋体"/>
      <family val="2"/>
      <scheme val="minor"/>
    </font>
    <font>
      <sz val="10"/>
      <color rgb="FF000000"/>
      <name val="宋体"/>
      <family val="1"/>
      <scheme val="major"/>
    </font>
    <font>
      <b/>
      <sz val="10"/>
      <name val="宋体"/>
      <family val="1"/>
      <scheme val="major"/>
    </font>
    <font>
      <sz val="9"/>
      <name val="宋体"/>
      <family val="1"/>
      <scheme val="major"/>
    </font>
    <font>
      <sz val="10"/>
      <color rgb="FF333333"/>
      <name val="宋体"/>
      <family val="1"/>
      <scheme val="major"/>
    </font>
    <font>
      <sz val="10"/>
      <color rgb="FF333333"/>
      <name val="Arial"/>
      <family val="2"/>
    </font>
    <font>
      <sz val="10"/>
      <color rgb="FFFF0000"/>
      <name val="宋体"/>
      <family val="1"/>
      <scheme val="major"/>
    </font>
    <font>
      <sz val="10"/>
      <name val="宋体"/>
      <family val="3"/>
      <charset val="134"/>
    </font>
    <font>
      <sz val="10"/>
      <color rgb="FF333333"/>
      <name val="宋体"/>
      <family val="3"/>
      <charset val="134"/>
    </font>
    <font>
      <sz val="10"/>
      <color rgb="FF333333"/>
      <name val="Tahoma"/>
      <family val="2"/>
    </font>
    <font>
      <b/>
      <sz val="10"/>
      <name val="宋体"/>
      <family val="3"/>
      <charset val="134"/>
    </font>
    <font>
      <b/>
      <sz val="10"/>
      <name val="Tahoma"/>
      <family val="2"/>
    </font>
    <font>
      <sz val="10"/>
      <color rgb="FFFF0000"/>
      <name val="宋体"/>
      <family val="2"/>
      <scheme val="minor"/>
    </font>
    <font>
      <b/>
      <sz val="10"/>
      <color rgb="FF000000"/>
      <name val="宋体"/>
      <family val="2"/>
      <scheme val="minor"/>
    </font>
    <font>
      <b/>
      <sz val="10"/>
      <color rgb="FF000000"/>
      <name val="宋体"/>
      <family val="3"/>
      <charset val="134"/>
    </font>
    <font>
      <sz val="10"/>
      <color rgb="FF000000"/>
      <name val="宋体"/>
      <family val="2"/>
      <scheme val="minor"/>
    </font>
    <font>
      <sz val="10"/>
      <color rgb="FF000000"/>
      <name val="宋体"/>
      <family val="3"/>
      <charset val="134"/>
    </font>
    <font>
      <b/>
      <sz val="10"/>
      <color rgb="FF333333"/>
      <name val="宋体"/>
      <family val="3"/>
      <charset val="134"/>
    </font>
    <font>
      <sz val="9"/>
      <name val="微软雅黑"/>
      <family val="2"/>
      <charset val="134"/>
    </font>
    <font>
      <sz val="8"/>
      <name val="微软雅黑"/>
      <family val="2"/>
      <charset val="134"/>
    </font>
    <font>
      <b/>
      <sz val="8"/>
      <name val="微软雅黑"/>
      <family val="2"/>
      <charset val="134"/>
    </font>
    <font>
      <b/>
      <i/>
      <sz val="10"/>
      <name val="微软雅黑"/>
      <family val="2"/>
      <charset val="134"/>
    </font>
    <font>
      <b/>
      <sz val="10"/>
      <name val="Arial"/>
      <family val="2"/>
    </font>
    <font>
      <sz val="12"/>
      <color rgb="FF000000"/>
      <name val="Arial"/>
      <family val="2"/>
    </font>
    <font>
      <b/>
      <sz val="10"/>
      <color rgb="FF333333"/>
      <name val="Tahoma"/>
      <family val="2"/>
    </font>
    <font>
      <sz val="10"/>
      <color rgb="FF333333"/>
      <name val="Microsoft YaHei UI"/>
      <family val="2"/>
      <charset val="134"/>
    </font>
    <font>
      <sz val="10"/>
      <color rgb="FFFF0000"/>
      <name val="宋体"/>
      <family val="3"/>
      <charset val="134"/>
    </font>
    <font>
      <sz val="10"/>
      <color theme="1"/>
      <name val="宋体"/>
      <family val="2"/>
      <scheme val="minor"/>
    </font>
    <font>
      <sz val="8"/>
      <color theme="1"/>
      <name val="宋体"/>
      <family val="2"/>
      <scheme val="minor"/>
    </font>
    <font>
      <sz val="8"/>
      <name val="宋体"/>
      <family val="3"/>
      <charset val="134"/>
    </font>
    <font>
      <b/>
      <sz val="16"/>
      <color theme="1"/>
      <name val="微软雅黑"/>
      <family val="2"/>
      <charset val="134"/>
    </font>
    <font>
      <b/>
      <sz val="8"/>
      <color rgb="FFC00000"/>
      <name val="宋体"/>
      <family val="2"/>
      <scheme val="minor"/>
    </font>
    <font>
      <b/>
      <sz val="8"/>
      <color theme="1"/>
      <name val="宋体"/>
      <family val="2"/>
      <scheme val="minor"/>
    </font>
    <font>
      <b/>
      <sz val="8"/>
      <name val="宋体"/>
      <family val="2"/>
      <scheme val="minor"/>
    </font>
    <font>
      <sz val="8"/>
      <name val="宋体"/>
      <family val="2"/>
      <scheme val="minor"/>
    </font>
    <font>
      <sz val="16"/>
      <name val="微软雅黑"/>
      <family val="2"/>
      <charset val="134"/>
    </font>
    <font>
      <b/>
      <sz val="22"/>
      <color theme="1"/>
      <name val="微软雅黑"/>
      <family val="2"/>
      <charset val="134"/>
    </font>
    <font>
      <sz val="10"/>
      <color rgb="FF333333"/>
      <name val="微软雅黑"/>
      <family val="2"/>
      <charset val="134"/>
    </font>
    <font>
      <sz val="10"/>
      <color rgb="FF000000"/>
      <name val="Arial"/>
      <family val="2"/>
    </font>
    <font>
      <b/>
      <sz val="8"/>
      <color rgb="FFFF0000"/>
      <name val="宋体"/>
      <family val="2"/>
      <scheme val="minor"/>
    </font>
    <font>
      <b/>
      <sz val="14"/>
      <name val="隶书"/>
      <family val="3"/>
      <charset val="134"/>
    </font>
    <font>
      <b/>
      <vertAlign val="superscript"/>
      <sz val="12"/>
      <color rgb="FFFFFFFF"/>
      <name val="微软雅黑"/>
      <family val="2"/>
      <charset val="134"/>
    </font>
    <font>
      <sz val="12"/>
      <color rgb="FFFF0000"/>
      <name val="微软雅黑"/>
      <family val="2"/>
      <charset val="134"/>
    </font>
    <font>
      <sz val="9"/>
      <color indexed="81"/>
      <name val="Arial"/>
      <family val="2"/>
    </font>
    <font>
      <sz val="9"/>
      <color indexed="81"/>
      <name val="微软雅黑"/>
      <family val="2"/>
    </font>
    <font>
      <sz val="9"/>
      <color indexed="81"/>
      <name val="宋体"/>
      <family val="2"/>
    </font>
    <font>
      <b/>
      <sz val="12"/>
      <name val="等线"/>
      <family val="4"/>
      <charset val="134"/>
    </font>
    <font>
      <sz val="9"/>
      <name val="FangSong"/>
      <family val="3"/>
      <charset val="134"/>
    </font>
    <font>
      <sz val="10"/>
      <name val="等线"/>
      <family val="4"/>
      <charset val="134"/>
    </font>
    <font>
      <b/>
      <sz val="9"/>
      <color rgb="FF000000"/>
      <name val="DengXian"/>
      <family val="4"/>
      <charset val="134"/>
    </font>
    <font>
      <sz val="9"/>
      <name val="宋体"/>
      <family val="3"/>
      <charset val="134"/>
    </font>
    <font>
      <sz val="9"/>
      <color rgb="FF000000"/>
      <name val="DengXian"/>
      <family val="4"/>
      <charset val="134"/>
    </font>
    <font>
      <sz val="11"/>
      <color theme="1"/>
      <name val="宋体"/>
      <family val="3"/>
      <charset val="134"/>
      <scheme val="minor"/>
    </font>
    <font>
      <b/>
      <sz val="10"/>
      <name val="等线"/>
      <family val="4"/>
      <charset val="134"/>
    </font>
    <font>
      <sz val="10"/>
      <name val="等线"/>
      <family val="3"/>
      <charset val="134"/>
    </font>
    <font>
      <sz val="9"/>
      <name val="Arial"/>
      <family val="2"/>
    </font>
    <font>
      <b/>
      <sz val="10"/>
      <color rgb="FFFF0000"/>
      <name val="微软雅黑"/>
      <family val="2"/>
      <charset val="134"/>
    </font>
    <font>
      <b/>
      <sz val="8"/>
      <color rgb="FFC00000"/>
      <name val="微软雅黑"/>
      <family val="2"/>
      <charset val="134"/>
    </font>
    <font>
      <sz val="10"/>
      <color rgb="FF000000"/>
      <name val="微软雅黑"/>
      <family val="2"/>
      <charset val="134"/>
    </font>
    <font>
      <vertAlign val="superscript"/>
      <sz val="10"/>
      <name val="微软雅黑"/>
      <family val="2"/>
      <charset val="134"/>
    </font>
    <font>
      <sz val="9"/>
      <color rgb="FF000000"/>
      <name val="微软雅黑"/>
      <family val="2"/>
      <charset val="134"/>
    </font>
    <font>
      <sz val="8"/>
      <color rgb="FFC00000"/>
      <name val="微软雅黑"/>
      <family val="2"/>
      <charset val="134"/>
    </font>
    <font>
      <sz val="10"/>
      <color theme="0"/>
      <name val="微软雅黑"/>
      <family val="2"/>
      <charset val="134"/>
    </font>
    <font>
      <sz val="8"/>
      <color rgb="FFFF0000"/>
      <name val="微软雅黑"/>
      <family val="2"/>
      <charset val="134"/>
    </font>
    <font>
      <sz val="8"/>
      <color theme="1"/>
      <name val="微软雅黑"/>
      <family val="2"/>
      <charset val="134"/>
    </font>
    <font>
      <vertAlign val="superscript"/>
      <sz val="8"/>
      <color theme="1"/>
      <name val="微软雅黑"/>
      <family val="2"/>
      <charset val="134"/>
    </font>
    <font>
      <b/>
      <sz val="11"/>
      <name val="宋体"/>
      <family val="3"/>
      <charset val="134"/>
    </font>
    <font>
      <b/>
      <sz val="8"/>
      <color theme="1"/>
      <name val="微软雅黑"/>
      <family val="2"/>
      <charset val="134"/>
    </font>
    <font>
      <sz val="8"/>
      <color theme="0"/>
      <name val="微软雅黑"/>
      <family val="2"/>
      <charset val="134"/>
    </font>
    <font>
      <sz val="9"/>
      <color theme="1"/>
      <name val="宋体"/>
      <family val="3"/>
      <charset val="134"/>
    </font>
    <font>
      <sz val="9"/>
      <color rgb="FF000000"/>
      <name val="宋体"/>
      <family val="3"/>
      <charset val="134"/>
    </font>
    <font>
      <b/>
      <sz val="16"/>
      <name val="宋体"/>
      <family val="3"/>
      <charset val="134"/>
    </font>
    <font>
      <b/>
      <sz val="9"/>
      <color rgb="FFFFFFFF"/>
      <name val="宋体"/>
      <family val="3"/>
      <charset val="134"/>
    </font>
    <font>
      <b/>
      <sz val="9"/>
      <color rgb="FFFFFFFF"/>
      <name val="Arial"/>
      <family val="2"/>
    </font>
    <font>
      <sz val="9"/>
      <color rgb="FFFFFFFF"/>
      <name val="宋体"/>
      <family val="3"/>
      <charset val="134"/>
    </font>
    <font>
      <sz val="9"/>
      <color rgb="FF000000"/>
      <name val="Arial"/>
      <family val="2"/>
    </font>
    <font>
      <b/>
      <sz val="9"/>
      <name val="宋体"/>
      <family val="3"/>
      <charset val="134"/>
    </font>
    <font>
      <sz val="9"/>
      <color rgb="FFFF0000"/>
      <name val="宋体"/>
      <family val="3"/>
      <charset val="134"/>
    </font>
    <font>
      <b/>
      <sz val="9"/>
      <name val="Arial"/>
      <family val="2"/>
    </font>
    <font>
      <sz val="11"/>
      <color rgb="FF000000"/>
      <name val="宋体"/>
      <family val="3"/>
      <charset val="134"/>
    </font>
    <font>
      <sz val="10"/>
      <color rgb="FF000000"/>
      <name val="华文细黑"/>
      <family val="3"/>
      <charset val="134"/>
    </font>
    <font>
      <sz val="9"/>
      <color rgb="FFFFFFFF"/>
      <name val="Arial"/>
      <family val="2"/>
    </font>
    <font>
      <b/>
      <sz val="11"/>
      <name val="Arial"/>
      <family val="2"/>
    </font>
    <font>
      <b/>
      <sz val="10"/>
      <color theme="0"/>
      <name val="宋体"/>
      <family val="3"/>
      <charset val="134"/>
    </font>
    <font>
      <sz val="9"/>
      <color rgb="FF000000"/>
      <name val="Microsoft YaHei"/>
      <family val="2"/>
      <charset val="134"/>
    </font>
    <font>
      <b/>
      <sz val="9"/>
      <color theme="0"/>
      <name val="宋体"/>
      <family val="3"/>
      <charset val="134"/>
    </font>
    <font>
      <sz val="8"/>
      <color rgb="FF000000"/>
      <name val="宋体"/>
      <family val="3"/>
      <charset val="134"/>
    </font>
    <font>
      <b/>
      <u/>
      <sz val="12"/>
      <name val="宋体"/>
      <family val="3"/>
      <charset val="134"/>
    </font>
    <font>
      <sz val="9"/>
      <name val="宋体"/>
      <family val="3"/>
      <charset val="134"/>
      <scheme val="minor"/>
    </font>
    <font>
      <sz val="10"/>
      <color indexed="8"/>
      <name val="宋体"/>
      <family val="3"/>
      <charset val="134"/>
    </font>
    <font>
      <sz val="9"/>
      <color indexed="8"/>
      <name val="宋体"/>
      <family val="3"/>
      <charset val="134"/>
    </font>
    <font>
      <b/>
      <sz val="10"/>
      <color rgb="FFFFFFFF"/>
      <name val="SimSun"/>
      <family val="3"/>
      <charset val="134"/>
    </font>
    <font>
      <b/>
      <sz val="9"/>
      <color rgb="FF000000"/>
      <name val="宋体"/>
      <family val="3"/>
      <charset val="134"/>
    </font>
    <font>
      <sz val="11"/>
      <color theme="1"/>
      <name val="宋体"/>
      <family val="4"/>
      <charset val="134"/>
      <scheme val="minor"/>
    </font>
    <font>
      <b/>
      <sz val="10"/>
      <color indexed="10"/>
      <name val="微软雅黑"/>
      <family val="2"/>
      <charset val="134"/>
    </font>
    <font>
      <sz val="8"/>
      <color indexed="10"/>
      <name val="微软雅黑"/>
      <family val="2"/>
      <charset val="134"/>
    </font>
    <font>
      <sz val="10"/>
      <color indexed="55"/>
      <name val="微软雅黑"/>
      <family val="2"/>
      <charset val="134"/>
    </font>
    <font>
      <sz val="10"/>
      <color indexed="8"/>
      <name val="微软雅黑"/>
      <family val="2"/>
      <charset val="134"/>
    </font>
    <font>
      <sz val="10"/>
      <color rgb="FFC00000"/>
      <name val="微软雅黑"/>
      <family val="2"/>
      <charset val="134"/>
    </font>
    <font>
      <sz val="8"/>
      <color indexed="8"/>
      <name val="微软雅黑"/>
      <family val="2"/>
      <charset val="134"/>
    </font>
    <font>
      <sz val="10"/>
      <color indexed="10"/>
      <name val="微软雅黑"/>
      <family val="2"/>
      <charset val="134"/>
    </font>
    <font>
      <sz val="8"/>
      <color theme="0" tint="-0.34998626667073579"/>
      <name val="微软雅黑"/>
      <family val="2"/>
      <charset val="134"/>
    </font>
    <font>
      <sz val="8"/>
      <color indexed="55"/>
      <name val="微软雅黑"/>
      <family val="2"/>
      <charset val="134"/>
    </font>
    <font>
      <sz val="6"/>
      <color theme="1"/>
      <name val="微软雅黑"/>
      <family val="2"/>
      <charset val="134"/>
    </font>
    <font>
      <b/>
      <sz val="8"/>
      <color theme="0" tint="-0.34998626667073579"/>
      <name val="微软雅黑"/>
      <family val="2"/>
      <charset val="134"/>
    </font>
    <font>
      <b/>
      <sz val="8"/>
      <color indexed="55"/>
      <name val="微软雅黑"/>
      <family val="2"/>
      <charset val="134"/>
    </font>
    <font>
      <sz val="8"/>
      <color indexed="9"/>
      <name val="微软雅黑"/>
      <family val="2"/>
      <charset val="134"/>
    </font>
    <font>
      <sz val="9"/>
      <name val="宋体"/>
      <family val="4"/>
      <charset val="134"/>
      <scheme val="minor"/>
    </font>
    <font>
      <b/>
      <sz val="14"/>
      <color theme="1"/>
      <name val="微软雅黑"/>
      <family val="2"/>
      <charset val="134"/>
    </font>
    <font>
      <sz val="9.5"/>
      <color theme="1"/>
      <name val="微软雅黑"/>
      <family val="2"/>
      <charset val="134"/>
    </font>
    <font>
      <sz val="9.5"/>
      <color rgb="FFFF0000"/>
      <name val="微软雅黑"/>
      <family val="2"/>
      <charset val="134"/>
    </font>
    <font>
      <sz val="14"/>
      <color rgb="FF7030A0"/>
      <name val="微软雅黑"/>
      <family val="2"/>
      <charset val="134"/>
    </font>
    <font>
      <sz val="16"/>
      <color rgb="FF7030A0"/>
      <name val="微软雅黑"/>
      <family val="2"/>
      <charset val="134"/>
    </font>
    <font>
      <sz val="9"/>
      <color rgb="FFFF0000"/>
      <name val="微软雅黑"/>
      <family val="2"/>
      <charset val="134"/>
    </font>
    <font>
      <sz val="9"/>
      <color rgb="FF7030A0"/>
      <name val="微软雅黑"/>
      <family val="2"/>
      <charset val="134"/>
    </font>
    <font>
      <sz val="12"/>
      <name val="Microsoft YaHei"/>
      <family val="2"/>
      <charset val="134"/>
    </font>
    <font>
      <sz val="10"/>
      <color rgb="FFFF0000"/>
      <name val="Arial"/>
      <family val="2"/>
      <charset val="134"/>
    </font>
    <font>
      <sz val="10"/>
      <color rgb="FFFF0000"/>
      <name val="Microsoft YaHei"/>
      <family val="2"/>
      <charset val="134"/>
    </font>
    <font>
      <sz val="10"/>
      <color rgb="FFFF0000"/>
      <name val="Arial"/>
      <family val="2"/>
    </font>
    <font>
      <sz val="10"/>
      <color rgb="FF000000"/>
      <name val="华文细黑"/>
      <charset val="134"/>
    </font>
    <font>
      <b/>
      <sz val="10"/>
      <color rgb="FFFFFFFF"/>
      <name val="华文细黑"/>
      <charset val="134"/>
    </font>
    <font>
      <sz val="9"/>
      <color rgb="FF000000"/>
      <name val="华文细黑"/>
      <charset val="134"/>
    </font>
    <font>
      <b/>
      <sz val="11"/>
      <color theme="0"/>
      <name val="宋体"/>
      <family val="3"/>
      <charset val="134"/>
    </font>
    <font>
      <b/>
      <sz val="14"/>
      <name val="宋体"/>
      <family val="3"/>
      <charset val="134"/>
    </font>
    <font>
      <b/>
      <sz val="12"/>
      <name val="宋体"/>
      <family val="3"/>
      <charset val="134"/>
    </font>
    <font>
      <i/>
      <sz val="10"/>
      <name val="宋体"/>
      <family val="3"/>
      <charset val="134"/>
    </font>
    <font>
      <sz val="11"/>
      <name val="宋体"/>
      <family val="3"/>
      <charset val="134"/>
    </font>
    <font>
      <sz val="11"/>
      <color rgb="FFFF0000"/>
      <name val="宋体"/>
      <family val="3"/>
      <charset val="134"/>
    </font>
    <font>
      <sz val="10"/>
      <color theme="1"/>
      <name val="华文细黑"/>
      <charset val="134"/>
    </font>
    <font>
      <b/>
      <sz val="11"/>
      <color rgb="FF000000"/>
      <name val="仿宋"/>
      <family val="3"/>
      <charset val="134"/>
    </font>
    <font>
      <sz val="11"/>
      <color rgb="FF000000"/>
      <name val="仿宋"/>
      <family val="3"/>
      <charset val="134"/>
    </font>
    <font>
      <sz val="11"/>
      <color rgb="FF000000"/>
      <name val="FangSong"/>
      <family val="1"/>
    </font>
    <font>
      <sz val="11"/>
      <color rgb="FF000000"/>
      <name val="Helvetica"/>
      <family val="2"/>
    </font>
    <font>
      <sz val="11"/>
      <color rgb="FF000000"/>
      <name val="SimHei"/>
      <family val="3"/>
    </font>
    <font>
      <sz val="11"/>
      <color rgb="FF000000"/>
      <name val="Arial"/>
      <family val="2"/>
    </font>
    <font>
      <sz val="11"/>
      <color rgb="FF000000"/>
      <name val="SimHei"/>
      <family val="1"/>
    </font>
    <font>
      <sz val="11"/>
      <color theme="0"/>
      <name val="宋体"/>
      <family val="3"/>
      <charset val="134"/>
    </font>
    <font>
      <sz val="11"/>
      <color theme="1"/>
      <name val="宋体"/>
      <family val="3"/>
      <charset val="134"/>
    </font>
    <font>
      <sz val="10"/>
      <color theme="0"/>
      <name val="Arial"/>
      <family val="2"/>
    </font>
    <font>
      <sz val="10"/>
      <color theme="0"/>
      <name val="宋体"/>
      <family val="3"/>
      <charset val="134"/>
    </font>
    <font>
      <b/>
      <sz val="10"/>
      <color rgb="FFFF0000"/>
      <name val="宋体"/>
      <family val="3"/>
      <charset val="134"/>
    </font>
    <font>
      <sz val="10"/>
      <color rgb="FF000000"/>
      <name val="Microsoft YaHei"/>
      <family val="2"/>
      <charset val="134"/>
    </font>
    <font>
      <sz val="10.5"/>
      <color indexed="8"/>
      <name val="黑体"/>
      <family val="3"/>
      <charset val="134"/>
    </font>
    <font>
      <sz val="10.5"/>
      <color indexed="8"/>
      <name val="宋体"/>
      <family val="3"/>
      <charset val="134"/>
    </font>
    <font>
      <sz val="11"/>
      <name val="宋体"/>
      <family val="3"/>
      <charset val="134"/>
      <scheme val="minor"/>
    </font>
    <font>
      <sz val="11"/>
      <color rgb="FF008000"/>
      <name val="宋体"/>
      <family val="3"/>
      <charset val="134"/>
      <scheme val="minor"/>
    </font>
    <font>
      <b/>
      <sz val="9"/>
      <color indexed="8"/>
      <name val="宋体"/>
      <family val="3"/>
      <charset val="134"/>
    </font>
    <font>
      <sz val="8"/>
      <color rgb="FF000000"/>
      <name val="微软雅黑"/>
      <family val="2"/>
      <charset val="134"/>
    </font>
    <font>
      <sz val="11"/>
      <name val="宋体"/>
      <family val="4"/>
      <charset val="134"/>
      <scheme val="minor"/>
    </font>
    <font>
      <b/>
      <sz val="11"/>
      <color theme="1"/>
      <name val="宋体"/>
      <family val="3"/>
      <charset val="134"/>
    </font>
    <font>
      <b/>
      <sz val="12"/>
      <color rgb="FFFF0000"/>
      <name val="宋体"/>
      <family val="3"/>
      <charset val="134"/>
    </font>
    <font>
      <b/>
      <sz val="8"/>
      <color rgb="FFFFFFFF"/>
      <name val="微软雅黑"/>
      <family val="2"/>
      <charset val="134"/>
    </font>
    <font>
      <b/>
      <sz val="8"/>
      <color rgb="FFFFFFFF"/>
      <name val="Arial"/>
      <family val="2"/>
    </font>
    <font>
      <b/>
      <sz val="8"/>
      <color rgb="FF000000"/>
      <name val="微软雅黑"/>
      <family val="2"/>
      <charset val="134"/>
    </font>
    <font>
      <sz val="8"/>
      <color rgb="FF000000"/>
      <name val="Arial"/>
      <family val="2"/>
    </font>
    <font>
      <sz val="18"/>
      <name val="Arial"/>
      <family val="2"/>
    </font>
    <font>
      <sz val="8"/>
      <color rgb="FF000000"/>
      <name val="Arial"/>
      <family val="2"/>
      <charset val="134"/>
    </font>
  </fonts>
  <fills count="70">
    <fill>
      <patternFill patternType="none"/>
    </fill>
    <fill>
      <patternFill patternType="gray125"/>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bgColor indexed="64"/>
      </patternFill>
    </fill>
    <fill>
      <patternFill patternType="solid">
        <fgColor rgb="FFF2F2F2"/>
      </patternFill>
    </fill>
    <fill>
      <patternFill patternType="solid">
        <fgColor theme="0" tint="-0.249977111117893"/>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FFC000"/>
      </patternFill>
    </fill>
    <fill>
      <patternFill patternType="solid">
        <fgColor theme="5" tint="-0.499984740745262"/>
        <bgColor indexed="64"/>
      </patternFill>
    </fill>
    <fill>
      <patternFill patternType="solid">
        <fgColor rgb="FFC00000"/>
      </patternFill>
    </fill>
    <fill>
      <patternFill patternType="solid">
        <fgColor theme="0" tint="-0.14999847407452621"/>
        <bgColor indexed="64"/>
      </patternFill>
    </fill>
    <fill>
      <patternFill patternType="solid">
        <fgColor rgb="FFCE4646"/>
      </patternFill>
    </fill>
    <fill>
      <patternFill patternType="solid">
        <fgColor rgb="FFD9D9D9"/>
      </patternFill>
    </fill>
    <fill>
      <patternFill patternType="solid">
        <fgColor theme="0"/>
        <bgColor indexed="64"/>
      </patternFill>
    </fill>
    <fill>
      <patternFill patternType="solid">
        <fgColor rgb="FF0070C0"/>
      </patternFill>
    </fill>
    <fill>
      <patternFill patternType="solid">
        <fgColor rgb="FF003366"/>
      </patternFill>
    </fill>
    <fill>
      <patternFill patternType="solid">
        <fgColor theme="9" tint="-0.499984740745262"/>
        <bgColor indexed="64"/>
      </patternFill>
    </fill>
    <fill>
      <patternFill patternType="solid">
        <fgColor theme="8" tint="-0.499984740745262"/>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rgb="FFCCFFCC"/>
      </patternFill>
    </fill>
    <fill>
      <patternFill patternType="solid">
        <fgColor rgb="FF00B0F0"/>
      </patternFill>
    </fill>
    <fill>
      <patternFill patternType="solid">
        <fgColor rgb="FFBFBFBF"/>
      </patternFill>
    </fill>
    <fill>
      <patternFill patternType="solid">
        <fgColor rgb="FFFFFFFF"/>
      </patternFill>
    </fill>
    <fill>
      <patternFill patternType="solid">
        <fgColor rgb="FF92D050"/>
      </patternFill>
    </fill>
    <fill>
      <patternFill patternType="solid">
        <fgColor rgb="FFFABF8F"/>
      </patternFill>
    </fill>
    <fill>
      <patternFill patternType="solid">
        <fgColor theme="2" tint="-0.249977111117893"/>
        <bgColor indexed="64"/>
      </patternFill>
    </fill>
    <fill>
      <patternFill patternType="solid">
        <fgColor rgb="FF9BC2E6"/>
      </patternFill>
    </fill>
    <fill>
      <patternFill patternType="solid">
        <fgColor theme="0" tint="-4.9989318521683403E-2"/>
        <bgColor indexed="64"/>
      </patternFill>
    </fill>
    <fill>
      <patternFill patternType="solid">
        <fgColor theme="9" tint="0.79982909634693444"/>
        <bgColor indexed="64"/>
      </patternFill>
    </fill>
    <fill>
      <patternFill patternType="solid">
        <fgColor theme="8" tint="0.79982909634693444"/>
        <bgColor indexed="64"/>
      </patternFill>
    </fill>
    <fill>
      <patternFill patternType="solid">
        <fgColor rgb="FFFFFF00"/>
        <bgColor indexed="64"/>
      </patternFill>
    </fill>
    <fill>
      <patternFill patternType="solid">
        <fgColor rgb="FF1F4A7E"/>
        <bgColor indexed="64"/>
      </patternFill>
    </fill>
    <fill>
      <patternFill patternType="solid">
        <fgColor rgb="FFD8D8D8"/>
        <bgColor indexed="64"/>
      </patternFill>
    </fill>
    <fill>
      <patternFill patternType="solid">
        <fgColor rgb="FFB7DDE8"/>
        <bgColor indexed="64"/>
      </patternFill>
    </fill>
    <fill>
      <patternFill patternType="solid">
        <fgColor rgb="FFFF0000"/>
        <bgColor indexed="64"/>
      </patternFill>
    </fill>
    <fill>
      <patternFill patternType="solid">
        <fgColor theme="9" tint="0.39991454817346722"/>
        <bgColor indexed="64"/>
      </patternFill>
    </fill>
    <fill>
      <patternFill patternType="solid">
        <fgColor rgb="FFFF3300"/>
        <bgColor indexed="64"/>
      </patternFill>
    </fill>
    <fill>
      <patternFill patternType="solid">
        <fgColor rgb="FFF79544"/>
        <bgColor indexed="64"/>
      </patternFill>
    </fill>
    <fill>
      <patternFill patternType="solid">
        <fgColor rgb="FFBFBFBF"/>
        <bgColor indexed="64"/>
      </patternFill>
    </fill>
    <fill>
      <patternFill patternType="solid">
        <fgColor rgb="FFB8DDE8"/>
        <bgColor indexed="64"/>
      </patternFill>
    </fill>
    <fill>
      <patternFill patternType="solid">
        <fgColor rgb="FFFABF8F"/>
        <bgColor indexed="64"/>
      </patternFill>
    </fill>
    <fill>
      <patternFill patternType="solid">
        <fgColor theme="3"/>
        <bgColor indexed="64"/>
      </patternFill>
    </fill>
    <fill>
      <patternFill patternType="solid">
        <fgColor theme="9" tint="0.79995117038483843"/>
        <bgColor indexed="64"/>
      </patternFill>
    </fill>
    <fill>
      <patternFill patternType="solid">
        <fgColor rgb="FF92D05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theme="3" tint="0.79998168889431442"/>
        <bgColor indexed="64"/>
      </patternFill>
    </fill>
    <fill>
      <patternFill patternType="solid">
        <fgColor theme="6"/>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FF"/>
        <bgColor indexed="64"/>
      </patternFill>
    </fill>
    <fill>
      <patternFill patternType="solid">
        <fgColor theme="0" tint="-0.14999847407452621"/>
        <bgColor indexed="10"/>
      </patternFill>
    </fill>
    <fill>
      <patternFill patternType="solid">
        <fgColor rgb="FFC00000"/>
        <bgColor indexed="64"/>
      </patternFill>
    </fill>
    <fill>
      <patternFill patternType="solid">
        <fgColor indexed="44"/>
        <bgColor indexed="64"/>
      </patternFill>
    </fill>
    <fill>
      <patternFill patternType="solid">
        <fgColor indexed="9"/>
        <bgColor indexed="64"/>
      </patternFill>
    </fill>
    <fill>
      <patternFill patternType="solid">
        <fgColor rgb="FFA6A6A6"/>
        <bgColor indexed="64"/>
      </patternFill>
    </fill>
    <fill>
      <patternFill patternType="solid">
        <fgColor rgb="FFFFC000"/>
        <bgColor indexed="64"/>
      </patternFill>
    </fill>
    <fill>
      <patternFill patternType="solid">
        <fgColor theme="9" tint="0.79985961485641044"/>
        <bgColor indexed="64"/>
      </patternFill>
    </fill>
  </fills>
  <borders count="1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ck">
        <color rgb="FFFFFFFF"/>
      </right>
      <top/>
      <bottom/>
      <diagonal/>
    </border>
    <border>
      <left style="thick">
        <color rgb="FFFFFFFF"/>
      </left>
      <right style="thick">
        <color rgb="FFFFFFFF"/>
      </right>
      <top/>
      <bottom/>
      <diagonal/>
    </border>
    <border>
      <left/>
      <right style="thick">
        <color rgb="FFFFFFFF"/>
      </right>
      <top style="thick">
        <color rgb="FFFFFFFF"/>
      </top>
      <bottom/>
      <diagonal/>
    </border>
    <border>
      <left style="thick">
        <color rgb="FFFFFFFF"/>
      </left>
      <right style="thick">
        <color rgb="FFFFFFFF"/>
      </right>
      <top style="thick">
        <color rgb="FFFFFFFF"/>
      </top>
      <bottom/>
      <diagonal/>
    </border>
    <border>
      <left/>
      <right style="thick">
        <color rgb="FFFFFFFF"/>
      </right>
      <top/>
      <bottom style="thick">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ck">
        <color rgb="FFFFFFFF"/>
      </left>
      <right style="thick">
        <color rgb="FFFFFFFF"/>
      </right>
      <top style="medium">
        <color rgb="FFFFFFFF"/>
      </top>
      <bottom/>
      <diagonal/>
    </border>
    <border>
      <left style="thick">
        <color rgb="FFFFFFFF"/>
      </left>
      <right style="thick">
        <color rgb="FFFFFFFF"/>
      </right>
      <top/>
      <bottom style="thick">
        <color rgb="FFFFFFFF"/>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style="medium">
        <color rgb="FFFFFFFF"/>
      </right>
      <top/>
      <bottom style="thick">
        <color rgb="FFFFFFFF"/>
      </bottom>
      <diagonal/>
    </border>
    <border>
      <left/>
      <right/>
      <top style="thick">
        <color rgb="FFFFFFFF"/>
      </top>
      <bottom/>
      <diagonal/>
    </border>
    <border>
      <left/>
      <right/>
      <top/>
      <bottom style="thick">
        <color rgb="FFFFFFFF"/>
      </bottom>
      <diagonal/>
    </border>
    <border>
      <left style="medium">
        <color rgb="FFFFFFFF"/>
      </left>
      <right/>
      <top style="thick">
        <color rgb="FFFFFFFF"/>
      </top>
      <bottom style="medium">
        <color rgb="FFFFFFFF"/>
      </bottom>
      <diagonal/>
    </border>
    <border>
      <left/>
      <right style="medium">
        <color rgb="FFFFFFFF"/>
      </right>
      <top style="thick">
        <color rgb="FFFFFFFF"/>
      </top>
      <bottom style="medium">
        <color rgb="FFFFFFFF"/>
      </bottom>
      <diagonal/>
    </border>
    <border>
      <left style="medium">
        <color rgb="FFFFFFFF"/>
      </left>
      <right/>
      <top/>
      <bottom/>
      <diagonal/>
    </border>
    <border>
      <left/>
      <right style="medium">
        <color rgb="FFFFFFFF"/>
      </right>
      <top/>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right style="thick">
        <color rgb="FFFFFFFF"/>
      </right>
      <top style="medium">
        <color rgb="FFFFFFFF"/>
      </top>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thin">
        <color rgb="FF000000"/>
      </left>
      <right/>
      <top style="thin">
        <color rgb="FF000000"/>
      </top>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ck">
        <color rgb="FFFFFFFF"/>
      </left>
      <right/>
      <top style="thick">
        <color rgb="FFFFFFFF"/>
      </top>
      <bottom style="thick">
        <color rgb="FFFFFFFF"/>
      </bottom>
      <diagonal/>
    </border>
    <border>
      <left style="thick">
        <color rgb="FFFFFFFF"/>
      </left>
      <right/>
      <top style="medium">
        <color rgb="FFFFFFFF"/>
      </top>
      <bottom style="medium">
        <color rgb="FFFFFFFF"/>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diagonalUp="1">
      <left style="thin">
        <color rgb="FF000000"/>
      </left>
      <right style="thin">
        <color rgb="FF000000"/>
      </right>
      <top style="thin">
        <color rgb="FF000000"/>
      </top>
      <bottom style="thin">
        <color rgb="FF000000"/>
      </bottom>
      <diagonal style="thin">
        <color rgb="FF000000"/>
      </diagonal>
    </border>
    <border>
      <left/>
      <right/>
      <top/>
      <bottom style="medium">
        <color rgb="FF000000"/>
      </bottom>
      <diagonal/>
    </border>
    <border>
      <left style="thin">
        <color rgb="FF000000"/>
      </left>
      <right/>
      <top style="medium">
        <color rgb="FF000000"/>
      </top>
      <bottom style="thin">
        <color rgb="FF000000"/>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diagonalDown="1">
      <left style="thin">
        <color auto="1"/>
      </left>
      <right style="thin">
        <color auto="1"/>
      </right>
      <top style="thin">
        <color auto="1"/>
      </top>
      <bottom style="thin">
        <color auto="1"/>
      </bottom>
      <diagonal style="thin">
        <color auto="1"/>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diagonal/>
    </border>
    <border>
      <left style="medium">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diagonal/>
    </border>
    <border>
      <left style="medium">
        <color rgb="FF000000"/>
      </left>
      <right/>
      <top/>
      <bottom/>
      <diagonal/>
    </border>
    <border>
      <left style="thin">
        <color rgb="FF000000"/>
      </left>
      <right style="thin">
        <color rgb="FF000000"/>
      </right>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bottom style="thin">
        <color indexed="64"/>
      </bottom>
      <diagonal/>
    </border>
    <border>
      <left style="medium">
        <color rgb="FF000000"/>
      </left>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40">
    <xf numFmtId="0" fontId="0" fillId="0" borderId="0"/>
    <xf numFmtId="0" fontId="3" fillId="0" borderId="0">
      <alignment vertical="top"/>
    </xf>
    <xf numFmtId="9" fontId="3" fillId="0" borderId="0">
      <alignment vertical="top"/>
    </xf>
    <xf numFmtId="0" fontId="5" fillId="0" borderId="0">
      <alignment vertical="top"/>
    </xf>
    <xf numFmtId="0" fontId="6" fillId="0" borderId="0">
      <alignment vertical="top"/>
    </xf>
    <xf numFmtId="9" fontId="3" fillId="0" borderId="0">
      <alignment vertical="top"/>
    </xf>
    <xf numFmtId="0" fontId="7" fillId="0" borderId="0">
      <alignment vertical="center"/>
    </xf>
    <xf numFmtId="0" fontId="1" fillId="0" borderId="0"/>
    <xf numFmtId="0" fontId="7" fillId="0" borderId="0"/>
    <xf numFmtId="0" fontId="8" fillId="0" borderId="0"/>
    <xf numFmtId="176" fontId="3" fillId="0" borderId="0">
      <alignment vertical="top"/>
    </xf>
    <xf numFmtId="0" fontId="1" fillId="0" borderId="0">
      <alignment vertical="center"/>
    </xf>
    <xf numFmtId="0" fontId="75" fillId="0" borderId="0"/>
    <xf numFmtId="0" fontId="89" fillId="0" borderId="0"/>
    <xf numFmtId="38" fontId="7" fillId="0" borderId="0" applyFont="0" applyFill="0" applyBorder="0" applyAlignment="0" applyProtection="0"/>
    <xf numFmtId="0" fontId="89" fillId="0" borderId="0">
      <alignment vertical="center"/>
    </xf>
    <xf numFmtId="0" fontId="89" fillId="0" borderId="0"/>
    <xf numFmtId="0" fontId="7" fillId="0" borderId="0"/>
    <xf numFmtId="176" fontId="7" fillId="0" borderId="0" applyFont="0" applyFill="0" applyBorder="0" applyAlignment="0" applyProtection="0"/>
    <xf numFmtId="9" fontId="7" fillId="0" borderId="0" applyFont="0" applyFill="0" applyBorder="0" applyAlignment="0" applyProtection="0"/>
    <xf numFmtId="176" fontId="89" fillId="0" borderId="0" applyFont="0" applyFill="0" applyBorder="0" applyAlignment="0" applyProtection="0">
      <alignment vertical="center"/>
    </xf>
    <xf numFmtId="0" fontId="7" fillId="0" borderId="0">
      <protection locked="0"/>
    </xf>
    <xf numFmtId="176" fontId="7" fillId="0" borderId="0">
      <protection locked="0"/>
    </xf>
    <xf numFmtId="0" fontId="116" fillId="0" borderId="0">
      <protection locked="0"/>
    </xf>
    <xf numFmtId="0" fontId="28" fillId="0" borderId="0">
      <protection locked="0"/>
    </xf>
    <xf numFmtId="9" fontId="28" fillId="0" borderId="0">
      <protection locked="0"/>
    </xf>
    <xf numFmtId="0" fontId="75" fillId="0" borderId="0">
      <protection locked="0"/>
    </xf>
    <xf numFmtId="0" fontId="116" fillId="0" borderId="0">
      <protection locked="0"/>
    </xf>
    <xf numFmtId="0" fontId="28" fillId="0" borderId="0">
      <alignment vertical="center"/>
    </xf>
    <xf numFmtId="9" fontId="89" fillId="0" borderId="0" applyFont="0" applyFill="0" applyBorder="0" applyAlignment="0" applyProtection="0">
      <alignment vertical="center"/>
    </xf>
    <xf numFmtId="0" fontId="1" fillId="0" borderId="0"/>
    <xf numFmtId="176" fontId="7" fillId="0" borderId="0" applyFont="0" applyFill="0" applyBorder="0" applyAlignment="0" applyProtection="0">
      <alignment vertical="center"/>
    </xf>
    <xf numFmtId="10" fontId="7" fillId="0" borderId="0" applyFont="0" applyFill="0" applyBorder="0" applyAlignment="0" applyProtection="0">
      <alignment vertical="center"/>
    </xf>
    <xf numFmtId="0" fontId="130" fillId="0" borderId="0" applyBorder="0"/>
    <xf numFmtId="0" fontId="7" fillId="0" borderId="0">
      <alignment vertical="center"/>
    </xf>
    <xf numFmtId="0" fontId="89" fillId="0" borderId="0">
      <alignment vertical="center"/>
    </xf>
    <xf numFmtId="0" fontId="116" fillId="0" borderId="0">
      <protection locked="0"/>
    </xf>
    <xf numFmtId="0" fontId="1" fillId="0" borderId="0"/>
    <xf numFmtId="0" fontId="7" fillId="0" borderId="0">
      <alignment vertical="center"/>
    </xf>
    <xf numFmtId="0" fontId="7" fillId="0" borderId="0">
      <alignment vertical="center"/>
    </xf>
  </cellStyleXfs>
  <cellXfs count="1867">
    <xf numFmtId="0" fontId="0" fillId="0" borderId="0" xfId="0"/>
    <xf numFmtId="0" fontId="1" fillId="0" borderId="0" xfId="7"/>
    <xf numFmtId="0" fontId="1" fillId="0" borderId="0" xfId="11">
      <alignment vertical="center"/>
    </xf>
    <xf numFmtId="0" fontId="9" fillId="0" borderId="0" xfId="11" applyFont="1">
      <alignment vertical="center"/>
    </xf>
    <xf numFmtId="0" fontId="10" fillId="0" borderId="0" xfId="11" applyFont="1">
      <alignment vertical="center"/>
    </xf>
    <xf numFmtId="0" fontId="10" fillId="0" borderId="0" xfId="0" applyFont="1" applyAlignment="1">
      <alignment vertical="center"/>
    </xf>
    <xf numFmtId="0" fontId="9" fillId="0" borderId="0" xfId="0" applyFont="1" applyAlignment="1">
      <alignment vertical="center"/>
    </xf>
    <xf numFmtId="49" fontId="9" fillId="0" borderId="0" xfId="11" applyNumberFormat="1" applyFont="1" applyAlignment="1">
      <alignment horizontal="left" vertical="center"/>
    </xf>
    <xf numFmtId="0" fontId="9" fillId="0" borderId="0" xfId="11" applyFont="1" applyAlignment="1">
      <alignment horizontal="left" vertical="center"/>
    </xf>
    <xf numFmtId="177" fontId="9" fillId="0" borderId="0" xfId="11" applyNumberFormat="1" applyFont="1" applyAlignment="1">
      <alignment horizontal="center" vertical="center"/>
    </xf>
    <xf numFmtId="49" fontId="9" fillId="14" borderId="1" xfId="11" applyNumberFormat="1" applyFont="1" applyFill="1" applyBorder="1" applyAlignment="1">
      <alignment horizontal="left" vertical="center"/>
    </xf>
    <xf numFmtId="0" fontId="9" fillId="14" borderId="1" xfId="11" applyFont="1" applyFill="1" applyBorder="1" applyAlignment="1">
      <alignment horizontal="center" vertical="center"/>
    </xf>
    <xf numFmtId="177" fontId="9" fillId="14" borderId="1" xfId="11" applyNumberFormat="1" applyFont="1" applyFill="1" applyBorder="1" applyAlignment="1">
      <alignment horizontal="center" vertical="center"/>
    </xf>
    <xf numFmtId="49" fontId="10" fillId="15" borderId="1" xfId="11" applyNumberFormat="1" applyFont="1" applyFill="1" applyBorder="1" applyAlignment="1">
      <alignment horizontal="left" vertical="center"/>
    </xf>
    <xf numFmtId="0" fontId="10" fillId="15" borderId="1" xfId="11" applyFont="1" applyFill="1" applyBorder="1" applyAlignment="1">
      <alignment horizontal="left" vertical="center"/>
    </xf>
    <xf numFmtId="177" fontId="10" fillId="15" borderId="1" xfId="11" applyNumberFormat="1" applyFont="1" applyFill="1" applyBorder="1" applyAlignment="1">
      <alignment horizontal="center" vertical="center"/>
    </xf>
    <xf numFmtId="0" fontId="9" fillId="14" borderId="1" xfId="11" applyFont="1" applyFill="1" applyBorder="1" applyAlignment="1">
      <alignment horizontal="left" vertical="center"/>
    </xf>
    <xf numFmtId="177" fontId="9" fillId="0" borderId="1" xfId="11" applyNumberFormat="1" applyFont="1" applyBorder="1" applyAlignment="1" applyProtection="1">
      <alignment horizontal="center" vertical="center"/>
      <protection locked="0"/>
    </xf>
    <xf numFmtId="49" fontId="9" fillId="15" borderId="1" xfId="11" applyNumberFormat="1" applyFont="1" applyFill="1" applyBorder="1" applyAlignment="1">
      <alignment horizontal="left" vertical="center"/>
    </xf>
    <xf numFmtId="0" fontId="9" fillId="15" borderId="1" xfId="11" applyFont="1" applyFill="1" applyBorder="1" applyAlignment="1">
      <alignment horizontal="left" vertical="center"/>
    </xf>
    <xf numFmtId="177" fontId="9" fillId="15" borderId="1" xfId="11" applyNumberFormat="1" applyFont="1" applyFill="1" applyBorder="1" applyAlignment="1">
      <alignment horizontal="center" vertical="center"/>
    </xf>
    <xf numFmtId="178" fontId="9" fillId="14" borderId="1" xfId="11" applyNumberFormat="1" applyFont="1" applyFill="1" applyBorder="1" applyAlignment="1">
      <alignment horizontal="center" vertical="center"/>
    </xf>
    <xf numFmtId="49" fontId="10" fillId="16" borderId="1" xfId="11" applyNumberFormat="1" applyFont="1" applyFill="1" applyBorder="1" applyAlignment="1">
      <alignment horizontal="left" vertical="center"/>
    </xf>
    <xf numFmtId="0" fontId="10" fillId="16" borderId="1" xfId="11" applyFont="1" applyFill="1" applyBorder="1" applyAlignment="1">
      <alignment horizontal="left" vertical="center"/>
    </xf>
    <xf numFmtId="177" fontId="10" fillId="16" borderId="1" xfId="11" applyNumberFormat="1" applyFont="1" applyFill="1" applyBorder="1" applyAlignment="1">
      <alignment horizontal="center" vertical="center"/>
    </xf>
    <xf numFmtId="177" fontId="9" fillId="14" borderId="1" xfId="0" applyNumberFormat="1" applyFont="1" applyFill="1" applyBorder="1" applyAlignment="1">
      <alignment horizontal="center" vertical="center"/>
    </xf>
    <xf numFmtId="0" fontId="9" fillId="17" borderId="1" xfId="11" applyFont="1" applyFill="1" applyBorder="1" applyAlignment="1">
      <alignment horizontal="left" vertical="center"/>
    </xf>
    <xf numFmtId="4" fontId="9" fillId="17" borderId="1" xfId="11" applyNumberFormat="1" applyFont="1" applyFill="1" applyBorder="1" applyAlignment="1">
      <alignment horizontal="left" vertical="center"/>
    </xf>
    <xf numFmtId="177" fontId="9" fillId="17" borderId="1" xfId="0" applyNumberFormat="1" applyFont="1" applyFill="1" applyBorder="1" applyAlignment="1">
      <alignment horizontal="center" vertical="center"/>
    </xf>
    <xf numFmtId="49" fontId="9" fillId="14" borderId="2" xfId="11" applyNumberFormat="1" applyFont="1" applyFill="1" applyBorder="1" applyAlignment="1">
      <alignment horizontal="left" vertical="center"/>
    </xf>
    <xf numFmtId="177" fontId="9" fillId="14" borderId="3" xfId="0" applyNumberFormat="1" applyFont="1" applyFill="1" applyBorder="1" applyAlignment="1">
      <alignment horizontal="center" vertical="center"/>
    </xf>
    <xf numFmtId="0" fontId="9" fillId="3" borderId="1" xfId="11" applyFont="1" applyFill="1" applyBorder="1" applyAlignment="1">
      <alignment horizontal="left" vertical="center"/>
    </xf>
    <xf numFmtId="179" fontId="9" fillId="3" borderId="1" xfId="0" applyNumberFormat="1" applyFont="1" applyFill="1" applyBorder="1" applyAlignment="1">
      <alignment horizontal="right" vertical="center"/>
    </xf>
    <xf numFmtId="176" fontId="9" fillId="3" borderId="3" xfId="0" applyNumberFormat="1" applyFont="1" applyFill="1" applyBorder="1" applyAlignment="1">
      <alignment horizontal="center" vertical="center"/>
    </xf>
    <xf numFmtId="178" fontId="9" fillId="3" borderId="3" xfId="0" applyNumberFormat="1" applyFont="1" applyFill="1" applyBorder="1" applyAlignment="1">
      <alignment horizontal="center" vertical="center"/>
    </xf>
    <xf numFmtId="179" fontId="9" fillId="3" borderId="3" xfId="0" applyNumberFormat="1" applyFont="1" applyFill="1" applyBorder="1" applyAlignment="1">
      <alignment vertical="center"/>
    </xf>
    <xf numFmtId="0" fontId="9" fillId="14" borderId="1" xfId="11" applyFont="1" applyFill="1" applyBorder="1">
      <alignment vertical="center"/>
    </xf>
    <xf numFmtId="0" fontId="9" fillId="3" borderId="1" xfId="11" applyFont="1" applyFill="1" applyBorder="1">
      <alignment vertical="center"/>
    </xf>
    <xf numFmtId="177" fontId="9" fillId="3" borderId="1" xfId="0" applyNumberFormat="1" applyFont="1" applyFill="1" applyBorder="1" applyAlignment="1">
      <alignment horizontal="center" vertical="center"/>
    </xf>
    <xf numFmtId="176" fontId="9" fillId="3" borderId="1" xfId="0" applyNumberFormat="1" applyFont="1" applyFill="1" applyBorder="1" applyAlignment="1">
      <alignment horizontal="center" vertical="center"/>
    </xf>
    <xf numFmtId="178" fontId="9" fillId="3" borderId="1" xfId="0" applyNumberFormat="1" applyFont="1" applyFill="1" applyBorder="1" applyAlignment="1">
      <alignment horizontal="center" vertical="center"/>
    </xf>
    <xf numFmtId="180" fontId="9" fillId="3" borderId="1" xfId="5" applyNumberFormat="1" applyFont="1" applyFill="1" applyBorder="1" applyAlignment="1">
      <alignment horizontal="right" vertical="center"/>
    </xf>
    <xf numFmtId="179" fontId="9" fillId="3" borderId="3" xfId="0" applyNumberFormat="1" applyFont="1" applyFill="1" applyBorder="1" applyAlignment="1">
      <alignment horizontal="right" vertical="center"/>
    </xf>
    <xf numFmtId="177" fontId="9" fillId="3" borderId="3" xfId="0" applyNumberFormat="1" applyFont="1" applyFill="1" applyBorder="1" applyAlignment="1">
      <alignment horizontal="center" vertical="center"/>
    </xf>
    <xf numFmtId="49" fontId="9" fillId="14" borderId="4" xfId="11" applyNumberFormat="1" applyFont="1" applyFill="1" applyBorder="1" applyAlignment="1">
      <alignment horizontal="left" vertical="center"/>
    </xf>
    <xf numFmtId="180" fontId="9" fillId="3" borderId="1" xfId="0" applyNumberFormat="1" applyFont="1" applyFill="1" applyBorder="1" applyAlignment="1">
      <alignment horizontal="right" vertical="center"/>
    </xf>
    <xf numFmtId="9" fontId="9" fillId="3" borderId="1" xfId="5" applyFont="1" applyFill="1" applyBorder="1" applyAlignment="1">
      <alignment horizontal="right" vertical="center"/>
    </xf>
    <xf numFmtId="49" fontId="10" fillId="18" borderId="1" xfId="0" applyNumberFormat="1" applyFont="1" applyFill="1" applyBorder="1" applyAlignment="1">
      <alignment horizontal="left" vertical="center"/>
    </xf>
    <xf numFmtId="0" fontId="10" fillId="18" borderId="1" xfId="0" applyFont="1" applyFill="1" applyBorder="1" applyAlignment="1">
      <alignment horizontal="left" vertical="center"/>
    </xf>
    <xf numFmtId="0" fontId="10" fillId="18" borderId="1" xfId="0" applyFont="1" applyFill="1" applyBorder="1" applyAlignment="1">
      <alignment horizontal="center" vertical="center"/>
    </xf>
    <xf numFmtId="49" fontId="9" fillId="14" borderId="1" xfId="0" applyNumberFormat="1" applyFont="1" applyFill="1" applyBorder="1" applyAlignment="1">
      <alignment horizontal="left" vertical="center"/>
    </xf>
    <xf numFmtId="4" fontId="9" fillId="14" borderId="1" xfId="0" applyNumberFormat="1" applyFont="1" applyFill="1" applyBorder="1" applyAlignment="1">
      <alignment horizontal="left" vertical="center"/>
    </xf>
    <xf numFmtId="0" fontId="9" fillId="14" borderId="1" xfId="0" applyFont="1" applyFill="1" applyBorder="1" applyAlignment="1">
      <alignment horizontal="center" vertical="center"/>
    </xf>
    <xf numFmtId="49" fontId="10" fillId="19" borderId="1" xfId="0" applyNumberFormat="1" applyFont="1" applyFill="1" applyBorder="1" applyAlignment="1">
      <alignment horizontal="left" vertical="center"/>
    </xf>
    <xf numFmtId="0" fontId="10" fillId="19" borderId="1" xfId="0" applyFont="1" applyFill="1" applyBorder="1" applyAlignment="1">
      <alignment horizontal="left" vertical="center"/>
    </xf>
    <xf numFmtId="0" fontId="10" fillId="19" borderId="1" xfId="0" applyFont="1" applyFill="1" applyBorder="1" applyAlignment="1">
      <alignment horizontal="center" vertical="center"/>
    </xf>
    <xf numFmtId="49" fontId="9" fillId="17" borderId="1" xfId="0" applyNumberFormat="1" applyFont="1" applyFill="1" applyBorder="1" applyAlignment="1">
      <alignment horizontal="left" vertical="center"/>
    </xf>
    <xf numFmtId="4" fontId="9" fillId="17" borderId="1" xfId="0" applyNumberFormat="1" applyFont="1" applyFill="1" applyBorder="1" applyAlignment="1">
      <alignment horizontal="left" vertical="center"/>
    </xf>
    <xf numFmtId="0" fontId="9" fillId="17" borderId="1" xfId="0" applyFont="1" applyFill="1" applyBorder="1" applyAlignment="1">
      <alignment horizontal="center" vertical="center"/>
    </xf>
    <xf numFmtId="0" fontId="9" fillId="14" borderId="1" xfId="0" applyFont="1" applyFill="1" applyBorder="1" applyAlignment="1">
      <alignment horizontal="left" vertical="center"/>
    </xf>
    <xf numFmtId="9" fontId="9" fillId="14" borderId="1" xfId="0" applyNumberFormat="1" applyFont="1" applyFill="1" applyBorder="1" applyAlignment="1">
      <alignment horizontal="center" vertical="center"/>
    </xf>
    <xf numFmtId="0" fontId="11" fillId="0" borderId="0" xfId="0" applyFont="1" applyProtection="1">
      <protection locked="0"/>
    </xf>
    <xf numFmtId="0" fontId="12" fillId="0" borderId="0" xfId="0" applyFont="1" applyAlignment="1" applyProtection="1">
      <alignment vertical="center"/>
      <protection locked="0"/>
    </xf>
    <xf numFmtId="0" fontId="13" fillId="0" borderId="0" xfId="0" applyFont="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pplyProtection="1">
      <alignment horizontal="center" vertical="center"/>
      <protection locked="0"/>
    </xf>
    <xf numFmtId="0" fontId="75" fillId="0" borderId="0" xfId="12" applyProtection="1">
      <protection locked="0"/>
    </xf>
    <xf numFmtId="0" fontId="11" fillId="12" borderId="0" xfId="0" applyFont="1" applyFill="1" applyAlignment="1" applyProtection="1">
      <alignment horizontal="center" vertical="center"/>
      <protection locked="0"/>
    </xf>
    <xf numFmtId="0" fontId="15" fillId="20" borderId="1" xfId="0" applyFont="1" applyFill="1" applyBorder="1" applyAlignment="1" applyProtection="1">
      <alignment horizontal="center" vertical="center" wrapText="1"/>
      <protection locked="0"/>
    </xf>
    <xf numFmtId="0" fontId="15" fillId="0" borderId="0" xfId="0" applyFont="1" applyAlignment="1" applyProtection="1">
      <alignment vertical="center" wrapText="1"/>
      <protection locked="0"/>
    </xf>
    <xf numFmtId="0" fontId="15" fillId="0" borderId="1" xfId="0" applyFont="1" applyBorder="1" applyAlignment="1" applyProtection="1">
      <alignment horizontal="left" vertical="center" wrapText="1"/>
      <protection locked="0"/>
    </xf>
    <xf numFmtId="0" fontId="12" fillId="20" borderId="1" xfId="0" applyFont="1" applyFill="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15" fillId="0" borderId="1" xfId="0" applyFont="1" applyBorder="1" applyAlignment="1" applyProtection="1">
      <alignment vertical="center" wrapText="1"/>
      <protection locked="0"/>
    </xf>
    <xf numFmtId="0" fontId="13" fillId="12" borderId="6" xfId="0" applyFont="1" applyFill="1" applyBorder="1" applyAlignment="1" applyProtection="1">
      <alignment vertical="center"/>
      <protection locked="0"/>
    </xf>
    <xf numFmtId="0" fontId="12" fillId="20" borderId="1" xfId="0" applyFont="1" applyFill="1" applyBorder="1" applyAlignment="1" applyProtection="1">
      <alignment horizontal="center" vertical="center"/>
      <protection locked="0"/>
    </xf>
    <xf numFmtId="176" fontId="12" fillId="20" borderId="1" xfId="1" applyNumberFormat="1" applyFont="1" applyFill="1" applyBorder="1" applyAlignment="1" applyProtection="1">
      <alignment vertical="center"/>
      <protection locked="0"/>
    </xf>
    <xf numFmtId="0" fontId="12" fillId="0" borderId="0" xfId="0" applyFont="1" applyAlignment="1" applyProtection="1">
      <alignment horizontal="left" vertical="center"/>
      <protection locked="0"/>
    </xf>
    <xf numFmtId="0" fontId="13" fillId="12" borderId="1" xfId="0" applyFont="1" applyFill="1" applyBorder="1" applyAlignment="1" applyProtection="1">
      <alignment vertical="center"/>
      <protection locked="0"/>
    </xf>
    <xf numFmtId="0" fontId="13" fillId="20" borderId="1" xfId="0" applyFont="1" applyFill="1" applyBorder="1" applyAlignment="1" applyProtection="1">
      <alignment horizontal="center" vertical="center"/>
      <protection locked="0"/>
    </xf>
    <xf numFmtId="176" fontId="13" fillId="20" borderId="1" xfId="0" applyNumberFormat="1" applyFont="1" applyFill="1" applyBorder="1" applyAlignment="1" applyProtection="1">
      <alignment horizontal="center" vertical="center"/>
      <protection locked="0"/>
    </xf>
    <xf numFmtId="176" fontId="13" fillId="20" borderId="1" xfId="0" applyNumberFormat="1" applyFont="1" applyFill="1" applyBorder="1" applyAlignment="1" applyProtection="1">
      <alignment vertical="center"/>
      <protection locked="0"/>
    </xf>
    <xf numFmtId="0" fontId="12" fillId="0" borderId="1" xfId="0" applyFont="1" applyBorder="1" applyAlignment="1" applyProtection="1">
      <alignment horizontal="center" vertical="center"/>
      <protection locked="0"/>
    </xf>
    <xf numFmtId="176" fontId="13" fillId="20" borderId="1" xfId="0" applyNumberFormat="1" applyFont="1" applyFill="1" applyBorder="1" applyAlignment="1" applyProtection="1">
      <alignment horizontal="left" vertical="center"/>
      <protection locked="0"/>
    </xf>
    <xf numFmtId="0" fontId="13" fillId="20" borderId="2" xfId="0" applyFont="1" applyFill="1" applyBorder="1" applyAlignment="1" applyProtection="1">
      <alignment horizontal="center" vertical="center"/>
      <protection locked="0"/>
    </xf>
    <xf numFmtId="176" fontId="13" fillId="20" borderId="2" xfId="0" applyNumberFormat="1" applyFont="1" applyFill="1" applyBorder="1" applyAlignment="1" applyProtection="1">
      <alignment horizontal="center" vertical="center"/>
      <protection locked="0"/>
    </xf>
    <xf numFmtId="176" fontId="13" fillId="20" borderId="2" xfId="0" applyNumberFormat="1" applyFont="1" applyFill="1" applyBorder="1" applyAlignment="1" applyProtection="1">
      <alignment horizontal="left" vertical="center"/>
      <protection locked="0"/>
    </xf>
    <xf numFmtId="176" fontId="13" fillId="20" borderId="2" xfId="0" applyNumberFormat="1" applyFont="1" applyFill="1" applyBorder="1" applyAlignment="1" applyProtection="1">
      <alignment vertical="center"/>
      <protection locked="0"/>
    </xf>
    <xf numFmtId="0" fontId="16" fillId="20" borderId="1" xfId="0" applyFont="1" applyFill="1" applyBorder="1" applyAlignment="1" applyProtection="1">
      <alignment horizontal="center" vertical="center"/>
      <protection locked="0"/>
    </xf>
    <xf numFmtId="176" fontId="17" fillId="20" borderId="1" xfId="1" applyNumberFormat="1" applyFont="1" applyFill="1" applyBorder="1" applyAlignment="1" applyProtection="1">
      <alignment horizontal="center" vertical="center"/>
      <protection locked="0"/>
    </xf>
    <xf numFmtId="0" fontId="18" fillId="0" borderId="1" xfId="0" applyFont="1" applyBorder="1" applyAlignment="1" applyProtection="1">
      <alignment horizontal="center" vertical="center" wrapText="1" shrinkToFit="1"/>
      <protection locked="0"/>
    </xf>
    <xf numFmtId="0" fontId="15" fillId="20" borderId="1" xfId="0" applyFont="1" applyFill="1" applyBorder="1" applyAlignment="1" applyProtection="1">
      <alignment horizontal="center" vertical="center"/>
      <protection locked="0"/>
    </xf>
    <xf numFmtId="176" fontId="12" fillId="20" borderId="1" xfId="1" applyNumberFormat="1" applyFont="1" applyFill="1" applyBorder="1" applyAlignment="1" applyProtection="1">
      <alignment horizontal="center" vertical="center"/>
      <protection locked="0"/>
    </xf>
    <xf numFmtId="176" fontId="12" fillId="20" borderId="1" xfId="0" applyNumberFormat="1" applyFont="1" applyFill="1" applyBorder="1" applyAlignment="1" applyProtection="1">
      <alignment horizontal="center" vertical="center"/>
      <protection locked="0"/>
    </xf>
    <xf numFmtId="0" fontId="15" fillId="0" borderId="1" xfId="0" applyFont="1" applyBorder="1" applyAlignment="1" applyProtection="1">
      <alignment horizontal="center" vertical="center" wrapText="1" shrinkToFit="1"/>
      <protection locked="0"/>
    </xf>
    <xf numFmtId="2" fontId="12" fillId="20" borderId="1" xfId="0" applyNumberFormat="1" applyFont="1" applyFill="1" applyBorder="1" applyAlignment="1" applyProtection="1">
      <alignment horizontal="center" vertical="center"/>
      <protection locked="0"/>
    </xf>
    <xf numFmtId="0" fontId="17" fillId="20" borderId="1" xfId="0" applyFont="1" applyFill="1" applyBorder="1" applyAlignment="1" applyProtection="1">
      <alignment horizontal="center" vertical="center"/>
      <protection locked="0"/>
    </xf>
    <xf numFmtId="176" fontId="17" fillId="20" borderId="1" xfId="0" applyNumberFormat="1" applyFont="1" applyFill="1" applyBorder="1" applyAlignment="1" applyProtection="1">
      <alignment horizontal="center" vertical="center"/>
      <protection locked="0"/>
    </xf>
    <xf numFmtId="0" fontId="13" fillId="12" borderId="0" xfId="0" applyFont="1" applyFill="1" applyAlignment="1" applyProtection="1">
      <alignment horizontal="center" vertical="center"/>
      <protection locked="0"/>
    </xf>
    <xf numFmtId="0" fontId="13" fillId="12" borderId="0" xfId="0" applyFont="1" applyFill="1" applyAlignment="1" applyProtection="1">
      <alignment vertical="center"/>
      <protection locked="0"/>
    </xf>
    <xf numFmtId="0" fontId="13" fillId="8" borderId="1" xfId="0" applyFont="1" applyFill="1" applyBorder="1" applyAlignment="1" applyProtection="1">
      <alignment horizontal="center" vertical="center"/>
      <protection locked="0"/>
    </xf>
    <xf numFmtId="0" fontId="12" fillId="8" borderId="1" xfId="0" applyFont="1" applyFill="1" applyBorder="1" applyAlignment="1" applyProtection="1">
      <alignment horizontal="right" vertical="center"/>
      <protection locked="0"/>
    </xf>
    <xf numFmtId="176" fontId="12" fillId="8" borderId="1" xfId="1" applyNumberFormat="1" applyFont="1" applyFill="1" applyBorder="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11" fillId="12" borderId="0" xfId="0" applyFont="1" applyFill="1" applyAlignment="1" applyProtection="1">
      <alignment vertical="center"/>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left" vertical="center"/>
      <protection locked="0"/>
    </xf>
    <xf numFmtId="0" fontId="19" fillId="21" borderId="0" xfId="0" applyFont="1" applyFill="1" applyAlignment="1" applyProtection="1">
      <alignment horizontal="center" vertical="center" wrapText="1"/>
      <protection locked="0"/>
    </xf>
    <xf numFmtId="0" fontId="20" fillId="22" borderId="0" xfId="0" applyFont="1" applyFill="1" applyAlignment="1" applyProtection="1">
      <alignment horizontal="center" vertical="center" wrapText="1"/>
      <protection locked="0"/>
    </xf>
    <xf numFmtId="3" fontId="21" fillId="13" borderId="9" xfId="0" applyNumberFormat="1" applyFont="1" applyFill="1" applyBorder="1" applyAlignment="1" applyProtection="1">
      <alignment horizontal="right" vertical="center" wrapText="1"/>
      <protection locked="0"/>
    </xf>
    <xf numFmtId="3" fontId="21" fillId="13" borderId="10" xfId="0" applyNumberFormat="1" applyFont="1" applyFill="1" applyBorder="1" applyAlignment="1" applyProtection="1">
      <alignment horizontal="right" vertical="center" wrapText="1"/>
      <protection locked="0"/>
    </xf>
    <xf numFmtId="3" fontId="21" fillId="13" borderId="11" xfId="0" applyNumberFormat="1" applyFont="1" applyFill="1" applyBorder="1" applyAlignment="1" applyProtection="1">
      <alignment horizontal="right" vertical="center" wrapText="1"/>
      <protection locked="0"/>
    </xf>
    <xf numFmtId="3" fontId="21" fillId="13" borderId="12" xfId="0" applyNumberFormat="1" applyFont="1" applyFill="1" applyBorder="1" applyAlignment="1" applyProtection="1">
      <alignment horizontal="right" vertical="center" wrapText="1"/>
      <protection locked="0"/>
    </xf>
    <xf numFmtId="0" fontId="13" fillId="0" borderId="0" xfId="0" applyFont="1" applyProtection="1">
      <protection locked="0"/>
    </xf>
    <xf numFmtId="0" fontId="19" fillId="21" borderId="0" xfId="0" applyFont="1" applyFill="1" applyAlignment="1" applyProtection="1">
      <alignment horizontal="center" vertical="center"/>
      <protection locked="0"/>
    </xf>
    <xf numFmtId="176" fontId="21" fillId="13" borderId="13" xfId="1" applyNumberFormat="1" applyFont="1" applyFill="1" applyBorder="1" applyAlignment="1" applyProtection="1">
      <alignment horizontal="right" vertical="center"/>
      <protection locked="0"/>
    </xf>
    <xf numFmtId="180" fontId="21" fillId="13" borderId="13" xfId="1" applyNumberFormat="1" applyFont="1" applyFill="1" applyBorder="1" applyAlignment="1" applyProtection="1">
      <alignment horizontal="right" vertical="center"/>
      <protection locked="0"/>
    </xf>
    <xf numFmtId="0" fontId="19" fillId="0" borderId="0" xfId="0" applyFont="1" applyAlignment="1" applyProtection="1">
      <alignment horizontal="center" vertical="center"/>
      <protection locked="0"/>
    </xf>
    <xf numFmtId="176" fontId="20" fillId="20" borderId="13" xfId="1" applyNumberFormat="1" applyFont="1" applyFill="1" applyBorder="1" applyAlignment="1" applyProtection="1">
      <alignment horizontal="center" vertical="center"/>
      <protection locked="0"/>
    </xf>
    <xf numFmtId="4" fontId="21" fillId="0" borderId="0" xfId="0" applyNumberFormat="1"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9" fillId="21" borderId="14" xfId="0" applyFont="1" applyFill="1" applyBorder="1" applyAlignment="1" applyProtection="1">
      <alignment horizontal="center" vertical="center" wrapText="1"/>
      <protection locked="0"/>
    </xf>
    <xf numFmtId="0" fontId="19" fillId="21" borderId="15" xfId="0" applyFont="1" applyFill="1" applyBorder="1" applyAlignment="1" applyProtection="1">
      <alignment horizontal="center" vertical="center" wrapText="1"/>
      <protection locked="0"/>
    </xf>
    <xf numFmtId="0" fontId="19" fillId="21" borderId="16" xfId="0" applyFont="1" applyFill="1" applyBorder="1" applyAlignment="1" applyProtection="1">
      <alignment horizontal="center" vertical="center" wrapText="1"/>
      <protection locked="0"/>
    </xf>
    <xf numFmtId="176" fontId="21" fillId="13" borderId="13" xfId="1" applyNumberFormat="1" applyFont="1" applyFill="1" applyBorder="1" applyAlignment="1" applyProtection="1">
      <alignment horizontal="center" vertical="center"/>
      <protection locked="0"/>
    </xf>
    <xf numFmtId="180" fontId="21" fillId="13" borderId="11" xfId="1" applyNumberFormat="1" applyFont="1" applyFill="1" applyBorder="1" applyAlignment="1" applyProtection="1">
      <alignment horizontal="center" vertical="center" wrapText="1"/>
      <protection locked="0"/>
    </xf>
    <xf numFmtId="180" fontId="21" fillId="13" borderId="11" xfId="1" applyNumberFormat="1" applyFont="1" applyFill="1" applyBorder="1" applyAlignment="1" applyProtection="1">
      <alignment horizontal="right" vertical="center" wrapText="1"/>
      <protection locked="0"/>
    </xf>
    <xf numFmtId="176" fontId="12" fillId="0" borderId="0" xfId="0" applyNumberFormat="1" applyFont="1" applyAlignment="1" applyProtection="1">
      <alignment vertical="center"/>
      <protection locked="0"/>
    </xf>
    <xf numFmtId="0" fontId="11" fillId="0" borderId="0" xfId="0" applyFont="1" applyAlignment="1" applyProtection="1">
      <alignment vertical="center" wrapText="1"/>
      <protection locked="0"/>
    </xf>
    <xf numFmtId="0" fontId="19" fillId="21" borderId="20" xfId="0" applyFont="1" applyFill="1" applyBorder="1" applyAlignment="1" applyProtection="1">
      <alignment horizontal="center" vertical="center" wrapText="1"/>
      <protection locked="0"/>
    </xf>
    <xf numFmtId="176" fontId="21" fillId="20" borderId="13" xfId="1" applyNumberFormat="1" applyFont="1" applyFill="1" applyBorder="1" applyAlignment="1" applyProtection="1">
      <alignment horizontal="center" vertical="center"/>
      <protection locked="0"/>
    </xf>
    <xf numFmtId="180" fontId="21" fillId="20" borderId="11" xfId="1" applyNumberFormat="1" applyFont="1" applyFill="1" applyBorder="1" applyAlignment="1" applyProtection="1">
      <alignment horizontal="center" vertical="center" wrapText="1"/>
      <protection locked="0"/>
    </xf>
    <xf numFmtId="0" fontId="19" fillId="21" borderId="25" xfId="0" applyFont="1" applyFill="1" applyBorder="1" applyAlignment="1" applyProtection="1">
      <alignment horizontal="center" vertical="center" wrapText="1"/>
      <protection locked="0"/>
    </xf>
    <xf numFmtId="180" fontId="21" fillId="13" borderId="11" xfId="1" applyNumberFormat="1" applyFont="1" applyFill="1" applyBorder="1" applyAlignment="1" applyProtection="1">
      <alignment horizontal="left" vertical="center" wrapText="1"/>
      <protection locked="0"/>
    </xf>
    <xf numFmtId="49" fontId="21" fillId="13" borderId="11" xfId="1" applyNumberFormat="1" applyFont="1" applyFill="1" applyBorder="1" applyAlignment="1" applyProtection="1">
      <alignment horizontal="center" vertical="center" wrapText="1"/>
      <protection locked="0"/>
    </xf>
    <xf numFmtId="0" fontId="21" fillId="20" borderId="20" xfId="0" applyFont="1" applyFill="1" applyBorder="1" applyAlignment="1" applyProtection="1">
      <alignment horizontal="center" vertical="center" wrapText="1"/>
      <protection locked="0"/>
    </xf>
    <xf numFmtId="0" fontId="21" fillId="13" borderId="20" xfId="0" applyFont="1" applyFill="1" applyBorder="1" applyAlignment="1" applyProtection="1">
      <alignment horizontal="center" vertical="center" wrapText="1"/>
      <protection locked="0"/>
    </xf>
    <xf numFmtId="180" fontId="21" fillId="13" borderId="20" xfId="0" applyNumberFormat="1" applyFont="1" applyFill="1" applyBorder="1" applyAlignment="1" applyProtection="1">
      <alignment horizontal="right" vertical="center" wrapText="1"/>
      <protection locked="0"/>
    </xf>
    <xf numFmtId="0" fontId="21" fillId="20" borderId="14" xfId="0" applyFont="1" applyFill="1" applyBorder="1" applyAlignment="1" applyProtection="1">
      <alignment horizontal="center" vertical="center" wrapText="1"/>
      <protection locked="0"/>
    </xf>
    <xf numFmtId="0" fontId="21" fillId="13" borderId="14" xfId="0" applyFont="1" applyFill="1" applyBorder="1" applyAlignment="1" applyProtection="1">
      <alignment horizontal="center" vertical="center" wrapText="1"/>
      <protection locked="0"/>
    </xf>
    <xf numFmtId="180" fontId="21" fillId="13" borderId="14" xfId="0" applyNumberFormat="1" applyFont="1" applyFill="1" applyBorder="1" applyAlignment="1" applyProtection="1">
      <alignment horizontal="right" vertical="center" wrapText="1"/>
      <protection locked="0"/>
    </xf>
    <xf numFmtId="0" fontId="23" fillId="0" borderId="0" xfId="0" applyFont="1" applyAlignment="1">
      <alignment horizontal="center" vertical="center" wrapText="1"/>
    </xf>
    <xf numFmtId="0" fontId="24" fillId="23" borderId="0" xfId="0" applyFont="1" applyFill="1" applyAlignment="1">
      <alignment horizontal="center" vertical="center" wrapText="1"/>
    </xf>
    <xf numFmtId="0" fontId="1" fillId="0" borderId="0" xfId="0" applyFont="1" applyProtection="1">
      <protection locked="0"/>
    </xf>
    <xf numFmtId="181" fontId="1" fillId="0" borderId="0" xfId="0" applyNumberFormat="1" applyFont="1"/>
    <xf numFmtId="0" fontId="24" fillId="23" borderId="1" xfId="0" applyFont="1" applyFill="1" applyBorder="1" applyAlignment="1" applyProtection="1">
      <alignment horizontal="center" vertical="center" wrapText="1"/>
      <protection locked="0"/>
    </xf>
    <xf numFmtId="182" fontId="1" fillId="23" borderId="1" xfId="0" applyNumberFormat="1" applyFont="1" applyFill="1" applyBorder="1" applyAlignment="1">
      <alignment horizontal="center" vertical="center" wrapText="1"/>
    </xf>
    <xf numFmtId="0" fontId="24" fillId="23" borderId="1" xfId="0" applyFont="1" applyFill="1" applyBorder="1" applyAlignment="1">
      <alignment horizontal="center" vertical="center" wrapText="1"/>
    </xf>
    <xf numFmtId="10" fontId="24" fillId="23" borderId="1" xfId="2" applyNumberFormat="1" applyFont="1" applyFill="1" applyBorder="1" applyAlignment="1">
      <alignment horizontal="center" vertical="center" wrapText="1"/>
    </xf>
    <xf numFmtId="179" fontId="24" fillId="23" borderId="1" xfId="0" applyNumberFormat="1" applyFont="1" applyFill="1" applyBorder="1" applyAlignment="1">
      <alignment horizontal="center" vertical="center" wrapText="1"/>
    </xf>
    <xf numFmtId="181" fontId="25" fillId="26" borderId="2" xfId="0" applyNumberFormat="1" applyFont="1" applyFill="1" applyBorder="1" applyAlignment="1">
      <alignment horizontal="center" vertical="center" wrapText="1"/>
    </xf>
    <xf numFmtId="180" fontId="24" fillId="23" borderId="1" xfId="0" applyNumberFormat="1" applyFont="1" applyFill="1" applyBorder="1" applyAlignment="1">
      <alignment horizontal="center" vertical="center" wrapText="1"/>
    </xf>
    <xf numFmtId="176" fontId="24" fillId="23" borderId="1" xfId="1" applyNumberFormat="1" applyFont="1" applyFill="1" applyBorder="1" applyAlignment="1">
      <alignment horizontal="center" vertical="center" wrapText="1"/>
    </xf>
    <xf numFmtId="181" fontId="25" fillId="16" borderId="2" xfId="0" applyNumberFormat="1" applyFont="1" applyFill="1" applyBorder="1" applyAlignment="1">
      <alignment horizontal="center" vertical="center" wrapText="1"/>
    </xf>
    <xf numFmtId="181" fontId="25" fillId="10" borderId="2" xfId="0" applyNumberFormat="1" applyFont="1" applyFill="1" applyBorder="1" applyAlignment="1">
      <alignment horizontal="center" vertical="center" wrapText="1"/>
    </xf>
    <xf numFmtId="176" fontId="24" fillId="0" borderId="1" xfId="1" applyNumberFormat="1" applyFont="1" applyBorder="1" applyAlignment="1">
      <alignment horizontal="center" vertical="center" wrapText="1"/>
    </xf>
    <xf numFmtId="181" fontId="25" fillId="10" borderId="1" xfId="0" applyNumberFormat="1" applyFont="1" applyFill="1" applyBorder="1" applyAlignment="1">
      <alignment horizontal="center" vertical="center" wrapText="1"/>
    </xf>
    <xf numFmtId="176" fontId="24" fillId="23" borderId="1" xfId="0" applyNumberFormat="1" applyFont="1" applyFill="1" applyBorder="1" applyAlignment="1">
      <alignment horizontal="center" vertical="center" wrapText="1"/>
    </xf>
    <xf numFmtId="10" fontId="24" fillId="0" borderId="1" xfId="2" applyNumberFormat="1" applyFont="1" applyBorder="1" applyAlignment="1">
      <alignment horizontal="center" vertical="center" wrapText="1"/>
    </xf>
    <xf numFmtId="0" fontId="20" fillId="22" borderId="0" xfId="0" applyFont="1" applyFill="1" applyAlignment="1" applyProtection="1">
      <alignment horizontal="left" vertical="center" wrapText="1"/>
      <protection locked="0"/>
    </xf>
    <xf numFmtId="0" fontId="13" fillId="0" borderId="0" xfId="0" applyFont="1" applyAlignment="1" applyProtection="1">
      <alignment horizontal="left" vertical="center" wrapText="1"/>
      <protection locked="0"/>
    </xf>
    <xf numFmtId="0" fontId="13" fillId="0" borderId="0" xfId="0" applyFont="1" applyAlignment="1" applyProtection="1">
      <alignment horizontal="center" vertical="center" wrapText="1"/>
      <protection locked="0"/>
    </xf>
    <xf numFmtId="180" fontId="21" fillId="13" borderId="22" xfId="1" applyNumberFormat="1" applyFont="1" applyFill="1" applyBorder="1" applyAlignment="1" applyProtection="1">
      <alignment horizontal="right" vertical="center"/>
      <protection locked="0"/>
    </xf>
    <xf numFmtId="3" fontId="21" fillId="0" borderId="37" xfId="0" applyNumberFormat="1" applyFont="1" applyBorder="1" applyAlignment="1" applyProtection="1">
      <alignment horizontal="right" vertical="center"/>
      <protection locked="0"/>
    </xf>
    <xf numFmtId="183" fontId="26" fillId="13" borderId="37" xfId="0" applyNumberFormat="1" applyFont="1" applyFill="1" applyBorder="1" applyAlignment="1" applyProtection="1">
      <alignment horizontal="right" vertical="center"/>
      <protection locked="0"/>
    </xf>
    <xf numFmtId="183" fontId="26" fillId="13" borderId="42" xfId="0" applyNumberFormat="1" applyFont="1" applyFill="1" applyBorder="1" applyAlignment="1" applyProtection="1">
      <alignment horizontal="right" vertical="center"/>
      <protection locked="0"/>
    </xf>
    <xf numFmtId="0" fontId="21" fillId="22" borderId="0" xfId="0" applyFont="1" applyFill="1" applyAlignment="1" applyProtection="1">
      <alignment horizontal="left" vertical="center"/>
      <protection locked="0"/>
    </xf>
    <xf numFmtId="3" fontId="26" fillId="13" borderId="37" xfId="0" applyNumberFormat="1" applyFont="1" applyFill="1" applyBorder="1" applyAlignment="1" applyProtection="1">
      <alignment horizontal="center" vertical="center"/>
      <protection locked="0"/>
    </xf>
    <xf numFmtId="3" fontId="26" fillId="13" borderId="42" xfId="0" applyNumberFormat="1" applyFont="1" applyFill="1" applyBorder="1" applyAlignment="1" applyProtection="1">
      <alignment horizontal="center" vertical="center"/>
      <protection locked="0"/>
    </xf>
    <xf numFmtId="0" fontId="21" fillId="22" borderId="0" xfId="0" applyFont="1" applyFill="1" applyAlignment="1" applyProtection="1">
      <alignment horizontal="center" vertical="center"/>
      <protection locked="0"/>
    </xf>
    <xf numFmtId="180" fontId="21" fillId="13" borderId="11" xfId="1" applyNumberFormat="1" applyFont="1" applyFill="1" applyBorder="1" applyAlignment="1" applyProtection="1">
      <alignment vertical="center" wrapText="1"/>
      <protection locked="0"/>
    </xf>
    <xf numFmtId="0" fontId="21" fillId="22" borderId="0" xfId="0" applyFont="1" applyFill="1" applyAlignment="1" applyProtection="1">
      <alignment horizontal="center" vertical="center" wrapText="1"/>
      <protection locked="0"/>
    </xf>
    <xf numFmtId="0" fontId="27" fillId="13" borderId="15" xfId="0" applyFont="1" applyFill="1" applyBorder="1" applyAlignment="1" applyProtection="1">
      <alignment horizontal="center" vertical="center" wrapText="1"/>
      <protection locked="0"/>
    </xf>
    <xf numFmtId="0" fontId="27" fillId="13" borderId="23" xfId="0" applyFont="1" applyFill="1" applyBorder="1" applyAlignment="1" applyProtection="1">
      <alignment horizontal="center" vertical="center" wrapText="1"/>
      <protection locked="0"/>
    </xf>
    <xf numFmtId="184" fontId="21" fillId="13" borderId="20" xfId="0" applyNumberFormat="1" applyFont="1" applyFill="1" applyBorder="1" applyAlignment="1" applyProtection="1">
      <alignment horizontal="right" vertical="center" wrapText="1"/>
      <protection locked="0"/>
    </xf>
    <xf numFmtId="0" fontId="21" fillId="22" borderId="20" xfId="0" applyFont="1" applyFill="1" applyBorder="1" applyAlignment="1" applyProtection="1">
      <alignment horizontal="center" vertical="center" wrapText="1"/>
      <protection locked="0"/>
    </xf>
    <xf numFmtId="184" fontId="14" fillId="22" borderId="20" xfId="0" applyNumberFormat="1" applyFont="1" applyFill="1" applyBorder="1" applyAlignment="1" applyProtection="1">
      <alignment horizontal="right" vertical="center" wrapText="1"/>
      <protection locked="0"/>
    </xf>
    <xf numFmtId="184" fontId="21" fillId="22" borderId="20" xfId="0" applyNumberFormat="1" applyFont="1" applyFill="1" applyBorder="1" applyAlignment="1" applyProtection="1">
      <alignment horizontal="right" vertical="center" wrapText="1"/>
      <protection locked="0"/>
    </xf>
    <xf numFmtId="180" fontId="21" fillId="22" borderId="20" xfId="0" applyNumberFormat="1" applyFont="1" applyFill="1" applyBorder="1" applyAlignment="1" applyProtection="1">
      <alignment horizontal="right" vertical="center" wrapText="1"/>
      <protection locked="0"/>
    </xf>
    <xf numFmtId="180" fontId="14" fillId="22" borderId="20" xfId="0" applyNumberFormat="1" applyFont="1" applyFill="1" applyBorder="1" applyAlignment="1" applyProtection="1">
      <alignment horizontal="right" vertical="center" wrapText="1"/>
      <protection locked="0"/>
    </xf>
    <xf numFmtId="0" fontId="28" fillId="0" borderId="0" xfId="0" applyFont="1"/>
    <xf numFmtId="0" fontId="0" fillId="0" borderId="0" xfId="0" applyAlignment="1">
      <alignment vertical="center"/>
    </xf>
    <xf numFmtId="4" fontId="15" fillId="0" borderId="6" xfId="0" applyNumberFormat="1" applyFont="1" applyBorder="1" applyAlignment="1">
      <alignment horizontal="left" vertical="center" indent="3"/>
    </xf>
    <xf numFmtId="4" fontId="15" fillId="0" borderId="0" xfId="0" applyNumberFormat="1" applyFont="1" applyAlignment="1">
      <alignment horizontal="left" vertical="center" indent="3"/>
    </xf>
    <xf numFmtId="0" fontId="29" fillId="0" borderId="0" xfId="0" applyFont="1" applyAlignment="1" applyProtection="1">
      <alignment horizontal="left"/>
      <protection locked="0"/>
    </xf>
    <xf numFmtId="0" fontId="29" fillId="0" borderId="0" xfId="0" applyFont="1" applyProtection="1">
      <protection locked="0"/>
    </xf>
    <xf numFmtId="0" fontId="29" fillId="0" borderId="0" xfId="0" applyFont="1" applyAlignment="1" applyProtection="1">
      <alignment horizontal="center"/>
      <protection locked="0"/>
    </xf>
    <xf numFmtId="2" fontId="12" fillId="0" borderId="1" xfId="0" applyNumberFormat="1" applyFont="1" applyBorder="1" applyAlignment="1" applyProtection="1">
      <alignment horizontal="right" vertical="center"/>
      <protection locked="0"/>
    </xf>
    <xf numFmtId="0" fontId="29" fillId="0" borderId="0" xfId="0" applyFont="1" applyAlignment="1" applyProtection="1">
      <alignment horizontal="center" vertical="center"/>
      <protection locked="0"/>
    </xf>
    <xf numFmtId="0" fontId="17" fillId="30" borderId="1" xfId="0" applyFont="1" applyFill="1" applyBorder="1" applyAlignment="1">
      <alignment horizontal="center" vertical="center" wrapText="1"/>
    </xf>
    <xf numFmtId="0" fontId="17" fillId="30" borderId="2" xfId="0" applyFont="1" applyFill="1" applyBorder="1" applyAlignment="1">
      <alignment horizontal="center" vertical="center" wrapText="1"/>
    </xf>
    <xf numFmtId="4" fontId="12" fillId="14" borderId="1" xfId="0" applyNumberFormat="1" applyFont="1" applyFill="1" applyBorder="1" applyAlignment="1">
      <alignment horizontal="left" vertical="center"/>
    </xf>
    <xf numFmtId="0" fontId="12" fillId="14" borderId="1" xfId="0" applyFont="1" applyFill="1" applyBorder="1" applyAlignment="1">
      <alignment horizontal="right" vertical="center"/>
    </xf>
    <xf numFmtId="4" fontId="12" fillId="14" borderId="1" xfId="0" applyNumberFormat="1" applyFont="1" applyFill="1" applyBorder="1" applyAlignment="1">
      <alignment horizontal="right" vertical="center"/>
    </xf>
    <xf numFmtId="0" fontId="12" fillId="14" borderId="1" xfId="0" applyFont="1" applyFill="1" applyBorder="1" applyAlignment="1">
      <alignment horizontal="center" vertical="center"/>
    </xf>
    <xf numFmtId="4" fontId="12" fillId="31" borderId="1" xfId="0" applyNumberFormat="1" applyFont="1" applyFill="1" applyBorder="1" applyAlignment="1">
      <alignment horizontal="left" vertical="center"/>
    </xf>
    <xf numFmtId="0" fontId="12" fillId="32" borderId="1" xfId="0" applyFont="1" applyFill="1" applyBorder="1" applyAlignment="1">
      <alignment horizontal="right" vertical="center"/>
    </xf>
    <xf numFmtId="4" fontId="12" fillId="32" borderId="1" xfId="0" applyNumberFormat="1" applyFont="1" applyFill="1" applyBorder="1" applyAlignment="1">
      <alignment horizontal="right" vertical="center"/>
    </xf>
    <xf numFmtId="0" fontId="12" fillId="32" borderId="1" xfId="0" applyFont="1" applyFill="1" applyBorder="1" applyAlignment="1">
      <alignment horizontal="center" vertical="center"/>
    </xf>
    <xf numFmtId="185" fontId="12" fillId="32" borderId="1" xfId="0" applyNumberFormat="1" applyFont="1" applyFill="1" applyBorder="1" applyAlignment="1">
      <alignment horizontal="center" vertical="center"/>
    </xf>
    <xf numFmtId="4" fontId="15" fillId="14" borderId="1" xfId="0" applyNumberFormat="1" applyFont="1" applyFill="1" applyBorder="1" applyAlignment="1">
      <alignment horizontal="left" vertical="center"/>
    </xf>
    <xf numFmtId="0" fontId="15" fillId="32" borderId="1" xfId="0" applyFont="1" applyFill="1" applyBorder="1" applyAlignment="1">
      <alignment horizontal="right" vertical="center"/>
    </xf>
    <xf numFmtId="4" fontId="15" fillId="32" borderId="1" xfId="0" applyNumberFormat="1" applyFont="1" applyFill="1" applyBorder="1" applyAlignment="1">
      <alignment horizontal="right" vertical="center"/>
    </xf>
    <xf numFmtId="0" fontId="15" fillId="32" borderId="1" xfId="0" applyFont="1" applyFill="1" applyBorder="1" applyAlignment="1">
      <alignment horizontal="center" vertical="center"/>
    </xf>
    <xf numFmtId="2" fontId="15" fillId="14" borderId="1" xfId="0" applyNumberFormat="1" applyFont="1" applyFill="1" applyBorder="1" applyAlignment="1">
      <alignment horizontal="center" vertical="center"/>
    </xf>
    <xf numFmtId="0" fontId="30" fillId="30" borderId="1" xfId="0" applyFont="1" applyFill="1" applyBorder="1" applyAlignment="1">
      <alignment horizontal="center" vertical="center" wrapText="1"/>
    </xf>
    <xf numFmtId="2" fontId="12" fillId="32" borderId="1" xfId="0" applyNumberFormat="1" applyFont="1" applyFill="1" applyBorder="1" applyAlignment="1">
      <alignment horizontal="right" vertical="center"/>
    </xf>
    <xf numFmtId="2" fontId="12" fillId="31" borderId="1" xfId="0" applyNumberFormat="1" applyFont="1" applyFill="1" applyBorder="1" applyAlignment="1">
      <alignment horizontal="right" vertical="center"/>
    </xf>
    <xf numFmtId="2" fontId="12" fillId="32" borderId="1" xfId="0" applyNumberFormat="1" applyFont="1" applyFill="1" applyBorder="1" applyAlignment="1">
      <alignment horizontal="center" vertical="center"/>
    </xf>
    <xf numFmtId="2" fontId="15" fillId="32" borderId="1" xfId="0" applyNumberFormat="1" applyFont="1" applyFill="1" applyBorder="1" applyAlignment="1">
      <alignment horizontal="center" vertical="center"/>
    </xf>
    <xf numFmtId="40" fontId="15" fillId="32" borderId="1" xfId="0" applyNumberFormat="1" applyFont="1" applyFill="1" applyBorder="1" applyAlignment="1">
      <alignment horizontal="right" vertical="center"/>
    </xf>
    <xf numFmtId="4" fontId="15" fillId="14" borderId="1" xfId="0" applyNumberFormat="1" applyFont="1" applyFill="1" applyBorder="1" applyAlignment="1">
      <alignment horizontal="right" vertical="center"/>
    </xf>
    <xf numFmtId="4" fontId="15" fillId="0" borderId="1" xfId="0" applyNumberFormat="1" applyFont="1" applyBorder="1" applyAlignment="1" applyProtection="1">
      <alignment horizontal="right" vertical="center"/>
      <protection locked="0"/>
    </xf>
    <xf numFmtId="2" fontId="15" fillId="0" borderId="1" xfId="0" applyNumberFormat="1" applyFont="1" applyBorder="1" applyAlignment="1" applyProtection="1">
      <alignment horizontal="right" vertical="center"/>
      <protection locked="0"/>
    </xf>
    <xf numFmtId="0" fontId="29" fillId="0" borderId="1" xfId="0" applyFont="1" applyBorder="1" applyProtection="1">
      <protection locked="0"/>
    </xf>
    <xf numFmtId="4" fontId="12" fillId="14" borderId="6" xfId="0" applyNumberFormat="1" applyFont="1" applyFill="1" applyBorder="1" applyAlignment="1">
      <alignment horizontal="right" vertical="center"/>
    </xf>
    <xf numFmtId="0" fontId="29" fillId="14" borderId="1" xfId="0" applyFont="1" applyFill="1" applyBorder="1" applyAlignment="1">
      <alignment horizontal="center" vertical="center" wrapText="1"/>
    </xf>
    <xf numFmtId="0" fontId="31" fillId="33" borderId="1" xfId="0" applyFont="1" applyFill="1" applyBorder="1" applyProtection="1">
      <protection locked="0"/>
    </xf>
    <xf numFmtId="0" fontId="12" fillId="14" borderId="1" xfId="0" applyFont="1" applyFill="1" applyBorder="1" applyAlignment="1">
      <alignment horizontal="center" vertical="center" wrapText="1"/>
    </xf>
    <xf numFmtId="0" fontId="31" fillId="0" borderId="1" xfId="0" applyFont="1" applyBorder="1" applyProtection="1">
      <protection locked="0"/>
    </xf>
    <xf numFmtId="4" fontId="15" fillId="14" borderId="1" xfId="0" applyNumberFormat="1" applyFont="1" applyFill="1" applyBorder="1" applyAlignment="1">
      <alignment horizontal="center" vertical="center"/>
    </xf>
    <xf numFmtId="4" fontId="15" fillId="0" borderId="0" xfId="0" applyNumberFormat="1" applyFont="1" applyAlignment="1" applyProtection="1">
      <alignment horizontal="right" vertical="center"/>
      <protection locked="0"/>
    </xf>
    <xf numFmtId="0" fontId="32" fillId="0" borderId="1" xfId="0" applyFont="1" applyBorder="1" applyProtection="1">
      <protection locked="0"/>
    </xf>
    <xf numFmtId="0" fontId="12" fillId="34" borderId="1" xfId="0" applyFont="1" applyFill="1" applyBorder="1" applyAlignment="1">
      <alignment horizontal="center" vertical="center"/>
    </xf>
    <xf numFmtId="0" fontId="12" fillId="31" borderId="1" xfId="0" applyFont="1" applyFill="1" applyBorder="1" applyAlignment="1">
      <alignment horizontal="center" vertical="center"/>
    </xf>
    <xf numFmtId="4" fontId="12" fillId="14" borderId="1" xfId="1" applyNumberFormat="1" applyFont="1" applyFill="1" applyBorder="1" applyAlignment="1">
      <alignment horizontal="right" vertical="center"/>
    </xf>
    <xf numFmtId="179" fontId="12" fillId="34" borderId="1" xfId="0" applyNumberFormat="1" applyFont="1" applyFill="1" applyBorder="1" applyAlignment="1">
      <alignment horizontal="center" vertical="center"/>
    </xf>
    <xf numFmtId="2" fontId="12" fillId="34" borderId="1" xfId="0" applyNumberFormat="1" applyFont="1" applyFill="1" applyBorder="1" applyAlignment="1">
      <alignment horizontal="right" vertical="center"/>
    </xf>
    <xf numFmtId="0" fontId="12" fillId="31" borderId="1" xfId="0" applyFont="1" applyFill="1" applyBorder="1" applyAlignment="1">
      <alignment horizontal="right" vertical="center"/>
    </xf>
    <xf numFmtId="2" fontId="12" fillId="14" borderId="1" xfId="0" applyNumberFormat="1" applyFont="1" applyFill="1" applyBorder="1" applyAlignment="1">
      <alignment horizontal="center" vertical="center"/>
    </xf>
    <xf numFmtId="2" fontId="12" fillId="14" borderId="1" xfId="0" applyNumberFormat="1" applyFont="1" applyFill="1" applyBorder="1" applyAlignment="1">
      <alignment horizontal="right" vertical="center"/>
    </xf>
    <xf numFmtId="0" fontId="32" fillId="33" borderId="1" xfId="0" applyFont="1" applyFill="1" applyBorder="1" applyProtection="1">
      <protection locked="0"/>
    </xf>
    <xf numFmtId="4" fontId="12" fillId="32" borderId="6" xfId="0" applyNumberFormat="1" applyFont="1" applyFill="1" applyBorder="1" applyAlignment="1">
      <alignment horizontal="right" vertical="center"/>
    </xf>
    <xf numFmtId="0" fontId="33" fillId="14" borderId="1" xfId="0" applyFont="1" applyFill="1" applyBorder="1" applyAlignment="1">
      <alignment horizontal="center" vertical="center" wrapText="1"/>
    </xf>
    <xf numFmtId="4" fontId="12" fillId="32" borderId="1" xfId="0" applyNumberFormat="1" applyFont="1" applyFill="1" applyBorder="1" applyAlignment="1">
      <alignment horizontal="center" vertical="center"/>
    </xf>
    <xf numFmtId="4" fontId="15" fillId="14" borderId="0" xfId="0" applyNumberFormat="1" applyFont="1" applyFill="1" applyAlignment="1">
      <alignment horizontal="left" vertical="center"/>
    </xf>
    <xf numFmtId="2" fontId="12" fillId="0" borderId="1" xfId="0" applyNumberFormat="1" applyFont="1" applyBorder="1" applyAlignment="1" applyProtection="1">
      <alignment horizontal="center" vertical="center"/>
      <protection locked="0"/>
    </xf>
    <xf numFmtId="2" fontId="12" fillId="31" borderId="1" xfId="0" applyNumberFormat="1" applyFont="1" applyFill="1" applyBorder="1" applyAlignment="1">
      <alignment horizontal="center" vertical="center"/>
    </xf>
    <xf numFmtId="2" fontId="12" fillId="34" borderId="1" xfId="0" applyNumberFormat="1" applyFont="1" applyFill="1" applyBorder="1" applyAlignment="1">
      <alignment horizontal="center" vertical="center"/>
    </xf>
    <xf numFmtId="0" fontId="34" fillId="32" borderId="1" xfId="0" applyFont="1" applyFill="1" applyBorder="1" applyAlignment="1">
      <alignment horizontal="right" vertical="center"/>
    </xf>
    <xf numFmtId="187" fontId="34" fillId="34" borderId="1" xfId="0" applyNumberFormat="1" applyFont="1" applyFill="1" applyBorder="1" applyAlignment="1">
      <alignment horizontal="center" vertical="center"/>
    </xf>
    <xf numFmtId="0" fontId="34" fillId="32" borderId="1" xfId="0" applyFont="1" applyFill="1" applyBorder="1" applyAlignment="1">
      <alignment horizontal="center" vertical="center"/>
    </xf>
    <xf numFmtId="4" fontId="34" fillId="32" borderId="1" xfId="0" applyNumberFormat="1" applyFont="1" applyFill="1" applyBorder="1" applyAlignment="1">
      <alignment horizontal="right" vertical="center"/>
    </xf>
    <xf numFmtId="2" fontId="34" fillId="34" borderId="1" xfId="0" applyNumberFormat="1" applyFont="1" applyFill="1" applyBorder="1" applyAlignment="1">
      <alignment horizontal="right" vertical="center"/>
    </xf>
    <xf numFmtId="2" fontId="34" fillId="32" borderId="1" xfId="0" applyNumberFormat="1" applyFont="1" applyFill="1" applyBorder="1" applyAlignment="1">
      <alignment horizontal="center" vertical="center"/>
    </xf>
    <xf numFmtId="0" fontId="15" fillId="34" borderId="1" xfId="0" applyFont="1" applyFill="1" applyBorder="1" applyAlignment="1">
      <alignment horizontal="center" vertical="center"/>
    </xf>
    <xf numFmtId="2" fontId="34" fillId="32" borderId="1" xfId="0" applyNumberFormat="1" applyFont="1" applyFill="1" applyBorder="1" applyAlignment="1">
      <alignment horizontal="right" vertical="center"/>
    </xf>
    <xf numFmtId="4" fontId="15" fillId="17" borderId="1" xfId="0" applyNumberFormat="1" applyFont="1" applyFill="1" applyBorder="1" applyAlignment="1">
      <alignment horizontal="left" vertical="center"/>
    </xf>
    <xf numFmtId="4" fontId="15" fillId="14" borderId="7" xfId="0" applyNumberFormat="1" applyFont="1" applyFill="1" applyBorder="1" applyAlignment="1">
      <alignment horizontal="left" vertical="center"/>
    </xf>
    <xf numFmtId="0" fontId="15" fillId="32" borderId="7" xfId="0" applyFont="1" applyFill="1" applyBorder="1" applyAlignment="1">
      <alignment horizontal="right" vertical="center"/>
    </xf>
    <xf numFmtId="179" fontId="15" fillId="14" borderId="1" xfId="0" applyNumberFormat="1" applyFont="1" applyFill="1" applyBorder="1" applyAlignment="1">
      <alignment horizontal="center" vertical="center"/>
    </xf>
    <xf numFmtId="179" fontId="15" fillId="34" borderId="1" xfId="0" applyNumberFormat="1" applyFont="1" applyFill="1" applyBorder="1" applyAlignment="1">
      <alignment horizontal="center" vertical="center"/>
    </xf>
    <xf numFmtId="4" fontId="15" fillId="14" borderId="1" xfId="0" applyNumberFormat="1" applyFont="1" applyFill="1" applyBorder="1" applyAlignment="1">
      <alignment vertical="center"/>
    </xf>
    <xf numFmtId="4" fontId="15" fillId="14" borderId="7" xfId="0" applyNumberFormat="1" applyFont="1" applyFill="1" applyBorder="1" applyAlignment="1">
      <alignment vertical="center"/>
    </xf>
    <xf numFmtId="0" fontId="15" fillId="14" borderId="1" xfId="0" applyFont="1" applyFill="1" applyBorder="1" applyAlignment="1">
      <alignment horizontal="center" vertical="center"/>
    </xf>
    <xf numFmtId="0" fontId="15" fillId="14" borderId="1" xfId="0" applyFont="1" applyFill="1" applyBorder="1" applyAlignment="1">
      <alignment horizontal="right" vertical="center"/>
    </xf>
    <xf numFmtId="2" fontId="15" fillId="0" borderId="1" xfId="0" applyNumberFormat="1" applyFont="1" applyBorder="1" applyAlignment="1" applyProtection="1">
      <alignment horizontal="center" vertical="center"/>
      <protection locked="0"/>
    </xf>
    <xf numFmtId="2" fontId="15" fillId="14" borderId="1" xfId="2" applyNumberFormat="1" applyFont="1" applyFill="1" applyBorder="1" applyAlignment="1">
      <alignment horizontal="center" vertical="center"/>
    </xf>
    <xf numFmtId="184" fontId="15" fillId="34" borderId="1" xfId="2" applyNumberFormat="1" applyFont="1" applyFill="1" applyBorder="1" applyAlignment="1">
      <alignment horizontal="center" vertical="center"/>
    </xf>
    <xf numFmtId="184" fontId="15" fillId="14" borderId="1" xfId="2" applyNumberFormat="1" applyFont="1" applyFill="1" applyBorder="1" applyAlignment="1">
      <alignment horizontal="center" vertical="center"/>
    </xf>
    <xf numFmtId="179" fontId="15" fillId="14" borderId="1" xfId="2" applyNumberFormat="1" applyFont="1" applyFill="1" applyBorder="1" applyAlignment="1">
      <alignment horizontal="center" vertical="center"/>
    </xf>
    <xf numFmtId="2" fontId="15" fillId="34" borderId="1" xfId="5" applyNumberFormat="1" applyFont="1" applyFill="1" applyBorder="1" applyAlignment="1">
      <alignment horizontal="center" vertical="center"/>
    </xf>
    <xf numFmtId="2" fontId="15" fillId="23" borderId="1" xfId="0" applyNumberFormat="1" applyFont="1" applyFill="1" applyBorder="1" applyAlignment="1" applyProtection="1">
      <alignment horizontal="center" vertical="center"/>
      <protection locked="0"/>
    </xf>
    <xf numFmtId="2" fontId="15" fillId="14" borderId="1" xfId="0" applyNumberFormat="1" applyFont="1" applyFill="1" applyBorder="1" applyAlignment="1">
      <alignment horizontal="right" vertical="center"/>
    </xf>
    <xf numFmtId="179" fontId="15" fillId="32" borderId="1" xfId="0" applyNumberFormat="1" applyFont="1" applyFill="1" applyBorder="1" applyAlignment="1">
      <alignment horizontal="right" vertical="center"/>
    </xf>
    <xf numFmtId="2" fontId="15" fillId="32" borderId="1" xfId="0" applyNumberFormat="1" applyFont="1" applyFill="1" applyBorder="1" applyAlignment="1">
      <alignment horizontal="right" vertical="center"/>
    </xf>
    <xf numFmtId="2" fontId="15" fillId="34" borderId="1" xfId="0" applyNumberFormat="1" applyFont="1" applyFill="1" applyBorder="1" applyAlignment="1">
      <alignment horizontal="right" vertical="center"/>
    </xf>
    <xf numFmtId="179" fontId="15" fillId="14" borderId="1" xfId="0" applyNumberFormat="1" applyFont="1" applyFill="1" applyBorder="1" applyAlignment="1">
      <alignment horizontal="right" vertical="center"/>
    </xf>
    <xf numFmtId="2" fontId="15" fillId="23" borderId="1" xfId="0" applyNumberFormat="1" applyFont="1" applyFill="1" applyBorder="1" applyAlignment="1" applyProtection="1">
      <alignment horizontal="right" vertical="center"/>
      <protection locked="0"/>
    </xf>
    <xf numFmtId="179" fontId="15" fillId="23" borderId="1" xfId="0" applyNumberFormat="1" applyFont="1" applyFill="1" applyBorder="1" applyAlignment="1" applyProtection="1">
      <alignment horizontal="right" vertical="center"/>
      <protection locked="0"/>
    </xf>
    <xf numFmtId="4" fontId="15" fillId="32" borderId="6" xfId="0" applyNumberFormat="1" applyFont="1" applyFill="1" applyBorder="1" applyAlignment="1">
      <alignment horizontal="right" vertical="center"/>
    </xf>
    <xf numFmtId="0" fontId="28" fillId="0" borderId="1" xfId="0" applyFont="1" applyBorder="1" applyProtection="1">
      <protection locked="0"/>
    </xf>
    <xf numFmtId="4" fontId="15" fillId="34" borderId="1" xfId="0" applyNumberFormat="1" applyFont="1" applyFill="1" applyBorder="1" applyAlignment="1">
      <alignment horizontal="right" vertical="center"/>
    </xf>
    <xf numFmtId="4" fontId="15" fillId="14" borderId="3" xfId="0" applyNumberFormat="1" applyFont="1" applyFill="1" applyBorder="1" applyAlignment="1">
      <alignment vertical="center"/>
    </xf>
    <xf numFmtId="0" fontId="15" fillId="32" borderId="3" xfId="0" applyFont="1" applyFill="1" applyBorder="1" applyAlignment="1">
      <alignment horizontal="right" vertical="center"/>
    </xf>
    <xf numFmtId="0" fontId="15" fillId="32" borderId="3" xfId="0" applyFont="1" applyFill="1" applyBorder="1" applyAlignment="1">
      <alignment horizontal="center" vertical="center"/>
    </xf>
    <xf numFmtId="9" fontId="15" fillId="14" borderId="1" xfId="2" applyFont="1" applyFill="1" applyBorder="1" applyAlignment="1">
      <alignment horizontal="center" vertical="center"/>
    </xf>
    <xf numFmtId="9" fontId="15" fillId="32" borderId="1" xfId="2" applyFont="1" applyFill="1" applyBorder="1" applyAlignment="1">
      <alignment horizontal="center" vertical="center"/>
    </xf>
    <xf numFmtId="4" fontId="15" fillId="14" borderId="1" xfId="0" applyNumberFormat="1" applyFont="1" applyFill="1" applyBorder="1" applyAlignment="1">
      <alignment horizontal="left" vertical="center" indent="2"/>
    </xf>
    <xf numFmtId="4" fontId="15" fillId="32" borderId="1" xfId="0" applyNumberFormat="1" applyFont="1" applyFill="1" applyBorder="1" applyAlignment="1">
      <alignment horizontal="center" vertical="center"/>
    </xf>
    <xf numFmtId="4" fontId="15" fillId="34" borderId="1" xfId="0" applyNumberFormat="1" applyFont="1" applyFill="1" applyBorder="1" applyAlignment="1">
      <alignment horizontal="center" vertical="center"/>
    </xf>
    <xf numFmtId="0" fontId="15" fillId="32" borderId="7" xfId="0" applyFont="1" applyFill="1" applyBorder="1" applyAlignment="1">
      <alignment horizontal="center" vertical="center"/>
    </xf>
    <xf numFmtId="3" fontId="15" fillId="14" borderId="1" xfId="0" applyNumberFormat="1" applyFont="1" applyFill="1" applyBorder="1" applyAlignment="1">
      <alignment horizontal="center" vertical="center"/>
    </xf>
    <xf numFmtId="2" fontId="15" fillId="0" borderId="1" xfId="2" applyNumberFormat="1" applyFont="1" applyBorder="1" applyAlignment="1" applyProtection="1">
      <alignment horizontal="center" vertical="center"/>
      <protection locked="0"/>
    </xf>
    <xf numFmtId="179" fontId="15" fillId="0" borderId="1" xfId="0" applyNumberFormat="1" applyFont="1" applyBorder="1" applyAlignment="1" applyProtection="1">
      <alignment horizontal="right" vertical="center"/>
      <protection locked="0"/>
    </xf>
    <xf numFmtId="4" fontId="15" fillId="23" borderId="1" xfId="0" applyNumberFormat="1" applyFont="1" applyFill="1" applyBorder="1" applyAlignment="1" applyProtection="1">
      <alignment horizontal="center" vertical="center"/>
      <protection locked="0"/>
    </xf>
    <xf numFmtId="184" fontId="15" fillId="32" borderId="1" xfId="2" applyNumberFormat="1" applyFont="1" applyFill="1" applyBorder="1" applyAlignment="1">
      <alignment horizontal="center" vertical="center"/>
    </xf>
    <xf numFmtId="0" fontId="15" fillId="14" borderId="7" xfId="0" applyFont="1" applyFill="1" applyBorder="1" applyAlignment="1">
      <alignment horizontal="right" vertical="center"/>
    </xf>
    <xf numFmtId="3" fontId="15" fillId="34" borderId="1" xfId="0" applyNumberFormat="1" applyFont="1" applyFill="1" applyBorder="1" applyAlignment="1">
      <alignment horizontal="right" vertical="center"/>
    </xf>
    <xf numFmtId="3" fontId="15" fillId="32" borderId="1" xfId="0" applyNumberFormat="1" applyFont="1" applyFill="1" applyBorder="1" applyAlignment="1">
      <alignment horizontal="center" vertical="center"/>
    </xf>
    <xf numFmtId="3" fontId="15" fillId="14" borderId="1" xfId="0" applyNumberFormat="1" applyFont="1" applyFill="1" applyBorder="1" applyAlignment="1">
      <alignment horizontal="right" vertical="center"/>
    </xf>
    <xf numFmtId="4" fontId="15" fillId="23" borderId="1" xfId="0" applyNumberFormat="1" applyFont="1" applyFill="1" applyBorder="1" applyAlignment="1" applyProtection="1">
      <alignment horizontal="right" vertical="center"/>
      <protection locked="0"/>
    </xf>
    <xf numFmtId="180" fontId="15" fillId="32" borderId="1" xfId="0" applyNumberFormat="1" applyFont="1" applyFill="1" applyBorder="1" applyAlignment="1">
      <alignment horizontal="right" vertical="center"/>
    </xf>
    <xf numFmtId="179" fontId="15" fillId="34" borderId="1" xfId="0" applyNumberFormat="1" applyFont="1" applyFill="1" applyBorder="1" applyAlignment="1">
      <alignment horizontal="right" vertical="center"/>
    </xf>
    <xf numFmtId="184" fontId="15" fillId="34" borderId="1" xfId="0" applyNumberFormat="1" applyFont="1" applyFill="1" applyBorder="1" applyAlignment="1">
      <alignment horizontal="right" vertical="center"/>
    </xf>
    <xf numFmtId="2" fontId="15" fillId="34" borderId="1" xfId="0" applyNumberFormat="1" applyFont="1" applyFill="1" applyBorder="1" applyAlignment="1">
      <alignment horizontal="center" vertical="center"/>
    </xf>
    <xf numFmtId="179" fontId="15" fillId="0" borderId="1" xfId="0" applyNumberFormat="1" applyFont="1" applyBorder="1" applyAlignment="1" applyProtection="1">
      <alignment horizontal="center" vertical="center"/>
      <protection locked="0"/>
    </xf>
    <xf numFmtId="4" fontId="32" fillId="33" borderId="1" xfId="0" applyNumberFormat="1" applyFont="1" applyFill="1" applyBorder="1" applyAlignment="1" applyProtection="1">
      <alignment horizontal="left" vertical="center"/>
      <protection locked="0"/>
    </xf>
    <xf numFmtId="4" fontId="32" fillId="33" borderId="1" xfId="0" applyNumberFormat="1" applyFont="1" applyFill="1" applyBorder="1" applyAlignment="1" applyProtection="1">
      <alignment vertical="center"/>
      <protection locked="0"/>
    </xf>
    <xf numFmtId="2" fontId="15" fillId="34" borderId="1" xfId="2" applyNumberFormat="1" applyFont="1" applyFill="1" applyBorder="1" applyAlignment="1">
      <alignment horizontal="center" vertical="center"/>
    </xf>
    <xf numFmtId="176" fontId="15" fillId="34" borderId="7" xfId="0" applyNumberFormat="1" applyFont="1" applyFill="1" applyBorder="1" applyAlignment="1">
      <alignment horizontal="right" vertical="center"/>
    </xf>
    <xf numFmtId="179" fontId="15" fillId="34" borderId="7" xfId="0" applyNumberFormat="1" applyFont="1" applyFill="1" applyBorder="1" applyAlignment="1">
      <alignment horizontal="center" vertical="center"/>
    </xf>
    <xf numFmtId="2" fontId="15" fillId="14" borderId="7" xfId="0" applyNumberFormat="1" applyFont="1" applyFill="1" applyBorder="1" applyAlignment="1">
      <alignment horizontal="center" vertical="center"/>
    </xf>
    <xf numFmtId="177" fontId="15" fillId="34" borderId="7" xfId="0" applyNumberFormat="1" applyFont="1" applyFill="1" applyBorder="1" applyAlignment="1">
      <alignment horizontal="right" vertical="center"/>
    </xf>
    <xf numFmtId="177" fontId="15" fillId="14" borderId="7" xfId="0" applyNumberFormat="1" applyFont="1" applyFill="1" applyBorder="1" applyAlignment="1">
      <alignment horizontal="right" vertical="center"/>
    </xf>
    <xf numFmtId="177" fontId="15" fillId="32" borderId="1" xfId="0" applyNumberFormat="1" applyFont="1" applyFill="1" applyBorder="1" applyAlignment="1">
      <alignment horizontal="right" vertical="center"/>
    </xf>
    <xf numFmtId="176" fontId="15" fillId="23" borderId="1" xfId="0" applyNumberFormat="1" applyFont="1" applyFill="1" applyBorder="1" applyAlignment="1" applyProtection="1">
      <alignment horizontal="right" vertical="center"/>
      <protection locked="0"/>
    </xf>
    <xf numFmtId="188" fontId="15" fillId="23" borderId="1" xfId="0" applyNumberFormat="1" applyFont="1" applyFill="1" applyBorder="1" applyAlignment="1" applyProtection="1">
      <alignment horizontal="right" vertical="center"/>
      <protection locked="0"/>
    </xf>
    <xf numFmtId="4" fontId="15" fillId="0" borderId="1" xfId="0" applyNumberFormat="1" applyFont="1" applyBorder="1" applyAlignment="1" applyProtection="1">
      <alignment horizontal="center" vertical="center"/>
      <protection locked="0"/>
    </xf>
    <xf numFmtId="2" fontId="15" fillId="34" borderId="7" xfId="0" applyNumberFormat="1" applyFont="1" applyFill="1" applyBorder="1" applyAlignment="1">
      <alignment horizontal="center" vertical="center"/>
    </xf>
    <xf numFmtId="177" fontId="15" fillId="14" borderId="1" xfId="0" applyNumberFormat="1" applyFont="1" applyFill="1" applyBorder="1" applyAlignment="1">
      <alignment horizontal="right" vertical="center"/>
    </xf>
    <xf numFmtId="0" fontId="15" fillId="32" borderId="7" xfId="0" applyFont="1" applyFill="1" applyBorder="1" applyAlignment="1">
      <alignment horizontal="right" vertical="center" wrapText="1"/>
    </xf>
    <xf numFmtId="3" fontId="15" fillId="32" borderId="1" xfId="0" applyNumberFormat="1" applyFont="1" applyFill="1" applyBorder="1" applyAlignment="1">
      <alignment horizontal="right" vertical="center"/>
    </xf>
    <xf numFmtId="3" fontId="15" fillId="14" borderId="1" xfId="2" applyNumberFormat="1" applyFont="1" applyFill="1" applyBorder="1" applyAlignment="1">
      <alignment horizontal="center" vertical="center"/>
    </xf>
    <xf numFmtId="3" fontId="15" fillId="34" borderId="1" xfId="0" applyNumberFormat="1" applyFont="1" applyFill="1" applyBorder="1" applyAlignment="1">
      <alignment horizontal="center" vertical="center"/>
    </xf>
    <xf numFmtId="3" fontId="15" fillId="23" borderId="1" xfId="0" applyNumberFormat="1" applyFont="1" applyFill="1" applyBorder="1" applyAlignment="1" applyProtection="1">
      <alignment horizontal="center" vertical="center"/>
      <protection locked="0"/>
    </xf>
    <xf numFmtId="179" fontId="15" fillId="23" borderId="1" xfId="0" applyNumberFormat="1" applyFont="1" applyFill="1" applyBorder="1" applyAlignment="1" applyProtection="1">
      <alignment horizontal="center" vertical="center"/>
      <protection locked="0"/>
    </xf>
    <xf numFmtId="189" fontId="15" fillId="34" borderId="1" xfId="2" applyNumberFormat="1" applyFont="1" applyFill="1" applyBorder="1" applyAlignment="1">
      <alignment horizontal="center" vertical="center"/>
    </xf>
    <xf numFmtId="189" fontId="15" fillId="14" borderId="1" xfId="2" applyNumberFormat="1" applyFont="1" applyFill="1" applyBorder="1" applyAlignment="1">
      <alignment horizontal="center" vertical="center"/>
    </xf>
    <xf numFmtId="4" fontId="15" fillId="14" borderId="2" xfId="0" applyNumberFormat="1" applyFont="1" applyFill="1" applyBorder="1" applyAlignment="1">
      <alignment vertical="center"/>
    </xf>
    <xf numFmtId="4" fontId="15" fillId="14" borderId="41" xfId="0" applyNumberFormat="1" applyFont="1" applyFill="1" applyBorder="1" applyAlignment="1">
      <alignment vertical="center"/>
    </xf>
    <xf numFmtId="0" fontId="15" fillId="32" borderId="41" xfId="0" applyFont="1" applyFill="1" applyBorder="1" applyAlignment="1">
      <alignment horizontal="right" vertical="center"/>
    </xf>
    <xf numFmtId="4" fontId="15" fillId="32" borderId="2" xfId="0" applyNumberFormat="1" applyFont="1" applyFill="1" applyBorder="1" applyAlignment="1">
      <alignment horizontal="right" vertical="center"/>
    </xf>
    <xf numFmtId="0" fontId="15" fillId="32" borderId="2" xfId="0" applyFont="1" applyFill="1" applyBorder="1" applyAlignment="1">
      <alignment horizontal="center" vertical="center"/>
    </xf>
    <xf numFmtId="189" fontId="15" fillId="14" borderId="2" xfId="2" applyNumberFormat="1" applyFont="1" applyFill="1" applyBorder="1" applyAlignment="1">
      <alignment horizontal="center" vertical="center"/>
    </xf>
    <xf numFmtId="189" fontId="12" fillId="0" borderId="1" xfId="0" applyNumberFormat="1" applyFont="1" applyBorder="1" applyAlignment="1" applyProtection="1">
      <alignment horizontal="center" vertical="center"/>
      <protection locked="0"/>
    </xf>
    <xf numFmtId="4" fontId="15" fillId="14" borderId="40" xfId="0" applyNumberFormat="1" applyFont="1" applyFill="1" applyBorder="1" applyAlignment="1">
      <alignment vertical="center"/>
    </xf>
    <xf numFmtId="0" fontId="15" fillId="32" borderId="40" xfId="0" applyFont="1" applyFill="1" applyBorder="1" applyAlignment="1">
      <alignment horizontal="right" vertical="center"/>
    </xf>
    <xf numFmtId="4" fontId="15" fillId="32" borderId="3" xfId="0" applyNumberFormat="1" applyFont="1" applyFill="1" applyBorder="1" applyAlignment="1">
      <alignment horizontal="right" vertical="center"/>
    </xf>
    <xf numFmtId="0" fontId="15" fillId="14" borderId="40" xfId="0" applyFont="1" applyFill="1" applyBorder="1" applyAlignment="1">
      <alignment horizontal="right" vertical="center"/>
    </xf>
    <xf numFmtId="9" fontId="15" fillId="14" borderId="3" xfId="2" applyFont="1" applyFill="1" applyBorder="1" applyAlignment="1">
      <alignment horizontal="center" vertical="center"/>
    </xf>
    <xf numFmtId="0" fontId="15" fillId="14" borderId="3" xfId="0" applyFont="1" applyFill="1" applyBorder="1" applyAlignment="1">
      <alignment horizontal="center" vertical="center"/>
    </xf>
    <xf numFmtId="2" fontId="15" fillId="23" borderId="2" xfId="0" applyNumberFormat="1" applyFont="1" applyFill="1" applyBorder="1" applyAlignment="1" applyProtection="1">
      <alignment horizontal="right" vertical="center"/>
      <protection locked="0"/>
    </xf>
    <xf numFmtId="2" fontId="15" fillId="32" borderId="2" xfId="0" applyNumberFormat="1" applyFont="1" applyFill="1" applyBorder="1" applyAlignment="1">
      <alignment horizontal="center" vertical="center"/>
    </xf>
    <xf numFmtId="4" fontId="12" fillId="32" borderId="2" xfId="0" applyNumberFormat="1" applyFont="1" applyFill="1" applyBorder="1" applyAlignment="1">
      <alignment horizontal="right" vertical="center"/>
    </xf>
    <xf numFmtId="4" fontId="15" fillId="14" borderId="2" xfId="0" applyNumberFormat="1" applyFont="1" applyFill="1" applyBorder="1" applyAlignment="1">
      <alignment horizontal="right" vertical="center"/>
    </xf>
    <xf numFmtId="179" fontId="15" fillId="14" borderId="3" xfId="0" applyNumberFormat="1" applyFont="1" applyFill="1" applyBorder="1" applyAlignment="1">
      <alignment horizontal="right" vertical="center"/>
    </xf>
    <xf numFmtId="2" fontId="15" fillId="14" borderId="3" xfId="0" applyNumberFormat="1" applyFont="1" applyFill="1" applyBorder="1" applyAlignment="1">
      <alignment horizontal="right" vertical="center"/>
    </xf>
    <xf numFmtId="2" fontId="15" fillId="14" borderId="3" xfId="0" applyNumberFormat="1" applyFont="1" applyFill="1" applyBorder="1" applyAlignment="1">
      <alignment horizontal="center" vertical="center"/>
    </xf>
    <xf numFmtId="4" fontId="12" fillId="32" borderId="3" xfId="0" applyNumberFormat="1" applyFont="1" applyFill="1" applyBorder="1" applyAlignment="1">
      <alignment horizontal="right" vertical="center"/>
    </xf>
    <xf numFmtId="4" fontId="15" fillId="14" borderId="3" xfId="0" applyNumberFormat="1" applyFont="1" applyFill="1" applyBorder="1" applyAlignment="1">
      <alignment horizontal="right" vertical="center"/>
    </xf>
    <xf numFmtId="4" fontId="15" fillId="32" borderId="38" xfId="0" applyNumberFormat="1" applyFont="1" applyFill="1" applyBorder="1" applyAlignment="1">
      <alignment horizontal="right" vertical="center"/>
    </xf>
    <xf numFmtId="4" fontId="15" fillId="32" borderId="2" xfId="0" applyNumberFormat="1" applyFont="1" applyFill="1" applyBorder="1" applyAlignment="1">
      <alignment horizontal="center" vertical="center"/>
    </xf>
    <xf numFmtId="0" fontId="32" fillId="33" borderId="2" xfId="0" applyFont="1" applyFill="1" applyBorder="1" applyProtection="1">
      <protection locked="0"/>
    </xf>
    <xf numFmtId="0" fontId="32" fillId="33" borderId="0" xfId="0" applyFont="1" applyFill="1" applyProtection="1">
      <protection locked="0"/>
    </xf>
    <xf numFmtId="0" fontId="32" fillId="33" borderId="3" xfId="0" applyFont="1" applyFill="1" applyBorder="1" applyProtection="1">
      <protection locked="0"/>
    </xf>
    <xf numFmtId="4" fontId="15" fillId="32" borderId="44" xfId="0" applyNumberFormat="1" applyFont="1" applyFill="1" applyBorder="1" applyAlignment="1">
      <alignment horizontal="right" vertical="center"/>
    </xf>
    <xf numFmtId="4" fontId="15" fillId="32" borderId="3" xfId="0" applyNumberFormat="1" applyFont="1" applyFill="1" applyBorder="1" applyAlignment="1">
      <alignment horizontal="center" vertical="center"/>
    </xf>
    <xf numFmtId="184" fontId="15" fillId="0" borderId="1" xfId="0" applyNumberFormat="1" applyFont="1" applyBorder="1" applyAlignment="1" applyProtection="1">
      <alignment horizontal="right" vertical="center"/>
      <protection locked="0"/>
    </xf>
    <xf numFmtId="0" fontId="15" fillId="0" borderId="1" xfId="0" applyFont="1" applyBorder="1" applyAlignment="1" applyProtection="1">
      <alignment horizontal="right" vertical="center"/>
      <protection locked="0"/>
    </xf>
    <xf numFmtId="0" fontId="15" fillId="23" borderId="1" xfId="1" applyFont="1" applyFill="1" applyBorder="1" applyAlignment="1" applyProtection="1">
      <alignment horizontal="center" vertical="center"/>
      <protection locked="0"/>
    </xf>
    <xf numFmtId="176" fontId="15" fillId="14" borderId="7" xfId="0" applyNumberFormat="1" applyFont="1" applyFill="1" applyBorder="1" applyAlignment="1">
      <alignment horizontal="right" vertical="center"/>
    </xf>
    <xf numFmtId="2" fontId="15" fillId="0" borderId="1" xfId="5" applyNumberFormat="1" applyFont="1" applyBorder="1" applyAlignment="1" applyProtection="1">
      <alignment horizontal="center" vertical="center"/>
      <protection locked="0"/>
    </xf>
    <xf numFmtId="0" fontId="15" fillId="23" borderId="1" xfId="0" applyFont="1" applyFill="1" applyBorder="1" applyAlignment="1" applyProtection="1">
      <alignment horizontal="center" vertical="center"/>
      <protection locked="0"/>
    </xf>
    <xf numFmtId="184" fontId="12" fillId="0" borderId="1" xfId="0" applyNumberFormat="1" applyFont="1" applyBorder="1" applyAlignment="1" applyProtection="1">
      <alignment horizontal="right" vertical="center"/>
      <protection locked="0"/>
    </xf>
    <xf numFmtId="0" fontId="15" fillId="0" borderId="1" xfId="0" applyFont="1" applyBorder="1" applyAlignment="1" applyProtection="1">
      <alignment horizontal="center" vertical="center"/>
      <protection locked="0"/>
    </xf>
    <xf numFmtId="176" fontId="12" fillId="34" borderId="1" xfId="0" applyNumberFormat="1" applyFont="1" applyFill="1" applyBorder="1" applyAlignment="1">
      <alignment horizontal="right" vertical="center"/>
    </xf>
    <xf numFmtId="40" fontId="15" fillId="14" borderId="1" xfId="0" applyNumberFormat="1" applyFont="1" applyFill="1" applyBorder="1" applyAlignment="1">
      <alignment horizontal="right" vertical="center"/>
    </xf>
    <xf numFmtId="179" fontId="15" fillId="14" borderId="0" xfId="0" applyNumberFormat="1" applyFont="1" applyFill="1" applyAlignment="1">
      <alignment horizontal="right" vertical="center"/>
    </xf>
    <xf numFmtId="0" fontId="12" fillId="0" borderId="1" xfId="0" applyFont="1" applyBorder="1" applyAlignment="1" applyProtection="1">
      <alignment horizontal="right" vertical="center"/>
      <protection locked="0"/>
    </xf>
    <xf numFmtId="4" fontId="15" fillId="32" borderId="44" xfId="0" applyNumberFormat="1" applyFont="1" applyFill="1" applyBorder="1" applyAlignment="1">
      <alignment horizontal="center" vertical="center"/>
    </xf>
    <xf numFmtId="4" fontId="15" fillId="32" borderId="6" xfId="0" applyNumberFormat="1" applyFont="1" applyFill="1" applyBorder="1" applyAlignment="1">
      <alignment horizontal="center" vertical="center"/>
    </xf>
    <xf numFmtId="0" fontId="28" fillId="0" borderId="0" xfId="0" applyFont="1" applyAlignment="1" applyProtection="1">
      <alignment vertical="center"/>
      <protection locked="0"/>
    </xf>
    <xf numFmtId="0" fontId="28" fillId="23" borderId="0" xfId="0" applyFont="1" applyFill="1" applyAlignment="1" applyProtection="1">
      <alignment vertical="center"/>
      <protection locked="0"/>
    </xf>
    <xf numFmtId="0" fontId="28" fillId="33" borderId="0" xfId="0" applyFont="1" applyFill="1" applyAlignment="1" applyProtection="1">
      <alignment vertical="center"/>
      <protection locked="0"/>
    </xf>
    <xf numFmtId="0" fontId="44" fillId="0" borderId="1" xfId="0" applyFont="1" applyBorder="1" applyAlignment="1" applyProtection="1">
      <alignment horizontal="center" vertical="center"/>
      <protection locked="0"/>
    </xf>
    <xf numFmtId="0" fontId="45" fillId="33" borderId="1" xfId="0" applyFont="1" applyFill="1" applyBorder="1" applyAlignment="1" applyProtection="1">
      <alignment horizontal="center" vertical="center" wrapText="1"/>
      <protection locked="0"/>
    </xf>
    <xf numFmtId="179" fontId="48" fillId="32" borderId="1" xfId="1" applyNumberFormat="1" applyFont="1" applyFill="1" applyBorder="1" applyAlignment="1">
      <alignment vertical="center" wrapText="1"/>
    </xf>
    <xf numFmtId="179" fontId="48" fillId="32" borderId="2" xfId="1" applyNumberFormat="1" applyFont="1" applyFill="1" applyBorder="1" applyAlignment="1">
      <alignment vertical="center" wrapText="1"/>
    </xf>
    <xf numFmtId="176" fontId="46" fillId="32" borderId="46" xfId="1" applyNumberFormat="1" applyFont="1" applyFill="1" applyBorder="1" applyAlignment="1">
      <alignment vertical="center" wrapText="1"/>
    </xf>
    <xf numFmtId="176" fontId="46" fillId="32" borderId="1" xfId="1" applyNumberFormat="1" applyFont="1" applyFill="1" applyBorder="1" applyAlignment="1">
      <alignment vertical="center" wrapText="1"/>
    </xf>
    <xf numFmtId="0" fontId="38" fillId="32" borderId="1" xfId="0" applyFont="1" applyFill="1" applyBorder="1" applyAlignment="1">
      <alignment horizontal="center" vertical="center" wrapText="1"/>
    </xf>
    <xf numFmtId="0" fontId="40" fillId="32" borderId="1" xfId="8" applyFont="1" applyFill="1" applyBorder="1" applyAlignment="1">
      <alignment horizontal="center" vertical="center" wrapText="1"/>
    </xf>
    <xf numFmtId="176" fontId="28" fillId="32" borderId="1" xfId="1" applyNumberFormat="1" applyFont="1" applyFill="1" applyBorder="1" applyAlignment="1">
      <alignment vertical="center"/>
    </xf>
    <xf numFmtId="176" fontId="44" fillId="32" borderId="1" xfId="1" applyNumberFormat="1" applyFont="1" applyFill="1" applyBorder="1" applyAlignment="1">
      <alignment vertical="center"/>
    </xf>
    <xf numFmtId="176" fontId="46" fillId="32" borderId="48" xfId="1" applyNumberFormat="1" applyFont="1" applyFill="1" applyBorder="1" applyAlignment="1">
      <alignment vertical="center" wrapText="1"/>
    </xf>
    <xf numFmtId="176" fontId="46" fillId="32" borderId="49" xfId="1" applyNumberFormat="1" applyFont="1" applyFill="1" applyBorder="1" applyAlignment="1">
      <alignment vertical="center" wrapText="1"/>
    </xf>
    <xf numFmtId="0" fontId="53" fillId="32" borderId="51" xfId="0" applyFont="1" applyFill="1" applyBorder="1" applyAlignment="1">
      <alignment horizontal="center" vertical="center" wrapText="1"/>
    </xf>
    <xf numFmtId="0" fontId="53" fillId="32" borderId="1" xfId="0" applyFont="1" applyFill="1" applyBorder="1" applyAlignment="1">
      <alignment horizontal="center" vertical="center" wrapText="1"/>
    </xf>
    <xf numFmtId="0" fontId="38" fillId="32" borderId="47" xfId="0" applyFont="1" applyFill="1" applyBorder="1" applyAlignment="1">
      <alignment horizontal="center" vertical="center" wrapText="1"/>
    </xf>
    <xf numFmtId="176" fontId="28" fillId="2" borderId="49" xfId="0" applyNumberFormat="1" applyFont="1" applyFill="1" applyBorder="1" applyAlignment="1" applyProtection="1">
      <alignment vertical="center"/>
      <protection locked="0"/>
    </xf>
    <xf numFmtId="176" fontId="45" fillId="32" borderId="47" xfId="1" applyNumberFormat="1" applyFont="1" applyFill="1" applyBorder="1" applyAlignment="1">
      <alignment vertical="center" wrapText="1"/>
    </xf>
    <xf numFmtId="176" fontId="45" fillId="32" borderId="1" xfId="1" applyNumberFormat="1" applyFont="1" applyFill="1" applyBorder="1" applyAlignment="1">
      <alignment vertical="center" wrapText="1"/>
    </xf>
    <xf numFmtId="176" fontId="28" fillId="2" borderId="53" xfId="0" applyNumberFormat="1" applyFont="1" applyFill="1" applyBorder="1" applyAlignment="1" applyProtection="1">
      <alignment vertical="center"/>
      <protection locked="0"/>
    </xf>
    <xf numFmtId="176" fontId="28" fillId="2" borderId="48" xfId="0" applyNumberFormat="1" applyFont="1" applyFill="1" applyBorder="1" applyAlignment="1" applyProtection="1">
      <alignment vertical="center"/>
      <protection locked="0"/>
    </xf>
    <xf numFmtId="0" fontId="53" fillId="32" borderId="49" xfId="0" applyFont="1" applyFill="1" applyBorder="1" applyAlignment="1">
      <alignment horizontal="center" vertical="center" wrapText="1"/>
    </xf>
    <xf numFmtId="176" fontId="45" fillId="32" borderId="49" xfId="1" applyNumberFormat="1" applyFont="1" applyFill="1" applyBorder="1" applyAlignment="1">
      <alignment vertical="center" wrapText="1"/>
    </xf>
    <xf numFmtId="176" fontId="28" fillId="32" borderId="1" xfId="0" applyNumberFormat="1" applyFont="1" applyFill="1" applyBorder="1" applyAlignment="1">
      <alignment vertical="center"/>
    </xf>
    <xf numFmtId="176" fontId="28" fillId="32" borderId="49" xfId="0" applyNumberFormat="1" applyFont="1" applyFill="1" applyBorder="1" applyAlignment="1">
      <alignment vertical="center"/>
    </xf>
    <xf numFmtId="176" fontId="46" fillId="32" borderId="2" xfId="1" applyNumberFormat="1" applyFont="1" applyFill="1" applyBorder="1" applyAlignment="1">
      <alignment vertical="center" wrapText="1"/>
    </xf>
    <xf numFmtId="176" fontId="46" fillId="32" borderId="56" xfId="1" applyNumberFormat="1" applyFont="1" applyFill="1" applyBorder="1" applyAlignment="1">
      <alignment vertical="center" wrapText="1"/>
    </xf>
    <xf numFmtId="176" fontId="46" fillId="32" borderId="57" xfId="1" applyNumberFormat="1" applyFont="1" applyFill="1" applyBorder="1" applyAlignment="1">
      <alignment vertical="center" wrapText="1"/>
    </xf>
    <xf numFmtId="176" fontId="28" fillId="2" borderId="57" xfId="0" applyNumberFormat="1" applyFont="1" applyFill="1" applyBorder="1" applyAlignment="1" applyProtection="1">
      <alignment vertical="center"/>
      <protection locked="0"/>
    </xf>
    <xf numFmtId="0" fontId="15" fillId="23" borderId="0" xfId="0" applyFont="1" applyFill="1" applyAlignment="1" applyProtection="1">
      <alignment vertical="center"/>
      <protection locked="0"/>
    </xf>
    <xf numFmtId="0" fontId="15" fillId="0" borderId="0" xfId="0" applyFont="1" applyAlignment="1" applyProtection="1">
      <alignment vertical="center"/>
      <protection locked="0"/>
    </xf>
    <xf numFmtId="0" fontId="0" fillId="23" borderId="0" xfId="0" applyFill="1"/>
    <xf numFmtId="0" fontId="0" fillId="23" borderId="0" xfId="11" applyFont="1" applyFill="1" applyAlignment="1"/>
    <xf numFmtId="0" fontId="0" fillId="0" borderId="0" xfId="11" applyFont="1" applyAlignment="1"/>
    <xf numFmtId="0" fontId="15" fillId="20" borderId="0" xfId="0" applyFont="1" applyFill="1" applyProtection="1">
      <protection locked="0"/>
    </xf>
    <xf numFmtId="0" fontId="15" fillId="20" borderId="0" xfId="0" applyFont="1" applyFill="1" applyAlignment="1" applyProtection="1">
      <alignment horizontal="right"/>
      <protection locked="0"/>
    </xf>
    <xf numFmtId="0" fontId="15" fillId="23" borderId="0" xfId="0" applyFont="1" applyFill="1" applyProtection="1">
      <protection locked="0"/>
    </xf>
    <xf numFmtId="0" fontId="18" fillId="14" borderId="1" xfId="0" applyFont="1" applyFill="1" applyBorder="1" applyAlignment="1">
      <alignment horizontal="center" vertical="center"/>
    </xf>
    <xf numFmtId="0" fontId="18" fillId="14" borderId="6" xfId="0" applyFont="1" applyFill="1" applyBorder="1" applyAlignment="1">
      <alignment horizontal="center" vertical="center"/>
    </xf>
    <xf numFmtId="0" fontId="18" fillId="17" borderId="1" xfId="0" applyFont="1" applyFill="1" applyBorder="1" applyAlignment="1">
      <alignment horizontal="center" vertical="center"/>
    </xf>
    <xf numFmtId="0" fontId="18" fillId="17" borderId="1" xfId="0" applyFont="1" applyFill="1" applyBorder="1" applyAlignment="1">
      <alignment horizontal="right" vertical="center"/>
    </xf>
    <xf numFmtId="0" fontId="18" fillId="17" borderId="6" xfId="0" applyFont="1" applyFill="1" applyBorder="1" applyAlignment="1">
      <alignment horizontal="center" vertical="center"/>
    </xf>
    <xf numFmtId="0" fontId="55" fillId="32" borderId="1" xfId="0" applyFont="1" applyFill="1" applyBorder="1" applyAlignment="1">
      <alignment horizontal="center" vertical="center"/>
    </xf>
    <xf numFmtId="0" fontId="56" fillId="23" borderId="6" xfId="0" applyFont="1" applyFill="1" applyBorder="1" applyAlignment="1" applyProtection="1">
      <alignment horizontal="left" vertical="center" wrapText="1"/>
      <protection locked="0"/>
    </xf>
    <xf numFmtId="4" fontId="15" fillId="32" borderId="1" xfId="11" applyNumberFormat="1" applyFont="1" applyFill="1" applyBorder="1" applyAlignment="1" applyProtection="1">
      <alignment horizontal="center" vertical="center"/>
      <protection locked="0"/>
    </xf>
    <xf numFmtId="0" fontId="55" fillId="32" borderId="1" xfId="11" applyFont="1" applyFill="1" applyBorder="1" applyAlignment="1">
      <alignment horizontal="center" vertical="center"/>
    </xf>
    <xf numFmtId="0" fontId="56" fillId="23" borderId="6" xfId="11" applyFont="1" applyFill="1" applyBorder="1" applyAlignment="1" applyProtection="1">
      <alignment horizontal="left" vertical="center" wrapText="1"/>
      <protection locked="0"/>
    </xf>
    <xf numFmtId="2" fontId="15" fillId="23" borderId="1" xfId="11" applyNumberFormat="1" applyFont="1" applyFill="1" applyBorder="1" applyAlignment="1" applyProtection="1">
      <alignment horizontal="center" vertical="center"/>
      <protection locked="0"/>
    </xf>
    <xf numFmtId="0" fontId="18" fillId="11" borderId="1" xfId="0" applyFont="1" applyFill="1" applyBorder="1" applyAlignment="1">
      <alignment horizontal="center" vertical="center"/>
    </xf>
    <xf numFmtId="0" fontId="15" fillId="11" borderId="1" xfId="0" applyFont="1" applyFill="1" applyBorder="1" applyAlignment="1">
      <alignment horizontal="center" vertical="center"/>
    </xf>
    <xf numFmtId="179" fontId="18" fillId="11" borderId="1" xfId="0" applyNumberFormat="1" applyFont="1" applyFill="1" applyBorder="1" applyAlignment="1">
      <alignment horizontal="right" vertical="center"/>
    </xf>
    <xf numFmtId="0" fontId="57" fillId="11" borderId="6" xfId="0" applyFont="1" applyFill="1" applyBorder="1" applyAlignment="1">
      <alignment horizontal="center" vertical="center" wrapText="1"/>
    </xf>
    <xf numFmtId="4" fontId="18" fillId="11" borderId="1" xfId="0" applyNumberFormat="1" applyFont="1" applyFill="1" applyBorder="1" applyAlignment="1" applyProtection="1">
      <alignment horizontal="center" vertical="center"/>
      <protection locked="0"/>
    </xf>
    <xf numFmtId="0" fontId="55" fillId="11" borderId="1" xfId="0" applyFont="1" applyFill="1" applyBorder="1" applyAlignment="1">
      <alignment horizontal="center" vertical="center"/>
    </xf>
    <xf numFmtId="179" fontId="15" fillId="11" borderId="1" xfId="0" applyNumberFormat="1" applyFont="1" applyFill="1" applyBorder="1" applyAlignment="1">
      <alignment horizontal="right" vertical="center"/>
    </xf>
    <xf numFmtId="0" fontId="56" fillId="11" borderId="6" xfId="0" applyFont="1" applyFill="1" applyBorder="1" applyAlignment="1">
      <alignment horizontal="left" vertical="center" wrapText="1"/>
    </xf>
    <xf numFmtId="2" fontId="15" fillId="11" borderId="1" xfId="0" applyNumberFormat="1" applyFont="1" applyFill="1" applyBorder="1" applyAlignment="1">
      <alignment horizontal="center" vertical="center"/>
    </xf>
    <xf numFmtId="0" fontId="58" fillId="32" borderId="1" xfId="0" applyFont="1" applyFill="1" applyBorder="1" applyAlignment="1">
      <alignment horizontal="center" vertical="center"/>
    </xf>
    <xf numFmtId="0" fontId="15" fillId="0" borderId="6" xfId="0" applyFont="1" applyBorder="1" applyAlignment="1" applyProtection="1">
      <alignment horizontal="left" vertical="center" wrapText="1"/>
      <protection locked="0"/>
    </xf>
    <xf numFmtId="190" fontId="15" fillId="0" borderId="1" xfId="0" applyNumberFormat="1" applyFont="1" applyBorder="1" applyAlignment="1" applyProtection="1">
      <alignment horizontal="right" vertical="center"/>
      <protection locked="0"/>
    </xf>
    <xf numFmtId="0" fontId="15" fillId="0" borderId="6" xfId="0" applyFont="1" applyBorder="1" applyAlignment="1" applyProtection="1">
      <alignment horizontal="left" vertical="center"/>
      <protection locked="0"/>
    </xf>
    <xf numFmtId="0" fontId="15" fillId="0" borderId="1" xfId="0" applyFont="1" applyBorder="1" applyAlignment="1" applyProtection="1">
      <alignment horizontal="left" vertical="center"/>
      <protection locked="0"/>
    </xf>
    <xf numFmtId="190" fontId="15" fillId="32" borderId="1" xfId="0" applyNumberFormat="1" applyFont="1" applyFill="1" applyBorder="1" applyAlignment="1">
      <alignment horizontal="center" vertical="center"/>
    </xf>
    <xf numFmtId="10" fontId="15" fillId="32" borderId="1" xfId="2" applyNumberFormat="1" applyFont="1" applyFill="1" applyBorder="1" applyAlignment="1">
      <alignment horizontal="center" vertical="center"/>
    </xf>
    <xf numFmtId="0" fontId="15" fillId="20" borderId="1" xfId="0" applyFont="1" applyFill="1" applyBorder="1" applyProtection="1">
      <protection locked="0"/>
    </xf>
    <xf numFmtId="190" fontId="15" fillId="32" borderId="1" xfId="0" applyNumberFormat="1" applyFont="1" applyFill="1" applyBorder="1" applyAlignment="1">
      <alignment horizontal="right" vertical="center"/>
    </xf>
    <xf numFmtId="185" fontId="15" fillId="32" borderId="1" xfId="0" applyNumberFormat="1" applyFont="1" applyFill="1" applyBorder="1" applyAlignment="1">
      <alignment horizontal="center" vertical="center"/>
    </xf>
    <xf numFmtId="191" fontId="15" fillId="32" borderId="1" xfId="0" applyNumberFormat="1" applyFont="1" applyFill="1" applyBorder="1" applyAlignment="1">
      <alignment horizontal="center" vertical="center"/>
    </xf>
    <xf numFmtId="190" fontId="15" fillId="14" borderId="1" xfId="0" applyNumberFormat="1" applyFont="1" applyFill="1" applyBorder="1" applyAlignment="1">
      <alignment horizontal="right" vertical="center"/>
    </xf>
    <xf numFmtId="0" fontId="15" fillId="23" borderId="1" xfId="0" applyFont="1" applyFill="1" applyBorder="1" applyAlignment="1" applyProtection="1">
      <alignment vertical="center"/>
      <protection locked="0"/>
    </xf>
    <xf numFmtId="0" fontId="15" fillId="32" borderId="1" xfId="0" applyFont="1" applyFill="1" applyBorder="1" applyAlignment="1">
      <alignment horizontal="center" vertical="center" wrapText="1"/>
    </xf>
    <xf numFmtId="0" fontId="0" fillId="23" borderId="1" xfId="0" applyFill="1" applyBorder="1" applyProtection="1">
      <protection locked="0"/>
    </xf>
    <xf numFmtId="0" fontId="15" fillId="32" borderId="1" xfId="0" applyFont="1" applyFill="1" applyBorder="1" applyAlignment="1">
      <alignment horizontal="left" vertical="center" wrapText="1"/>
    </xf>
    <xf numFmtId="1" fontId="15" fillId="32" borderId="1" xfId="0" applyNumberFormat="1" applyFont="1" applyFill="1" applyBorder="1" applyAlignment="1">
      <alignment horizontal="right" vertical="center"/>
    </xf>
    <xf numFmtId="1" fontId="15" fillId="32" borderId="1" xfId="0" applyNumberFormat="1" applyFont="1" applyFill="1" applyBorder="1" applyAlignment="1">
      <alignment horizontal="center" vertical="center"/>
    </xf>
    <xf numFmtId="0" fontId="15" fillId="17" borderId="1" xfId="0" applyFont="1" applyFill="1" applyBorder="1" applyAlignment="1">
      <alignment horizontal="center" vertical="center"/>
    </xf>
    <xf numFmtId="179" fontId="18" fillId="17" borderId="1" xfId="0" applyNumberFormat="1" applyFont="1" applyFill="1" applyBorder="1" applyAlignment="1">
      <alignment horizontal="right" vertical="center"/>
    </xf>
    <xf numFmtId="0" fontId="57" fillId="17" borderId="6" xfId="0" applyFont="1" applyFill="1" applyBorder="1" applyAlignment="1">
      <alignment horizontal="center" vertical="center" wrapText="1"/>
    </xf>
    <xf numFmtId="4" fontId="18" fillId="17" borderId="1" xfId="0" applyNumberFormat="1" applyFont="1" applyFill="1" applyBorder="1" applyAlignment="1" applyProtection="1">
      <alignment horizontal="center" vertical="center"/>
      <protection locked="0"/>
    </xf>
    <xf numFmtId="0" fontId="55" fillId="17" borderId="1" xfId="0" applyFont="1" applyFill="1" applyBorder="1" applyAlignment="1">
      <alignment horizontal="center" vertical="center"/>
    </xf>
    <xf numFmtId="179" fontId="15" fillId="17" borderId="1" xfId="0" applyNumberFormat="1" applyFont="1" applyFill="1" applyBorder="1" applyAlignment="1">
      <alignment horizontal="right" vertical="center"/>
    </xf>
    <xf numFmtId="0" fontId="56" fillId="17" borderId="6" xfId="0" applyFont="1" applyFill="1" applyBorder="1" applyAlignment="1">
      <alignment horizontal="left" vertical="center" wrapText="1"/>
    </xf>
    <xf numFmtId="2" fontId="15" fillId="17" borderId="1" xfId="0" applyNumberFormat="1" applyFont="1" applyFill="1" applyBorder="1" applyAlignment="1">
      <alignment horizontal="center" vertical="center"/>
    </xf>
    <xf numFmtId="0" fontId="55" fillId="23" borderId="6" xfId="0" applyFont="1" applyFill="1" applyBorder="1" applyAlignment="1" applyProtection="1">
      <alignment horizontal="left" vertical="center" wrapText="1"/>
      <protection locked="0"/>
    </xf>
    <xf numFmtId="190" fontId="15" fillId="23" borderId="1" xfId="0" applyNumberFormat="1" applyFont="1" applyFill="1" applyBorder="1" applyAlignment="1" applyProtection="1">
      <alignment horizontal="center" vertical="center"/>
      <protection locked="0"/>
    </xf>
    <xf numFmtId="190" fontId="15" fillId="14" borderId="1" xfId="0" applyNumberFormat="1" applyFont="1" applyFill="1" applyBorder="1" applyAlignment="1">
      <alignment horizontal="center" vertical="center"/>
    </xf>
    <xf numFmtId="184" fontId="15" fillId="23" borderId="1" xfId="0" applyNumberFormat="1" applyFont="1" applyFill="1" applyBorder="1" applyAlignment="1" applyProtection="1">
      <alignment horizontal="right" vertical="center"/>
      <protection locked="0"/>
    </xf>
    <xf numFmtId="10" fontId="15" fillId="23" borderId="1" xfId="2" applyNumberFormat="1" applyFont="1" applyFill="1" applyBorder="1" applyAlignment="1" applyProtection="1">
      <alignment horizontal="center" vertical="center"/>
      <protection locked="0"/>
    </xf>
    <xf numFmtId="10" fontId="15" fillId="14" borderId="1" xfId="2" applyNumberFormat="1" applyFont="1" applyFill="1" applyBorder="1" applyAlignment="1">
      <alignment horizontal="center" vertical="center"/>
    </xf>
    <xf numFmtId="177" fontId="15" fillId="23" borderId="1" xfId="0" applyNumberFormat="1" applyFont="1" applyFill="1" applyBorder="1" applyAlignment="1" applyProtection="1">
      <alignment horizontal="right" vertical="center"/>
      <protection locked="0"/>
    </xf>
    <xf numFmtId="0" fontId="55" fillId="23" borderId="6" xfId="11" applyFont="1" applyFill="1" applyBorder="1" applyAlignment="1" applyProtection="1">
      <alignment horizontal="left" vertical="center" wrapText="1"/>
      <protection locked="0"/>
    </xf>
    <xf numFmtId="0" fontId="15" fillId="23" borderId="1" xfId="11" applyFont="1" applyFill="1" applyBorder="1" applyAlignment="1" applyProtection="1">
      <alignment horizontal="center" vertical="center"/>
      <protection locked="0"/>
    </xf>
    <xf numFmtId="0" fontId="15" fillId="14" borderId="1" xfId="11" applyFont="1" applyFill="1" applyBorder="1" applyAlignment="1">
      <alignment horizontal="center" vertical="center"/>
    </xf>
    <xf numFmtId="0" fontId="55" fillId="17" borderId="6" xfId="0" applyFont="1" applyFill="1" applyBorder="1" applyAlignment="1">
      <alignment horizontal="left" vertical="center" wrapText="1"/>
    </xf>
    <xf numFmtId="179" fontId="15" fillId="32" borderId="1" xfId="2" applyNumberFormat="1" applyFont="1" applyFill="1" applyBorder="1" applyAlignment="1">
      <alignment horizontal="right" vertical="center"/>
    </xf>
    <xf numFmtId="185" fontId="15" fillId="23" borderId="1" xfId="0" applyNumberFormat="1" applyFont="1" applyFill="1" applyBorder="1" applyAlignment="1" applyProtection="1">
      <alignment horizontal="center" vertical="center"/>
      <protection locked="0"/>
    </xf>
    <xf numFmtId="184" fontId="15" fillId="32" borderId="1" xfId="2" applyNumberFormat="1" applyFont="1" applyFill="1" applyBorder="1" applyAlignment="1">
      <alignment horizontal="right" vertical="center"/>
    </xf>
    <xf numFmtId="4" fontId="15" fillId="32" borderId="1" xfId="11" applyNumberFormat="1" applyFont="1" applyFill="1" applyBorder="1" applyAlignment="1">
      <alignment horizontal="center" vertical="center" wrapText="1"/>
    </xf>
    <xf numFmtId="0" fontId="15" fillId="32" borderId="1" xfId="11" applyFont="1" applyFill="1" applyBorder="1" applyAlignment="1">
      <alignment horizontal="center" vertical="center"/>
    </xf>
    <xf numFmtId="1" fontId="15" fillId="23" borderId="1" xfId="11" applyNumberFormat="1" applyFont="1" applyFill="1" applyBorder="1" applyAlignment="1" applyProtection="1">
      <alignment horizontal="center" vertical="center"/>
      <protection locked="0"/>
    </xf>
    <xf numFmtId="0" fontId="56" fillId="23" borderId="1" xfId="11" applyFont="1" applyFill="1" applyBorder="1" applyAlignment="1" applyProtection="1">
      <alignment horizontal="left" vertical="center" wrapText="1"/>
      <protection locked="0"/>
    </xf>
    <xf numFmtId="176" fontId="15" fillId="14" borderId="1" xfId="0" applyNumberFormat="1" applyFont="1" applyFill="1" applyBorder="1" applyAlignment="1">
      <alignment horizontal="right" vertical="center"/>
    </xf>
    <xf numFmtId="0" fontId="28" fillId="23" borderId="1" xfId="11" applyFont="1" applyFill="1" applyBorder="1" applyAlignment="1" applyProtection="1">
      <protection locked="0"/>
    </xf>
    <xf numFmtId="4" fontId="15" fillId="14" borderId="1" xfId="11" applyNumberFormat="1" applyFont="1" applyFill="1" applyBorder="1" applyAlignment="1" applyProtection="1">
      <alignment horizontal="center" vertical="center"/>
      <protection locked="0"/>
    </xf>
    <xf numFmtId="0" fontId="55" fillId="14" borderId="1" xfId="11" applyFont="1" applyFill="1" applyBorder="1" applyAlignment="1">
      <alignment horizontal="center" vertical="center"/>
    </xf>
    <xf numFmtId="0" fontId="15" fillId="23" borderId="1" xfId="11" applyFont="1" applyFill="1" applyBorder="1" applyAlignment="1" applyProtection="1">
      <alignment horizontal="left" vertical="center" wrapText="1"/>
      <protection locked="0"/>
    </xf>
    <xf numFmtId="179" fontId="15" fillId="31" borderId="1" xfId="11" applyNumberFormat="1" applyFont="1" applyFill="1" applyBorder="1" applyAlignment="1">
      <alignment horizontal="right" vertical="center"/>
    </xf>
    <xf numFmtId="1" fontId="15" fillId="23" borderId="1" xfId="0" applyNumberFormat="1" applyFont="1" applyFill="1" applyBorder="1" applyAlignment="1" applyProtection="1">
      <alignment horizontal="center" vertical="center"/>
      <protection locked="0"/>
    </xf>
    <xf numFmtId="176" fontId="15" fillId="32" borderId="1" xfId="2" applyNumberFormat="1" applyFont="1" applyFill="1" applyBorder="1" applyAlignment="1">
      <alignment horizontal="right" vertical="center"/>
    </xf>
    <xf numFmtId="191" fontId="15" fillId="23" borderId="1" xfId="0" applyNumberFormat="1" applyFont="1" applyFill="1" applyBorder="1" applyAlignment="1" applyProtection="1">
      <alignment horizontal="center" vertical="center"/>
      <protection locked="0"/>
    </xf>
    <xf numFmtId="176" fontId="15" fillId="23" borderId="1" xfId="0" applyNumberFormat="1" applyFont="1" applyFill="1" applyBorder="1" applyAlignment="1" applyProtection="1">
      <alignment horizontal="center" vertical="center"/>
      <protection locked="0"/>
    </xf>
    <xf numFmtId="0" fontId="15" fillId="0" borderId="0" xfId="0" applyFont="1" applyProtection="1">
      <protection locked="0"/>
    </xf>
    <xf numFmtId="0" fontId="15" fillId="0" borderId="0" xfId="0" applyFont="1" applyAlignment="1" applyProtection="1">
      <alignment horizontal="right"/>
      <protection locked="0"/>
    </xf>
    <xf numFmtId="0" fontId="28" fillId="0" borderId="0" xfId="0" applyFont="1" applyProtection="1">
      <protection locked="0"/>
    </xf>
    <xf numFmtId="0" fontId="28" fillId="0" borderId="0" xfId="0" applyFont="1" applyAlignment="1" applyProtection="1">
      <alignment wrapText="1"/>
      <protection locked="0"/>
    </xf>
    <xf numFmtId="0" fontId="28" fillId="0" borderId="0" xfId="0" applyFont="1" applyAlignment="1" applyProtection="1">
      <alignment horizontal="center" vertical="center" wrapText="1"/>
      <protection locked="0"/>
    </xf>
    <xf numFmtId="0" fontId="15" fillId="0" borderId="0" xfId="0" applyFont="1" applyAlignment="1" applyProtection="1">
      <alignment horizontal="left" vertical="center" wrapText="1"/>
      <protection locked="0"/>
    </xf>
    <xf numFmtId="0" fontId="30" fillId="0" borderId="0" xfId="11" applyFont="1" applyProtection="1">
      <alignment vertical="center"/>
      <protection locked="0"/>
    </xf>
    <xf numFmtId="0" fontId="22" fillId="0" borderId="0" xfId="11" applyFont="1" applyAlignment="1" applyProtection="1">
      <protection locked="0"/>
    </xf>
    <xf numFmtId="0" fontId="47" fillId="35" borderId="45" xfId="11" applyFont="1" applyFill="1" applyBorder="1" applyAlignment="1" applyProtection="1">
      <alignment horizontal="center" vertical="center" wrapText="1"/>
      <protection locked="0"/>
    </xf>
    <xf numFmtId="0" fontId="59" fillId="35" borderId="46" xfId="11" applyFont="1" applyFill="1" applyBorder="1" applyAlignment="1" applyProtection="1">
      <alignment horizontal="center" vertical="center" wrapText="1"/>
      <protection locked="0"/>
    </xf>
    <xf numFmtId="0" fontId="18" fillId="35" borderId="48" xfId="11" applyFont="1" applyFill="1" applyBorder="1" applyAlignment="1" applyProtection="1">
      <alignment horizontal="center" vertical="center" wrapText="1"/>
      <protection locked="0"/>
    </xf>
    <xf numFmtId="0" fontId="44" fillId="32" borderId="47" xfId="0" applyFont="1" applyFill="1" applyBorder="1" applyAlignment="1" applyProtection="1">
      <alignment horizontal="center" vertical="center" wrapText="1"/>
      <protection locked="0"/>
    </xf>
    <xf numFmtId="0" fontId="44" fillId="32" borderId="1" xfId="0" applyFont="1" applyFill="1" applyBorder="1" applyAlignment="1">
      <alignment horizontal="center" vertical="center" wrapText="1"/>
    </xf>
    <xf numFmtId="0" fontId="47" fillId="32" borderId="1" xfId="0" applyFont="1" applyFill="1" applyBorder="1" applyAlignment="1">
      <alignment horizontal="center" vertical="center" wrapText="1"/>
    </xf>
    <xf numFmtId="4" fontId="44" fillId="32" borderId="1" xfId="11" applyNumberFormat="1" applyFont="1" applyFill="1" applyBorder="1" applyAlignment="1">
      <alignment horizontal="center" vertical="center" wrapText="1"/>
    </xf>
    <xf numFmtId="0" fontId="44" fillId="32" borderId="49" xfId="11" applyFont="1" applyFill="1" applyBorder="1" applyAlignment="1">
      <alignment horizontal="center" vertical="center"/>
    </xf>
    <xf numFmtId="0" fontId="44" fillId="0" borderId="0" xfId="0" applyFont="1" applyAlignment="1" applyProtection="1">
      <alignment horizontal="center" vertical="center" wrapText="1"/>
      <protection locked="0"/>
    </xf>
    <xf numFmtId="0" fontId="44" fillId="32" borderId="47" xfId="11" applyFont="1" applyFill="1" applyBorder="1" applyAlignment="1">
      <alignment horizontal="center" vertical="center"/>
    </xf>
    <xf numFmtId="0" fontId="47" fillId="14" borderId="1" xfId="11" applyFont="1" applyFill="1" applyBorder="1" applyAlignment="1">
      <alignment horizontal="center" vertical="center" wrapText="1"/>
    </xf>
    <xf numFmtId="0" fontId="44" fillId="14" borderId="1" xfId="11" applyFont="1" applyFill="1" applyBorder="1" applyAlignment="1">
      <alignment horizontal="center" vertical="center" wrapText="1"/>
    </xf>
    <xf numFmtId="4" fontId="44" fillId="14" borderId="1" xfId="11" applyNumberFormat="1" applyFont="1" applyFill="1" applyBorder="1" applyAlignment="1">
      <alignment horizontal="center" vertical="center" wrapText="1"/>
    </xf>
    <xf numFmtId="0" fontId="44" fillId="32" borderId="1" xfId="0" applyFont="1" applyFill="1" applyBorder="1" applyAlignment="1">
      <alignment horizontal="center" vertical="center"/>
    </xf>
    <xf numFmtId="4" fontId="44" fillId="23" borderId="1" xfId="0" applyNumberFormat="1" applyFont="1" applyFill="1" applyBorder="1" applyAlignment="1" applyProtection="1">
      <alignment horizontal="center" vertical="center" wrapText="1"/>
      <protection locked="0"/>
    </xf>
    <xf numFmtId="4" fontId="44" fillId="23" borderId="1" xfId="11" applyNumberFormat="1" applyFont="1" applyFill="1" applyBorder="1" applyAlignment="1" applyProtection="1">
      <alignment horizontal="center" vertical="center" wrapText="1"/>
      <protection locked="0"/>
    </xf>
    <xf numFmtId="4" fontId="44" fillId="0" borderId="1" xfId="11" applyNumberFormat="1" applyFont="1" applyBorder="1" applyAlignment="1" applyProtection="1">
      <alignment horizontal="center" vertical="center" wrapText="1"/>
      <protection locked="0"/>
    </xf>
    <xf numFmtId="3" fontId="44" fillId="32" borderId="1" xfId="0" applyNumberFormat="1" applyFont="1" applyFill="1" applyBorder="1" applyAlignment="1">
      <alignment horizontal="center" vertical="center" wrapText="1"/>
    </xf>
    <xf numFmtId="0" fontId="44" fillId="32" borderId="55" xfId="11" applyFont="1" applyFill="1" applyBorder="1" applyAlignment="1">
      <alignment horizontal="center" vertical="center"/>
    </xf>
    <xf numFmtId="0" fontId="20" fillId="0" borderId="0" xfId="11" applyFont="1" applyAlignment="1"/>
    <xf numFmtId="0" fontId="60" fillId="0" borderId="0" xfId="11" applyFont="1" applyAlignment="1" applyProtection="1">
      <protection locked="0"/>
    </xf>
    <xf numFmtId="0" fontId="44" fillId="0" borderId="0" xfId="11" applyFont="1" applyAlignment="1" applyProtection="1">
      <alignment horizontal="center" vertical="center"/>
      <protection locked="0"/>
    </xf>
    <xf numFmtId="0" fontId="54" fillId="11" borderId="1" xfId="0" applyFont="1" applyFill="1" applyBorder="1" applyAlignment="1">
      <alignment horizontal="center" vertical="center" wrapText="1"/>
    </xf>
    <xf numFmtId="0" fontId="54" fillId="11" borderId="1" xfId="11" applyFont="1" applyFill="1" applyBorder="1" applyAlignment="1">
      <alignment horizontal="center" vertical="center" wrapText="1"/>
    </xf>
    <xf numFmtId="0" fontId="45" fillId="14" borderId="1" xfId="0" applyFont="1" applyFill="1" applyBorder="1" applyAlignment="1">
      <alignment horizontal="center" vertical="center" wrapText="1"/>
    </xf>
    <xf numFmtId="176" fontId="46" fillId="14" borderId="1" xfId="0" applyNumberFormat="1" applyFont="1" applyFill="1" applyBorder="1" applyAlignment="1">
      <alignment horizontal="center" vertical="center" wrapText="1"/>
    </xf>
    <xf numFmtId="176" fontId="46" fillId="33" borderId="1" xfId="0" applyNumberFormat="1" applyFont="1" applyFill="1" applyBorder="1" applyAlignment="1" applyProtection="1">
      <alignment horizontal="center" vertical="center" wrapText="1"/>
      <protection locked="0"/>
    </xf>
    <xf numFmtId="176" fontId="46" fillId="14" borderId="59" xfId="11" applyNumberFormat="1" applyFont="1" applyFill="1" applyBorder="1" applyAlignment="1">
      <alignment horizontal="center" vertical="center" wrapText="1"/>
    </xf>
    <xf numFmtId="176" fontId="46" fillId="0" borderId="1" xfId="0" applyNumberFormat="1" applyFont="1" applyBorder="1" applyAlignment="1" applyProtection="1">
      <alignment horizontal="center" vertical="center" wrapText="1"/>
      <protection locked="0"/>
    </xf>
    <xf numFmtId="0" fontId="44" fillId="0" borderId="1" xfId="0" applyFont="1" applyBorder="1" applyAlignment="1" applyProtection="1">
      <alignment horizontal="center"/>
      <protection locked="0"/>
    </xf>
    <xf numFmtId="0" fontId="46" fillId="14" borderId="1" xfId="0" applyFont="1" applyFill="1" applyBorder="1" applyAlignment="1">
      <alignment horizontal="center" vertical="center" wrapText="1"/>
    </xf>
    <xf numFmtId="0" fontId="44" fillId="14" borderId="47" xfId="11" applyFont="1" applyFill="1" applyBorder="1" applyAlignment="1">
      <alignment horizontal="center" vertical="center"/>
    </xf>
    <xf numFmtId="0" fontId="44" fillId="14" borderId="1" xfId="0" applyFont="1" applyFill="1" applyBorder="1" applyAlignment="1">
      <alignment horizontal="center" vertical="center" wrapText="1"/>
    </xf>
    <xf numFmtId="184" fontId="44" fillId="32" borderId="1" xfId="0" applyNumberFormat="1" applyFont="1" applyFill="1" applyBorder="1" applyAlignment="1">
      <alignment horizontal="center" vertical="center" wrapText="1"/>
    </xf>
    <xf numFmtId="10" fontId="44" fillId="32" borderId="1" xfId="2" applyNumberFormat="1" applyFont="1" applyFill="1" applyBorder="1" applyAlignment="1">
      <alignment horizontal="center" vertical="center"/>
    </xf>
    <xf numFmtId="4" fontId="44" fillId="32" borderId="1" xfId="0" applyNumberFormat="1" applyFont="1" applyFill="1" applyBorder="1" applyAlignment="1">
      <alignment horizontal="center" vertical="center" wrapText="1"/>
    </xf>
    <xf numFmtId="0" fontId="44" fillId="32" borderId="49" xfId="11" applyFont="1" applyFill="1" applyBorder="1" applyAlignment="1">
      <alignment horizontal="center" vertical="center" wrapText="1"/>
    </xf>
    <xf numFmtId="0" fontId="44" fillId="14" borderId="55" xfId="11" applyFont="1" applyFill="1" applyBorder="1" applyAlignment="1">
      <alignment horizontal="center" vertical="center"/>
    </xf>
    <xf numFmtId="0" fontId="44" fillId="14" borderId="56" xfId="0" applyFont="1" applyFill="1" applyBorder="1" applyAlignment="1">
      <alignment horizontal="center" vertical="center" wrapText="1"/>
    </xf>
    <xf numFmtId="0" fontId="44" fillId="0" borderId="0" xfId="0" applyFont="1" applyAlignment="1" applyProtection="1">
      <alignment horizontal="center" vertical="center"/>
      <protection locked="0"/>
    </xf>
    <xf numFmtId="10" fontId="44" fillId="0" borderId="0" xfId="2" applyNumberFormat="1" applyFont="1" applyAlignment="1" applyProtection="1">
      <alignment horizontal="center" vertical="center"/>
      <protection locked="0"/>
    </xf>
    <xf numFmtId="0" fontId="44" fillId="32" borderId="56" xfId="0" applyFont="1" applyFill="1" applyBorder="1" applyAlignment="1">
      <alignment horizontal="center" vertical="center" wrapText="1"/>
    </xf>
    <xf numFmtId="0" fontId="44" fillId="32" borderId="57" xfId="11" applyFont="1" applyFill="1" applyBorder="1" applyAlignment="1">
      <alignment horizontal="center" vertical="center" wrapText="1"/>
    </xf>
    <xf numFmtId="177" fontId="46" fillId="14" borderId="1" xfId="0" applyNumberFormat="1" applyFont="1" applyFill="1" applyBorder="1" applyAlignment="1">
      <alignment horizontal="center" vertical="center" wrapText="1"/>
    </xf>
    <xf numFmtId="177" fontId="46" fillId="33" borderId="1" xfId="0" applyNumberFormat="1" applyFont="1" applyFill="1" applyBorder="1" applyAlignment="1" applyProtection="1">
      <alignment horizontal="center" vertical="center" wrapText="1"/>
      <protection locked="0"/>
    </xf>
    <xf numFmtId="0" fontId="59" fillId="35" borderId="61" xfId="11" applyFont="1" applyFill="1" applyBorder="1" applyAlignment="1" applyProtection="1">
      <alignment horizontal="center" vertical="center" wrapText="1"/>
      <protection locked="0"/>
    </xf>
    <xf numFmtId="0" fontId="44" fillId="14" borderId="49" xfId="11" applyFont="1" applyFill="1" applyBorder="1" applyAlignment="1">
      <alignment horizontal="center" vertical="center" wrapText="1"/>
    </xf>
    <xf numFmtId="0" fontId="44" fillId="32" borderId="1" xfId="11" applyFont="1" applyFill="1" applyBorder="1" applyAlignment="1">
      <alignment horizontal="center" vertical="center" wrapText="1"/>
    </xf>
    <xf numFmtId="179" fontId="28" fillId="14" borderId="1" xfId="11" applyNumberFormat="1" applyFont="1" applyFill="1" applyBorder="1" applyAlignment="1">
      <alignment horizontal="center" vertical="center" wrapText="1"/>
    </xf>
    <xf numFmtId="179" fontId="29" fillId="14" borderId="1" xfId="11" applyNumberFormat="1" applyFont="1" applyFill="1" applyBorder="1" applyAlignment="1">
      <alignment horizontal="center" vertical="center" wrapText="1"/>
    </xf>
    <xf numFmtId="0" fontId="44" fillId="32" borderId="7" xfId="11" applyFont="1" applyFill="1" applyBorder="1" applyAlignment="1">
      <alignment horizontal="center" vertical="center" wrapText="1"/>
    </xf>
    <xf numFmtId="179" fontId="29" fillId="14" borderId="1" xfId="2" applyNumberFormat="1" applyFont="1" applyFill="1" applyBorder="1" applyAlignment="1">
      <alignment horizontal="center" vertical="center" wrapText="1"/>
    </xf>
    <xf numFmtId="179" fontId="29" fillId="0" borderId="1" xfId="2" applyNumberFormat="1" applyFont="1" applyBorder="1" applyAlignment="1" applyProtection="1">
      <alignment horizontal="center" vertical="center" wrapText="1"/>
      <protection locked="0"/>
    </xf>
    <xf numFmtId="4" fontId="29" fillId="14" borderId="1" xfId="11" applyNumberFormat="1" applyFont="1" applyFill="1" applyBorder="1" applyAlignment="1">
      <alignment horizontal="center" vertical="center" wrapText="1"/>
    </xf>
    <xf numFmtId="0" fontId="44" fillId="14" borderId="7" xfId="11" applyFont="1" applyFill="1" applyBorder="1" applyAlignment="1">
      <alignment horizontal="center" vertical="center" wrapText="1"/>
    </xf>
    <xf numFmtId="0" fontId="44" fillId="32" borderId="56" xfId="11" applyFont="1" applyFill="1" applyBorder="1" applyAlignment="1">
      <alignment horizontal="center" vertical="center" wrapText="1"/>
    </xf>
    <xf numFmtId="0" fontId="44" fillId="14" borderId="56" xfId="11" applyFont="1" applyFill="1" applyBorder="1" applyAlignment="1">
      <alignment horizontal="center" vertical="center" wrapText="1"/>
    </xf>
    <xf numFmtId="192" fontId="29" fillId="0" borderId="56" xfId="11" applyNumberFormat="1" applyFont="1" applyBorder="1" applyAlignment="1" applyProtection="1">
      <alignment horizontal="center" vertical="center" wrapText="1"/>
      <protection locked="0"/>
    </xf>
    <xf numFmtId="4" fontId="44" fillId="14" borderId="56" xfId="11" applyNumberFormat="1" applyFont="1" applyFill="1" applyBorder="1" applyAlignment="1">
      <alignment horizontal="center" vertical="center" wrapText="1"/>
    </xf>
    <xf numFmtId="0" fontId="44" fillId="14" borderId="57" xfId="11" applyFont="1" applyFill="1" applyBorder="1" applyAlignment="1">
      <alignment horizontal="center" vertical="center" wrapText="1"/>
    </xf>
    <xf numFmtId="0" fontId="44" fillId="0" borderId="0" xfId="0" applyFont="1" applyAlignment="1" applyProtection="1">
      <alignment vertical="center"/>
      <protection locked="0"/>
    </xf>
    <xf numFmtId="0" fontId="14" fillId="0" borderId="0" xfId="11" applyFont="1" applyAlignment="1" applyProtection="1">
      <alignment horizontal="left" vertical="center" wrapText="1"/>
      <protection locked="0"/>
    </xf>
    <xf numFmtId="0" fontId="15" fillId="0" borderId="0" xfId="11" applyFont="1" applyAlignment="1" applyProtection="1">
      <alignment horizontal="left" vertical="center" wrapText="1"/>
      <protection locked="0"/>
    </xf>
    <xf numFmtId="4" fontId="28" fillId="32" borderId="1" xfId="11" applyNumberFormat="1" applyFont="1" applyFill="1" applyBorder="1" applyAlignment="1">
      <alignment horizontal="center" vertical="center" wrapText="1"/>
    </xf>
    <xf numFmtId="3" fontId="29" fillId="23" borderId="1" xfId="11" applyNumberFormat="1" applyFont="1" applyFill="1" applyBorder="1" applyAlignment="1" applyProtection="1">
      <alignment horizontal="center" vertical="center" wrapText="1"/>
      <protection locked="0"/>
    </xf>
    <xf numFmtId="4" fontId="29" fillId="32" borderId="1" xfId="11" applyNumberFormat="1" applyFont="1" applyFill="1" applyBorder="1" applyAlignment="1">
      <alignment horizontal="center" vertical="center" wrapText="1"/>
    </xf>
    <xf numFmtId="186" fontId="29" fillId="23" borderId="1" xfId="11" applyNumberFormat="1" applyFont="1" applyFill="1" applyBorder="1" applyAlignment="1" applyProtection="1">
      <alignment horizontal="center" vertical="center" wrapText="1"/>
      <protection locked="0"/>
    </xf>
    <xf numFmtId="4" fontId="29" fillId="23" borderId="56" xfId="11" applyNumberFormat="1" applyFont="1" applyFill="1" applyBorder="1" applyAlignment="1" applyProtection="1">
      <alignment horizontal="center" vertical="center" wrapText="1"/>
      <protection locked="0"/>
    </xf>
    <xf numFmtId="4" fontId="44" fillId="32" borderId="56" xfId="11" applyNumberFormat="1" applyFont="1" applyFill="1" applyBorder="1" applyAlignment="1">
      <alignment horizontal="center" vertical="center" wrapText="1"/>
    </xf>
    <xf numFmtId="186" fontId="28" fillId="23" borderId="56" xfId="11" applyNumberFormat="1" applyFont="1" applyFill="1" applyBorder="1" applyAlignment="1" applyProtection="1">
      <alignment horizontal="center" vertical="center" wrapText="1"/>
      <protection locked="0"/>
    </xf>
    <xf numFmtId="0" fontId="44" fillId="0" borderId="0" xfId="11" applyFont="1" applyAlignment="1" applyProtection="1">
      <alignment horizontal="center" vertical="center" wrapText="1"/>
      <protection locked="0"/>
    </xf>
    <xf numFmtId="4" fontId="44" fillId="0" borderId="0" xfId="11" applyNumberFormat="1" applyFont="1" applyAlignment="1" applyProtection="1">
      <alignment horizontal="center" vertical="center" wrapText="1"/>
      <protection locked="0"/>
    </xf>
    <xf numFmtId="0" fontId="45" fillId="14" borderId="1" xfId="11" applyFont="1" applyFill="1" applyBorder="1" applyAlignment="1" applyProtection="1">
      <alignment horizontal="center" vertical="center" wrapText="1"/>
      <protection locked="0"/>
    </xf>
    <xf numFmtId="4" fontId="61" fillId="14" borderId="1" xfId="11" applyNumberFormat="1" applyFont="1" applyFill="1" applyBorder="1" applyAlignment="1">
      <alignment horizontal="center" vertical="center" wrapText="1"/>
    </xf>
    <xf numFmtId="176" fontId="46" fillId="14" borderId="1" xfId="11" applyNumberFormat="1" applyFont="1" applyFill="1" applyBorder="1" applyAlignment="1">
      <alignment horizontal="center" vertical="center" wrapText="1"/>
    </xf>
    <xf numFmtId="0" fontId="44" fillId="0" borderId="1" xfId="11" applyFont="1" applyBorder="1" applyAlignment="1" applyProtection="1">
      <alignment horizontal="center" vertical="center"/>
      <protection locked="0"/>
    </xf>
    <xf numFmtId="4" fontId="45" fillId="33" borderId="1" xfId="11" applyNumberFormat="1" applyFont="1" applyFill="1" applyBorder="1" applyAlignment="1" applyProtection="1">
      <alignment horizontal="center" vertical="center" wrapText="1"/>
      <protection locked="0"/>
    </xf>
    <xf numFmtId="176" fontId="46" fillId="33" borderId="1" xfId="11" applyNumberFormat="1" applyFont="1" applyFill="1" applyBorder="1" applyAlignment="1" applyProtection="1">
      <alignment horizontal="center" vertical="center" wrapText="1"/>
      <protection locked="0"/>
    </xf>
    <xf numFmtId="0" fontId="45" fillId="33" borderId="1" xfId="11" applyFont="1" applyFill="1" applyBorder="1" applyAlignment="1" applyProtection="1">
      <alignment horizontal="center" vertical="center" wrapText="1"/>
      <protection locked="0"/>
    </xf>
    <xf numFmtId="4" fontId="54" fillId="14" borderId="1" xfId="11" applyNumberFormat="1" applyFont="1" applyFill="1" applyBorder="1" applyAlignment="1">
      <alignment horizontal="center" vertical="center" wrapText="1"/>
    </xf>
    <xf numFmtId="0" fontId="45" fillId="0" borderId="1" xfId="11" applyFont="1" applyBorder="1" applyAlignment="1" applyProtection="1">
      <alignment horizontal="center" vertical="center" wrapText="1"/>
      <protection locked="0"/>
    </xf>
    <xf numFmtId="176" fontId="46" fillId="0" borderId="1" xfId="11" applyNumberFormat="1" applyFont="1" applyBorder="1" applyAlignment="1" applyProtection="1">
      <alignment horizontal="center" vertical="center" wrapText="1"/>
      <protection locked="0"/>
    </xf>
    <xf numFmtId="4" fontId="45" fillId="14" borderId="1" xfId="11" applyNumberFormat="1" applyFont="1" applyFill="1" applyBorder="1" applyAlignment="1">
      <alignment horizontal="center" vertical="center" wrapText="1"/>
    </xf>
    <xf numFmtId="0" fontId="62" fillId="14" borderId="1" xfId="11" applyFont="1" applyFill="1" applyBorder="1" applyAlignment="1">
      <alignment horizontal="center" vertical="center" wrapText="1"/>
    </xf>
    <xf numFmtId="9" fontId="46" fillId="14" borderId="1" xfId="2" applyFont="1" applyFill="1" applyBorder="1" applyAlignment="1">
      <alignment horizontal="right" vertical="center" wrapText="1"/>
    </xf>
    <xf numFmtId="9" fontId="46" fillId="33" borderId="1" xfId="2" applyFont="1" applyFill="1" applyBorder="1" applyAlignment="1" applyProtection="1">
      <alignment horizontal="right" vertical="center" wrapText="1"/>
      <protection locked="0"/>
    </xf>
    <xf numFmtId="0" fontId="28" fillId="0" borderId="0" xfId="11" applyFont="1" applyAlignment="1" applyProtection="1">
      <protection locked="0"/>
    </xf>
    <xf numFmtId="0" fontId="44" fillId="0" borderId="0" xfId="11" applyFont="1" applyProtection="1">
      <alignment vertical="center"/>
      <protection locked="0"/>
    </xf>
    <xf numFmtId="0" fontId="54" fillId="7" borderId="1" xfId="11" applyFont="1" applyFill="1" applyBorder="1" applyAlignment="1" applyProtection="1">
      <alignment horizontal="center" vertical="center" wrapText="1"/>
      <protection locked="0"/>
    </xf>
    <xf numFmtId="0" fontId="54" fillId="6" borderId="1" xfId="11" applyFont="1" applyFill="1" applyBorder="1" applyAlignment="1" applyProtection="1">
      <alignment horizontal="center" vertical="center" wrapText="1"/>
      <protection locked="0"/>
    </xf>
    <xf numFmtId="10" fontId="63" fillId="0" borderId="0" xfId="2" applyNumberFormat="1" applyFont="1" applyAlignment="1" applyProtection="1">
      <alignment horizontal="center" vertical="center"/>
      <protection locked="0"/>
    </xf>
    <xf numFmtId="0" fontId="54" fillId="5" borderId="1" xfId="11" applyFont="1" applyFill="1" applyBorder="1" applyAlignment="1" applyProtection="1">
      <alignment horizontal="center" vertical="center" wrapText="1"/>
      <protection locked="0"/>
    </xf>
    <xf numFmtId="0" fontId="47" fillId="5" borderId="1" xfId="11" applyFont="1" applyFill="1" applyBorder="1" applyAlignment="1" applyProtection="1">
      <alignment horizontal="center" vertical="center" wrapText="1"/>
      <protection locked="0"/>
    </xf>
    <xf numFmtId="0" fontId="54" fillId="4" borderId="1" xfId="11" applyFont="1" applyFill="1" applyBorder="1" applyAlignment="1" applyProtection="1">
      <alignment horizontal="center" vertical="center" wrapText="1"/>
      <protection locked="0"/>
    </xf>
    <xf numFmtId="0" fontId="54" fillId="3" borderId="1" xfId="11" applyFont="1" applyFill="1" applyBorder="1" applyAlignment="1" applyProtection="1">
      <alignment horizontal="center" vertical="center" wrapText="1"/>
      <protection locked="0"/>
    </xf>
    <xf numFmtId="0" fontId="54" fillId="36" borderId="1" xfId="11" applyFont="1" applyFill="1" applyBorder="1" applyAlignment="1" applyProtection="1">
      <alignment horizontal="center" vertical="center" wrapText="1"/>
      <protection locked="0"/>
    </xf>
    <xf numFmtId="0" fontId="54" fillId="8" borderId="1" xfId="11" applyFont="1" applyFill="1" applyBorder="1" applyAlignment="1" applyProtection="1">
      <alignment horizontal="center" vertical="center" wrapText="1"/>
      <protection locked="0"/>
    </xf>
    <xf numFmtId="177" fontId="46" fillId="14" borderId="1" xfId="11" applyNumberFormat="1" applyFont="1" applyFill="1" applyBorder="1" applyAlignment="1">
      <alignment horizontal="center" vertical="center" wrapText="1"/>
    </xf>
    <xf numFmtId="177" fontId="46" fillId="33" borderId="1" xfId="11" applyNumberFormat="1" applyFont="1" applyFill="1" applyBorder="1" applyAlignment="1" applyProtection="1">
      <alignment horizontal="center" vertical="center" wrapText="1"/>
      <protection locked="0"/>
    </xf>
    <xf numFmtId="177" fontId="46" fillId="14" borderId="59" xfId="11" applyNumberFormat="1" applyFont="1" applyFill="1" applyBorder="1" applyAlignment="1">
      <alignment horizontal="center" vertical="center" wrapText="1"/>
    </xf>
    <xf numFmtId="177" fontId="0" fillId="0" borderId="0" xfId="0" applyNumberFormat="1" applyProtection="1">
      <protection locked="0"/>
    </xf>
    <xf numFmtId="0" fontId="1" fillId="23" borderId="0" xfId="11" applyFill="1" applyAlignment="1">
      <alignment horizontal="center" vertical="center"/>
    </xf>
    <xf numFmtId="0" fontId="0" fillId="23" borderId="0" xfId="11" applyFont="1" applyFill="1" applyAlignment="1">
      <alignment horizontal="center" vertical="center"/>
    </xf>
    <xf numFmtId="0" fontId="64" fillId="23" borderId="0" xfId="11" applyFont="1" applyFill="1" applyAlignment="1">
      <alignment horizontal="center" vertical="center"/>
    </xf>
    <xf numFmtId="0" fontId="65" fillId="23" borderId="0" xfId="11" applyFont="1" applyFill="1" applyAlignment="1">
      <alignment horizontal="center" vertical="center"/>
    </xf>
    <xf numFmtId="0" fontId="66" fillId="23" borderId="0" xfId="11" applyFont="1" applyFill="1" applyAlignment="1">
      <alignment horizontal="center" vertical="center"/>
    </xf>
    <xf numFmtId="0" fontId="44" fillId="23" borderId="0" xfId="11" applyFont="1" applyFill="1" applyAlignment="1">
      <alignment horizontal="center" vertical="center"/>
    </xf>
    <xf numFmtId="0" fontId="7" fillId="23" borderId="0" xfId="11" applyFont="1" applyFill="1" applyAlignment="1">
      <alignment horizontal="center" vertical="center"/>
    </xf>
    <xf numFmtId="0" fontId="4" fillId="37" borderId="1" xfId="11" applyFont="1" applyFill="1" applyBorder="1" applyAlignment="1">
      <alignment horizontal="center" vertical="center"/>
    </xf>
    <xf numFmtId="0" fontId="65" fillId="23" borderId="1" xfId="11" applyFont="1" applyFill="1" applyBorder="1" applyAlignment="1">
      <alignment horizontal="center" vertical="center" wrapText="1"/>
    </xf>
    <xf numFmtId="0" fontId="65" fillId="23" borderId="1" xfId="11" applyFont="1" applyFill="1" applyBorder="1" applyAlignment="1">
      <alignment horizontal="center" vertical="center"/>
    </xf>
    <xf numFmtId="0" fontId="65" fillId="0" borderId="1" xfId="11" applyFont="1" applyBorder="1" applyAlignment="1">
      <alignment horizontal="center" vertical="center"/>
    </xf>
    <xf numFmtId="0" fontId="65" fillId="0" borderId="1" xfId="11" applyFont="1" applyBorder="1" applyAlignment="1">
      <alignment horizontal="center" vertical="center" wrapText="1"/>
    </xf>
    <xf numFmtId="0" fontId="68" fillId="14" borderId="1" xfId="11" applyFont="1" applyFill="1" applyBorder="1" applyAlignment="1">
      <alignment horizontal="center" vertical="center"/>
    </xf>
    <xf numFmtId="182" fontId="65" fillId="23" borderId="1" xfId="11" applyNumberFormat="1" applyFont="1" applyFill="1" applyBorder="1" applyAlignment="1">
      <alignment horizontal="center" vertical="center"/>
    </xf>
    <xf numFmtId="9" fontId="65" fillId="23" borderId="1" xfId="11" applyNumberFormat="1" applyFont="1" applyFill="1" applyBorder="1" applyAlignment="1">
      <alignment horizontal="center" vertical="center"/>
    </xf>
    <xf numFmtId="9" fontId="65" fillId="0" borderId="1" xfId="11" applyNumberFormat="1" applyFont="1" applyBorder="1" applyAlignment="1">
      <alignment horizontal="center" vertical="center"/>
    </xf>
    <xf numFmtId="0" fontId="68" fillId="0" borderId="1" xfId="11" applyFont="1" applyBorder="1" applyAlignment="1">
      <alignment horizontal="center" vertical="center"/>
    </xf>
    <xf numFmtId="0" fontId="69" fillId="0" borderId="1" xfId="11" applyFont="1" applyBorder="1" applyAlignment="1">
      <alignment horizontal="center" vertical="center"/>
    </xf>
    <xf numFmtId="0" fontId="70" fillId="0" borderId="1" xfId="11" applyFont="1" applyBorder="1" applyAlignment="1">
      <alignment horizontal="center" vertical="center"/>
    </xf>
    <xf numFmtId="0" fontId="4" fillId="9" borderId="1" xfId="11" applyFont="1" applyFill="1" applyBorder="1" applyAlignment="1">
      <alignment horizontal="center" vertical="center"/>
    </xf>
    <xf numFmtId="0" fontId="71" fillId="23" borderId="1" xfId="11" applyFont="1" applyFill="1" applyBorder="1" applyAlignment="1">
      <alignment horizontal="center" vertical="center"/>
    </xf>
    <xf numFmtId="0" fontId="71" fillId="0" borderId="1" xfId="11" applyFont="1" applyBorder="1" applyAlignment="1">
      <alignment horizontal="center" vertical="center"/>
    </xf>
    <xf numFmtId="0" fontId="65" fillId="23" borderId="1" xfId="11" applyFont="1" applyFill="1" applyBorder="1" applyAlignment="1">
      <alignment horizontal="left" vertical="center" wrapText="1"/>
    </xf>
    <xf numFmtId="0" fontId="71" fillId="23" borderId="1" xfId="11" applyFont="1" applyFill="1" applyBorder="1" applyAlignment="1">
      <alignment horizontal="left" vertical="center" wrapText="1"/>
    </xf>
    <xf numFmtId="0" fontId="65" fillId="0" borderId="1" xfId="11" applyFont="1" applyBorder="1" applyAlignment="1">
      <alignment horizontal="left" vertical="center" wrapText="1"/>
    </xf>
    <xf numFmtId="0" fontId="65" fillId="23" borderId="1" xfId="11" applyFont="1" applyFill="1" applyBorder="1" applyAlignment="1">
      <alignment vertical="center" wrapText="1"/>
    </xf>
    <xf numFmtId="0" fontId="66" fillId="23" borderId="1" xfId="11" applyFont="1" applyFill="1" applyBorder="1" applyAlignment="1">
      <alignment horizontal="center" vertical="center"/>
    </xf>
    <xf numFmtId="0" fontId="72" fillId="23" borderId="0" xfId="11" applyFont="1" applyFill="1" applyAlignment="1">
      <alignment horizontal="center" vertical="center"/>
    </xf>
    <xf numFmtId="0" fontId="28" fillId="0" borderId="0" xfId="0" applyFont="1" applyAlignment="1">
      <alignment wrapText="1"/>
    </xf>
    <xf numFmtId="0" fontId="0" fillId="0" borderId="0" xfId="0" applyProtection="1">
      <protection locked="0"/>
    </xf>
    <xf numFmtId="179" fontId="15" fillId="32" borderId="1" xfId="0" applyNumberFormat="1" applyFont="1" applyFill="1" applyBorder="1" applyAlignment="1">
      <alignment horizontal="center" vertical="center"/>
    </xf>
    <xf numFmtId="179" fontId="15" fillId="33" borderId="1" xfId="0" applyNumberFormat="1" applyFont="1" applyFill="1" applyBorder="1" applyAlignment="1" applyProtection="1">
      <alignment horizontal="right" vertical="center"/>
      <protection locked="0"/>
    </xf>
    <xf numFmtId="0" fontId="15" fillId="33" borderId="6" xfId="0" applyFont="1" applyFill="1" applyBorder="1" applyAlignment="1" applyProtection="1">
      <alignment horizontal="left" vertical="center"/>
      <protection locked="0"/>
    </xf>
    <xf numFmtId="10" fontId="15" fillId="33" borderId="1" xfId="2" applyNumberFormat="1" applyFont="1" applyFill="1" applyBorder="1" applyAlignment="1" applyProtection="1">
      <alignment horizontal="right" vertical="center"/>
      <protection locked="0"/>
    </xf>
    <xf numFmtId="0" fontId="15" fillId="33" borderId="6" xfId="0" applyFont="1" applyFill="1" applyBorder="1" applyAlignment="1" applyProtection="1">
      <alignment horizontal="left" vertical="center" wrapText="1"/>
      <protection locked="0"/>
    </xf>
    <xf numFmtId="179" fontId="74" fillId="32" borderId="47" xfId="1" applyNumberFormat="1" applyFont="1" applyFill="1" applyBorder="1" applyAlignment="1">
      <alignment horizontal="right" vertical="center" wrapText="1"/>
    </xf>
    <xf numFmtId="179" fontId="74" fillId="32" borderId="1" xfId="1" applyNumberFormat="1" applyFont="1" applyFill="1" applyBorder="1" applyAlignment="1">
      <alignment horizontal="right" vertical="center" wrapText="1"/>
    </xf>
    <xf numFmtId="179" fontId="74" fillId="32" borderId="49" xfId="1" applyNumberFormat="1" applyFont="1" applyFill="1" applyBorder="1" applyAlignment="1">
      <alignment horizontal="right" vertical="center" wrapText="1"/>
    </xf>
    <xf numFmtId="179" fontId="15" fillId="32" borderId="49" xfId="0" applyNumberFormat="1" applyFont="1" applyFill="1" applyBorder="1" applyAlignment="1">
      <alignment horizontal="right" vertical="center"/>
    </xf>
    <xf numFmtId="0" fontId="28" fillId="23" borderId="0" xfId="0" applyFont="1" applyFill="1" applyAlignment="1">
      <alignment vertical="center"/>
    </xf>
    <xf numFmtId="0" fontId="0" fillId="33" borderId="1" xfId="0" applyFill="1" applyBorder="1"/>
    <xf numFmtId="0" fontId="37" fillId="23" borderId="0" xfId="8" applyFont="1" applyFill="1" applyAlignment="1">
      <alignment vertical="center"/>
    </xf>
    <xf numFmtId="0" fontId="37" fillId="23" borderId="0" xfId="8" applyFont="1" applyFill="1" applyAlignment="1">
      <alignment horizontal="right" vertical="center"/>
    </xf>
    <xf numFmtId="0" fontId="37" fillId="0" borderId="0" xfId="8" applyFont="1" applyAlignment="1">
      <alignment horizontal="right" vertical="center" wrapText="1"/>
    </xf>
    <xf numFmtId="179" fontId="37" fillId="0" borderId="0" xfId="8" applyNumberFormat="1" applyFont="1" applyAlignment="1">
      <alignment horizontal="right" vertical="center"/>
    </xf>
    <xf numFmtId="179" fontId="37" fillId="0" borderId="0" xfId="8" applyNumberFormat="1" applyFont="1" applyAlignment="1">
      <alignment horizontal="right" vertical="center" wrapText="1"/>
    </xf>
    <xf numFmtId="0" fontId="37" fillId="0" borderId="0" xfId="8" applyFont="1" applyAlignment="1">
      <alignment horizontal="right" vertical="center"/>
    </xf>
    <xf numFmtId="179" fontId="37" fillId="0" borderId="0" xfId="2" applyNumberFormat="1" applyFont="1" applyAlignment="1">
      <alignment horizontal="right" vertical="center"/>
    </xf>
    <xf numFmtId="0" fontId="49" fillId="0" borderId="0" xfId="8" applyFont="1" applyAlignment="1">
      <alignment horizontal="left" vertical="center"/>
    </xf>
    <xf numFmtId="10" fontId="49" fillId="0" borderId="0" xfId="2" applyNumberFormat="1" applyFont="1" applyAlignment="1">
      <alignment horizontal="left" vertical="center"/>
    </xf>
    <xf numFmtId="0" fontId="37" fillId="23" borderId="0" xfId="8" applyFont="1" applyFill="1" applyAlignment="1">
      <alignment horizontal="left" vertical="center"/>
    </xf>
    <xf numFmtId="0" fontId="52" fillId="2" borderId="1" xfId="0" applyFont="1" applyFill="1" applyBorder="1" applyAlignment="1">
      <alignment horizontal="center" vertical="center" wrapText="1"/>
    </xf>
    <xf numFmtId="0" fontId="40" fillId="0" borderId="1" xfId="8" applyFont="1" applyBorder="1" applyAlignment="1">
      <alignment horizontal="center" vertical="center" wrapText="1"/>
    </xf>
    <xf numFmtId="0" fontId="41" fillId="33" borderId="1" xfId="0" applyFont="1" applyFill="1" applyBorder="1" applyAlignment="1">
      <alignment horizontal="center" vertical="center" wrapText="1"/>
    </xf>
    <xf numFmtId="176" fontId="42" fillId="0" borderId="1" xfId="1" applyNumberFormat="1" applyFont="1" applyBorder="1" applyAlignment="1">
      <alignment vertical="center" wrapText="1"/>
    </xf>
    <xf numFmtId="176" fontId="28" fillId="2" borderId="47" xfId="0" applyNumberFormat="1" applyFont="1" applyFill="1" applyBorder="1" applyAlignment="1">
      <alignment vertical="center"/>
    </xf>
    <xf numFmtId="176" fontId="28" fillId="2" borderId="1" xfId="0" applyNumberFormat="1" applyFont="1" applyFill="1" applyBorder="1" applyAlignment="1">
      <alignment vertical="center"/>
    </xf>
    <xf numFmtId="0" fontId="28" fillId="33" borderId="1" xfId="0" applyFont="1" applyFill="1" applyBorder="1"/>
    <xf numFmtId="0" fontId="43" fillId="33" borderId="1" xfId="0" applyFont="1" applyFill="1" applyBorder="1" applyAlignment="1">
      <alignment horizontal="center" vertical="center" wrapText="1"/>
    </xf>
    <xf numFmtId="179" fontId="28" fillId="23" borderId="0" xfId="0" applyNumberFormat="1" applyFont="1" applyFill="1" applyAlignment="1">
      <alignment vertical="center"/>
    </xf>
    <xf numFmtId="176" fontId="45" fillId="33" borderId="47" xfId="1" applyNumberFormat="1" applyFont="1" applyFill="1" applyBorder="1" applyAlignment="1" applyProtection="1">
      <alignment vertical="center" wrapText="1"/>
      <protection locked="0"/>
    </xf>
    <xf numFmtId="176" fontId="45" fillId="33" borderId="1" xfId="1" applyNumberFormat="1" applyFont="1" applyFill="1" applyBorder="1" applyAlignment="1" applyProtection="1">
      <alignment vertical="center" wrapText="1"/>
      <protection locked="0"/>
    </xf>
    <xf numFmtId="176" fontId="45" fillId="33" borderId="49" xfId="1" applyNumberFormat="1" applyFont="1" applyFill="1" applyBorder="1" applyAlignment="1" applyProtection="1">
      <alignment vertical="center" wrapText="1"/>
      <protection locked="0"/>
    </xf>
    <xf numFmtId="0" fontId="44" fillId="23" borderId="0" xfId="0" applyFont="1" applyFill="1" applyAlignment="1">
      <alignment horizontal="left" vertical="center" wrapText="1"/>
    </xf>
    <xf numFmtId="179" fontId="74" fillId="33" borderId="47" xfId="1" applyNumberFormat="1" applyFont="1" applyFill="1" applyBorder="1" applyAlignment="1" applyProtection="1">
      <alignment horizontal="right" vertical="center" wrapText="1"/>
      <protection locked="0"/>
    </xf>
    <xf numFmtId="179" fontId="74" fillId="33" borderId="1" xfId="1" applyNumberFormat="1" applyFont="1" applyFill="1" applyBorder="1" applyAlignment="1" applyProtection="1">
      <alignment horizontal="right" vertical="center" wrapText="1"/>
      <protection locked="0"/>
    </xf>
    <xf numFmtId="179" fontId="74" fillId="33" borderId="49" xfId="1" applyNumberFormat="1" applyFont="1" applyFill="1" applyBorder="1" applyAlignment="1" applyProtection="1">
      <alignment horizontal="right" vertical="center" wrapText="1"/>
      <protection locked="0"/>
    </xf>
    <xf numFmtId="4" fontId="43" fillId="33" borderId="1" xfId="0" applyNumberFormat="1" applyFont="1" applyFill="1" applyBorder="1" applyAlignment="1">
      <alignment horizontal="center" vertical="center" wrapText="1"/>
    </xf>
    <xf numFmtId="176" fontId="45" fillId="0" borderId="47" xfId="1" applyNumberFormat="1" applyFont="1" applyBorder="1" applyAlignment="1">
      <alignment vertical="center" wrapText="1"/>
    </xf>
    <xf numFmtId="176" fontId="45" fillId="0" borderId="1" xfId="1" applyNumberFormat="1" applyFont="1" applyBorder="1" applyAlignment="1">
      <alignment vertical="center" wrapText="1"/>
    </xf>
    <xf numFmtId="176" fontId="45" fillId="0" borderId="49" xfId="1" applyNumberFormat="1" applyFont="1" applyBorder="1" applyAlignment="1">
      <alignment vertical="center" wrapText="1"/>
    </xf>
    <xf numFmtId="176" fontId="28" fillId="33" borderId="1" xfId="0" applyNumberFormat="1" applyFont="1" applyFill="1" applyBorder="1" applyAlignment="1" applyProtection="1">
      <alignment vertical="center"/>
      <protection locked="0"/>
    </xf>
    <xf numFmtId="176" fontId="28" fillId="33" borderId="49" xfId="0" applyNumberFormat="1" applyFont="1" applyFill="1" applyBorder="1" applyAlignment="1" applyProtection="1">
      <alignment vertical="center"/>
      <protection locked="0"/>
    </xf>
    <xf numFmtId="0" fontId="45" fillId="33" borderId="1" xfId="0" applyFont="1" applyFill="1" applyBorder="1" applyAlignment="1">
      <alignment horizontal="center" vertical="center" wrapText="1"/>
    </xf>
    <xf numFmtId="176" fontId="46" fillId="0" borderId="1" xfId="1" applyNumberFormat="1" applyFont="1" applyBorder="1" applyAlignment="1">
      <alignment vertical="center" wrapText="1"/>
    </xf>
    <xf numFmtId="179" fontId="15" fillId="33" borderId="49" xfId="0" applyNumberFormat="1" applyFont="1" applyFill="1" applyBorder="1" applyAlignment="1" applyProtection="1">
      <alignment horizontal="right" vertical="center"/>
      <protection locked="0"/>
    </xf>
    <xf numFmtId="0" fontId="47" fillId="33" borderId="1" xfId="0" applyFont="1" applyFill="1" applyBorder="1" applyAlignment="1">
      <alignment horizontal="center" vertical="center" wrapText="1"/>
    </xf>
    <xf numFmtId="0" fontId="47" fillId="33" borderId="2" xfId="0" applyFont="1" applyFill="1" applyBorder="1" applyAlignment="1">
      <alignment horizontal="center" vertical="center" wrapText="1"/>
    </xf>
    <xf numFmtId="176" fontId="28" fillId="2" borderId="50" xfId="0" applyNumberFormat="1" applyFont="1" applyFill="1" applyBorder="1" applyAlignment="1">
      <alignment vertical="center"/>
    </xf>
    <xf numFmtId="176" fontId="28" fillId="2" borderId="2" xfId="0" applyNumberFormat="1" applyFont="1" applyFill="1" applyBorder="1" applyAlignment="1">
      <alignment vertical="center"/>
    </xf>
    <xf numFmtId="179" fontId="74" fillId="33" borderId="50" xfId="1" applyNumberFormat="1" applyFont="1" applyFill="1" applyBorder="1" applyAlignment="1" applyProtection="1">
      <alignment horizontal="right" vertical="center" wrapText="1"/>
      <protection locked="0"/>
    </xf>
    <xf numFmtId="179" fontId="74" fillId="33" borderId="2" xfId="1" applyNumberFormat="1" applyFont="1" applyFill="1" applyBorder="1" applyAlignment="1" applyProtection="1">
      <alignment horizontal="right" vertical="center" wrapText="1"/>
      <protection locked="0"/>
    </xf>
    <xf numFmtId="179" fontId="15" fillId="33" borderId="2" xfId="0" applyNumberFormat="1" applyFont="1" applyFill="1" applyBorder="1" applyAlignment="1" applyProtection="1">
      <alignment horizontal="right" vertical="center"/>
      <protection locked="0"/>
    </xf>
    <xf numFmtId="179" fontId="15" fillId="33" borderId="53" xfId="0" applyNumberFormat="1" applyFont="1" applyFill="1" applyBorder="1" applyAlignment="1" applyProtection="1">
      <alignment horizontal="right" vertical="center"/>
      <protection locked="0"/>
    </xf>
    <xf numFmtId="0" fontId="49" fillId="33" borderId="46" xfId="0" applyFont="1" applyFill="1" applyBorder="1" applyAlignment="1">
      <alignment horizontal="center" vertical="center" wrapText="1"/>
    </xf>
    <xf numFmtId="176" fontId="46" fillId="0" borderId="46" xfId="1" applyNumberFormat="1" applyFont="1" applyBorder="1" applyAlignment="1">
      <alignment vertical="center" wrapText="1"/>
    </xf>
    <xf numFmtId="176" fontId="28" fillId="2" borderId="45" xfId="0" applyNumberFormat="1" applyFont="1" applyFill="1" applyBorder="1" applyAlignment="1">
      <alignment vertical="center"/>
    </xf>
    <xf numFmtId="176" fontId="28" fillId="2" borderId="46" xfId="0" applyNumberFormat="1" applyFont="1" applyFill="1" applyBorder="1" applyAlignment="1">
      <alignment vertical="center"/>
    </xf>
    <xf numFmtId="176" fontId="45" fillId="33" borderId="45" xfId="1" applyNumberFormat="1" applyFont="1" applyFill="1" applyBorder="1" applyAlignment="1" applyProtection="1">
      <alignment vertical="center" wrapText="1"/>
      <protection locked="0"/>
    </xf>
    <xf numFmtId="176" fontId="45" fillId="33" borderId="46" xfId="1" applyNumberFormat="1" applyFont="1" applyFill="1" applyBorder="1" applyAlignment="1" applyProtection="1">
      <alignment vertical="center" wrapText="1"/>
      <protection locked="0"/>
    </xf>
    <xf numFmtId="176" fontId="45" fillId="33" borderId="48" xfId="1" applyNumberFormat="1" applyFont="1" applyFill="1" applyBorder="1" applyAlignment="1" applyProtection="1">
      <alignment vertical="center" wrapText="1"/>
      <protection locked="0"/>
    </xf>
    <xf numFmtId="0" fontId="49" fillId="33" borderId="1" xfId="0" applyFont="1" applyFill="1" applyBorder="1" applyAlignment="1">
      <alignment horizontal="center" vertical="center" wrapText="1"/>
    </xf>
    <xf numFmtId="179" fontId="74" fillId="0" borderId="47" xfId="1" applyNumberFormat="1" applyFont="1" applyBorder="1" applyAlignment="1">
      <alignment horizontal="right" vertical="center" wrapText="1"/>
    </xf>
    <xf numFmtId="179" fontId="74" fillId="0" borderId="1" xfId="1" applyNumberFormat="1" applyFont="1" applyBorder="1" applyAlignment="1">
      <alignment horizontal="right" vertical="center" wrapText="1"/>
    </xf>
    <xf numFmtId="179" fontId="74" fillId="0" borderId="49" xfId="1" applyNumberFormat="1" applyFont="1" applyBorder="1" applyAlignment="1">
      <alignment horizontal="right" vertical="center" wrapText="1"/>
    </xf>
    <xf numFmtId="4" fontId="49" fillId="33" borderId="1" xfId="0" applyNumberFormat="1" applyFont="1" applyFill="1" applyBorder="1" applyAlignment="1">
      <alignment horizontal="center" vertical="center" wrapText="1"/>
    </xf>
    <xf numFmtId="4" fontId="49" fillId="33" borderId="2" xfId="0" applyNumberFormat="1" applyFont="1" applyFill="1" applyBorder="1" applyAlignment="1">
      <alignment horizontal="center" vertical="center" wrapText="1"/>
    </xf>
    <xf numFmtId="176" fontId="46" fillId="0" borderId="2" xfId="1" applyNumberFormat="1" applyFont="1" applyBorder="1" applyAlignment="1">
      <alignment vertical="center" wrapText="1"/>
    </xf>
    <xf numFmtId="176" fontId="45" fillId="0" borderId="50" xfId="1" applyNumberFormat="1" applyFont="1" applyBorder="1" applyAlignment="1">
      <alignment vertical="center" wrapText="1"/>
    </xf>
    <xf numFmtId="176" fontId="45" fillId="0" borderId="2" xfId="1" applyNumberFormat="1" applyFont="1" applyBorder="1" applyAlignment="1">
      <alignment vertical="center" wrapText="1"/>
    </xf>
    <xf numFmtId="176" fontId="45" fillId="0" borderId="53" xfId="1" applyNumberFormat="1" applyFont="1" applyBorder="1" applyAlignment="1">
      <alignment vertical="center" wrapText="1"/>
    </xf>
    <xf numFmtId="4" fontId="49" fillId="33" borderId="46" xfId="0" applyNumberFormat="1" applyFont="1" applyFill="1" applyBorder="1" applyAlignment="1">
      <alignment horizontal="center" vertical="center" wrapText="1"/>
    </xf>
    <xf numFmtId="176" fontId="46" fillId="33" borderId="46" xfId="1" applyNumberFormat="1" applyFont="1" applyFill="1" applyBorder="1" applyAlignment="1" applyProtection="1">
      <alignment vertical="center" wrapText="1"/>
      <protection locked="0"/>
    </xf>
    <xf numFmtId="176" fontId="45" fillId="0" borderId="45" xfId="1" applyNumberFormat="1" applyFont="1" applyBorder="1" applyAlignment="1">
      <alignment vertical="center" wrapText="1"/>
    </xf>
    <xf numFmtId="176" fontId="45" fillId="0" borderId="46" xfId="1" applyNumberFormat="1" applyFont="1" applyBorder="1" applyAlignment="1">
      <alignment vertical="center" wrapText="1"/>
    </xf>
    <xf numFmtId="176" fontId="45" fillId="0" borderId="48" xfId="1" applyNumberFormat="1" applyFont="1" applyBorder="1" applyAlignment="1">
      <alignment vertical="center" wrapText="1"/>
    </xf>
    <xf numFmtId="176" fontId="46" fillId="33" borderId="1" xfId="1" applyNumberFormat="1" applyFont="1" applyFill="1" applyBorder="1" applyAlignment="1" applyProtection="1">
      <alignment vertical="center" wrapText="1"/>
      <protection locked="0"/>
    </xf>
    <xf numFmtId="4" fontId="49" fillId="33" borderId="56" xfId="0" applyNumberFormat="1" applyFont="1" applyFill="1" applyBorder="1" applyAlignment="1">
      <alignment horizontal="center" vertical="center" wrapText="1"/>
    </xf>
    <xf numFmtId="176" fontId="46" fillId="33" borderId="56" xfId="1" applyNumberFormat="1" applyFont="1" applyFill="1" applyBorder="1" applyAlignment="1" applyProtection="1">
      <alignment vertical="center" wrapText="1"/>
      <protection locked="0"/>
    </xf>
    <xf numFmtId="176" fontId="28" fillId="2" borderId="55" xfId="0" applyNumberFormat="1" applyFont="1" applyFill="1" applyBorder="1" applyAlignment="1">
      <alignment vertical="center"/>
    </xf>
    <xf numFmtId="176" fontId="28" fillId="2" borderId="56" xfId="0" applyNumberFormat="1" applyFont="1" applyFill="1" applyBorder="1" applyAlignment="1">
      <alignment vertical="center"/>
    </xf>
    <xf numFmtId="176" fontId="45" fillId="0" borderId="55" xfId="1" applyNumberFormat="1" applyFont="1" applyBorder="1" applyAlignment="1">
      <alignment vertical="center" wrapText="1"/>
    </xf>
    <xf numFmtId="176" fontId="45" fillId="0" borderId="56" xfId="1" applyNumberFormat="1" applyFont="1" applyBorder="1" applyAlignment="1">
      <alignment vertical="center" wrapText="1"/>
    </xf>
    <xf numFmtId="176" fontId="45" fillId="0" borderId="57" xfId="1" applyNumberFormat="1" applyFont="1" applyBorder="1" applyAlignment="1">
      <alignment vertical="center" wrapText="1"/>
    </xf>
    <xf numFmtId="179" fontId="12" fillId="33" borderId="1" xfId="0" applyNumberFormat="1" applyFont="1" applyFill="1" applyBorder="1" applyAlignment="1" applyProtection="1">
      <alignment horizontal="right" vertical="center"/>
      <protection locked="0"/>
    </xf>
    <xf numFmtId="179" fontId="12" fillId="34" borderId="1" xfId="0" applyNumberFormat="1" applyFont="1" applyFill="1" applyBorder="1" applyAlignment="1">
      <alignment horizontal="right" vertical="center"/>
    </xf>
    <xf numFmtId="179" fontId="12" fillId="33" borderId="1" xfId="0" applyNumberFormat="1" applyFont="1" applyFill="1" applyBorder="1" applyAlignment="1" applyProtection="1">
      <alignment horizontal="center" vertical="center"/>
      <protection locked="0"/>
    </xf>
    <xf numFmtId="179" fontId="34" fillId="34" borderId="1" xfId="0" applyNumberFormat="1" applyFont="1" applyFill="1" applyBorder="1" applyAlignment="1">
      <alignment horizontal="center" vertical="center"/>
    </xf>
    <xf numFmtId="179" fontId="34" fillId="34" borderId="1" xfId="0" applyNumberFormat="1" applyFont="1" applyFill="1" applyBorder="1" applyAlignment="1">
      <alignment horizontal="right" vertical="center"/>
    </xf>
    <xf numFmtId="179" fontId="12" fillId="20" borderId="1" xfId="0" applyNumberFormat="1" applyFont="1" applyFill="1" applyBorder="1" applyAlignment="1" applyProtection="1">
      <alignment horizontal="center" vertical="center" wrapText="1"/>
      <protection locked="0"/>
    </xf>
    <xf numFmtId="179" fontId="12" fillId="20" borderId="1" xfId="1" applyNumberFormat="1" applyFont="1" applyFill="1" applyBorder="1" applyAlignment="1" applyProtection="1">
      <alignment horizontal="center" vertical="center"/>
      <protection locked="0"/>
    </xf>
    <xf numFmtId="0" fontId="85" fillId="0" borderId="0" xfId="12" applyFont="1" applyAlignment="1">
      <alignment vertical="center" wrapText="1"/>
    </xf>
    <xf numFmtId="0" fontId="86" fillId="0" borderId="63" xfId="12" applyFont="1" applyBorder="1" applyAlignment="1">
      <alignment horizontal="center" vertical="center" wrapText="1"/>
    </xf>
    <xf numFmtId="0" fontId="86" fillId="0" borderId="63" xfId="12" applyFont="1" applyBorder="1" applyAlignment="1">
      <alignment horizontal="center" vertical="center"/>
    </xf>
    <xf numFmtId="0" fontId="85" fillId="0" borderId="0" xfId="12" applyFont="1" applyAlignment="1">
      <alignment wrapText="1"/>
    </xf>
    <xf numFmtId="0" fontId="88" fillId="0" borderId="63" xfId="12" applyFont="1" applyBorder="1" applyAlignment="1">
      <alignment horizontal="center" vertical="center" wrapText="1"/>
    </xf>
    <xf numFmtId="2" fontId="88" fillId="0" borderId="63" xfId="12" applyNumberFormat="1" applyFont="1" applyBorder="1" applyAlignment="1">
      <alignment horizontal="center" vertical="center" wrapText="1"/>
    </xf>
    <xf numFmtId="180" fontId="85" fillId="0" borderId="63" xfId="12" applyNumberFormat="1" applyFont="1" applyBorder="1" applyAlignment="1">
      <alignment horizontal="center" vertical="center" wrapText="1"/>
    </xf>
    <xf numFmtId="3" fontId="88" fillId="0" borderId="63" xfId="12" applyNumberFormat="1" applyFont="1" applyBorder="1" applyAlignment="1">
      <alignment horizontal="center" vertical="center" wrapText="1"/>
    </xf>
    <xf numFmtId="10" fontId="88" fillId="0" borderId="63" xfId="12" applyNumberFormat="1" applyFont="1" applyBorder="1" applyAlignment="1">
      <alignment horizontal="center" vertical="center" wrapText="1"/>
    </xf>
    <xf numFmtId="0" fontId="88" fillId="0" borderId="0" xfId="12" applyFont="1" applyAlignment="1">
      <alignment horizontal="center" vertical="center" wrapText="1"/>
    </xf>
    <xf numFmtId="2" fontId="88" fillId="0" borderId="0" xfId="12" applyNumberFormat="1" applyFont="1" applyAlignment="1">
      <alignment horizontal="center" vertical="center" wrapText="1"/>
    </xf>
    <xf numFmtId="180" fontId="85" fillId="0" borderId="64" xfId="12" applyNumberFormat="1" applyFont="1" applyBorder="1" applyAlignment="1">
      <alignment horizontal="center" vertical="center" wrapText="1"/>
    </xf>
    <xf numFmtId="3" fontId="88" fillId="0" borderId="0" xfId="12" applyNumberFormat="1" applyFont="1" applyAlignment="1">
      <alignment horizontal="center" vertical="center" wrapText="1"/>
    </xf>
    <xf numFmtId="10" fontId="88" fillId="0" borderId="0" xfId="12" applyNumberFormat="1" applyFont="1" applyAlignment="1">
      <alignment horizontal="center" vertical="center" wrapText="1"/>
    </xf>
    <xf numFmtId="0" fontId="90" fillId="40" borderId="63" xfId="13" applyFont="1" applyFill="1" applyBorder="1" applyAlignment="1">
      <alignment horizontal="center" vertical="center" wrapText="1"/>
    </xf>
    <xf numFmtId="180" fontId="85" fillId="0" borderId="63" xfId="12" applyNumberFormat="1" applyFont="1" applyBorder="1" applyAlignment="1">
      <alignment horizontal="right" vertical="center" wrapText="1"/>
    </xf>
    <xf numFmtId="180" fontId="85" fillId="12" borderId="63" xfId="12" applyNumberFormat="1" applyFont="1" applyFill="1" applyBorder="1" applyAlignment="1">
      <alignment horizontal="right" vertical="center" wrapText="1"/>
    </xf>
    <xf numFmtId="180" fontId="91" fillId="0" borderId="63" xfId="12" applyNumberFormat="1" applyFont="1" applyBorder="1" applyAlignment="1">
      <alignment horizontal="right" vertical="center" wrapText="1"/>
    </xf>
    <xf numFmtId="0" fontId="91" fillId="0" borderId="63" xfId="12" applyFont="1" applyBorder="1" applyAlignment="1">
      <alignment horizontal="center" vertical="center" wrapText="1"/>
    </xf>
    <xf numFmtId="0" fontId="90" fillId="40" borderId="65" xfId="12" applyFont="1" applyFill="1" applyBorder="1" applyAlignment="1">
      <alignment horizontal="center" vertical="center" wrapText="1"/>
    </xf>
    <xf numFmtId="0" fontId="90" fillId="40" borderId="63" xfId="12" applyFont="1" applyFill="1" applyBorder="1" applyAlignment="1">
      <alignment horizontal="center" vertical="center" wrapText="1"/>
    </xf>
    <xf numFmtId="193" fontId="85" fillId="12" borderId="63" xfId="1" applyNumberFormat="1" applyFont="1" applyFill="1" applyBorder="1" applyAlignment="1">
      <alignment horizontal="right" vertical="center" wrapText="1"/>
    </xf>
    <xf numFmtId="9" fontId="85" fillId="0" borderId="63" xfId="2" applyFont="1" applyBorder="1" applyAlignment="1">
      <alignment horizontal="right" vertical="center" wrapText="1"/>
    </xf>
    <xf numFmtId="0" fontId="85" fillId="0" borderId="63" xfId="12" applyFont="1" applyBorder="1" applyAlignment="1">
      <alignment horizontal="center" vertical="center" wrapText="1"/>
    </xf>
    <xf numFmtId="0" fontId="85" fillId="40" borderId="63" xfId="12" applyFont="1" applyFill="1" applyBorder="1" applyAlignment="1">
      <alignment horizontal="center" vertical="center" wrapText="1"/>
    </xf>
    <xf numFmtId="0" fontId="85" fillId="40" borderId="65" xfId="12" applyFont="1" applyFill="1" applyBorder="1" applyAlignment="1">
      <alignment horizontal="center" vertical="center" wrapText="1"/>
    </xf>
    <xf numFmtId="179" fontId="85" fillId="0" borderId="65" xfId="12" applyNumberFormat="1" applyFont="1" applyBorder="1" applyAlignment="1">
      <alignment horizontal="center" vertical="center" wrapText="1"/>
    </xf>
    <xf numFmtId="179" fontId="85" fillId="0" borderId="63" xfId="12" applyNumberFormat="1" applyFont="1" applyBorder="1" applyAlignment="1">
      <alignment horizontal="center" vertical="center" wrapText="1"/>
    </xf>
    <xf numFmtId="179" fontId="85" fillId="0" borderId="0" xfId="12" applyNumberFormat="1" applyFont="1" applyAlignment="1">
      <alignment horizontal="center" vertical="center" wrapText="1"/>
    </xf>
    <xf numFmtId="0" fontId="94" fillId="0" borderId="0" xfId="14" applyNumberFormat="1" applyFont="1" applyAlignment="1">
      <alignment horizontal="left" vertical="center"/>
    </xf>
    <xf numFmtId="0" fontId="56" fillId="0" borderId="0" xfId="14" applyNumberFormat="1" applyFont="1" applyAlignment="1">
      <alignment horizontal="center" vertical="center" wrapText="1"/>
    </xf>
    <xf numFmtId="0" fontId="15" fillId="0" borderId="0" xfId="14" applyNumberFormat="1" applyFont="1" applyAlignment="1">
      <alignment horizontal="center" vertical="center" wrapText="1"/>
    </xf>
    <xf numFmtId="0" fontId="12" fillId="0" borderId="0" xfId="15" applyFont="1">
      <alignment vertical="center"/>
    </xf>
    <xf numFmtId="0" fontId="12" fillId="0" borderId="0" xfId="15" applyFont="1" applyAlignment="1">
      <alignment vertical="center" wrapText="1"/>
    </xf>
    <xf numFmtId="0" fontId="57" fillId="0" borderId="0" xfId="14" applyNumberFormat="1" applyFont="1" applyAlignment="1">
      <alignment horizontal="center" vertical="center"/>
    </xf>
    <xf numFmtId="0" fontId="15" fillId="0" borderId="0" xfId="14" applyNumberFormat="1" applyFont="1" applyAlignment="1">
      <alignment horizontal="center" vertical="center"/>
    </xf>
    <xf numFmtId="0" fontId="18" fillId="0" borderId="70" xfId="14" applyNumberFormat="1" applyFont="1" applyBorder="1" applyAlignment="1">
      <alignment horizontal="center" vertical="center"/>
    </xf>
    <xf numFmtId="0" fontId="18" fillId="0" borderId="71" xfId="14" applyNumberFormat="1" applyFont="1" applyBorder="1" applyAlignment="1">
      <alignment horizontal="center" vertical="center"/>
    </xf>
    <xf numFmtId="0" fontId="15" fillId="0" borderId="71" xfId="14" applyNumberFormat="1" applyFont="1" applyBorder="1" applyAlignment="1">
      <alignment horizontal="center" vertical="center"/>
    </xf>
    <xf numFmtId="38" fontId="18" fillId="0" borderId="71" xfId="14" applyFont="1" applyBorder="1" applyAlignment="1">
      <alignment horizontal="center" vertical="center"/>
    </xf>
    <xf numFmtId="0" fontId="18" fillId="0" borderId="72" xfId="14" applyNumberFormat="1" applyFont="1" applyBorder="1" applyAlignment="1">
      <alignment horizontal="center" vertical="center" wrapText="1"/>
    </xf>
    <xf numFmtId="0" fontId="95" fillId="0" borderId="73" xfId="17" applyFont="1" applyBorder="1" applyAlignment="1">
      <alignment horizontal="center" vertical="center" wrapText="1" readingOrder="1"/>
    </xf>
    <xf numFmtId="0" fontId="12" fillId="0" borderId="0" xfId="15" applyFont="1" applyAlignment="1">
      <alignment horizontal="right" vertical="center" wrapText="1"/>
    </xf>
    <xf numFmtId="0" fontId="18" fillId="0" borderId="0" xfId="14" applyNumberFormat="1" applyFont="1" applyAlignment="1">
      <alignment horizontal="center" vertical="center"/>
    </xf>
    <xf numFmtId="0" fontId="18" fillId="0" borderId="75" xfId="14" applyNumberFormat="1" applyFont="1" applyBorder="1" applyAlignment="1">
      <alignment horizontal="center" vertical="center"/>
    </xf>
    <xf numFmtId="0" fontId="18" fillId="0" borderId="76" xfId="14" applyNumberFormat="1" applyFont="1" applyBorder="1" applyAlignment="1">
      <alignment horizontal="center" vertical="center"/>
    </xf>
    <xf numFmtId="0" fontId="15" fillId="0" borderId="76" xfId="14" applyNumberFormat="1" applyFont="1" applyBorder="1" applyAlignment="1">
      <alignment horizontal="center" vertical="center"/>
    </xf>
    <xf numFmtId="179" fontId="18" fillId="0" borderId="76" xfId="14" applyNumberFormat="1" applyFont="1" applyBorder="1" applyAlignment="1">
      <alignment horizontal="center" vertical="center"/>
    </xf>
    <xf numFmtId="184" fontId="15" fillId="0" borderId="77" xfId="14" applyNumberFormat="1" applyFont="1" applyBorder="1" applyAlignment="1">
      <alignment horizontal="center" vertical="center" wrapText="1"/>
    </xf>
    <xf numFmtId="0" fontId="15" fillId="0" borderId="79" xfId="14" applyNumberFormat="1" applyFont="1" applyBorder="1" applyAlignment="1">
      <alignment horizontal="center" vertical="center"/>
    </xf>
    <xf numFmtId="0" fontId="15" fillId="0" borderId="82" xfId="14" applyNumberFormat="1" applyFont="1" applyBorder="1" applyAlignment="1">
      <alignment horizontal="center" vertical="center"/>
    </xf>
    <xf numFmtId="0" fontId="95" fillId="0" borderId="84" xfId="17" applyFont="1" applyBorder="1" applyAlignment="1">
      <alignment horizontal="center" vertical="center" wrapText="1" readingOrder="1"/>
    </xf>
    <xf numFmtId="4" fontId="12" fillId="0" borderId="0" xfId="15" applyNumberFormat="1" applyFont="1" applyAlignment="1">
      <alignment vertical="center" wrapText="1"/>
    </xf>
    <xf numFmtId="0" fontId="95" fillId="0" borderId="0" xfId="17" applyFont="1" applyAlignment="1">
      <alignment horizontal="center" vertical="center" wrapText="1" readingOrder="1"/>
    </xf>
    <xf numFmtId="0" fontId="95" fillId="0" borderId="86" xfId="17" applyFont="1" applyBorder="1" applyAlignment="1">
      <alignment horizontal="center" vertical="center" wrapText="1" readingOrder="1"/>
    </xf>
    <xf numFmtId="0" fontId="15" fillId="0" borderId="88" xfId="14" applyNumberFormat="1" applyFont="1" applyBorder="1" applyAlignment="1">
      <alignment horizontal="center" vertical="center"/>
    </xf>
    <xf numFmtId="9" fontId="15" fillId="0" borderId="0" xfId="14" applyNumberFormat="1" applyFont="1" applyAlignment="1">
      <alignment horizontal="center" vertical="center" wrapText="1"/>
    </xf>
    <xf numFmtId="10" fontId="15" fillId="0" borderId="0" xfId="14" applyNumberFormat="1" applyFont="1" applyAlignment="1">
      <alignment horizontal="center" vertical="center" wrapText="1"/>
    </xf>
    <xf numFmtId="0" fontId="93" fillId="0" borderId="0" xfId="14" applyNumberFormat="1" applyFont="1" applyAlignment="1">
      <alignment horizontal="center" vertical="center"/>
    </xf>
    <xf numFmtId="0" fontId="75" fillId="0" borderId="0" xfId="12" applyAlignment="1">
      <alignment vertical="center"/>
    </xf>
    <xf numFmtId="179" fontId="18" fillId="0" borderId="76" xfId="14" applyNumberFormat="1" applyFont="1" applyFill="1" applyBorder="1" applyAlignment="1">
      <alignment horizontal="center" vertical="center"/>
    </xf>
    <xf numFmtId="0" fontId="100" fillId="0" borderId="0" xfId="14" applyNumberFormat="1" applyFont="1" applyAlignment="1">
      <alignment horizontal="center" vertical="center"/>
    </xf>
    <xf numFmtId="179" fontId="18" fillId="0" borderId="0" xfId="14" applyNumberFormat="1" applyFont="1" applyAlignment="1">
      <alignment horizontal="center" vertical="center"/>
    </xf>
    <xf numFmtId="3" fontId="12" fillId="0" borderId="0" xfId="15" applyNumberFormat="1" applyFont="1">
      <alignment vertical="center"/>
    </xf>
    <xf numFmtId="179" fontId="15" fillId="0" borderId="89" xfId="14" applyNumberFormat="1" applyFont="1" applyFill="1" applyBorder="1" applyAlignment="1">
      <alignment horizontal="center" vertical="center"/>
    </xf>
    <xf numFmtId="0" fontId="18" fillId="0" borderId="91" xfId="14" applyNumberFormat="1" applyFont="1" applyBorder="1" applyAlignment="1">
      <alignment horizontal="center" vertical="center"/>
    </xf>
    <xf numFmtId="0" fontId="18" fillId="0" borderId="92" xfId="14" applyNumberFormat="1" applyFont="1" applyBorder="1" applyAlignment="1">
      <alignment horizontal="center" vertical="center"/>
    </xf>
    <xf numFmtId="0" fontId="15" fillId="0" borderId="92" xfId="14" applyNumberFormat="1" applyFont="1" applyBorder="1" applyAlignment="1">
      <alignment horizontal="center" vertical="center"/>
    </xf>
    <xf numFmtId="2" fontId="15" fillId="0" borderId="93" xfId="14" applyNumberFormat="1" applyFont="1" applyBorder="1" applyAlignment="1">
      <alignment horizontal="center" vertical="center" wrapText="1"/>
    </xf>
    <xf numFmtId="0" fontId="56" fillId="0" borderId="0" xfId="14" applyNumberFormat="1" applyFont="1" applyAlignment="1">
      <alignment horizontal="left" vertical="center" wrapText="1"/>
    </xf>
    <xf numFmtId="0" fontId="18" fillId="0" borderId="94" xfId="14" applyNumberFormat="1" applyFont="1" applyBorder="1" applyAlignment="1">
      <alignment horizontal="center" vertical="center"/>
    </xf>
    <xf numFmtId="0" fontId="18" fillId="0" borderId="95" xfId="14" applyNumberFormat="1" applyFont="1" applyBorder="1" applyAlignment="1">
      <alignment horizontal="center" vertical="center"/>
    </xf>
    <xf numFmtId="0" fontId="15" fillId="0" borderId="95" xfId="14" applyNumberFormat="1" applyFont="1" applyBorder="1" applyAlignment="1">
      <alignment horizontal="center" vertical="center"/>
    </xf>
    <xf numFmtId="179" fontId="18" fillId="0" borderId="95" xfId="14" applyNumberFormat="1" applyFont="1" applyBorder="1" applyAlignment="1">
      <alignment horizontal="center" vertical="center"/>
    </xf>
    <xf numFmtId="0" fontId="15" fillId="0" borderId="96" xfId="14" applyNumberFormat="1" applyFont="1" applyBorder="1" applyAlignment="1">
      <alignment horizontal="center" vertical="center" wrapText="1"/>
    </xf>
    <xf numFmtId="3" fontId="15" fillId="0" borderId="0" xfId="14" applyNumberFormat="1" applyFont="1" applyAlignment="1">
      <alignment horizontal="center" vertical="center" wrapText="1"/>
    </xf>
    <xf numFmtId="0" fontId="101" fillId="0" borderId="0" xfId="14" applyNumberFormat="1" applyFont="1" applyAlignment="1">
      <alignment horizontal="center" vertical="center"/>
    </xf>
    <xf numFmtId="3" fontId="101" fillId="0" borderId="0" xfId="14" applyNumberFormat="1" applyFont="1" applyFill="1" applyAlignment="1">
      <alignment horizontal="center" vertical="center"/>
    </xf>
    <xf numFmtId="10" fontId="101" fillId="0" borderId="0" xfId="14" applyNumberFormat="1" applyFont="1" applyAlignment="1">
      <alignment horizontal="center" vertical="center" wrapText="1"/>
    </xf>
    <xf numFmtId="0" fontId="101" fillId="0" borderId="0" xfId="14" applyNumberFormat="1" applyFont="1" applyAlignment="1">
      <alignment horizontal="center" vertical="center" wrapText="1"/>
    </xf>
    <xf numFmtId="0" fontId="12" fillId="0" borderId="88" xfId="15" applyFont="1" applyBorder="1" applyAlignment="1">
      <alignment horizontal="center" vertical="center" wrapText="1"/>
    </xf>
    <xf numFmtId="0" fontId="12" fillId="0" borderId="89" xfId="15" applyFont="1" applyBorder="1" applyAlignment="1">
      <alignment horizontal="center" vertical="center" wrapText="1"/>
    </xf>
    <xf numFmtId="0" fontId="12" fillId="0" borderId="90" xfId="15" applyFont="1" applyBorder="1" applyAlignment="1">
      <alignment horizontal="center" vertical="center" wrapText="1"/>
    </xf>
    <xf numFmtId="181" fontId="12" fillId="0" borderId="0" xfId="15" applyNumberFormat="1" applyFont="1">
      <alignment vertical="center"/>
    </xf>
    <xf numFmtId="0" fontId="34" fillId="0" borderId="0" xfId="14" applyNumberFormat="1" applyFont="1" applyAlignment="1">
      <alignment horizontal="center" vertical="center"/>
    </xf>
    <xf numFmtId="0" fontId="101" fillId="0" borderId="0" xfId="14" applyNumberFormat="1" applyFont="1" applyAlignment="1">
      <alignment horizontal="left" vertical="center" wrapText="1"/>
    </xf>
    <xf numFmtId="1" fontId="56" fillId="0" borderId="0" xfId="14" applyNumberFormat="1" applyFont="1" applyAlignment="1">
      <alignment horizontal="left" vertical="center" wrapText="1"/>
    </xf>
    <xf numFmtId="0" fontId="104" fillId="0" borderId="0" xfId="14" applyNumberFormat="1" applyFont="1" applyAlignment="1">
      <alignment horizontal="center" vertical="center"/>
    </xf>
    <xf numFmtId="0" fontId="12" fillId="0" borderId="0" xfId="15" applyFont="1" applyAlignment="1">
      <alignment horizontal="center" vertical="center"/>
    </xf>
    <xf numFmtId="0" fontId="101" fillId="0" borderId="0" xfId="14" applyNumberFormat="1" applyFont="1" applyAlignment="1">
      <alignment vertical="center"/>
    </xf>
    <xf numFmtId="0" fontId="100" fillId="0" borderId="0" xfId="14" applyNumberFormat="1" applyFont="1" applyAlignment="1">
      <alignment horizontal="center" vertical="center" wrapText="1"/>
    </xf>
    <xf numFmtId="3" fontId="101" fillId="0" borderId="0" xfId="14" applyNumberFormat="1" applyFont="1" applyAlignment="1">
      <alignment horizontal="left" vertical="center" wrapText="1"/>
    </xf>
    <xf numFmtId="3" fontId="101" fillId="0" borderId="0" xfId="14" applyNumberFormat="1" applyFont="1" applyAlignment="1">
      <alignment horizontal="center" vertical="center"/>
    </xf>
    <xf numFmtId="0" fontId="101" fillId="0" borderId="0" xfId="14" applyNumberFormat="1" applyFont="1" applyAlignment="1">
      <alignment vertical="center" wrapText="1"/>
    </xf>
    <xf numFmtId="2" fontId="100" fillId="0" borderId="0" xfId="14" applyNumberFormat="1" applyFont="1" applyAlignment="1">
      <alignment horizontal="left" vertical="center" wrapText="1"/>
    </xf>
    <xf numFmtId="0" fontId="101" fillId="0" borderId="0" xfId="14" applyNumberFormat="1" applyFont="1" applyAlignment="1">
      <alignment horizontal="right" vertical="center"/>
    </xf>
    <xf numFmtId="0" fontId="34" fillId="0" borderId="0" xfId="14" applyNumberFormat="1" applyFont="1" applyAlignment="1">
      <alignment horizontal="center" vertical="center" wrapText="1"/>
    </xf>
    <xf numFmtId="181" fontId="101" fillId="0" borderId="0" xfId="14" applyNumberFormat="1" applyFont="1" applyAlignment="1">
      <alignment horizontal="left" vertical="center" wrapText="1"/>
    </xf>
    <xf numFmtId="180" fontId="12" fillId="0" borderId="0" xfId="15" applyNumberFormat="1" applyFont="1" applyAlignment="1">
      <alignment horizontal="center" vertical="center"/>
    </xf>
    <xf numFmtId="184" fontId="101" fillId="0" borderId="0" xfId="14" applyNumberFormat="1" applyFont="1" applyAlignment="1">
      <alignment horizontal="left" vertical="center" wrapText="1"/>
    </xf>
    <xf numFmtId="0" fontId="101" fillId="0" borderId="0" xfId="14" applyNumberFormat="1" applyFont="1" applyAlignment="1">
      <alignment horizontal="left" vertical="center"/>
    </xf>
    <xf numFmtId="40" fontId="101" fillId="0" borderId="0" xfId="14" applyNumberFormat="1" applyFont="1" applyAlignment="1">
      <alignment horizontal="left" vertical="center" wrapText="1"/>
    </xf>
    <xf numFmtId="10" fontId="101" fillId="0" borderId="0" xfId="14" applyNumberFormat="1" applyFont="1" applyAlignment="1">
      <alignment horizontal="left" vertical="center" wrapText="1"/>
    </xf>
    <xf numFmtId="189" fontId="101" fillId="0" borderId="0" xfId="14" applyNumberFormat="1" applyFont="1" applyAlignment="1">
      <alignment horizontal="left" vertical="center" wrapText="1"/>
    </xf>
    <xf numFmtId="0" fontId="104" fillId="0" borderId="0" xfId="14" applyNumberFormat="1" applyFont="1" applyAlignment="1">
      <alignment horizontal="center" vertical="center" wrapText="1"/>
    </xf>
    <xf numFmtId="0" fontId="99" fillId="0" borderId="0" xfId="14" applyNumberFormat="1" applyFont="1" applyAlignment="1">
      <alignment horizontal="center" vertical="center"/>
    </xf>
    <xf numFmtId="180" fontId="101" fillId="0" borderId="0" xfId="14" applyNumberFormat="1" applyFont="1" applyAlignment="1">
      <alignment horizontal="center" vertical="center"/>
    </xf>
    <xf numFmtId="0" fontId="56" fillId="0" borderId="0" xfId="14" applyNumberFormat="1" applyFont="1" applyAlignment="1">
      <alignment horizontal="center" vertical="center"/>
    </xf>
    <xf numFmtId="0" fontId="105" fillId="0" borderId="0" xfId="14" applyNumberFormat="1" applyFont="1" applyAlignment="1">
      <alignment horizontal="center" vertical="center"/>
    </xf>
    <xf numFmtId="0" fontId="105" fillId="0" borderId="0" xfId="14" applyNumberFormat="1" applyFont="1" applyAlignment="1">
      <alignment horizontal="center" vertical="center" wrapText="1"/>
    </xf>
    <xf numFmtId="179" fontId="12" fillId="0" borderId="0" xfId="15" applyNumberFormat="1" applyFont="1" applyAlignment="1">
      <alignment horizontal="center" vertical="center"/>
    </xf>
    <xf numFmtId="3" fontId="105" fillId="0" borderId="0" xfId="14" applyNumberFormat="1" applyFont="1" applyAlignment="1">
      <alignment horizontal="center" vertical="center"/>
    </xf>
    <xf numFmtId="3" fontId="100" fillId="0" borderId="0" xfId="14" applyNumberFormat="1" applyFont="1" applyAlignment="1">
      <alignment horizontal="center" vertical="center"/>
    </xf>
    <xf numFmtId="3" fontId="34" fillId="0" borderId="0" xfId="14" applyNumberFormat="1" applyFont="1" applyAlignment="1">
      <alignment horizontal="center" vertical="center"/>
    </xf>
    <xf numFmtId="0" fontId="101" fillId="0" borderId="0" xfId="15" applyFont="1">
      <alignment vertical="center"/>
    </xf>
    <xf numFmtId="0" fontId="108" fillId="0" borderId="0" xfId="21" applyFont="1" applyAlignment="1" applyProtection="1">
      <alignment horizontal="left" vertical="center"/>
    </xf>
    <xf numFmtId="0" fontId="22" fillId="0" borderId="0" xfId="21" applyFont="1" applyProtection="1"/>
    <xf numFmtId="0" fontId="22" fillId="0" borderId="0" xfId="21" applyFont="1" applyAlignment="1" applyProtection="1">
      <alignment horizontal="center" vertical="center"/>
    </xf>
    <xf numFmtId="0" fontId="109" fillId="42" borderId="63" xfId="21" applyFont="1" applyFill="1" applyBorder="1" applyAlignment="1" applyProtection="1">
      <alignment horizontal="center" vertical="center" wrapText="1" shrinkToFit="1"/>
    </xf>
    <xf numFmtId="176" fontId="109" fillId="42" borderId="63" xfId="22" applyFont="1" applyFill="1" applyBorder="1" applyAlignment="1" applyProtection="1">
      <alignment horizontal="center" vertical="center"/>
    </xf>
    <xf numFmtId="176" fontId="109" fillId="42" borderId="63" xfId="22" applyFont="1" applyFill="1" applyBorder="1" applyAlignment="1" applyProtection="1">
      <alignment horizontal="center" vertical="center" wrapText="1"/>
    </xf>
    <xf numFmtId="176" fontId="109" fillId="42" borderId="63" xfId="22" applyFont="1" applyFill="1" applyBorder="1" applyAlignment="1" applyProtection="1">
      <alignment horizontal="center" vertical="center" wrapText="1" shrinkToFit="1"/>
    </xf>
    <xf numFmtId="0" fontId="112" fillId="42" borderId="0" xfId="21" applyFont="1" applyFill="1" applyProtection="1"/>
    <xf numFmtId="0" fontId="112" fillId="42" borderId="0" xfId="21" applyFont="1" applyFill="1" applyAlignment="1" applyProtection="1">
      <alignment horizontal="center" vertical="center"/>
    </xf>
    <xf numFmtId="49" fontId="113" fillId="43" borderId="63" xfId="21" applyNumberFormat="1" applyFont="1" applyFill="1" applyBorder="1" applyAlignment="1" applyProtection="1">
      <alignment horizontal="center" vertical="center"/>
    </xf>
    <xf numFmtId="176" fontId="113" fillId="44" borderId="63" xfId="18" applyFont="1" applyFill="1" applyBorder="1" applyAlignment="1" applyProtection="1">
      <alignment horizontal="center" vertical="center" wrapText="1" shrinkToFit="1"/>
    </xf>
    <xf numFmtId="176" fontId="87" fillId="44" borderId="63" xfId="22" applyFont="1" applyFill="1" applyBorder="1" applyAlignment="1" applyProtection="1">
      <alignment horizontal="center" vertical="center" wrapText="1" shrinkToFit="1"/>
    </xf>
    <xf numFmtId="176" fontId="114" fillId="41" borderId="63" xfId="22" applyFont="1" applyFill="1" applyBorder="1" applyAlignment="1" applyProtection="1">
      <alignment horizontal="center" vertical="center" wrapText="1" shrinkToFit="1"/>
    </xf>
    <xf numFmtId="176" fontId="114" fillId="41" borderId="63" xfId="22" applyFont="1" applyFill="1" applyBorder="1" applyAlignment="1" applyProtection="1">
      <alignment horizontal="right" vertical="center" wrapText="1" shrinkToFit="1"/>
    </xf>
    <xf numFmtId="176" fontId="106" fillId="41" borderId="63" xfId="22" applyFont="1" applyFill="1" applyBorder="1" applyAlignment="1" applyProtection="1">
      <alignment horizontal="center" vertical="center" wrapText="1" shrinkToFit="1"/>
    </xf>
    <xf numFmtId="176" fontId="92" fillId="43" borderId="63" xfId="22" applyFont="1" applyFill="1" applyBorder="1" applyAlignment="1" applyProtection="1">
      <alignment horizontal="right" vertical="center" wrapText="1" shrinkToFit="1"/>
    </xf>
    <xf numFmtId="176" fontId="92" fillId="45" borderId="63" xfId="22" applyFont="1" applyFill="1" applyBorder="1" applyAlignment="1" applyProtection="1">
      <alignment horizontal="right" vertical="center" wrapText="1" shrinkToFit="1"/>
    </xf>
    <xf numFmtId="176" fontId="92" fillId="43" borderId="63" xfId="22" applyFont="1" applyFill="1" applyBorder="1" applyAlignment="1" applyProtection="1">
      <alignment horizontal="right" vertical="center"/>
    </xf>
    <xf numFmtId="0" fontId="87" fillId="44" borderId="63" xfId="21" applyFont="1" applyFill="1" applyBorder="1" applyAlignment="1" applyProtection="1">
      <alignment horizontal="left" vertical="center"/>
    </xf>
    <xf numFmtId="176" fontId="87" fillId="44" borderId="63" xfId="21" applyNumberFormat="1" applyFont="1" applyFill="1" applyBorder="1" applyAlignment="1" applyProtection="1">
      <alignment horizontal="left" vertical="center" wrapText="1"/>
    </xf>
    <xf numFmtId="0" fontId="87" fillId="44" borderId="63" xfId="21" applyFont="1" applyFill="1" applyBorder="1" applyAlignment="1" applyProtection="1">
      <alignment horizontal="left" vertical="center" wrapText="1"/>
    </xf>
    <xf numFmtId="0" fontId="112" fillId="0" borderId="0" xfId="21" applyFont="1" applyProtection="1"/>
    <xf numFmtId="0" fontId="112" fillId="0" borderId="0" xfId="21" applyFont="1" applyAlignment="1" applyProtection="1">
      <alignment horizontal="center" vertical="center"/>
    </xf>
    <xf numFmtId="176" fontId="113" fillId="44" borderId="63" xfId="22" applyFont="1" applyFill="1" applyBorder="1" applyAlignment="1" applyProtection="1">
      <alignment horizontal="center" vertical="center" wrapText="1" shrinkToFit="1"/>
    </xf>
    <xf numFmtId="176" fontId="87" fillId="44" borderId="63" xfId="22" applyFont="1" applyFill="1" applyBorder="1" applyAlignment="1" applyProtection="1">
      <alignment horizontal="right" vertical="center" wrapText="1" shrinkToFit="1"/>
    </xf>
    <xf numFmtId="176" fontId="87" fillId="43" borderId="63" xfId="22" applyFont="1" applyFill="1" applyBorder="1" applyAlignment="1" applyProtection="1">
      <alignment horizontal="center" vertical="center" wrapText="1" shrinkToFit="1"/>
    </xf>
    <xf numFmtId="176" fontId="113" fillId="46" borderId="63" xfId="22" applyFont="1" applyFill="1" applyBorder="1" applyAlignment="1" applyProtection="1">
      <alignment horizontal="center" vertical="center" wrapText="1" shrinkToFit="1"/>
    </xf>
    <xf numFmtId="176" fontId="87" fillId="46" borderId="63" xfId="22" applyFont="1" applyFill="1" applyBorder="1" applyAlignment="1" applyProtection="1">
      <alignment horizontal="center" vertical="center" wrapText="1" shrinkToFit="1"/>
    </xf>
    <xf numFmtId="176" fontId="87" fillId="46" borderId="63" xfId="22" applyFont="1" applyFill="1" applyBorder="1" applyAlignment="1" applyProtection="1">
      <alignment horizontal="right" vertical="center" wrapText="1" shrinkToFit="1"/>
    </xf>
    <xf numFmtId="179" fontId="113" fillId="47" borderId="63" xfId="22" applyNumberFormat="1" applyFont="1" applyFill="1" applyBorder="1" applyAlignment="1" applyProtection="1">
      <alignment horizontal="center" vertical="center" wrapText="1" shrinkToFit="1"/>
    </xf>
    <xf numFmtId="176" fontId="92" fillId="46" borderId="63" xfId="22" applyFont="1" applyFill="1" applyBorder="1" applyAlignment="1" applyProtection="1">
      <alignment horizontal="right" vertical="center" wrapText="1" shrinkToFit="1"/>
    </xf>
    <xf numFmtId="176" fontId="92" fillId="46" borderId="63" xfId="22" applyFont="1" applyFill="1" applyBorder="1" applyAlignment="1" applyProtection="1">
      <alignment horizontal="right" vertical="center"/>
    </xf>
    <xf numFmtId="0" fontId="113" fillId="46" borderId="63" xfId="21" applyFont="1" applyFill="1" applyBorder="1" applyAlignment="1" applyProtection="1">
      <alignment horizontal="right" vertical="center" wrapText="1"/>
    </xf>
    <xf numFmtId="0" fontId="115" fillId="47" borderId="63" xfId="22" applyNumberFormat="1" applyFont="1" applyFill="1" applyBorder="1" applyAlignment="1" applyProtection="1">
      <alignment horizontal="right" vertical="center" wrapText="1" shrinkToFit="1"/>
    </xf>
    <xf numFmtId="0" fontId="87" fillId="46" borderId="63" xfId="21" applyFont="1" applyFill="1" applyBorder="1" applyAlignment="1" applyProtection="1">
      <alignment horizontal="left" vertical="center" wrapText="1"/>
    </xf>
    <xf numFmtId="176" fontId="112" fillId="0" borderId="0" xfId="21" applyNumberFormat="1" applyFont="1" applyProtection="1"/>
    <xf numFmtId="176" fontId="87" fillId="41" borderId="63" xfId="22" applyFont="1" applyFill="1" applyBorder="1" applyAlignment="1" applyProtection="1">
      <alignment horizontal="center" vertical="center" wrapText="1" shrinkToFit="1"/>
    </xf>
    <xf numFmtId="0" fontId="112" fillId="0" borderId="62" xfId="21" applyFont="1" applyBorder="1" applyAlignment="1" applyProtection="1">
      <alignment wrapText="1"/>
    </xf>
    <xf numFmtId="0" fontId="112" fillId="0" borderId="0" xfId="21" applyFont="1" applyAlignment="1" applyProtection="1">
      <alignment wrapText="1"/>
    </xf>
    <xf numFmtId="176" fontId="112" fillId="0" borderId="0" xfId="21" applyNumberFormat="1" applyFont="1" applyAlignment="1" applyProtection="1">
      <alignment wrapText="1"/>
    </xf>
    <xf numFmtId="176" fontId="113" fillId="43" borderId="63" xfId="22" applyFont="1" applyFill="1" applyBorder="1" applyAlignment="1" applyProtection="1">
      <alignment horizontal="center" vertical="center" wrapText="1" shrinkToFit="1"/>
    </xf>
    <xf numFmtId="176" fontId="113" fillId="43" borderId="63" xfId="22" applyFont="1" applyFill="1" applyBorder="1" applyAlignment="1" applyProtection="1">
      <alignment horizontal="right" vertical="center" wrapText="1" shrinkToFit="1"/>
    </xf>
    <xf numFmtId="43" fontId="113" fillId="43" borderId="63" xfId="22" applyNumberFormat="1" applyFont="1" applyFill="1" applyBorder="1" applyAlignment="1" applyProtection="1">
      <alignment horizontal="right" vertical="center" wrapText="1" shrinkToFit="1"/>
    </xf>
    <xf numFmtId="176" fontId="115" fillId="43" borderId="63" xfId="22" applyFont="1" applyFill="1" applyBorder="1" applyAlignment="1" applyProtection="1">
      <alignment horizontal="right" vertical="center" wrapText="1" shrinkToFit="1"/>
    </xf>
    <xf numFmtId="176" fontId="115" fillId="43" borderId="63" xfId="22" applyFont="1" applyFill="1" applyBorder="1" applyAlignment="1" applyProtection="1">
      <alignment horizontal="right" vertical="center"/>
    </xf>
    <xf numFmtId="0" fontId="113" fillId="43" borderId="63" xfId="21" applyFont="1" applyFill="1" applyBorder="1" applyAlignment="1" applyProtection="1">
      <alignment horizontal="right" vertical="center" wrapText="1"/>
    </xf>
    <xf numFmtId="0" fontId="87" fillId="43" borderId="63" xfId="21" applyFont="1" applyFill="1" applyBorder="1" applyAlignment="1" applyProtection="1">
      <alignment horizontal="left" vertical="center" wrapText="1"/>
    </xf>
    <xf numFmtId="0" fontId="117" fillId="0" borderId="0" xfId="23" applyFont="1" applyAlignment="1" applyProtection="1">
      <alignment horizontal="left" vertical="center"/>
    </xf>
    <xf numFmtId="0" fontId="112" fillId="0" borderId="0" xfId="21" applyFont="1" applyAlignment="1" applyProtection="1">
      <alignment horizontal="left" vertical="center"/>
    </xf>
    <xf numFmtId="0" fontId="118" fillId="42" borderId="0" xfId="21" applyFont="1" applyFill="1" applyProtection="1"/>
    <xf numFmtId="0" fontId="118" fillId="42" borderId="0" xfId="21" applyFont="1" applyFill="1" applyAlignment="1" applyProtection="1">
      <alignment horizontal="center" vertical="center"/>
    </xf>
    <xf numFmtId="176" fontId="87" fillId="48" borderId="63" xfId="22" applyFont="1" applyFill="1" applyBorder="1" applyAlignment="1" applyProtection="1">
      <alignment horizontal="center" vertical="center" wrapText="1" shrinkToFit="1"/>
    </xf>
    <xf numFmtId="176" fontId="87" fillId="49" borderId="63" xfId="22" applyFont="1" applyFill="1" applyBorder="1" applyAlignment="1" applyProtection="1">
      <alignment horizontal="center" vertical="center" wrapText="1" shrinkToFit="1"/>
    </xf>
    <xf numFmtId="176" fontId="87" fillId="43" borderId="107" xfId="22" applyFont="1" applyFill="1" applyBorder="1" applyAlignment="1" applyProtection="1">
      <alignment horizontal="right" vertical="center" wrapText="1" shrinkToFit="1"/>
    </xf>
    <xf numFmtId="176" fontId="92" fillId="49" borderId="63" xfId="22" applyFont="1" applyFill="1" applyBorder="1" applyAlignment="1" applyProtection="1">
      <alignment horizontal="right" vertical="center" wrapText="1" shrinkToFit="1"/>
    </xf>
    <xf numFmtId="176" fontId="92" fillId="49" borderId="63" xfId="22" applyFont="1" applyFill="1" applyBorder="1" applyAlignment="1" applyProtection="1">
      <alignment horizontal="right" vertical="center"/>
    </xf>
    <xf numFmtId="176" fontId="87" fillId="43" borderId="63" xfId="22" applyFont="1" applyFill="1" applyBorder="1" applyAlignment="1" applyProtection="1">
      <alignment horizontal="right" vertical="center" wrapText="1" shrinkToFit="1"/>
    </xf>
    <xf numFmtId="0" fontId="107" fillId="0" borderId="0" xfId="21" applyFont="1" applyAlignment="1" applyProtection="1">
      <alignment horizontal="center" vertical="center"/>
    </xf>
    <xf numFmtId="176" fontId="115" fillId="45" borderId="63" xfId="22" applyFont="1" applyFill="1" applyBorder="1" applyAlignment="1" applyProtection="1">
      <alignment horizontal="right" vertical="center"/>
    </xf>
    <xf numFmtId="176" fontId="111" fillId="42" borderId="63" xfId="22" applyFont="1" applyFill="1" applyBorder="1" applyAlignment="1" applyProtection="1">
      <alignment horizontal="left" vertical="center" wrapText="1" shrinkToFit="1"/>
    </xf>
    <xf numFmtId="176" fontId="111" fillId="42" borderId="63" xfId="22" applyFont="1" applyFill="1" applyBorder="1" applyAlignment="1" applyProtection="1">
      <alignment horizontal="center" vertical="center" wrapText="1" shrinkToFit="1"/>
    </xf>
    <xf numFmtId="176" fontId="109" fillId="42" borderId="63" xfId="22" applyFont="1" applyFill="1" applyBorder="1" applyAlignment="1" applyProtection="1">
      <alignment horizontal="right" vertical="center" wrapText="1" shrinkToFit="1"/>
    </xf>
    <xf numFmtId="176" fontId="113" fillId="43" borderId="63" xfId="22" applyFont="1" applyFill="1" applyBorder="1" applyAlignment="1" applyProtection="1">
      <alignment horizontal="left" vertical="center" wrapText="1" shrinkToFit="1"/>
    </xf>
    <xf numFmtId="176" fontId="92" fillId="43" borderId="107" xfId="22" applyFont="1" applyFill="1" applyBorder="1" applyAlignment="1" applyProtection="1">
      <alignment horizontal="right" vertical="center" wrapText="1" shrinkToFit="1"/>
    </xf>
    <xf numFmtId="176" fontId="113" fillId="43" borderId="63" xfId="22" applyFont="1" applyFill="1" applyBorder="1" applyAlignment="1" applyProtection="1">
      <alignment horizontal="center" vertical="center"/>
    </xf>
    <xf numFmtId="0" fontId="92" fillId="0" borderId="0" xfId="21" applyFont="1" applyProtection="1"/>
    <xf numFmtId="0" fontId="92" fillId="0" borderId="0" xfId="21" applyFont="1" applyAlignment="1" applyProtection="1">
      <alignment horizontal="center" vertical="center"/>
    </xf>
    <xf numFmtId="0" fontId="22" fillId="0" borderId="0" xfId="21" applyFont="1" applyAlignment="1" applyProtection="1">
      <alignment horizontal="center"/>
    </xf>
    <xf numFmtId="49" fontId="109" fillId="42" borderId="65" xfId="21" applyNumberFormat="1" applyFont="1" applyFill="1" applyBorder="1" applyAlignment="1" applyProtection="1">
      <alignment horizontal="center" vertical="center" wrapText="1"/>
    </xf>
    <xf numFmtId="176" fontId="92" fillId="51" borderId="63" xfId="22" applyFont="1" applyFill="1" applyBorder="1" applyAlignment="1" applyProtection="1">
      <alignment horizontal="right" vertical="center" wrapText="1" shrinkToFit="1"/>
    </xf>
    <xf numFmtId="0" fontId="87" fillId="44" borderId="65" xfId="21" applyFont="1" applyFill="1" applyBorder="1" applyAlignment="1" applyProtection="1">
      <alignment horizontal="left" vertical="center" wrapText="1"/>
    </xf>
    <xf numFmtId="176" fontId="47" fillId="43" borderId="63" xfId="22" applyFont="1" applyFill="1" applyBorder="1" applyAlignment="1" applyProtection="1">
      <alignment horizontal="center" vertical="center" wrapText="1" shrinkToFit="1"/>
    </xf>
    <xf numFmtId="176" fontId="113" fillId="45" borderId="63" xfId="22" applyFont="1" applyFill="1" applyBorder="1" applyAlignment="1" applyProtection="1">
      <alignment horizontal="right" vertical="center" wrapText="1" shrinkToFit="1"/>
    </xf>
    <xf numFmtId="176" fontId="113" fillId="44" borderId="63" xfId="22" applyFont="1" applyFill="1" applyBorder="1" applyAlignment="1" applyProtection="1">
      <alignment horizontal="center" vertical="center" wrapText="1"/>
    </xf>
    <xf numFmtId="176" fontId="92" fillId="44" borderId="63" xfId="22" applyFont="1" applyFill="1" applyBorder="1" applyAlignment="1" applyProtection="1">
      <alignment horizontal="right" vertical="center" wrapText="1" shrinkToFit="1"/>
    </xf>
    <xf numFmtId="176" fontId="92" fillId="48" borderId="63" xfId="22" applyFont="1" applyFill="1" applyBorder="1" applyAlignment="1" applyProtection="1">
      <alignment horizontal="right" vertical="center" wrapText="1" shrinkToFit="1"/>
    </xf>
    <xf numFmtId="49" fontId="87" fillId="44" borderId="65" xfId="21" applyNumberFormat="1" applyFont="1" applyFill="1" applyBorder="1" applyAlignment="1" applyProtection="1">
      <alignment horizontal="left" vertical="center" wrapText="1"/>
    </xf>
    <xf numFmtId="176" fontId="113" fillId="44" borderId="63" xfId="22" applyFont="1" applyFill="1" applyBorder="1" applyAlignment="1" applyProtection="1">
      <alignment horizontal="center" vertical="center"/>
    </xf>
    <xf numFmtId="0" fontId="103" fillId="43" borderId="63" xfId="21" applyFont="1" applyFill="1" applyBorder="1" applyAlignment="1" applyProtection="1">
      <alignment horizontal="center" vertical="center"/>
    </xf>
    <xf numFmtId="0" fontId="22" fillId="43" borderId="63" xfId="21" applyFont="1" applyFill="1" applyBorder="1" applyAlignment="1" applyProtection="1">
      <alignment horizontal="center"/>
    </xf>
    <xf numFmtId="176" fontId="119" fillId="43" borderId="63" xfId="21" applyNumberFormat="1" applyFont="1" applyFill="1" applyBorder="1" applyAlignment="1" applyProtection="1">
      <alignment horizontal="center" vertical="center"/>
    </xf>
    <xf numFmtId="176" fontId="119" fillId="43" borderId="63" xfId="22" applyFont="1" applyFill="1" applyBorder="1" applyAlignment="1" applyProtection="1">
      <alignment horizontal="right" vertical="center" wrapText="1" shrinkToFit="1"/>
    </xf>
    <xf numFmtId="176" fontId="119" fillId="43" borderId="63" xfId="22" applyFont="1" applyFill="1" applyBorder="1" applyAlignment="1" applyProtection="1">
      <alignment horizontal="right" vertical="center"/>
    </xf>
    <xf numFmtId="0" fontId="22" fillId="44" borderId="63" xfId="21" applyFont="1" applyFill="1" applyBorder="1" applyAlignment="1" applyProtection="1">
      <alignment horizontal="center"/>
    </xf>
    <xf numFmtId="43" fontId="22" fillId="0" borderId="0" xfId="21" applyNumberFormat="1" applyFont="1" applyAlignment="1" applyProtection="1">
      <alignment horizontal="center"/>
    </xf>
    <xf numFmtId="176" fontId="22" fillId="0" borderId="0" xfId="21" applyNumberFormat="1" applyFont="1" applyAlignment="1" applyProtection="1">
      <alignment horizontal="center"/>
    </xf>
    <xf numFmtId="0" fontId="109" fillId="52" borderId="63" xfId="21" applyFont="1" applyFill="1" applyBorder="1" applyAlignment="1" applyProtection="1">
      <alignment horizontal="center" vertical="center" wrapText="1" shrinkToFit="1"/>
    </xf>
    <xf numFmtId="176" fontId="109" fillId="52" borderId="63" xfId="22" applyFont="1" applyFill="1" applyBorder="1" applyAlignment="1" applyProtection="1">
      <alignment horizontal="center" vertical="center"/>
    </xf>
    <xf numFmtId="176" fontId="109" fillId="52" borderId="63" xfId="22" applyFont="1" applyFill="1" applyBorder="1" applyAlignment="1" applyProtection="1">
      <alignment horizontal="center" vertical="center" wrapText="1"/>
    </xf>
    <xf numFmtId="176" fontId="109" fillId="52" borderId="63" xfId="22" applyFont="1" applyFill="1" applyBorder="1" applyAlignment="1" applyProtection="1">
      <alignment horizontal="center" vertical="center" wrapText="1" shrinkToFit="1"/>
    </xf>
    <xf numFmtId="0" fontId="118" fillId="0" borderId="0" xfId="21" applyFont="1" applyProtection="1"/>
    <xf numFmtId="176" fontId="87" fillId="51" borderId="63" xfId="22" applyFont="1" applyFill="1" applyBorder="1" applyAlignment="1" applyProtection="1">
      <alignment horizontal="center" vertical="center" wrapText="1" shrinkToFit="1"/>
    </xf>
    <xf numFmtId="176" fontId="87" fillId="51" borderId="63" xfId="22" applyFont="1" applyFill="1" applyBorder="1" applyAlignment="1" applyProtection="1">
      <alignment horizontal="right" vertical="center" wrapText="1" shrinkToFit="1"/>
    </xf>
    <xf numFmtId="0" fontId="107" fillId="0" borderId="0" xfId="21" applyFont="1" applyProtection="1"/>
    <xf numFmtId="176" fontId="114" fillId="44" borderId="63" xfId="22" applyFont="1" applyFill="1" applyBorder="1" applyAlignment="1" applyProtection="1">
      <alignment horizontal="center" vertical="center" wrapText="1" shrinkToFit="1"/>
    </xf>
    <xf numFmtId="0" fontId="107" fillId="0" borderId="0" xfId="21" applyFont="1" applyAlignment="1" applyProtection="1">
      <alignment vertical="center"/>
    </xf>
    <xf numFmtId="189" fontId="87" fillId="44" borderId="63" xfId="22" applyNumberFormat="1" applyFont="1" applyFill="1" applyBorder="1" applyAlignment="1" applyProtection="1">
      <alignment horizontal="center" vertical="center" wrapText="1" shrinkToFit="1"/>
    </xf>
    <xf numFmtId="176" fontId="92" fillId="43" borderId="63" xfId="22" applyFont="1" applyFill="1" applyBorder="1" applyAlignment="1" applyProtection="1">
      <alignment horizontal="right" vertical="center" shrinkToFit="1"/>
    </xf>
    <xf numFmtId="0" fontId="119" fillId="43" borderId="63" xfId="21" applyFont="1" applyFill="1" applyBorder="1" applyAlignment="1" applyProtection="1">
      <alignment horizontal="center"/>
    </xf>
    <xf numFmtId="176" fontId="103" fillId="43" borderId="63" xfId="22" applyFont="1" applyFill="1" applyBorder="1" applyAlignment="1" applyProtection="1">
      <alignment horizontal="center" vertical="center" wrapText="1" shrinkToFit="1"/>
    </xf>
    <xf numFmtId="179" fontId="119" fillId="43" borderId="63" xfId="24" applyNumberFormat="1" applyFont="1" applyFill="1" applyBorder="1" applyAlignment="1" applyProtection="1">
      <alignment horizontal="center" vertical="center"/>
    </xf>
    <xf numFmtId="179" fontId="119" fillId="43" borderId="63" xfId="24" applyNumberFormat="1" applyFont="1" applyFill="1" applyBorder="1" applyAlignment="1" applyProtection="1">
      <alignment horizontal="right" vertical="center"/>
    </xf>
    <xf numFmtId="9" fontId="119" fillId="44" borderId="63" xfId="25" applyFont="1" applyFill="1" applyBorder="1" applyAlignment="1" applyProtection="1">
      <alignment horizontal="center" vertical="center"/>
    </xf>
    <xf numFmtId="179" fontId="119" fillId="45" borderId="63" xfId="24" applyNumberFormat="1" applyFont="1" applyFill="1" applyBorder="1" applyAlignment="1" applyProtection="1">
      <alignment horizontal="center" vertical="center"/>
    </xf>
    <xf numFmtId="0" fontId="7" fillId="0" borderId="0" xfId="21" applyAlignment="1" applyProtection="1">
      <alignment horizontal="center"/>
    </xf>
    <xf numFmtId="0" fontId="22" fillId="0" borderId="0" xfId="21" applyFont="1" applyAlignment="1" applyProtection="1">
      <alignment horizontal="right"/>
    </xf>
    <xf numFmtId="181" fontId="123" fillId="50" borderId="63" xfId="26" applyNumberFormat="1" applyFont="1" applyFill="1" applyBorder="1" applyAlignment="1" applyProtection="1">
      <alignment horizontal="center" vertical="center"/>
    </xf>
    <xf numFmtId="0" fontId="123" fillId="50" borderId="63" xfId="26" applyFont="1" applyFill="1" applyBorder="1" applyAlignment="1" applyProtection="1">
      <alignment horizontal="center" vertical="center"/>
    </xf>
    <xf numFmtId="0" fontId="22" fillId="50" borderId="63" xfId="21" applyFont="1" applyFill="1" applyBorder="1" applyAlignment="1" applyProtection="1">
      <alignment horizontal="center"/>
    </xf>
    <xf numFmtId="0" fontId="75" fillId="0" borderId="0" xfId="12" applyAlignment="1">
      <alignment horizontal="center" vertical="center"/>
    </xf>
    <xf numFmtId="0" fontId="87" fillId="0" borderId="0" xfId="17" applyFont="1" applyAlignment="1">
      <alignment vertical="center" wrapText="1"/>
    </xf>
    <xf numFmtId="0" fontId="87" fillId="0" borderId="0" xfId="17" applyFont="1" applyAlignment="1">
      <alignment horizontal="center" vertical="center" wrapText="1"/>
    </xf>
    <xf numFmtId="184" fontId="87" fillId="0" borderId="0" xfId="17" applyNumberFormat="1" applyFont="1" applyAlignment="1">
      <alignment vertical="center" wrapText="1"/>
    </xf>
    <xf numFmtId="0" fontId="44" fillId="43" borderId="63" xfId="23" applyFont="1" applyFill="1" applyBorder="1" applyAlignment="1" applyProtection="1">
      <alignment horizontal="center" vertical="center" wrapText="1"/>
    </xf>
    <xf numFmtId="0" fontId="116" fillId="43" borderId="107" xfId="27" applyFill="1" applyBorder="1" applyAlignment="1" applyProtection="1">
      <alignment horizontal="center" vertical="center"/>
    </xf>
    <xf numFmtId="0" fontId="116" fillId="44" borderId="63" xfId="27" applyFill="1" applyBorder="1" applyAlignment="1" applyProtection="1">
      <alignment horizontal="center" vertical="center"/>
    </xf>
    <xf numFmtId="0" fontId="116" fillId="43" borderId="63" xfId="27" applyFill="1" applyBorder="1" applyAlignment="1" applyProtection="1">
      <alignment horizontal="center" vertical="center"/>
    </xf>
    <xf numFmtId="2" fontId="116" fillId="43" borderId="63" xfId="27" applyNumberFormat="1" applyFill="1" applyBorder="1" applyAlignment="1" applyProtection="1">
      <alignment horizontal="center" vertical="center"/>
    </xf>
    <xf numFmtId="0" fontId="116" fillId="41" borderId="63" xfId="27" applyFill="1" applyBorder="1" applyAlignment="1" applyProtection="1">
      <alignment horizontal="center" vertical="center"/>
    </xf>
    <xf numFmtId="184" fontId="116" fillId="44" borderId="63" xfId="27" applyNumberFormat="1" applyFill="1" applyBorder="1" applyAlignment="1" applyProtection="1">
      <alignment horizontal="center" vertical="center"/>
    </xf>
    <xf numFmtId="184" fontId="116" fillId="43" borderId="63" xfId="27" applyNumberFormat="1" applyFill="1" applyBorder="1" applyAlignment="1" applyProtection="1">
      <alignment horizontal="center" vertical="center"/>
    </xf>
    <xf numFmtId="0" fontId="44" fillId="41" borderId="63" xfId="23" applyFont="1" applyFill="1" applyBorder="1" applyAlignment="1" applyProtection="1">
      <alignment horizontal="center" vertical="center" wrapText="1"/>
    </xf>
    <xf numFmtId="0" fontId="116" fillId="41" borderId="107" xfId="27" applyFill="1" applyBorder="1" applyAlignment="1" applyProtection="1">
      <alignment horizontal="center" vertical="center"/>
    </xf>
    <xf numFmtId="184" fontId="116" fillId="41" borderId="63" xfId="27" applyNumberFormat="1" applyFill="1" applyBorder="1" applyAlignment="1" applyProtection="1">
      <alignment horizontal="center" vertical="center"/>
    </xf>
    <xf numFmtId="2" fontId="116" fillId="45" borderId="63" xfId="27" applyNumberFormat="1" applyFill="1" applyBorder="1" applyAlignment="1" applyProtection="1">
      <alignment horizontal="center" vertical="center"/>
    </xf>
    <xf numFmtId="0" fontId="18" fillId="0" borderId="0" xfId="14" applyNumberFormat="1" applyFont="1" applyAlignment="1">
      <alignment horizontal="left" vertical="center"/>
    </xf>
    <xf numFmtId="3" fontId="15" fillId="0" borderId="0" xfId="14" applyNumberFormat="1" applyFont="1" applyAlignment="1">
      <alignment horizontal="center" vertical="center"/>
    </xf>
    <xf numFmtId="2" fontId="56" fillId="8" borderId="0" xfId="14" applyNumberFormat="1" applyFont="1" applyFill="1" applyAlignment="1">
      <alignment horizontal="center" vertical="center"/>
    </xf>
    <xf numFmtId="179" fontId="95" fillId="0" borderId="74" xfId="18" applyNumberFormat="1" applyFont="1" applyFill="1" applyBorder="1" applyAlignment="1">
      <alignment horizontal="right" vertical="center" wrapText="1" readingOrder="1"/>
    </xf>
    <xf numFmtId="0" fontId="97" fillId="0" borderId="0" xfId="17" applyFont="1" applyAlignment="1">
      <alignment horizontal="center" vertical="center" wrapText="1" readingOrder="1"/>
    </xf>
    <xf numFmtId="0" fontId="15" fillId="0" borderId="80" xfId="14" applyNumberFormat="1" applyFont="1" applyFill="1" applyBorder="1" applyAlignment="1">
      <alignment horizontal="center" vertical="center"/>
    </xf>
    <xf numFmtId="179" fontId="15" fillId="0" borderId="80" xfId="14" applyNumberFormat="1" applyFont="1" applyFill="1" applyBorder="1" applyAlignment="1">
      <alignment horizontal="center" vertical="center"/>
    </xf>
    <xf numFmtId="184" fontId="15" fillId="0" borderId="81" xfId="14" applyNumberFormat="1" applyFont="1" applyFill="1" applyBorder="1" applyAlignment="1">
      <alignment horizontal="center" vertical="center" wrapText="1"/>
    </xf>
    <xf numFmtId="0" fontId="18" fillId="0" borderId="76" xfId="14" applyNumberFormat="1" applyFont="1" applyFill="1" applyBorder="1" applyAlignment="1">
      <alignment horizontal="center" vertical="center"/>
    </xf>
    <xf numFmtId="0" fontId="15" fillId="0" borderId="76" xfId="14" applyNumberFormat="1" applyFont="1" applyFill="1" applyBorder="1" applyAlignment="1">
      <alignment horizontal="center" vertical="center"/>
    </xf>
    <xf numFmtId="0" fontId="15" fillId="0" borderId="77" xfId="14" applyNumberFormat="1" applyFont="1" applyFill="1" applyBorder="1" applyAlignment="1">
      <alignment horizontal="center" vertical="center" wrapText="1"/>
    </xf>
    <xf numFmtId="0" fontId="56" fillId="2" borderId="0" xfId="14" applyNumberFormat="1" applyFont="1" applyFill="1" applyAlignment="1">
      <alignment horizontal="center" vertical="center"/>
    </xf>
    <xf numFmtId="182" fontId="15" fillId="0" borderId="83" xfId="19" applyNumberFormat="1" applyFont="1" applyFill="1" applyBorder="1" applyAlignment="1">
      <alignment horizontal="center" vertical="center" wrapText="1"/>
    </xf>
    <xf numFmtId="1" fontId="56" fillId="2" borderId="0" xfId="14" applyNumberFormat="1" applyFont="1" applyFill="1" applyAlignment="1">
      <alignment horizontal="center" vertical="center"/>
    </xf>
    <xf numFmtId="179" fontId="95" fillId="0" borderId="85" xfId="18" applyNumberFormat="1" applyFont="1" applyFill="1" applyBorder="1" applyAlignment="1">
      <alignment horizontal="right" vertical="center" wrapText="1" readingOrder="1"/>
    </xf>
    <xf numFmtId="179" fontId="95" fillId="0" borderId="0" xfId="18" applyNumberFormat="1" applyFont="1" applyFill="1" applyBorder="1" applyAlignment="1">
      <alignment horizontal="right" vertical="center" wrapText="1" readingOrder="1"/>
    </xf>
    <xf numFmtId="1" fontId="98" fillId="53" borderId="0" xfId="14" applyNumberFormat="1" applyFont="1" applyFill="1" applyAlignment="1">
      <alignment horizontal="center" vertical="center"/>
    </xf>
    <xf numFmtId="179" fontId="95" fillId="0" borderId="87" xfId="18" applyNumberFormat="1" applyFont="1" applyFill="1" applyBorder="1" applyAlignment="1">
      <alignment horizontal="right" vertical="center" wrapText="1" readingOrder="1"/>
    </xf>
    <xf numFmtId="0" fontId="15" fillId="0" borderId="89" xfId="14" applyNumberFormat="1" applyFont="1" applyFill="1" applyBorder="1" applyAlignment="1">
      <alignment horizontal="center" vertical="center"/>
    </xf>
    <xf numFmtId="189" fontId="15" fillId="0" borderId="89" xfId="14" applyNumberFormat="1" applyFont="1" applyFill="1" applyBorder="1" applyAlignment="1">
      <alignment horizontal="center" vertical="center"/>
    </xf>
    <xf numFmtId="182" fontId="15" fillId="0" borderId="90" xfId="19" applyNumberFormat="1" applyFont="1" applyFill="1" applyBorder="1" applyAlignment="1">
      <alignment horizontal="center" vertical="center" wrapText="1"/>
    </xf>
    <xf numFmtId="10" fontId="15" fillId="0" borderId="83" xfId="14" applyNumberFormat="1" applyFont="1" applyFill="1" applyBorder="1" applyAlignment="1">
      <alignment horizontal="center" vertical="center" wrapText="1"/>
    </xf>
    <xf numFmtId="4" fontId="56" fillId="2" borderId="0" xfId="14" applyNumberFormat="1" applyFont="1" applyFill="1" applyAlignment="1">
      <alignment horizontal="center" vertical="center"/>
    </xf>
    <xf numFmtId="0" fontId="131" fillId="0" borderId="0" xfId="14" applyNumberFormat="1" applyFont="1" applyAlignment="1">
      <alignment horizontal="center" vertical="center"/>
    </xf>
    <xf numFmtId="3" fontId="18" fillId="0" borderId="77" xfId="14" applyNumberFormat="1" applyFont="1" applyFill="1" applyBorder="1" applyAlignment="1">
      <alignment horizontal="center" vertical="center" wrapText="1"/>
    </xf>
    <xf numFmtId="3" fontId="15" fillId="0" borderId="83" xfId="14" applyNumberFormat="1" applyFont="1" applyFill="1" applyBorder="1" applyAlignment="1">
      <alignment horizontal="center" vertical="center" wrapText="1"/>
    </xf>
    <xf numFmtId="0" fontId="132" fillId="0" borderId="0" xfId="14" applyNumberFormat="1" applyFont="1" applyAlignment="1">
      <alignment horizontal="center" vertical="center"/>
    </xf>
    <xf numFmtId="0" fontId="133" fillId="0" borderId="0" xfId="14" applyNumberFormat="1" applyFont="1" applyAlignment="1">
      <alignment horizontal="center" vertical="center" wrapText="1"/>
    </xf>
    <xf numFmtId="0" fontId="134" fillId="0" borderId="0" xfId="14" applyNumberFormat="1" applyFont="1" applyAlignment="1">
      <alignment horizontal="center" vertical="center" wrapText="1"/>
    </xf>
    <xf numFmtId="3" fontId="15" fillId="0" borderId="90" xfId="14" applyNumberFormat="1" applyFont="1" applyFill="1" applyBorder="1" applyAlignment="1">
      <alignment horizontal="center" vertical="center" wrapText="1"/>
    </xf>
    <xf numFmtId="40" fontId="15" fillId="23" borderId="64" xfId="20" applyNumberFormat="1" applyFont="1" applyFill="1" applyBorder="1" applyAlignment="1">
      <alignment horizontal="center" vertical="center" wrapText="1" readingOrder="1"/>
    </xf>
    <xf numFmtId="194" fontId="12" fillId="53" borderId="111" xfId="15" applyNumberFormat="1" applyFont="1" applyFill="1" applyBorder="1" applyAlignment="1">
      <alignment horizontal="center" vertical="center" wrapText="1"/>
    </xf>
    <xf numFmtId="0" fontId="12" fillId="41" borderId="64" xfId="15" applyFont="1" applyFill="1" applyBorder="1" applyAlignment="1">
      <alignment horizontal="right" vertical="center" wrapText="1"/>
    </xf>
    <xf numFmtId="181" fontId="135" fillId="41" borderId="64" xfId="15" applyNumberFormat="1" applyFont="1" applyFill="1" applyBorder="1" applyAlignment="1">
      <alignment horizontal="right" vertical="center" wrapText="1"/>
    </xf>
    <xf numFmtId="9" fontId="12" fillId="53" borderId="64" xfId="15" applyNumberFormat="1" applyFont="1" applyFill="1" applyBorder="1" applyAlignment="1">
      <alignment horizontal="right" vertical="center" wrapText="1"/>
    </xf>
    <xf numFmtId="4" fontId="15" fillId="53" borderId="64" xfId="15" applyNumberFormat="1" applyFont="1" applyFill="1" applyBorder="1" applyAlignment="1">
      <alignment horizontal="right" vertical="center" wrapText="1"/>
    </xf>
    <xf numFmtId="181" fontId="15" fillId="53" borderId="64" xfId="17" applyNumberFormat="1" applyFont="1" applyFill="1" applyBorder="1" applyAlignment="1">
      <alignment horizontal="right" vertical="center" wrapText="1"/>
    </xf>
    <xf numFmtId="0" fontId="17" fillId="4" borderId="88" xfId="15" applyFont="1" applyFill="1" applyBorder="1" applyAlignment="1">
      <alignment vertical="center" wrapText="1"/>
    </xf>
    <xf numFmtId="0" fontId="17" fillId="4" borderId="89" xfId="15" applyFont="1" applyFill="1" applyBorder="1" applyAlignment="1">
      <alignment horizontal="right" vertical="center" wrapText="1"/>
    </xf>
    <xf numFmtId="181" fontId="18" fillId="4" borderId="89" xfId="15" applyNumberFormat="1" applyFont="1" applyFill="1" applyBorder="1" applyAlignment="1">
      <alignment horizontal="right" vertical="center" wrapText="1"/>
    </xf>
    <xf numFmtId="9" fontId="18" fillId="4" borderId="89" xfId="29" applyFont="1" applyFill="1" applyBorder="1" applyAlignment="1">
      <alignment horizontal="right" vertical="center" wrapText="1"/>
    </xf>
    <xf numFmtId="4" fontId="18" fillId="4" borderId="89" xfId="15" applyNumberFormat="1" applyFont="1" applyFill="1" applyBorder="1" applyAlignment="1">
      <alignment horizontal="right" vertical="center" wrapText="1"/>
    </xf>
    <xf numFmtId="9" fontId="17" fillId="4" borderId="89" xfId="15" applyNumberFormat="1" applyFont="1" applyFill="1" applyBorder="1" applyAlignment="1">
      <alignment horizontal="right" vertical="center" wrapText="1"/>
    </xf>
    <xf numFmtId="186" fontId="17" fillId="4" borderId="89" xfId="15" applyNumberFormat="1" applyFont="1" applyFill="1" applyBorder="1" applyAlignment="1">
      <alignment horizontal="right" vertical="center" wrapText="1"/>
    </xf>
    <xf numFmtId="0" fontId="18" fillId="0" borderId="0" xfId="14" applyNumberFormat="1" applyFont="1" applyBorder="1" applyAlignment="1">
      <alignment horizontal="center" vertical="center"/>
    </xf>
    <xf numFmtId="0" fontId="15" fillId="0" borderId="0" xfId="14" applyNumberFormat="1" applyFont="1" applyBorder="1" applyAlignment="1">
      <alignment horizontal="center" vertical="center"/>
    </xf>
    <xf numFmtId="179" fontId="18" fillId="0" borderId="0" xfId="14" applyNumberFormat="1" applyFont="1" applyBorder="1" applyAlignment="1">
      <alignment horizontal="center" vertical="center"/>
    </xf>
    <xf numFmtId="0" fontId="15" fillId="0" borderId="0" xfId="14" applyNumberFormat="1" applyFont="1" applyBorder="1" applyAlignment="1">
      <alignment horizontal="center" vertical="center" wrapText="1"/>
    </xf>
    <xf numFmtId="4" fontId="12" fillId="53" borderId="64" xfId="15" applyNumberFormat="1" applyFont="1" applyFill="1" applyBorder="1" applyAlignment="1">
      <alignment horizontal="right" vertical="center" wrapText="1"/>
    </xf>
    <xf numFmtId="0" fontId="136" fillId="0" borderId="0" xfId="14" applyNumberFormat="1" applyFont="1" applyAlignment="1">
      <alignment horizontal="center" vertical="center" wrapText="1"/>
    </xf>
    <xf numFmtId="0" fontId="137" fillId="0" borderId="0" xfId="14" applyNumberFormat="1" applyFont="1" applyAlignment="1">
      <alignment horizontal="center" vertical="center" wrapText="1"/>
    </xf>
    <xf numFmtId="0" fontId="138" fillId="0" borderId="0" xfId="14" applyNumberFormat="1" applyFont="1" applyAlignment="1">
      <alignment horizontal="center" vertical="center" wrapText="1"/>
    </xf>
    <xf numFmtId="0" fontId="139" fillId="0" borderId="0" xfId="14" applyNumberFormat="1" applyFont="1" applyAlignment="1">
      <alignment horizontal="center" vertical="center" wrapText="1"/>
    </xf>
    <xf numFmtId="181" fontId="137" fillId="0" borderId="0" xfId="14" applyNumberFormat="1" applyFont="1" applyAlignment="1">
      <alignment horizontal="center" vertical="center" wrapText="1"/>
    </xf>
    <xf numFmtId="188" fontId="12" fillId="0" borderId="0" xfId="15" applyNumberFormat="1" applyFont="1" applyAlignment="1">
      <alignment horizontal="center" vertical="center"/>
    </xf>
    <xf numFmtId="0" fontId="34" fillId="0" borderId="0" xfId="14" applyNumberFormat="1" applyFont="1" applyFill="1" applyAlignment="1">
      <alignment horizontal="center" vertical="center"/>
    </xf>
    <xf numFmtId="0" fontId="138" fillId="0" borderId="0" xfId="14" applyNumberFormat="1" applyFont="1" applyAlignment="1">
      <alignment horizontal="left" vertical="center" wrapText="1"/>
    </xf>
    <xf numFmtId="0" fontId="139" fillId="0" borderId="0" xfId="14" applyNumberFormat="1" applyFont="1" applyAlignment="1">
      <alignment horizontal="left" vertical="center" wrapText="1"/>
    </xf>
    <xf numFmtId="195" fontId="101" fillId="0" borderId="0" xfId="14" applyNumberFormat="1" applyFont="1" applyFill="1" applyAlignment="1">
      <alignment horizontal="center" vertical="center"/>
    </xf>
    <xf numFmtId="2" fontId="101" fillId="0" borderId="0" xfId="14" applyNumberFormat="1" applyFont="1" applyFill="1" applyAlignment="1">
      <alignment horizontal="center" vertical="center"/>
    </xf>
    <xf numFmtId="3" fontId="104" fillId="0" borderId="0" xfId="14" applyNumberFormat="1" applyFont="1" applyAlignment="1">
      <alignment horizontal="center" vertical="center"/>
    </xf>
    <xf numFmtId="1" fontId="12" fillId="0" borderId="0" xfId="15" applyNumberFormat="1" applyFont="1">
      <alignment vertical="center"/>
    </xf>
    <xf numFmtId="3" fontId="101" fillId="41" borderId="0" xfId="14" applyNumberFormat="1" applyFont="1" applyFill="1" applyAlignment="1">
      <alignment horizontal="center" vertical="center"/>
    </xf>
    <xf numFmtId="0" fontId="101" fillId="41" borderId="0" xfId="14" applyNumberFormat="1" applyFont="1" applyFill="1" applyAlignment="1">
      <alignment horizontal="left" vertical="center" wrapText="1"/>
    </xf>
    <xf numFmtId="182" fontId="100" fillId="41" borderId="0" xfId="14" applyNumberFormat="1" applyFont="1" applyFill="1" applyAlignment="1">
      <alignment horizontal="center" vertical="center"/>
    </xf>
    <xf numFmtId="0" fontId="136" fillId="0" borderId="0" xfId="14" applyNumberFormat="1" applyFont="1" applyBorder="1" applyAlignment="1">
      <alignment horizontal="left" vertical="center" wrapText="1"/>
    </xf>
    <xf numFmtId="0" fontId="93" fillId="0" borderId="0" xfId="14" applyNumberFormat="1" applyFont="1" applyFill="1" applyAlignment="1">
      <alignment horizontal="center" vertical="center"/>
    </xf>
    <xf numFmtId="180" fontId="104" fillId="0" borderId="0" xfId="14" applyNumberFormat="1" applyFont="1" applyAlignment="1">
      <alignment horizontal="center" vertical="center"/>
    </xf>
    <xf numFmtId="3" fontId="136" fillId="0" borderId="0" xfId="14" applyNumberFormat="1" applyFont="1" applyAlignment="1">
      <alignment horizontal="left" vertical="center" wrapText="1"/>
    </xf>
    <xf numFmtId="181" fontId="136" fillId="0" borderId="0" xfId="14" applyNumberFormat="1" applyFont="1" applyAlignment="1">
      <alignment horizontal="left" vertical="center" wrapText="1"/>
    </xf>
    <xf numFmtId="184" fontId="136" fillId="0" borderId="0" xfId="14" applyNumberFormat="1" applyFont="1" applyAlignment="1">
      <alignment horizontal="left" vertical="center" wrapText="1"/>
    </xf>
    <xf numFmtId="38" fontId="138" fillId="0" borderId="0" xfId="14" applyFont="1" applyAlignment="1">
      <alignment horizontal="left" vertical="center" wrapText="1"/>
    </xf>
    <xf numFmtId="38" fontId="139" fillId="0" borderId="0" xfId="14" applyFont="1" applyAlignment="1">
      <alignment horizontal="left" vertical="center" wrapText="1"/>
    </xf>
    <xf numFmtId="10" fontId="138" fillId="0" borderId="0" xfId="14" applyNumberFormat="1" applyFont="1" applyAlignment="1">
      <alignment horizontal="left" vertical="center" wrapText="1"/>
    </xf>
    <xf numFmtId="10" fontId="139" fillId="0" borderId="0" xfId="14" applyNumberFormat="1" applyFont="1" applyAlignment="1">
      <alignment horizontal="left" vertical="center" wrapText="1"/>
    </xf>
    <xf numFmtId="4" fontId="138" fillId="0" borderId="0" xfId="14" applyNumberFormat="1" applyFont="1" applyAlignment="1">
      <alignment horizontal="left" vertical="center" wrapText="1"/>
    </xf>
    <xf numFmtId="2" fontId="139" fillId="0" borderId="0" xfId="14" applyNumberFormat="1" applyFont="1" applyAlignment="1">
      <alignment horizontal="left" vertical="center" wrapText="1"/>
    </xf>
    <xf numFmtId="190" fontId="141" fillId="0" borderId="0" xfId="14" applyNumberFormat="1" applyFont="1" applyAlignment="1">
      <alignment horizontal="center" vertical="center" wrapText="1"/>
    </xf>
    <xf numFmtId="0" fontId="142" fillId="0" borderId="0" xfId="14" applyNumberFormat="1" applyFont="1" applyAlignment="1">
      <alignment horizontal="center" vertical="center" wrapText="1"/>
    </xf>
    <xf numFmtId="0" fontId="138" fillId="0" borderId="0" xfId="14" applyNumberFormat="1" applyFont="1" applyAlignment="1">
      <alignment horizontal="center" vertical="center"/>
    </xf>
    <xf numFmtId="0" fontId="139" fillId="0" borderId="0" xfId="14" applyNumberFormat="1" applyFont="1" applyAlignment="1">
      <alignment horizontal="center" vertical="center"/>
    </xf>
    <xf numFmtId="180" fontId="101" fillId="41" borderId="0" xfId="14" applyNumberFormat="1" applyFont="1" applyFill="1" applyAlignment="1">
      <alignment horizontal="center" vertical="center"/>
    </xf>
    <xf numFmtId="0" fontId="132" fillId="0" borderId="0" xfId="14" applyNumberFormat="1" applyFont="1" applyAlignment="1">
      <alignment horizontal="center" vertical="center" wrapText="1"/>
    </xf>
    <xf numFmtId="0" fontId="143" fillId="0" borderId="0" xfId="14" applyNumberFormat="1" applyFont="1" applyAlignment="1">
      <alignment horizontal="center" vertical="center" wrapText="1"/>
    </xf>
    <xf numFmtId="0" fontId="12" fillId="0" borderId="0" xfId="30" applyFont="1" applyAlignment="1">
      <alignment vertical="center"/>
    </xf>
    <xf numFmtId="0" fontId="12" fillId="8" borderId="0" xfId="30" applyFont="1" applyFill="1" applyAlignment="1">
      <alignment horizontal="center" vertical="center"/>
    </xf>
    <xf numFmtId="2" fontId="12" fillId="0" borderId="0" xfId="30" applyNumberFormat="1" applyFont="1" applyAlignment="1">
      <alignment vertical="center"/>
    </xf>
    <xf numFmtId="179" fontId="12" fillId="0" borderId="0" xfId="30" applyNumberFormat="1" applyFont="1" applyAlignment="1">
      <alignment vertical="center"/>
    </xf>
    <xf numFmtId="0" fontId="12" fillId="0" borderId="0" xfId="30" applyFont="1" applyAlignment="1">
      <alignment horizontal="right" vertical="center"/>
    </xf>
    <xf numFmtId="0" fontId="140" fillId="0" borderId="0" xfId="30" applyFont="1" applyAlignment="1">
      <alignment horizontal="center" vertical="center"/>
    </xf>
    <xf numFmtId="2" fontId="15" fillId="54" borderId="1" xfId="0" applyNumberFormat="1" applyFont="1" applyFill="1" applyBorder="1" applyAlignment="1" applyProtection="1">
      <alignment horizontal="right" vertical="center"/>
      <protection locked="0"/>
    </xf>
    <xf numFmtId="179" fontId="15" fillId="54" borderId="1" xfId="0" applyNumberFormat="1" applyFont="1" applyFill="1" applyBorder="1" applyAlignment="1" applyProtection="1">
      <alignment horizontal="right" vertical="center"/>
      <protection locked="0"/>
    </xf>
    <xf numFmtId="0" fontId="15" fillId="54" borderId="6" xfId="0" applyFont="1" applyFill="1" applyBorder="1" applyAlignment="1" applyProtection="1">
      <alignment horizontal="left" vertical="center" wrapText="1"/>
      <protection locked="0"/>
    </xf>
    <xf numFmtId="0" fontId="15" fillId="54" borderId="6" xfId="0" applyFont="1" applyFill="1" applyBorder="1" applyAlignment="1" applyProtection="1">
      <alignment horizontal="left" vertical="center"/>
      <protection locked="0"/>
    </xf>
    <xf numFmtId="179" fontId="12" fillId="55" borderId="1" xfId="0" applyNumberFormat="1" applyFont="1" applyFill="1" applyBorder="1" applyAlignment="1" applyProtection="1">
      <alignment horizontal="right" vertical="center"/>
      <protection locked="0"/>
    </xf>
    <xf numFmtId="2" fontId="12" fillId="0" borderId="1" xfId="0" applyNumberFormat="1" applyFont="1" applyBorder="1" applyAlignment="1" applyProtection="1">
      <alignment horizontal="left" vertical="center"/>
      <protection locked="0"/>
    </xf>
    <xf numFmtId="179" fontId="12" fillId="55" borderId="1" xfId="0" applyNumberFormat="1" applyFont="1" applyFill="1" applyBorder="1" applyAlignment="1" applyProtection="1">
      <alignment horizontal="center" vertical="center"/>
      <protection locked="0"/>
    </xf>
    <xf numFmtId="179" fontId="12" fillId="41" borderId="1" xfId="0" applyNumberFormat="1" applyFont="1" applyFill="1" applyBorder="1" applyAlignment="1" applyProtection="1">
      <alignment horizontal="right" vertical="center"/>
      <protection locked="0"/>
    </xf>
    <xf numFmtId="179" fontId="12" fillId="54" borderId="1" xfId="0" applyNumberFormat="1" applyFont="1" applyFill="1" applyBorder="1" applyAlignment="1" applyProtection="1">
      <alignment horizontal="right" vertical="center"/>
      <protection locked="0"/>
    </xf>
    <xf numFmtId="2" fontId="12" fillId="0" borderId="1" xfId="0" applyNumberFormat="1" applyFont="1" applyBorder="1" applyAlignment="1" applyProtection="1">
      <alignment horizontal="left" vertical="center" wrapText="1"/>
      <protection locked="0"/>
    </xf>
    <xf numFmtId="0" fontId="11" fillId="0" borderId="0" xfId="17" applyFont="1" applyAlignment="1">
      <alignment vertical="center"/>
    </xf>
    <xf numFmtId="0" fontId="30" fillId="0" borderId="63" xfId="17" applyFont="1" applyBorder="1" applyAlignment="1">
      <alignment horizontal="center" vertical="center" wrapText="1"/>
    </xf>
    <xf numFmtId="38" fontId="30" fillId="0" borderId="63" xfId="17" applyNumberFormat="1" applyFont="1" applyBorder="1" applyAlignment="1">
      <alignment horizontal="center" vertical="center" wrapText="1"/>
    </xf>
    <xf numFmtId="0" fontId="13" fillId="0" borderId="63" xfId="17" applyFont="1" applyBorder="1" applyAlignment="1">
      <alignment horizontal="center" vertical="center" wrapText="1"/>
    </xf>
    <xf numFmtId="0" fontId="79" fillId="0" borderId="63" xfId="17" applyFont="1" applyBorder="1" applyAlignment="1">
      <alignment horizontal="center" vertical="center" wrapText="1"/>
    </xf>
    <xf numFmtId="38" fontId="79" fillId="0" borderId="63" xfId="17" applyNumberFormat="1" applyFont="1" applyBorder="1" applyAlignment="1">
      <alignment horizontal="center" vertical="center" wrapText="1"/>
    </xf>
    <xf numFmtId="0" fontId="11" fillId="0" borderId="63" xfId="17" applyFont="1" applyBorder="1" applyAlignment="1">
      <alignment horizontal="center" vertical="center"/>
    </xf>
    <xf numFmtId="3" fontId="79" fillId="0" borderId="63" xfId="17" applyNumberFormat="1" applyFont="1" applyBorder="1" applyAlignment="1">
      <alignment horizontal="center" vertical="center" wrapText="1"/>
    </xf>
    <xf numFmtId="1" fontId="79" fillId="0" borderId="63" xfId="17" applyNumberFormat="1" applyFont="1" applyBorder="1" applyAlignment="1">
      <alignment horizontal="center" vertical="center" wrapText="1"/>
    </xf>
    <xf numFmtId="0" fontId="20" fillId="0" borderId="63" xfId="17" applyFont="1" applyBorder="1" applyAlignment="1">
      <alignment horizontal="center" vertical="center" wrapText="1"/>
    </xf>
    <xf numFmtId="38" fontId="20" fillId="0" borderId="63" xfId="17" applyNumberFormat="1" applyFont="1" applyBorder="1" applyAlignment="1">
      <alignment horizontal="center" vertical="center" wrapText="1"/>
    </xf>
    <xf numFmtId="0" fontId="11" fillId="0" borderId="63" xfId="17" applyFont="1" applyBorder="1" applyAlignment="1">
      <alignment vertical="center"/>
    </xf>
    <xf numFmtId="0" fontId="145" fillId="0" borderId="0" xfId="0" applyFont="1"/>
    <xf numFmtId="0" fontId="0" fillId="0" borderId="0" xfId="0" applyAlignment="1">
      <alignment wrapText="1"/>
    </xf>
    <xf numFmtId="0" fontId="130" fillId="0" borderId="0" xfId="0" applyFont="1"/>
    <xf numFmtId="0" fontId="146" fillId="0" borderId="63" xfId="33" applyFont="1" applyBorder="1" applyAlignment="1">
      <alignment horizontal="center" vertical="center" wrapText="1"/>
    </xf>
    <xf numFmtId="0" fontId="7" fillId="0" borderId="63" xfId="0" applyFont="1" applyBorder="1" applyAlignment="1">
      <alignment horizontal="center" vertical="center"/>
    </xf>
    <xf numFmtId="0" fontId="7" fillId="0" borderId="63" xfId="0" applyFont="1" applyBorder="1" applyAlignment="1">
      <alignment horizontal="center" vertical="center" wrapText="1"/>
    </xf>
    <xf numFmtId="0" fontId="0" fillId="0" borderId="63" xfId="0" applyBorder="1" applyAlignment="1">
      <alignment horizontal="center" vertical="center"/>
    </xf>
    <xf numFmtId="0" fontId="147" fillId="0" borderId="63" xfId="33" applyFont="1" applyBorder="1" applyAlignment="1">
      <alignment horizontal="center" vertical="center" wrapText="1"/>
    </xf>
    <xf numFmtId="0" fontId="7" fillId="41" borderId="63" xfId="0" applyFont="1" applyFill="1" applyBorder="1" applyAlignment="1">
      <alignment horizontal="center" vertical="center"/>
    </xf>
    <xf numFmtId="0" fontId="7" fillId="41" borderId="63" xfId="0" applyFont="1" applyFill="1" applyBorder="1" applyAlignment="1">
      <alignment horizontal="center" vertical="center" wrapText="1"/>
    </xf>
    <xf numFmtId="0" fontId="0" fillId="41" borderId="63" xfId="0" applyFill="1" applyBorder="1" applyAlignment="1">
      <alignment horizontal="center" vertical="center"/>
    </xf>
    <xf numFmtId="0" fontId="146" fillId="41" borderId="63" xfId="33"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0" fontId="7" fillId="50" borderId="63" xfId="21" applyFill="1" applyBorder="1" applyAlignment="1" applyProtection="1">
      <alignment horizontal="center" vertical="center"/>
    </xf>
    <xf numFmtId="0" fontId="123" fillId="50" borderId="80" xfId="26" applyFont="1" applyFill="1" applyBorder="1" applyAlignment="1" applyProtection="1">
      <alignment horizontal="center" vertical="center" wrapText="1"/>
    </xf>
    <xf numFmtId="0" fontId="75" fillId="56" borderId="63" xfId="12" applyFill="1" applyBorder="1" applyAlignment="1">
      <alignment horizontal="center" vertical="center"/>
    </xf>
    <xf numFmtId="0" fontId="112" fillId="56" borderId="63" xfId="12" applyFont="1" applyFill="1" applyBorder="1" applyAlignment="1">
      <alignment horizontal="center" vertical="center"/>
    </xf>
    <xf numFmtId="4" fontId="123" fillId="50" borderId="63" xfId="26" applyNumberFormat="1" applyFont="1" applyFill="1" applyBorder="1" applyAlignment="1" applyProtection="1">
      <alignment horizontal="center" vertical="center"/>
    </xf>
    <xf numFmtId="0" fontId="153" fillId="41" borderId="0" xfId="0" applyFont="1" applyFill="1"/>
    <xf numFmtId="0" fontId="155" fillId="41" borderId="0" xfId="0" applyFont="1" applyFill="1" applyAlignment="1">
      <alignment wrapText="1"/>
    </xf>
    <xf numFmtId="0" fontId="156" fillId="0" borderId="0" xfId="23" applyFont="1" applyAlignment="1" applyProtection="1">
      <alignment horizontal="center" vertical="center" wrapText="1"/>
    </xf>
    <xf numFmtId="0" fontId="157" fillId="42" borderId="63" xfId="23" applyFont="1" applyFill="1" applyBorder="1" applyAlignment="1" applyProtection="1">
      <alignment horizontal="center" vertical="center" wrapText="1"/>
    </xf>
    <xf numFmtId="0" fontId="157" fillId="42" borderId="66" xfId="23" applyFont="1" applyFill="1" applyBorder="1" applyAlignment="1" applyProtection="1">
      <alignment horizontal="center" vertical="center" wrapText="1"/>
    </xf>
    <xf numFmtId="0" fontId="156" fillId="0" borderId="0" xfId="23" applyFont="1" applyAlignment="1" applyProtection="1">
      <alignment horizontal="left" vertical="center"/>
    </xf>
    <xf numFmtId="0" fontId="158" fillId="0" borderId="0" xfId="23" applyFont="1" applyAlignment="1" applyProtection="1">
      <alignment horizontal="left" vertical="center" wrapText="1"/>
    </xf>
    <xf numFmtId="184" fontId="156" fillId="43" borderId="63" xfId="23" applyNumberFormat="1" applyFont="1" applyFill="1" applyBorder="1" applyAlignment="1" applyProtection="1">
      <alignment vertical="center"/>
    </xf>
    <xf numFmtId="4" fontId="156" fillId="51" borderId="65" xfId="23" applyNumberFormat="1" applyFont="1" applyFill="1" applyBorder="1" applyAlignment="1" applyProtection="1">
      <alignment vertical="center"/>
    </xf>
    <xf numFmtId="184" fontId="156" fillId="45" borderId="63" xfId="23" applyNumberFormat="1" applyFont="1" applyFill="1" applyBorder="1" applyAlignment="1" applyProtection="1">
      <alignment vertical="center"/>
    </xf>
    <xf numFmtId="2" fontId="12" fillId="0" borderId="1" xfId="0" applyNumberFormat="1" applyFont="1" applyBorder="1" applyAlignment="1" applyProtection="1">
      <alignment horizontal="right" vertical="center" wrapText="1"/>
      <protection locked="0"/>
    </xf>
    <xf numFmtId="4" fontId="156" fillId="51" borderId="63" xfId="23" applyNumberFormat="1" applyFont="1" applyFill="1" applyBorder="1" applyAlignment="1" applyProtection="1">
      <alignment vertical="center"/>
    </xf>
    <xf numFmtId="0" fontId="120" fillId="52" borderId="63" xfId="34" applyFont="1" applyFill="1" applyBorder="1" applyAlignment="1">
      <alignment horizontal="center" vertical="center" wrapText="1"/>
    </xf>
    <xf numFmtId="184" fontId="120" fillId="52" borderId="63" xfId="34" applyNumberFormat="1" applyFont="1" applyFill="1" applyBorder="1" applyAlignment="1">
      <alignment vertical="center" wrapText="1"/>
    </xf>
    <xf numFmtId="184" fontId="120" fillId="52" borderId="63" xfId="34" applyNumberFormat="1" applyFont="1" applyFill="1" applyBorder="1" applyAlignment="1">
      <alignment horizontal="center" vertical="center" wrapText="1"/>
    </xf>
    <xf numFmtId="0" fontId="7" fillId="0" borderId="0" xfId="34">
      <alignment vertical="center"/>
    </xf>
    <xf numFmtId="184" fontId="120" fillId="52" borderId="63" xfId="34" applyNumberFormat="1" applyFont="1" applyFill="1" applyBorder="1" applyAlignment="1">
      <alignment horizontal="center" vertical="center"/>
    </xf>
    <xf numFmtId="184" fontId="120" fillId="52" borderId="63" xfId="34" applyNumberFormat="1" applyFont="1" applyFill="1" applyBorder="1">
      <alignment vertical="center"/>
    </xf>
    <xf numFmtId="0" fontId="44" fillId="7" borderId="63" xfId="34" applyFont="1" applyFill="1" applyBorder="1" applyAlignment="1">
      <alignment horizontal="center" vertical="center" wrapText="1"/>
    </xf>
    <xf numFmtId="184" fontId="44" fillId="7" borderId="63" xfId="34" applyNumberFormat="1" applyFont="1" applyFill="1" applyBorder="1" applyAlignment="1">
      <alignment horizontal="center" vertical="center" wrapText="1"/>
    </xf>
    <xf numFmtId="49" fontId="44" fillId="7" borderId="63" xfId="34" applyNumberFormat="1" applyFont="1" applyFill="1" applyBorder="1" applyAlignment="1">
      <alignment horizontal="center" vertical="center" wrapText="1"/>
    </xf>
    <xf numFmtId="184" fontId="44" fillId="7" borderId="63" xfId="34" applyNumberFormat="1" applyFont="1" applyFill="1" applyBorder="1" applyAlignment="1">
      <alignment horizontal="center" vertical="center"/>
    </xf>
    <xf numFmtId="2" fontId="44" fillId="7" borderId="63" xfId="34" applyNumberFormat="1" applyFont="1" applyFill="1" applyBorder="1" applyAlignment="1">
      <alignment horizontal="center" vertical="center"/>
    </xf>
    <xf numFmtId="184" fontId="44" fillId="56" borderId="63" xfId="34" applyNumberFormat="1" applyFont="1" applyFill="1" applyBorder="1" applyAlignment="1">
      <alignment horizontal="center" vertical="center"/>
    </xf>
    <xf numFmtId="0" fontId="44" fillId="0" borderId="0" xfId="34" applyFont="1" applyAlignment="1">
      <alignment horizontal="center" vertical="center" wrapText="1"/>
    </xf>
    <xf numFmtId="184" fontId="44" fillId="0" borderId="0" xfId="34" applyNumberFormat="1" applyFont="1" applyAlignment="1">
      <alignment horizontal="center" vertical="center" wrapText="1"/>
    </xf>
    <xf numFmtId="184" fontId="63" fillId="0" borderId="0" xfId="34" applyNumberFormat="1" applyFont="1" applyAlignment="1">
      <alignment horizontal="center" vertical="center" wrapText="1"/>
    </xf>
    <xf numFmtId="49" fontId="44" fillId="0" borderId="0" xfId="34" applyNumberFormat="1" applyFont="1" applyAlignment="1">
      <alignment horizontal="center" vertical="center" wrapText="1"/>
    </xf>
    <xf numFmtId="184" fontId="44" fillId="0" borderId="0" xfId="34" applyNumberFormat="1" applyFont="1" applyAlignment="1">
      <alignment horizontal="center" vertical="center"/>
    </xf>
    <xf numFmtId="2" fontId="44" fillId="0" borderId="0" xfId="34" applyNumberFormat="1" applyFont="1" applyAlignment="1">
      <alignment horizontal="center" vertical="center"/>
    </xf>
    <xf numFmtId="197" fontId="7" fillId="0" borderId="0" xfId="34" applyNumberFormat="1">
      <alignment vertical="center"/>
    </xf>
    <xf numFmtId="0" fontId="159" fillId="52" borderId="63" xfId="34" applyFont="1" applyFill="1" applyBorder="1" applyAlignment="1">
      <alignment horizontal="center" vertical="center"/>
    </xf>
    <xf numFmtId="0" fontId="75" fillId="0" borderId="0" xfId="12"/>
    <xf numFmtId="197" fontId="162" fillId="0" borderId="0" xfId="34" applyNumberFormat="1" applyFont="1" applyAlignment="1">
      <alignment horizontal="right" vertical="center"/>
    </xf>
    <xf numFmtId="0" fontId="7" fillId="7" borderId="63" xfId="34" applyFill="1" applyBorder="1" applyAlignment="1">
      <alignment horizontal="center" vertical="center"/>
    </xf>
    <xf numFmtId="0" fontId="103" fillId="7" borderId="63" xfId="34" applyFont="1" applyFill="1" applyBorder="1" applyAlignment="1">
      <alignment horizontal="center" vertical="center"/>
    </xf>
    <xf numFmtId="0" fontId="163" fillId="7" borderId="63" xfId="34" applyFont="1" applyFill="1" applyBorder="1" applyAlignment="1">
      <alignment horizontal="center" vertical="center"/>
    </xf>
    <xf numFmtId="179" fontId="163" fillId="7" borderId="63" xfId="34" applyNumberFormat="1" applyFont="1" applyFill="1" applyBorder="1" applyAlignment="1">
      <alignment horizontal="center" vertical="center"/>
    </xf>
    <xf numFmtId="179" fontId="163" fillId="56" borderId="63" xfId="34" applyNumberFormat="1" applyFont="1" applyFill="1" applyBorder="1" applyAlignment="1">
      <alignment horizontal="center" vertical="center"/>
    </xf>
    <xf numFmtId="197" fontId="162" fillId="7" borderId="0" xfId="34" applyNumberFormat="1" applyFont="1" applyFill="1">
      <alignment vertical="center"/>
    </xf>
    <xf numFmtId="179" fontId="164" fillId="57" borderId="63" xfId="34" applyNumberFormat="1" applyFont="1" applyFill="1" applyBorder="1" applyAlignment="1">
      <alignment horizontal="center" vertical="center"/>
    </xf>
    <xf numFmtId="0" fontId="103" fillId="7" borderId="63" xfId="34" applyFont="1" applyFill="1" applyBorder="1" applyAlignment="1">
      <alignment horizontal="center" vertical="center" wrapText="1"/>
    </xf>
    <xf numFmtId="0" fontId="7" fillId="56" borderId="63" xfId="34" applyFill="1" applyBorder="1" applyAlignment="1">
      <alignment horizontal="center" vertical="center"/>
    </xf>
    <xf numFmtId="179" fontId="103" fillId="45" borderId="63" xfId="34" applyNumberFormat="1" applyFont="1" applyFill="1" applyBorder="1" applyAlignment="1">
      <alignment horizontal="center" vertical="center"/>
    </xf>
    <xf numFmtId="179" fontId="103" fillId="56" borderId="63" xfId="34" applyNumberFormat="1" applyFont="1" applyFill="1" applyBorder="1" applyAlignment="1">
      <alignment horizontal="center" vertical="center"/>
    </xf>
    <xf numFmtId="0" fontId="7" fillId="0" borderId="104" xfId="34" applyBorder="1" applyAlignment="1">
      <alignment horizontal="center" vertical="center"/>
    </xf>
    <xf numFmtId="0" fontId="103" fillId="0" borderId="104" xfId="34" applyFont="1" applyBorder="1" applyAlignment="1">
      <alignment horizontal="center" vertical="center"/>
    </xf>
    <xf numFmtId="179" fontId="163" fillId="0" borderId="104" xfId="34" applyNumberFormat="1" applyFont="1" applyBorder="1" applyAlignment="1">
      <alignment horizontal="center" vertical="center"/>
    </xf>
    <xf numFmtId="0" fontId="165" fillId="0" borderId="0" xfId="35" applyFont="1" applyAlignment="1">
      <alignment horizontal="left" vertical="center"/>
    </xf>
    <xf numFmtId="179" fontId="103" fillId="0" borderId="104" xfId="34" applyNumberFormat="1" applyFont="1" applyBorder="1" applyAlignment="1">
      <alignment horizontal="center" vertical="center"/>
    </xf>
    <xf numFmtId="0" fontId="7" fillId="0" borderId="0" xfId="34" applyAlignment="1">
      <alignment horizontal="center" vertical="center"/>
    </xf>
    <xf numFmtId="0" fontId="103" fillId="0" borderId="0" xfId="34" applyFont="1" applyAlignment="1">
      <alignment horizontal="center" vertical="center"/>
    </xf>
    <xf numFmtId="179" fontId="163" fillId="0" borderId="0" xfId="34" applyNumberFormat="1" applyFont="1" applyAlignment="1">
      <alignment horizontal="center" vertical="center"/>
    </xf>
    <xf numFmtId="179" fontId="103" fillId="0" borderId="0" xfId="34" applyNumberFormat="1" applyFont="1" applyAlignment="1">
      <alignment horizontal="center" vertical="center"/>
    </xf>
    <xf numFmtId="197" fontId="162" fillId="7" borderId="0" xfId="34" applyNumberFormat="1" applyFont="1" applyFill="1" applyAlignment="1">
      <alignment horizontal="right" vertical="center"/>
    </xf>
    <xf numFmtId="0" fontId="163" fillId="56" borderId="63" xfId="34" applyFont="1" applyFill="1" applyBorder="1" applyAlignment="1">
      <alignment horizontal="center" vertical="center"/>
    </xf>
    <xf numFmtId="0" fontId="116" fillId="0" borderId="0" xfId="36" applyAlignment="1" applyProtection="1">
      <alignment vertical="center"/>
    </xf>
    <xf numFmtId="0" fontId="166" fillId="0" borderId="0" xfId="26" applyFont="1" applyAlignment="1" applyProtection="1">
      <alignment horizontal="center" vertical="center"/>
    </xf>
    <xf numFmtId="0" fontId="166" fillId="0" borderId="115" xfId="26" applyFont="1" applyBorder="1" applyAlignment="1" applyProtection="1">
      <alignment horizontal="center" vertical="center"/>
    </xf>
    <xf numFmtId="0" fontId="167" fillId="0" borderId="0" xfId="36" applyFont="1" applyAlignment="1" applyProtection="1">
      <alignment horizontal="center" vertical="center"/>
    </xf>
    <xf numFmtId="0" fontId="168" fillId="0" borderId="0" xfId="26" applyFont="1" applyAlignment="1" applyProtection="1">
      <alignment horizontal="center" vertical="center"/>
    </xf>
    <xf numFmtId="0" fontId="168" fillId="0" borderId="0" xfId="26" applyFont="1" applyAlignment="1" applyProtection="1">
      <alignment horizontal="center"/>
    </xf>
    <xf numFmtId="0" fontId="116" fillId="0" borderId="0" xfId="36" applyAlignment="1" applyProtection="1">
      <alignment horizontal="center" vertical="center"/>
    </xf>
    <xf numFmtId="10" fontId="116" fillId="0" borderId="0" xfId="36" applyNumberFormat="1" applyAlignment="1" applyProtection="1">
      <alignment vertical="center"/>
    </xf>
    <xf numFmtId="0" fontId="171" fillId="0" borderId="0" xfId="26" applyFont="1" applyAlignment="1" applyProtection="1">
      <alignment horizontal="center" vertical="center"/>
    </xf>
    <xf numFmtId="0" fontId="172" fillId="0" borderId="0" xfId="26" applyFont="1" applyProtection="1"/>
    <xf numFmtId="9" fontId="116" fillId="0" borderId="0" xfId="36" applyNumberFormat="1" applyAlignment="1" applyProtection="1">
      <alignment vertical="center"/>
    </xf>
    <xf numFmtId="0" fontId="171" fillId="0" borderId="0" xfId="26" applyFont="1" applyProtection="1"/>
    <xf numFmtId="0" fontId="168" fillId="0" borderId="0" xfId="26" applyFont="1" applyProtection="1"/>
    <xf numFmtId="0" fontId="167" fillId="0" borderId="0" xfId="26" applyFont="1" applyAlignment="1" applyProtection="1">
      <alignment wrapText="1"/>
    </xf>
    <xf numFmtId="10" fontId="167" fillId="0" borderId="0" xfId="26" applyNumberFormat="1" applyFont="1" applyAlignment="1" applyProtection="1">
      <alignment horizontal="center" vertical="center"/>
    </xf>
    <xf numFmtId="9" fontId="167" fillId="0" borderId="0" xfId="26" applyNumberFormat="1" applyFont="1" applyAlignment="1" applyProtection="1">
      <alignment horizontal="center" vertical="center"/>
    </xf>
    <xf numFmtId="0" fontId="167" fillId="0" borderId="0" xfId="26" applyFont="1" applyProtection="1"/>
    <xf numFmtId="10" fontId="168" fillId="0" borderId="0" xfId="26" applyNumberFormat="1" applyFont="1" applyAlignment="1" applyProtection="1">
      <alignment horizontal="center" vertical="center"/>
    </xf>
    <xf numFmtId="0" fontId="116" fillId="41" borderId="119" xfId="36" applyFill="1" applyBorder="1" applyAlignment="1" applyProtection="1">
      <alignment vertical="center"/>
    </xf>
    <xf numFmtId="0" fontId="173" fillId="52" borderId="0" xfId="36" applyFont="1" applyFill="1" applyAlignment="1" applyProtection="1">
      <alignment vertical="center"/>
    </xf>
    <xf numFmtId="0" fontId="173" fillId="52" borderId="0" xfId="36" applyFont="1" applyFill="1" applyAlignment="1" applyProtection="1">
      <alignment horizontal="center" vertical="center"/>
    </xf>
    <xf numFmtId="0" fontId="175" fillId="52" borderId="63" xfId="26" applyFont="1" applyFill="1" applyBorder="1" applyAlignment="1" applyProtection="1">
      <alignment horizontal="center" vertical="center"/>
    </xf>
    <xf numFmtId="0" fontId="176" fillId="52" borderId="63" xfId="26" applyFont="1" applyFill="1" applyBorder="1" applyAlignment="1" applyProtection="1">
      <alignment horizontal="center" vertical="center"/>
    </xf>
    <xf numFmtId="0" fontId="176" fillId="52" borderId="63" xfId="26" applyFont="1" applyFill="1" applyBorder="1" applyAlignment="1" applyProtection="1">
      <alignment horizontal="center" vertical="center" wrapText="1"/>
    </xf>
    <xf numFmtId="0" fontId="33" fillId="58" borderId="63" xfId="26" applyFont="1" applyFill="1" applyBorder="1" applyAlignment="1" applyProtection="1">
      <alignment horizontal="center" vertical="center" wrapText="1"/>
    </xf>
    <xf numFmtId="0" fontId="33" fillId="59" borderId="63" xfId="26" applyFont="1" applyFill="1" applyBorder="1" applyAlignment="1" applyProtection="1">
      <alignment horizontal="center" vertical="center" wrapText="1"/>
    </xf>
    <xf numFmtId="0" fontId="176" fillId="60" borderId="63" xfId="26" applyFont="1" applyFill="1" applyBorder="1" applyAlignment="1" applyProtection="1">
      <alignment horizontal="center" vertical="center" wrapText="1"/>
    </xf>
    <xf numFmtId="0" fontId="33" fillId="11" borderId="63" xfId="26" applyFont="1" applyFill="1" applyBorder="1" applyAlignment="1" applyProtection="1">
      <alignment horizontal="center" vertical="center" wrapText="1"/>
    </xf>
    <xf numFmtId="0" fontId="75" fillId="0" borderId="0" xfId="26" applyProtection="1"/>
    <xf numFmtId="0" fontId="53" fillId="50" borderId="63" xfId="26" applyFont="1" applyFill="1" applyBorder="1" applyAlignment="1" applyProtection="1">
      <alignment horizontal="center" vertical="center"/>
    </xf>
    <xf numFmtId="4" fontId="53" fillId="0" borderId="63" xfId="26" applyNumberFormat="1" applyFont="1" applyBorder="1" applyAlignment="1" applyProtection="1">
      <alignment horizontal="right" vertical="center"/>
    </xf>
    <xf numFmtId="4" fontId="177" fillId="41" borderId="63" xfId="26" applyNumberFormat="1" applyFont="1" applyFill="1" applyBorder="1" applyAlignment="1" applyProtection="1">
      <alignment horizontal="right" vertical="center"/>
    </xf>
    <xf numFmtId="4" fontId="53" fillId="61" borderId="63" xfId="26" applyNumberFormat="1" applyFont="1" applyFill="1" applyBorder="1" applyAlignment="1" applyProtection="1">
      <alignment horizontal="right" vertical="center"/>
    </xf>
    <xf numFmtId="4" fontId="53" fillId="2" borderId="63" xfId="26" applyNumberFormat="1" applyFont="1" applyFill="1" applyBorder="1" applyAlignment="1" applyProtection="1">
      <alignment horizontal="right" vertical="center"/>
    </xf>
    <xf numFmtId="0" fontId="116" fillId="0" borderId="63" xfId="36" applyBorder="1" applyAlignment="1" applyProtection="1">
      <alignment vertical="center"/>
    </xf>
    <xf numFmtId="0" fontId="116" fillId="0" borderId="63" xfId="36" applyBorder="1" applyAlignment="1" applyProtection="1">
      <alignment horizontal="center" vertical="center"/>
    </xf>
    <xf numFmtId="179" fontId="116" fillId="0" borderId="0" xfId="36" applyNumberFormat="1" applyAlignment="1" applyProtection="1">
      <alignment vertical="center"/>
    </xf>
    <xf numFmtId="4" fontId="177" fillId="0" borderId="63" xfId="26" applyNumberFormat="1" applyFont="1" applyBorder="1" applyAlignment="1" applyProtection="1">
      <alignment horizontal="right" vertical="center"/>
    </xf>
    <xf numFmtId="0" fontId="116" fillId="0" borderId="0" xfId="36" applyAlignment="1" applyProtection="1">
      <alignment horizontal="right" vertical="center"/>
    </xf>
    <xf numFmtId="0" fontId="116" fillId="20" borderId="63" xfId="36" applyFill="1" applyBorder="1" applyAlignment="1" applyProtection="1">
      <alignment horizontal="center" vertical="center" wrapText="1"/>
    </xf>
    <xf numFmtId="179" fontId="116" fillId="20" borderId="63" xfId="36" applyNumberFormat="1" applyFill="1" applyBorder="1" applyAlignment="1" applyProtection="1">
      <alignment horizontal="center" vertical="center" wrapText="1"/>
    </xf>
    <xf numFmtId="189" fontId="3" fillId="0" borderId="0" xfId="1" applyNumberFormat="1">
      <alignment vertical="top"/>
    </xf>
    <xf numFmtId="179" fontId="116" fillId="20" borderId="63" xfId="36" applyNumberFormat="1" applyFill="1" applyBorder="1" applyAlignment="1" applyProtection="1">
      <alignment horizontal="center" vertical="center"/>
    </xf>
    <xf numFmtId="0" fontId="116" fillId="20" borderId="63" xfId="36" applyFill="1" applyBorder="1" applyAlignment="1" applyProtection="1">
      <alignment horizontal="center" vertical="center"/>
    </xf>
    <xf numFmtId="0" fontId="173" fillId="0" borderId="0" xfId="36" applyFont="1" applyAlignment="1" applyProtection="1">
      <alignment vertical="center"/>
    </xf>
    <xf numFmtId="0" fontId="75" fillId="0" borderId="63" xfId="12" applyBorder="1" applyAlignment="1">
      <alignment horizontal="center" vertical="center"/>
    </xf>
    <xf numFmtId="0" fontId="178" fillId="0" borderId="0" xfId="12" applyFont="1"/>
    <xf numFmtId="10" fontId="75" fillId="0" borderId="0" xfId="12" applyNumberFormat="1"/>
    <xf numFmtId="179" fontId="75" fillId="0" borderId="63" xfId="12" applyNumberFormat="1" applyBorder="1" applyAlignment="1">
      <alignment horizontal="center" vertical="center"/>
    </xf>
    <xf numFmtId="0" fontId="75" fillId="45" borderId="63" xfId="12" applyFill="1" applyBorder="1" applyAlignment="1">
      <alignment horizontal="center" vertical="center"/>
    </xf>
    <xf numFmtId="0" fontId="75" fillId="41" borderId="63" xfId="12" applyFill="1" applyBorder="1" applyAlignment="1">
      <alignment horizontal="center" vertical="center"/>
    </xf>
    <xf numFmtId="0" fontId="75" fillId="41" borderId="63" xfId="12" applyFill="1" applyBorder="1" applyAlignment="1">
      <alignment vertical="center"/>
    </xf>
    <xf numFmtId="0" fontId="75" fillId="0" borderId="63" xfId="12" applyBorder="1"/>
    <xf numFmtId="184" fontId="75" fillId="0" borderId="63" xfId="12" applyNumberFormat="1" applyBorder="1" applyAlignment="1">
      <alignment horizontal="center" vertical="center"/>
    </xf>
    <xf numFmtId="0" fontId="7" fillId="0" borderId="63" xfId="12" applyFont="1" applyBorder="1" applyAlignment="1">
      <alignment horizontal="center" vertical="center"/>
    </xf>
    <xf numFmtId="184" fontId="75" fillId="0" borderId="63" xfId="12" applyNumberFormat="1" applyBorder="1"/>
    <xf numFmtId="0" fontId="155" fillId="0" borderId="63" xfId="12" applyFont="1" applyBorder="1"/>
    <xf numFmtId="179" fontId="12" fillId="0" borderId="1" xfId="37" applyNumberFormat="1" applyFont="1" applyBorder="1" applyAlignment="1">
      <alignment horizontal="right"/>
    </xf>
    <xf numFmtId="179" fontId="95" fillId="0" borderId="1" xfId="37" applyNumberFormat="1" applyFont="1" applyBorder="1" applyAlignment="1">
      <alignment horizontal="right"/>
    </xf>
    <xf numFmtId="0" fontId="178" fillId="0" borderId="0" xfId="0" applyFont="1" applyAlignment="1">
      <alignment horizontal="center" vertical="center"/>
    </xf>
    <xf numFmtId="0" fontId="178" fillId="0" borderId="0" xfId="0" applyFont="1" applyAlignment="1">
      <alignment vertical="center"/>
    </xf>
    <xf numFmtId="0" fontId="12" fillId="55" borderId="1" xfId="0" applyFont="1" applyFill="1" applyBorder="1" applyAlignment="1" applyProtection="1">
      <alignment horizontal="center" vertical="center"/>
      <protection locked="0"/>
    </xf>
    <xf numFmtId="0" fontId="12" fillId="55" borderId="1" xfId="0" applyFont="1" applyFill="1" applyBorder="1" applyAlignment="1" applyProtection="1">
      <alignment horizontal="right" vertical="center"/>
      <protection locked="0"/>
    </xf>
    <xf numFmtId="179" fontId="12" fillId="0" borderId="1" xfId="37" applyNumberFormat="1" applyFont="1" applyBorder="1" applyAlignment="1">
      <alignment horizontal="right" vertical="center"/>
    </xf>
    <xf numFmtId="179" fontId="12" fillId="41" borderId="1" xfId="0" applyNumberFormat="1" applyFont="1" applyFill="1" applyBorder="1" applyAlignment="1" applyProtection="1">
      <alignment horizontal="center" vertical="center"/>
      <protection locked="0"/>
    </xf>
    <xf numFmtId="0" fontId="183" fillId="0" borderId="0" xfId="0" applyFont="1" applyAlignment="1">
      <alignment horizontal="right" vertical="top" wrapText="1" readingOrder="1"/>
    </xf>
    <xf numFmtId="0" fontId="0" fillId="0" borderId="0" xfId="0" applyAlignment="1">
      <alignment vertical="top"/>
    </xf>
    <xf numFmtId="0" fontId="180" fillId="0" borderId="120" xfId="0" applyFont="1" applyBorder="1" applyAlignment="1">
      <alignment horizontal="left" vertical="center" wrapText="1" readingOrder="1"/>
    </xf>
    <xf numFmtId="0" fontId="180" fillId="0" borderId="120" xfId="0" applyFont="1" applyBorder="1" applyAlignment="1">
      <alignment horizontal="right" vertical="center" wrapText="1" readingOrder="1"/>
    </xf>
    <xf numFmtId="2" fontId="180" fillId="0" borderId="120" xfId="0" applyNumberFormat="1" applyFont="1" applyBorder="1" applyAlignment="1">
      <alignment horizontal="right" vertical="center" wrapText="1" readingOrder="1"/>
    </xf>
    <xf numFmtId="0" fontId="180" fillId="20" borderId="120" xfId="0" applyFont="1" applyFill="1" applyBorder="1" applyAlignment="1">
      <alignment horizontal="right" vertical="center" wrapText="1" readingOrder="1"/>
    </xf>
    <xf numFmtId="0" fontId="0" fillId="20" borderId="120" xfId="0" applyFill="1" applyBorder="1"/>
    <xf numFmtId="2" fontId="0" fillId="20" borderId="120" xfId="0" applyNumberFormat="1" applyFill="1" applyBorder="1"/>
    <xf numFmtId="0" fontId="182" fillId="41" borderId="120" xfId="0" applyFont="1" applyFill="1" applyBorder="1" applyAlignment="1">
      <alignment horizontal="left" vertical="center" wrapText="1"/>
    </xf>
    <xf numFmtId="3" fontId="181" fillId="41" borderId="120" xfId="0" applyNumberFormat="1" applyFont="1" applyFill="1" applyBorder="1" applyAlignment="1">
      <alignment horizontal="center" vertical="center" wrapText="1"/>
    </xf>
    <xf numFmtId="0" fontId="182" fillId="62" borderId="120" xfId="0" applyFont="1" applyFill="1" applyBorder="1" applyAlignment="1">
      <alignment horizontal="left" vertical="center" wrapText="1"/>
    </xf>
    <xf numFmtId="3" fontId="181" fillId="23" borderId="120" xfId="0" applyNumberFormat="1" applyFont="1" applyFill="1" applyBorder="1" applyAlignment="1">
      <alignment horizontal="center" vertical="center" wrapText="1"/>
    </xf>
    <xf numFmtId="0" fontId="0" fillId="0" borderId="120" xfId="0" applyBorder="1"/>
    <xf numFmtId="0" fontId="179" fillId="63" borderId="120" xfId="0" applyFont="1" applyFill="1" applyBorder="1" applyAlignment="1">
      <alignment horizontal="center" vertical="center" wrapText="1" readingOrder="1"/>
    </xf>
    <xf numFmtId="0" fontId="178" fillId="0" borderId="120" xfId="0" applyFont="1" applyBorder="1" applyAlignment="1">
      <alignment horizontal="center" vertical="center"/>
    </xf>
    <xf numFmtId="0" fontId="15" fillId="0" borderId="120" xfId="14" applyNumberFormat="1" applyFont="1" applyFill="1" applyBorder="1" applyAlignment="1">
      <alignment horizontal="center" vertical="center"/>
    </xf>
    <xf numFmtId="179" fontId="15" fillId="0" borderId="120" xfId="14" applyNumberFormat="1" applyFont="1" applyFill="1" applyBorder="1" applyAlignment="1">
      <alignment horizontal="center" vertical="center"/>
    </xf>
    <xf numFmtId="179" fontId="12" fillId="41" borderId="1" xfId="0" applyNumberFormat="1" applyFont="1" applyFill="1" applyBorder="1" applyAlignment="1">
      <alignment horizontal="center" vertical="center"/>
    </xf>
    <xf numFmtId="184" fontId="135" fillId="41" borderId="120" xfId="17" applyNumberFormat="1" applyFont="1" applyFill="1" applyBorder="1" applyAlignment="1">
      <alignment horizontal="right" vertical="center" wrapText="1"/>
    </xf>
    <xf numFmtId="194" fontId="56" fillId="0" borderId="0" xfId="14" applyNumberFormat="1" applyFont="1" applyAlignment="1">
      <alignment horizontal="center" vertical="center" wrapText="1"/>
    </xf>
    <xf numFmtId="176" fontId="12" fillId="0" borderId="0" xfId="31" applyFont="1" applyAlignment="1">
      <alignment vertical="center"/>
    </xf>
    <xf numFmtId="9" fontId="15" fillId="0" borderId="0" xfId="32" applyNumberFormat="1" applyFont="1" applyAlignment="1">
      <alignment horizontal="center" vertical="center"/>
    </xf>
    <xf numFmtId="10" fontId="15" fillId="0" borderId="0" xfId="32" applyFont="1" applyAlignment="1">
      <alignment horizontal="center" vertical="center"/>
    </xf>
    <xf numFmtId="10" fontId="12" fillId="0" borderId="0" xfId="32" applyFont="1" applyAlignment="1">
      <alignment vertical="center"/>
    </xf>
    <xf numFmtId="179" fontId="15" fillId="0" borderId="0" xfId="14" applyNumberFormat="1" applyFont="1" applyAlignment="1">
      <alignment horizontal="center" vertical="center" wrapText="1"/>
    </xf>
    <xf numFmtId="9" fontId="15" fillId="53" borderId="100" xfId="32" applyNumberFormat="1" applyFont="1" applyFill="1" applyBorder="1" applyAlignment="1">
      <alignment horizontal="right" vertical="center" wrapText="1"/>
    </xf>
    <xf numFmtId="10" fontId="17" fillId="4" borderId="89" xfId="32" applyFont="1" applyFill="1" applyBorder="1" applyAlignment="1">
      <alignment horizontal="right" vertical="center" wrapText="1"/>
    </xf>
    <xf numFmtId="9" fontId="12" fillId="0" borderId="0" xfId="32" applyNumberFormat="1" applyFont="1" applyAlignment="1">
      <alignment vertical="center"/>
    </xf>
    <xf numFmtId="179" fontId="101" fillId="0" borderId="0" xfId="14" applyNumberFormat="1" applyFont="1" applyAlignment="1">
      <alignment horizontal="center" vertical="center" wrapText="1"/>
    </xf>
    <xf numFmtId="176" fontId="137" fillId="0" borderId="0" xfId="31" applyFont="1" applyAlignment="1">
      <alignment horizontal="center" vertical="center" wrapText="1"/>
    </xf>
    <xf numFmtId="176" fontId="12" fillId="0" borderId="0" xfId="31" applyFont="1" applyAlignment="1">
      <alignment horizontal="center" vertical="center"/>
    </xf>
    <xf numFmtId="10" fontId="12" fillId="0" borderId="0" xfId="32" applyFont="1" applyAlignment="1">
      <alignment horizontal="center" vertical="center"/>
    </xf>
    <xf numFmtId="10" fontId="12" fillId="0" borderId="0" xfId="15" applyNumberFormat="1" applyFont="1" applyAlignment="1">
      <alignment horizontal="center" vertical="center"/>
    </xf>
    <xf numFmtId="179" fontId="12" fillId="0" borderId="0" xfId="15" applyNumberFormat="1" applyFont="1">
      <alignment vertical="center"/>
    </xf>
    <xf numFmtId="10" fontId="101" fillId="0" borderId="0" xfId="32" applyFont="1" applyAlignment="1">
      <alignment horizontal="left" vertical="center" wrapText="1"/>
    </xf>
    <xf numFmtId="0" fontId="56" fillId="0" borderId="2" xfId="17" applyFont="1" applyBorder="1" applyAlignment="1">
      <alignment horizontal="center" vertical="center" wrapText="1" readingOrder="1"/>
    </xf>
    <xf numFmtId="0" fontId="56" fillId="0" borderId="1" xfId="17" applyFont="1" applyBorder="1" applyAlignment="1">
      <alignment horizontal="center" vertical="center" wrapText="1" readingOrder="1"/>
    </xf>
    <xf numFmtId="0" fontId="56" fillId="0" borderId="120" xfId="17" applyFont="1" applyBorder="1" applyAlignment="1">
      <alignment horizontal="center" vertical="center" wrapText="1" readingOrder="1"/>
    </xf>
    <xf numFmtId="0" fontId="56" fillId="0" borderId="127" xfId="17" applyFont="1" applyBorder="1" applyAlignment="1">
      <alignment horizontal="center" vertical="center" wrapText="1" readingOrder="1"/>
    </xf>
    <xf numFmtId="0" fontId="56" fillId="0" borderId="128" xfId="17" applyFont="1" applyBorder="1" applyAlignment="1">
      <alignment horizontal="center" vertical="center" wrapText="1" readingOrder="1"/>
    </xf>
    <xf numFmtId="0" fontId="56" fillId="0" borderId="56" xfId="17" applyFont="1" applyBorder="1" applyAlignment="1">
      <alignment horizontal="center" vertical="center" wrapText="1" readingOrder="1"/>
    </xf>
    <xf numFmtId="0" fontId="184" fillId="0" borderId="46" xfId="17" applyFont="1" applyBorder="1" applyAlignment="1">
      <alignment horizontal="center" vertical="center" wrapText="1" readingOrder="1"/>
    </xf>
    <xf numFmtId="179" fontId="15" fillId="33" borderId="1" xfId="0" applyNumberFormat="1" applyFont="1" applyFill="1" applyBorder="1" applyAlignment="1" applyProtection="1">
      <alignment horizontal="center" vertical="center" wrapText="1"/>
      <protection locked="0"/>
    </xf>
    <xf numFmtId="179" fontId="15" fillId="41" borderId="1" xfId="0" applyNumberFormat="1" applyFont="1" applyFill="1" applyBorder="1" applyAlignment="1" applyProtection="1">
      <alignment horizontal="center" vertical="center"/>
      <protection locked="0"/>
    </xf>
    <xf numFmtId="4" fontId="15" fillId="54" borderId="1" xfId="0" applyNumberFormat="1" applyFont="1" applyFill="1" applyBorder="1" applyAlignment="1" applyProtection="1">
      <alignment horizontal="center" vertical="center"/>
      <protection locked="0"/>
    </xf>
    <xf numFmtId="0" fontId="12" fillId="33" borderId="6" xfId="0" applyFont="1" applyFill="1" applyBorder="1" applyAlignment="1" applyProtection="1">
      <alignment horizontal="left" vertical="center"/>
      <protection locked="0"/>
    </xf>
    <xf numFmtId="0" fontId="12" fillId="33" borderId="1" xfId="0" applyFont="1" applyFill="1" applyBorder="1" applyAlignment="1" applyProtection="1">
      <alignment horizontal="right" vertical="center"/>
      <protection locked="0"/>
    </xf>
    <xf numFmtId="0" fontId="87" fillId="0" borderId="120" xfId="17" applyFont="1" applyBorder="1" applyAlignment="1">
      <alignment horizontal="center" vertical="center" wrapText="1"/>
    </xf>
    <xf numFmtId="0" fontId="127" fillId="0" borderId="120" xfId="0" applyFont="1" applyBorder="1" applyAlignment="1">
      <alignment horizontal="center" vertical="center" wrapText="1"/>
    </xf>
    <xf numFmtId="180" fontId="87" fillId="0" borderId="120" xfId="17" applyNumberFormat="1" applyFont="1" applyBorder="1" applyAlignment="1">
      <alignment horizontal="center" vertical="center" wrapText="1"/>
    </xf>
    <xf numFmtId="0" fontId="89" fillId="0" borderId="0" xfId="16"/>
    <xf numFmtId="0" fontId="89" fillId="0" borderId="0" xfId="16" applyAlignment="1">
      <alignment horizontal="center"/>
    </xf>
    <xf numFmtId="199" fontId="44" fillId="66" borderId="120" xfId="38" applyNumberFormat="1" applyFont="1" applyFill="1" applyBorder="1" applyAlignment="1">
      <alignment horizontal="center" vertical="center" wrapText="1"/>
    </xf>
    <xf numFmtId="0" fontId="126" fillId="0" borderId="64" xfId="39" applyFont="1" applyBorder="1" applyAlignment="1">
      <alignment horizontal="center" vertical="center" wrapText="1"/>
    </xf>
    <xf numFmtId="198" fontId="44" fillId="66" borderId="120" xfId="38" applyNumberFormat="1" applyFont="1" applyFill="1" applyBorder="1" applyAlignment="1">
      <alignment horizontal="center" vertical="center" wrapText="1"/>
    </xf>
    <xf numFmtId="189" fontId="44" fillId="66" borderId="64" xfId="38" applyNumberFormat="1" applyFont="1" applyFill="1" applyBorder="1" applyAlignment="1">
      <alignment horizontal="center" vertical="center" wrapText="1"/>
    </xf>
    <xf numFmtId="189" fontId="44" fillId="41" borderId="64" xfId="38" applyNumberFormat="1" applyFont="1" applyFill="1" applyBorder="1" applyAlignment="1">
      <alignment horizontal="center" vertical="center" wrapText="1"/>
    </xf>
    <xf numFmtId="189" fontId="44" fillId="8" borderId="64" xfId="38" applyNumberFormat="1" applyFont="1" applyFill="1" applyBorder="1" applyAlignment="1">
      <alignment horizontal="center" vertical="center" wrapText="1"/>
    </xf>
    <xf numFmtId="189" fontId="44" fillId="8" borderId="120" xfId="38" applyNumberFormat="1" applyFont="1" applyFill="1" applyBorder="1" applyAlignment="1">
      <alignment horizontal="center" vertical="center" wrapText="1"/>
    </xf>
    <xf numFmtId="189" fontId="89" fillId="0" borderId="120" xfId="16" applyNumberFormat="1" applyBorder="1"/>
    <xf numFmtId="198" fontId="44" fillId="0" borderId="120" xfId="38" applyNumberFormat="1" applyFont="1" applyBorder="1" applyAlignment="1">
      <alignment horizontal="center" vertical="center" wrapText="1"/>
    </xf>
    <xf numFmtId="189" fontId="89" fillId="23" borderId="120" xfId="16" applyNumberFormat="1" applyFill="1" applyBorder="1"/>
    <xf numFmtId="0" fontId="89" fillId="12" borderId="0" xfId="16" applyFill="1"/>
    <xf numFmtId="189" fontId="44" fillId="41" borderId="120" xfId="38" applyNumberFormat="1" applyFont="1" applyFill="1" applyBorder="1" applyAlignment="1">
      <alignment horizontal="center" vertical="center" wrapText="1"/>
    </xf>
    <xf numFmtId="0" fontId="44" fillId="0" borderId="64" xfId="39" applyFont="1" applyBorder="1" applyAlignment="1">
      <alignment horizontal="center" vertical="center"/>
    </xf>
    <xf numFmtId="198" fontId="44" fillId="0" borderId="80" xfId="38" applyNumberFormat="1" applyFont="1" applyBorder="1" applyAlignment="1">
      <alignment horizontal="center" vertical="center" wrapText="1"/>
    </xf>
    <xf numFmtId="198" fontId="44" fillId="23" borderId="120" xfId="38" applyNumberFormat="1" applyFont="1" applyFill="1" applyBorder="1" applyAlignment="1">
      <alignment horizontal="center" vertical="center" wrapText="1"/>
    </xf>
    <xf numFmtId="189" fontId="44" fillId="23" borderId="64" xfId="38" applyNumberFormat="1" applyFont="1" applyFill="1" applyBorder="1" applyAlignment="1">
      <alignment horizontal="center" vertical="center" wrapText="1"/>
    </xf>
    <xf numFmtId="0" fontId="89" fillId="23" borderId="0" xfId="16" applyFill="1"/>
    <xf numFmtId="189" fontId="44" fillId="0" borderId="64" xfId="38" applyNumberFormat="1" applyFont="1" applyBorder="1" applyAlignment="1">
      <alignment horizontal="center" vertical="center" wrapText="1"/>
    </xf>
    <xf numFmtId="0" fontId="185" fillId="0" borderId="0" xfId="16" applyFont="1"/>
    <xf numFmtId="198" fontId="44" fillId="66" borderId="64" xfId="38" applyNumberFormat="1" applyFont="1" applyFill="1" applyBorder="1" applyAlignment="1">
      <alignment horizontal="center" vertical="center" wrapText="1"/>
    </xf>
    <xf numFmtId="0" fontId="44" fillId="23" borderId="64" xfId="39" applyFont="1" applyFill="1" applyBorder="1" applyAlignment="1">
      <alignment horizontal="center" vertical="center"/>
    </xf>
    <xf numFmtId="0" fontId="185" fillId="23" borderId="0" xfId="16" applyFont="1" applyFill="1"/>
    <xf numFmtId="189" fontId="63" fillId="8" borderId="64" xfId="38" applyNumberFormat="1" applyFont="1" applyFill="1" applyBorder="1" applyAlignment="1">
      <alignment horizontal="center" vertical="center" wrapText="1"/>
    </xf>
    <xf numFmtId="198" fontId="44" fillId="23" borderId="64" xfId="38" applyNumberFormat="1" applyFont="1" applyFill="1" applyBorder="1" applyAlignment="1">
      <alignment horizontal="center" vertical="center" wrapText="1"/>
    </xf>
    <xf numFmtId="198" fontId="44" fillId="0" borderId="64" xfId="38" applyNumberFormat="1" applyFont="1" applyBorder="1" applyAlignment="1">
      <alignment horizontal="center" vertical="center" wrapText="1"/>
    </xf>
    <xf numFmtId="199" fontId="44" fillId="66" borderId="103" xfId="38" applyNumberFormat="1" applyFont="1" applyFill="1" applyBorder="1" applyAlignment="1">
      <alignment horizontal="center" vertical="center" wrapText="1"/>
    </xf>
    <xf numFmtId="198" fontId="44" fillId="0" borderId="104" xfId="38" applyNumberFormat="1" applyFont="1" applyBorder="1" applyAlignment="1">
      <alignment horizontal="center" vertical="center" wrapText="1"/>
    </xf>
    <xf numFmtId="189" fontId="44" fillId="66" borderId="0" xfId="38" applyNumberFormat="1" applyFont="1" applyFill="1" applyAlignment="1">
      <alignment horizontal="center" vertical="center" wrapText="1"/>
    </xf>
    <xf numFmtId="189" fontId="47" fillId="41" borderId="80" xfId="38" applyNumberFormat="1" applyFont="1" applyFill="1" applyBorder="1" applyAlignment="1">
      <alignment horizontal="center" vertical="center" wrapText="1"/>
    </xf>
    <xf numFmtId="189" fontId="44" fillId="8" borderId="80" xfId="38" applyNumberFormat="1" applyFont="1" applyFill="1" applyBorder="1" applyAlignment="1">
      <alignment horizontal="center" vertical="center" wrapText="1"/>
    </xf>
    <xf numFmtId="189" fontId="47" fillId="8" borderId="80" xfId="38" applyNumberFormat="1" applyFont="1" applyFill="1" applyBorder="1" applyAlignment="1">
      <alignment horizontal="center" vertical="center" wrapText="1"/>
    </xf>
    <xf numFmtId="0" fontId="186" fillId="8" borderId="80" xfId="16" applyFont="1" applyFill="1" applyBorder="1" applyAlignment="1">
      <alignment horizontal="center" vertical="center" wrapText="1"/>
    </xf>
    <xf numFmtId="189" fontId="89" fillId="0" borderId="80" xfId="16" applyNumberFormat="1" applyBorder="1"/>
    <xf numFmtId="198" fontId="187" fillId="0" borderId="65" xfId="38" applyNumberFormat="1" applyFont="1" applyBorder="1" applyAlignment="1">
      <alignment vertical="center" wrapText="1"/>
    </xf>
    <xf numFmtId="198" fontId="187" fillId="0" borderId="67" xfId="38" applyNumberFormat="1" applyFont="1" applyBorder="1" applyAlignment="1">
      <alignment vertical="center" wrapText="1"/>
    </xf>
    <xf numFmtId="0" fontId="89" fillId="0" borderId="120" xfId="16" applyBorder="1"/>
    <xf numFmtId="189" fontId="89" fillId="0" borderId="0" xfId="16" applyNumberFormat="1"/>
    <xf numFmtId="179" fontId="12" fillId="54" borderId="1" xfId="0" applyNumberFormat="1" applyFont="1" applyFill="1" applyBorder="1" applyAlignment="1">
      <alignment horizontal="right" vertical="center"/>
    </xf>
    <xf numFmtId="0" fontId="184" fillId="0" borderId="48" xfId="17" applyFont="1" applyBorder="1" applyAlignment="1">
      <alignment horizontal="center" vertical="center" wrapText="1" readingOrder="1"/>
    </xf>
    <xf numFmtId="3" fontId="184" fillId="0" borderId="1" xfId="17" applyNumberFormat="1" applyFont="1" applyBorder="1" applyAlignment="1">
      <alignment horizontal="right" vertical="center" wrapText="1" readingOrder="1"/>
    </xf>
    <xf numFmtId="0" fontId="184" fillId="0" borderId="49" xfId="17" applyFont="1" applyBorder="1" applyAlignment="1">
      <alignment horizontal="center" vertical="center" wrapText="1" readingOrder="1"/>
    </xf>
    <xf numFmtId="0" fontId="188" fillId="64" borderId="1" xfId="17" applyFont="1" applyFill="1" applyBorder="1" applyAlignment="1">
      <alignment horizontal="center" vertical="center" wrapText="1" readingOrder="1"/>
    </xf>
    <xf numFmtId="3" fontId="56" fillId="0" borderId="1" xfId="17" applyNumberFormat="1" applyFont="1" applyBorder="1" applyAlignment="1">
      <alignment horizontal="right" vertical="center" wrapText="1" readingOrder="1"/>
    </xf>
    <xf numFmtId="0" fontId="56" fillId="0" borderId="49" xfId="17" applyFont="1" applyBorder="1" applyAlignment="1">
      <alignment horizontal="center" vertical="center" wrapText="1" readingOrder="1"/>
    </xf>
    <xf numFmtId="3" fontId="191" fillId="0" borderId="1" xfId="17" applyNumberFormat="1" applyFont="1" applyBorder="1" applyAlignment="1">
      <alignment horizontal="center" vertical="center" wrapText="1" readingOrder="1"/>
    </xf>
    <xf numFmtId="0" fontId="192" fillId="0" borderId="1" xfId="17" applyFont="1" applyBorder="1" applyAlignment="1">
      <alignment vertical="center" wrapText="1"/>
    </xf>
    <xf numFmtId="3" fontId="100" fillId="0" borderId="1" xfId="17" applyNumberFormat="1" applyFont="1" applyBorder="1" applyAlignment="1">
      <alignment horizontal="right" vertical="center" wrapText="1" readingOrder="1"/>
    </xf>
    <xf numFmtId="0" fontId="100" fillId="0" borderId="49" xfId="17" applyFont="1" applyBorder="1" applyAlignment="1">
      <alignment horizontal="center" vertical="center" wrapText="1" readingOrder="1"/>
    </xf>
    <xf numFmtId="0" fontId="191" fillId="0" borderId="1" xfId="17" applyFont="1" applyBorder="1" applyAlignment="1">
      <alignment horizontal="left" vertical="center" wrapText="1" readingOrder="1"/>
    </xf>
    <xf numFmtId="0" fontId="190" fillId="67" borderId="2" xfId="17" applyFont="1" applyFill="1" applyBorder="1" applyAlignment="1">
      <alignment vertical="center" wrapText="1" readingOrder="1"/>
    </xf>
    <xf numFmtId="0" fontId="190" fillId="67" borderId="4" xfId="17" applyFont="1" applyFill="1" applyBorder="1" applyAlignment="1">
      <alignment vertical="center" wrapText="1" readingOrder="1"/>
    </xf>
    <xf numFmtId="0" fontId="193" fillId="0" borderId="1" xfId="17" applyFont="1" applyBorder="1" applyAlignment="1">
      <alignment horizontal="left" vertical="center" wrapText="1" readingOrder="1"/>
    </xf>
    <xf numFmtId="0" fontId="190" fillId="67" borderId="3" xfId="17" applyFont="1" applyFill="1" applyBorder="1" applyAlignment="1">
      <alignment vertical="center" wrapText="1" readingOrder="1"/>
    </xf>
    <xf numFmtId="0" fontId="184" fillId="0" borderId="1" xfId="17" applyFont="1" applyBorder="1" applyAlignment="1">
      <alignment horizontal="left" vertical="center" wrapText="1" readingOrder="1"/>
    </xf>
    <xf numFmtId="180" fontId="56" fillId="0" borderId="1" xfId="17" applyNumberFormat="1" applyFont="1" applyBorder="1" applyAlignment="1">
      <alignment horizontal="right" vertical="center" wrapText="1" readingOrder="1"/>
    </xf>
    <xf numFmtId="2" fontId="12" fillId="0" borderId="0" xfId="15" applyNumberFormat="1" applyFont="1" applyAlignment="1">
      <alignment vertical="center" wrapText="1"/>
    </xf>
    <xf numFmtId="0" fontId="190" fillId="67" borderId="1" xfId="17" applyFont="1" applyFill="1" applyBorder="1" applyAlignment="1">
      <alignment horizontal="left" vertical="center" wrapText="1" readingOrder="1"/>
    </xf>
    <xf numFmtId="180" fontId="191" fillId="0" borderId="1" xfId="17" applyNumberFormat="1" applyFont="1" applyBorder="1" applyAlignment="1">
      <alignment horizontal="center" vertical="center" wrapText="1" readingOrder="1"/>
    </xf>
    <xf numFmtId="180" fontId="56" fillId="0" borderId="7" xfId="17" applyNumberFormat="1" applyFont="1" applyBorder="1" applyAlignment="1">
      <alignment horizontal="right" vertical="center" wrapText="1" readingOrder="1"/>
    </xf>
    <xf numFmtId="180" fontId="12" fillId="0" borderId="0" xfId="15" applyNumberFormat="1" applyFont="1" applyAlignment="1">
      <alignment vertical="center" wrapText="1"/>
    </xf>
    <xf numFmtId="4" fontId="56" fillId="0" borderId="1" xfId="17" applyNumberFormat="1" applyFont="1" applyBorder="1" applyAlignment="1">
      <alignment horizontal="right" vertical="center" wrapText="1" readingOrder="1"/>
    </xf>
    <xf numFmtId="2" fontId="56" fillId="0" borderId="1" xfId="17" applyNumberFormat="1" applyFont="1" applyBorder="1" applyAlignment="1">
      <alignment horizontal="right" vertical="center" wrapText="1" readingOrder="1"/>
    </xf>
    <xf numFmtId="180" fontId="56" fillId="0" borderId="56" xfId="17" applyNumberFormat="1" applyFont="1" applyBorder="1" applyAlignment="1">
      <alignment horizontal="right" vertical="center" wrapText="1" readingOrder="1"/>
    </xf>
    <xf numFmtId="0" fontId="56" fillId="0" borderId="57" xfId="17" applyFont="1" applyBorder="1" applyAlignment="1">
      <alignment horizontal="center" vertical="center" wrapText="1" readingOrder="1"/>
    </xf>
    <xf numFmtId="0" fontId="56" fillId="0" borderId="0" xfId="17" applyFont="1" applyAlignment="1">
      <alignment horizontal="center" vertical="center" wrapText="1" readingOrder="1"/>
    </xf>
    <xf numFmtId="196" fontId="126" fillId="0" borderId="120" xfId="0" applyNumberFormat="1" applyFont="1" applyBorder="1" applyAlignment="1">
      <alignment horizontal="center" vertical="center" wrapText="1"/>
    </xf>
    <xf numFmtId="0" fontId="178" fillId="0" borderId="120" xfId="12" applyFont="1" applyBorder="1"/>
    <xf numFmtId="0" fontId="75" fillId="0" borderId="120" xfId="12" applyBorder="1"/>
    <xf numFmtId="0" fontId="75" fillId="0" borderId="120" xfId="12" applyBorder="1" applyAlignment="1">
      <alignment horizontal="center"/>
    </xf>
    <xf numFmtId="0" fontId="75" fillId="20" borderId="120" xfId="12" applyFill="1" applyBorder="1"/>
    <xf numFmtId="0" fontId="178" fillId="20" borderId="120" xfId="12" applyFont="1" applyFill="1" applyBorder="1"/>
    <xf numFmtId="40" fontId="75" fillId="20" borderId="120" xfId="12" applyNumberFormat="1" applyFill="1" applyBorder="1"/>
    <xf numFmtId="2" fontId="75" fillId="41" borderId="120" xfId="12" applyNumberFormat="1" applyFill="1" applyBorder="1" applyAlignment="1">
      <alignment horizontal="center"/>
    </xf>
    <xf numFmtId="0" fontId="178" fillId="20" borderId="120" xfId="12" applyFont="1" applyFill="1" applyBorder="1" applyAlignment="1">
      <alignment vertical="center" wrapText="1"/>
    </xf>
    <xf numFmtId="0" fontId="75" fillId="20" borderId="120" xfId="12" applyFill="1" applyBorder="1" applyAlignment="1">
      <alignment vertical="center"/>
    </xf>
    <xf numFmtId="0" fontId="75" fillId="0" borderId="120" xfId="12" applyBorder="1" applyAlignment="1">
      <alignment horizontal="center" vertical="center"/>
    </xf>
    <xf numFmtId="2" fontId="12" fillId="41" borderId="1" xfId="0" applyNumberFormat="1" applyFont="1" applyFill="1" applyBorder="1" applyAlignment="1" applyProtection="1">
      <alignment horizontal="right" vertical="center"/>
      <protection locked="0"/>
    </xf>
    <xf numFmtId="184" fontId="116" fillId="58" borderId="63" xfId="27" applyNumberFormat="1" applyFill="1" applyBorder="1" applyAlignment="1" applyProtection="1">
      <alignment horizontal="center" vertical="center"/>
    </xf>
    <xf numFmtId="0" fontId="15" fillId="23" borderId="6" xfId="0" applyFont="1" applyFill="1" applyBorder="1" applyAlignment="1" applyProtection="1">
      <alignment horizontal="left" vertical="center"/>
      <protection locked="0"/>
    </xf>
    <xf numFmtId="0" fontId="15" fillId="23" borderId="6" xfId="0" applyFont="1" applyFill="1" applyBorder="1" applyAlignment="1" applyProtection="1">
      <alignment horizontal="left" vertical="center" wrapText="1"/>
      <protection locked="0"/>
    </xf>
    <xf numFmtId="179" fontId="12" fillId="14" borderId="1" xfId="0" applyNumberFormat="1" applyFont="1" applyFill="1" applyBorder="1" applyAlignment="1" applyProtection="1">
      <alignment horizontal="center" vertical="center"/>
      <protection locked="0"/>
    </xf>
    <xf numFmtId="0" fontId="178" fillId="20" borderId="120" xfId="12" applyFont="1" applyFill="1" applyBorder="1" applyAlignment="1">
      <alignment horizontal="center" vertical="center"/>
    </xf>
    <xf numFmtId="0" fontId="178" fillId="0" borderId="120" xfId="12" applyFont="1" applyBorder="1" applyAlignment="1">
      <alignment horizontal="center" vertical="center"/>
    </xf>
    <xf numFmtId="0" fontId="47" fillId="35" borderId="135" xfId="11" applyFont="1" applyFill="1" applyBorder="1" applyAlignment="1" applyProtection="1">
      <alignment horizontal="center" vertical="center" wrapText="1"/>
      <protection locked="0"/>
    </xf>
    <xf numFmtId="0" fontId="59" fillId="35" borderId="136" xfId="11" applyFont="1" applyFill="1" applyBorder="1" applyAlignment="1" applyProtection="1">
      <alignment horizontal="center" vertical="center" wrapText="1"/>
      <protection locked="0"/>
    </xf>
    <xf numFmtId="0" fontId="18" fillId="35" borderId="137" xfId="11" applyFont="1" applyFill="1" applyBorder="1" applyAlignment="1" applyProtection="1">
      <alignment horizontal="center" vertical="center" wrapText="1"/>
      <protection locked="0"/>
    </xf>
    <xf numFmtId="0" fontId="44" fillId="32" borderId="138" xfId="11" applyFont="1" applyFill="1" applyBorder="1" applyAlignment="1">
      <alignment horizontal="center" vertical="center"/>
    </xf>
    <xf numFmtId="0" fontId="44" fillId="32" borderId="139" xfId="0" applyFont="1" applyFill="1" applyBorder="1" applyAlignment="1">
      <alignment horizontal="center" vertical="center" wrapText="1"/>
    </xf>
    <xf numFmtId="0" fontId="44" fillId="32" borderId="139" xfId="11" applyFont="1" applyFill="1" applyBorder="1" applyAlignment="1">
      <alignment horizontal="center" vertical="center"/>
    </xf>
    <xf numFmtId="0" fontId="44" fillId="32" borderId="139" xfId="11" applyFont="1" applyFill="1" applyBorder="1" applyAlignment="1">
      <alignment horizontal="center" vertical="center" wrapText="1"/>
    </xf>
    <xf numFmtId="0" fontId="44" fillId="32" borderId="140" xfId="11" applyFont="1" applyFill="1" applyBorder="1" applyAlignment="1">
      <alignment horizontal="center" vertical="center"/>
    </xf>
    <xf numFmtId="0" fontId="44" fillId="32" borderId="141" xfId="0" applyFont="1" applyFill="1" applyBorder="1" applyAlignment="1">
      <alignment horizontal="center" vertical="center" wrapText="1"/>
    </xf>
    <xf numFmtId="4" fontId="44" fillId="23" borderId="141" xfId="0" applyNumberFormat="1" applyFont="1" applyFill="1" applyBorder="1" applyAlignment="1" applyProtection="1">
      <alignment horizontal="center" vertical="center" wrapText="1"/>
      <protection locked="0"/>
    </xf>
    <xf numFmtId="0" fontId="44" fillId="32" borderId="142" xfId="11" applyFont="1" applyFill="1" applyBorder="1" applyAlignment="1">
      <alignment horizontal="center" vertical="center" wrapText="1"/>
    </xf>
    <xf numFmtId="185" fontId="12" fillId="0" borderId="0" xfId="15" applyNumberFormat="1" applyFont="1">
      <alignment vertical="center"/>
    </xf>
    <xf numFmtId="1" fontId="15" fillId="0" borderId="1" xfId="0" applyNumberFormat="1" applyFont="1" applyBorder="1" applyAlignment="1" applyProtection="1">
      <alignment horizontal="center" vertical="center"/>
      <protection locked="0"/>
    </xf>
    <xf numFmtId="179" fontId="15" fillId="0" borderId="1" xfId="0" applyNumberFormat="1" applyFont="1" applyBorder="1" applyAlignment="1" applyProtection="1">
      <alignment horizontal="left" vertical="center"/>
      <protection locked="0"/>
    </xf>
    <xf numFmtId="2" fontId="12" fillId="41" borderId="1" xfId="0" applyNumberFormat="1" applyFont="1" applyFill="1" applyBorder="1" applyAlignment="1">
      <alignment horizontal="center" vertical="center"/>
    </xf>
    <xf numFmtId="189" fontId="89" fillId="23" borderId="120" xfId="16" applyNumberFormat="1" applyFill="1" applyBorder="1" applyAlignment="1">
      <alignment horizontal="center"/>
    </xf>
    <xf numFmtId="0" fontId="89" fillId="41" borderId="120" xfId="16" applyFill="1" applyBorder="1" applyAlignment="1">
      <alignment horizontal="center"/>
    </xf>
    <xf numFmtId="0" fontId="89" fillId="8" borderId="120" xfId="16" applyFill="1" applyBorder="1" applyAlignment="1">
      <alignment horizontal="center"/>
    </xf>
    <xf numFmtId="189" fontId="181" fillId="0" borderId="120" xfId="16" applyNumberFormat="1" applyFont="1" applyBorder="1"/>
    <xf numFmtId="179" fontId="12" fillId="33" borderId="1" xfId="0" applyNumberFormat="1" applyFont="1" applyFill="1" applyBorder="1" applyAlignment="1">
      <alignment horizontal="right" vertical="center"/>
    </xf>
    <xf numFmtId="3" fontId="79" fillId="0" borderId="120" xfId="17" applyNumberFormat="1" applyFont="1" applyBorder="1" applyAlignment="1">
      <alignment horizontal="center" vertical="center" wrapText="1"/>
    </xf>
    <xf numFmtId="0" fontId="79" fillId="0" borderId="120" xfId="17" applyFont="1" applyBorder="1" applyAlignment="1">
      <alignment horizontal="center" vertical="center" wrapText="1"/>
    </xf>
    <xf numFmtId="38" fontId="79" fillId="0" borderId="120" xfId="17" applyNumberFormat="1" applyFont="1" applyBorder="1" applyAlignment="1">
      <alignment horizontal="center" vertical="center" wrapText="1"/>
    </xf>
    <xf numFmtId="179" fontId="0" fillId="0" borderId="0" xfId="0" applyNumberFormat="1"/>
    <xf numFmtId="200" fontId="75" fillId="0" borderId="0" xfId="12" applyNumberFormat="1"/>
    <xf numFmtId="2" fontId="156" fillId="0" borderId="0" xfId="23" applyNumberFormat="1" applyFont="1" applyAlignment="1" applyProtection="1">
      <alignment horizontal="center" vertical="center" wrapText="1"/>
    </xf>
    <xf numFmtId="0" fontId="156" fillId="20" borderId="120" xfId="23" applyFont="1" applyFill="1" applyBorder="1" applyAlignment="1" applyProtection="1">
      <alignment horizontal="center" vertical="center" wrapText="1"/>
    </xf>
    <xf numFmtId="184" fontId="156" fillId="20" borderId="120" xfId="23" applyNumberFormat="1" applyFont="1" applyFill="1" applyBorder="1" applyAlignment="1" applyProtection="1">
      <alignment horizontal="center" vertical="center" wrapText="1"/>
    </xf>
    <xf numFmtId="2" fontId="156" fillId="20" borderId="120" xfId="23" applyNumberFormat="1" applyFont="1" applyFill="1" applyBorder="1" applyAlignment="1" applyProtection="1">
      <alignment horizontal="center" vertical="center" wrapText="1"/>
    </xf>
    <xf numFmtId="0" fontId="12" fillId="0" borderId="0" xfId="7" applyFont="1" applyAlignment="1">
      <alignment vertical="center"/>
    </xf>
    <xf numFmtId="0" fontId="33" fillId="0" borderId="0" xfId="7" applyFont="1" applyAlignment="1">
      <alignment vertical="center"/>
    </xf>
    <xf numFmtId="0" fontId="12" fillId="68" borderId="0" xfId="7" applyFont="1" applyFill="1" applyAlignment="1">
      <alignment vertical="center" wrapText="1"/>
    </xf>
    <xf numFmtId="0" fontId="18" fillId="20" borderId="82" xfId="6" applyFont="1" applyFill="1" applyBorder="1" applyAlignment="1">
      <alignment horizontal="center" vertical="center"/>
    </xf>
    <xf numFmtId="0" fontId="18" fillId="20" borderId="120" xfId="6" applyFont="1" applyFill="1" applyBorder="1" applyAlignment="1">
      <alignment horizontal="center" vertical="center"/>
    </xf>
    <xf numFmtId="0" fontId="18" fillId="20" borderId="83" xfId="6" applyFont="1" applyFill="1" applyBorder="1" applyAlignment="1">
      <alignment horizontal="center" vertical="center" wrapText="1"/>
    </xf>
    <xf numFmtId="0" fontId="18" fillId="38" borderId="82" xfId="6" applyFont="1" applyFill="1" applyBorder="1" applyAlignment="1">
      <alignment horizontal="center" vertical="center"/>
    </xf>
    <xf numFmtId="0" fontId="18" fillId="38" borderId="120" xfId="6" applyFont="1" applyFill="1" applyBorder="1" applyAlignment="1">
      <alignment horizontal="center" vertical="center"/>
    </xf>
    <xf numFmtId="0" fontId="15" fillId="0" borderId="82" xfId="6" applyFont="1" applyBorder="1" applyAlignment="1">
      <alignment horizontal="center" vertical="center"/>
    </xf>
    <xf numFmtId="0" fontId="18" fillId="0" borderId="120" xfId="6" applyFont="1" applyBorder="1" applyAlignment="1">
      <alignment horizontal="center" vertical="center"/>
    </xf>
    <xf numFmtId="0" fontId="15" fillId="0" borderId="120" xfId="6" applyFont="1" applyBorder="1" applyAlignment="1">
      <alignment horizontal="left" vertical="center" wrapText="1"/>
    </xf>
    <xf numFmtId="0" fontId="15" fillId="0" borderId="83" xfId="6" applyFont="1" applyBorder="1" applyAlignment="1">
      <alignment horizontal="left" vertical="center" wrapText="1"/>
    </xf>
    <xf numFmtId="0" fontId="18" fillId="0" borderId="83" xfId="6" applyFont="1" applyBorder="1" applyAlignment="1">
      <alignment horizontal="center" vertical="center" wrapText="1"/>
    </xf>
    <xf numFmtId="0" fontId="15" fillId="0" borderId="120" xfId="6" applyFont="1" applyBorder="1" applyAlignment="1" applyProtection="1">
      <alignment horizontal="left" vertical="center" wrapText="1"/>
      <protection locked="0"/>
    </xf>
    <xf numFmtId="0" fontId="15" fillId="0" borderId="83" xfId="6" applyFont="1" applyBorder="1" applyAlignment="1" applyProtection="1">
      <alignment horizontal="left" vertical="center" wrapText="1"/>
      <protection locked="0"/>
    </xf>
    <xf numFmtId="0" fontId="18" fillId="0" borderId="120" xfId="6" applyFont="1" applyBorder="1" applyAlignment="1">
      <alignment horizontal="left" vertical="center"/>
    </xf>
    <xf numFmtId="0" fontId="15" fillId="0" borderId="120" xfId="6" applyFont="1" applyBorder="1" applyAlignment="1" applyProtection="1">
      <alignment horizontal="center" vertical="center" wrapText="1"/>
      <protection locked="0"/>
    </xf>
    <xf numFmtId="0" fontId="18" fillId="0" borderId="120" xfId="6" applyFont="1" applyBorder="1" applyAlignment="1">
      <alignment horizontal="left" vertical="center" wrapText="1"/>
    </xf>
    <xf numFmtId="0" fontId="15" fillId="69" borderId="67" xfId="6" applyFont="1" applyFill="1" applyBorder="1" applyAlignment="1" applyProtection="1">
      <alignment horizontal="center" vertical="center" wrapText="1"/>
      <protection locked="0"/>
    </xf>
    <xf numFmtId="0" fontId="15" fillId="0" borderId="120" xfId="6" applyFont="1" applyBorder="1" applyAlignment="1">
      <alignment horizontal="center" vertical="center" wrapText="1"/>
    </xf>
    <xf numFmtId="0" fontId="12" fillId="68" borderId="0" xfId="7" applyFont="1" applyFill="1" applyAlignment="1">
      <alignment vertical="center"/>
    </xf>
    <xf numFmtId="0" fontId="15" fillId="0" borderId="120" xfId="6" applyFont="1" applyBorder="1" applyAlignment="1">
      <alignment horizontal="center" vertical="center"/>
    </xf>
    <xf numFmtId="0" fontId="18" fillId="0" borderId="89" xfId="6" applyFont="1" applyBorder="1" applyAlignment="1" applyProtection="1">
      <alignment horizontal="center" vertical="center" wrapText="1"/>
      <protection locked="0"/>
    </xf>
    <xf numFmtId="0" fontId="33" fillId="0" borderId="0" xfId="7" applyFont="1" applyAlignment="1">
      <alignment horizontal="center" vertical="center"/>
    </xf>
    <xf numFmtId="4" fontId="12" fillId="68" borderId="1" xfId="0" applyNumberFormat="1" applyFont="1" applyFill="1" applyBorder="1" applyAlignment="1">
      <alignment horizontal="right" vertical="center"/>
    </xf>
    <xf numFmtId="0" fontId="73" fillId="0" borderId="0" xfId="7" applyFont="1" applyAlignment="1">
      <alignment horizontal="center" vertical="center"/>
    </xf>
    <xf numFmtId="0" fontId="16" fillId="0" borderId="0" xfId="7" applyFont="1" applyAlignment="1">
      <alignment horizontal="right" vertical="center"/>
    </xf>
    <xf numFmtId="0" fontId="18" fillId="0" borderId="75" xfId="7" applyFont="1" applyBorder="1" applyAlignment="1">
      <alignment horizontal="left" vertical="center" wrapText="1"/>
    </xf>
    <xf numFmtId="0" fontId="18" fillId="0" borderId="76" xfId="7" applyFont="1" applyBorder="1" applyAlignment="1">
      <alignment horizontal="left" vertical="center" wrapText="1"/>
    </xf>
    <xf numFmtId="0" fontId="18" fillId="0" borderId="77" xfId="7" applyFont="1" applyBorder="1" applyAlignment="1">
      <alignment horizontal="left" vertical="center" wrapText="1"/>
    </xf>
    <xf numFmtId="0" fontId="18" fillId="38" borderId="120" xfId="6" applyFont="1" applyFill="1" applyBorder="1" applyAlignment="1">
      <alignment horizontal="left" vertical="center"/>
    </xf>
    <xf numFmtId="0" fontId="18" fillId="38" borderId="83" xfId="6" applyFont="1" applyFill="1" applyBorder="1" applyAlignment="1">
      <alignment horizontal="left" vertical="center"/>
    </xf>
    <xf numFmtId="0" fontId="18" fillId="0" borderId="120" xfId="6" applyFont="1" applyBorder="1" applyAlignment="1">
      <alignment horizontal="center" vertical="center"/>
    </xf>
    <xf numFmtId="0" fontId="18" fillId="0" borderId="120" xfId="6" applyFont="1" applyBorder="1" applyAlignment="1">
      <alignment horizontal="center" vertical="center" wrapText="1"/>
    </xf>
    <xf numFmtId="0" fontId="18" fillId="0" borderId="120" xfId="6" applyFont="1" applyBorder="1" applyAlignment="1">
      <alignment horizontal="left" vertical="center"/>
    </xf>
    <xf numFmtId="0" fontId="18" fillId="0" borderId="80" xfId="6" applyFont="1" applyBorder="1" applyAlignment="1">
      <alignment horizontal="center" vertical="center"/>
    </xf>
    <xf numFmtId="0" fontId="18" fillId="0" borderId="101" xfId="6" applyFont="1" applyBorder="1" applyAlignment="1">
      <alignment horizontal="center" vertical="center"/>
    </xf>
    <xf numFmtId="0" fontId="18" fillId="0" borderId="64" xfId="6" applyFont="1" applyBorder="1" applyAlignment="1">
      <alignment horizontal="center" vertical="center"/>
    </xf>
    <xf numFmtId="0" fontId="15" fillId="0" borderId="120" xfId="6" applyFont="1" applyBorder="1" applyAlignment="1">
      <alignment horizontal="center" vertical="center" wrapText="1"/>
    </xf>
    <xf numFmtId="0" fontId="12" fillId="0" borderId="120" xfId="6" applyFont="1" applyBorder="1" applyAlignment="1">
      <alignment horizontal="center" vertical="center" wrapText="1"/>
    </xf>
    <xf numFmtId="0" fontId="15" fillId="0" borderId="120" xfId="6" applyFont="1" applyBorder="1" applyAlignment="1">
      <alignment horizontal="center" vertical="center"/>
    </xf>
    <xf numFmtId="0" fontId="67" fillId="23" borderId="0" xfId="11" applyFont="1" applyFill="1" applyAlignment="1">
      <alignment horizontal="center" vertical="center"/>
    </xf>
    <xf numFmtId="0" fontId="4" fillId="34" borderId="1" xfId="11" applyFont="1" applyFill="1" applyBorder="1" applyAlignment="1">
      <alignment horizontal="left" vertical="center"/>
    </xf>
    <xf numFmtId="0" fontId="4" fillId="37" borderId="1" xfId="11" applyFont="1" applyFill="1" applyBorder="1" applyAlignment="1">
      <alignment horizontal="center" vertical="center"/>
    </xf>
    <xf numFmtId="0" fontId="4" fillId="23" borderId="1" xfId="11" applyFont="1" applyFill="1" applyBorder="1" applyAlignment="1">
      <alignment horizontal="left" vertical="center"/>
    </xf>
    <xf numFmtId="0" fontId="4" fillId="9" borderId="1" xfId="11" applyFont="1" applyFill="1" applyBorder="1" applyAlignment="1">
      <alignment horizontal="center" vertical="center"/>
    </xf>
    <xf numFmtId="0" fontId="65" fillId="23" borderId="1" xfId="11" applyFont="1" applyFill="1" applyBorder="1" applyAlignment="1">
      <alignment horizontal="center" vertical="center"/>
    </xf>
    <xf numFmtId="0" fontId="65" fillId="23" borderId="1" xfId="11" applyFont="1" applyFill="1" applyBorder="1" applyAlignment="1">
      <alignment horizontal="center" vertical="center" wrapText="1"/>
    </xf>
    <xf numFmtId="0" fontId="65" fillId="23" borderId="1" xfId="11" applyFont="1" applyFill="1" applyBorder="1" applyAlignment="1">
      <alignment horizontal="left" vertical="center" wrapText="1"/>
    </xf>
    <xf numFmtId="0" fontId="65" fillId="0" borderId="1" xfId="11" applyFont="1" applyBorder="1" applyAlignment="1">
      <alignment horizontal="center" vertical="center" wrapText="1"/>
    </xf>
    <xf numFmtId="0" fontId="65" fillId="23" borderId="2" xfId="11" applyFont="1" applyFill="1" applyBorder="1" applyAlignment="1">
      <alignment horizontal="center" vertical="center" wrapText="1"/>
    </xf>
    <xf numFmtId="0" fontId="65" fillId="23" borderId="4" xfId="11" applyFont="1" applyFill="1" applyBorder="1" applyAlignment="1">
      <alignment horizontal="center" vertical="center" wrapText="1"/>
    </xf>
    <xf numFmtId="0" fontId="65" fillId="23" borderId="3" xfId="11" applyFont="1" applyFill="1" applyBorder="1" applyAlignment="1">
      <alignment horizontal="center" vertical="center" wrapText="1"/>
    </xf>
    <xf numFmtId="0" fontId="71" fillId="23" borderId="1" xfId="11" applyFont="1" applyFill="1" applyBorder="1" applyAlignment="1">
      <alignment horizontal="center" vertical="center" wrapText="1"/>
    </xf>
    <xf numFmtId="0" fontId="71" fillId="23" borderId="1" xfId="11" applyFont="1" applyFill="1" applyBorder="1" applyAlignment="1">
      <alignment horizontal="center" vertical="center"/>
    </xf>
    <xf numFmtId="0" fontId="71" fillId="0" borderId="1" xfId="11" applyFont="1" applyBorder="1" applyAlignment="1">
      <alignment horizontal="center" vertical="center"/>
    </xf>
    <xf numFmtId="0" fontId="71" fillId="0" borderId="1" xfId="11" applyFont="1" applyBorder="1" applyAlignment="1">
      <alignment horizontal="center" vertical="center" wrapText="1"/>
    </xf>
    <xf numFmtId="0" fontId="66" fillId="23" borderId="1" xfId="11" applyFont="1" applyFill="1" applyBorder="1" applyAlignment="1">
      <alignment horizontal="center" vertical="center"/>
    </xf>
    <xf numFmtId="0" fontId="64" fillId="23" borderId="1" xfId="11" applyFont="1" applyFill="1" applyBorder="1" applyAlignment="1">
      <alignment horizontal="left" vertical="center" wrapText="1"/>
    </xf>
    <xf numFmtId="0" fontId="37" fillId="0" borderId="1" xfId="11" applyFont="1" applyBorder="1" applyAlignment="1">
      <alignment horizontal="left" vertical="center" wrapText="1"/>
    </xf>
    <xf numFmtId="0" fontId="65" fillId="0" borderId="2" xfId="11" applyFont="1" applyBorder="1" applyAlignment="1">
      <alignment horizontal="center" vertical="center" wrapText="1"/>
    </xf>
    <xf numFmtId="0" fontId="65" fillId="0" borderId="4" xfId="11" applyFont="1" applyBorder="1" applyAlignment="1">
      <alignment horizontal="center" vertical="center" wrapText="1"/>
    </xf>
    <xf numFmtId="0" fontId="65" fillId="0" borderId="3" xfId="11" applyFont="1" applyBorder="1" applyAlignment="1">
      <alignment horizontal="center" vertical="center" wrapText="1"/>
    </xf>
    <xf numFmtId="0" fontId="30" fillId="0" borderId="60" xfId="11" applyFont="1" applyBorder="1" applyAlignment="1" applyProtection="1">
      <alignment horizontal="left" vertical="center"/>
      <protection locked="0"/>
    </xf>
    <xf numFmtId="0" fontId="30" fillId="0" borderId="0" xfId="11" applyFont="1" applyAlignment="1" applyProtection="1">
      <alignment horizontal="left" vertical="center"/>
      <protection locked="0"/>
    </xf>
    <xf numFmtId="4" fontId="15" fillId="32" borderId="1" xfId="0" applyNumberFormat="1" applyFont="1" applyFill="1" applyBorder="1" applyAlignment="1">
      <alignment horizontal="center" vertical="center"/>
    </xf>
    <xf numFmtId="4" fontId="15" fillId="32" borderId="1" xfId="0" applyNumberFormat="1" applyFont="1" applyFill="1" applyBorder="1" applyAlignment="1" applyProtection="1">
      <alignment horizontal="center" vertical="center" wrapText="1"/>
      <protection locked="0"/>
    </xf>
    <xf numFmtId="4" fontId="15" fillId="32" borderId="2" xfId="0" applyNumberFormat="1" applyFont="1" applyFill="1" applyBorder="1" applyAlignment="1" applyProtection="1">
      <alignment horizontal="center" vertical="center"/>
      <protection locked="0"/>
    </xf>
    <xf numFmtId="4" fontId="15" fillId="32" borderId="4" xfId="0" applyNumberFormat="1" applyFont="1" applyFill="1" applyBorder="1" applyAlignment="1" applyProtection="1">
      <alignment horizontal="center" vertical="center"/>
      <protection locked="0"/>
    </xf>
    <xf numFmtId="4" fontId="15" fillId="32" borderId="3" xfId="0" applyNumberFormat="1" applyFont="1" applyFill="1" applyBorder="1" applyAlignment="1" applyProtection="1">
      <alignment horizontal="center" vertical="center"/>
      <protection locked="0"/>
    </xf>
    <xf numFmtId="4" fontId="15" fillId="32" borderId="2" xfId="0" applyNumberFormat="1" applyFont="1" applyFill="1" applyBorder="1" applyAlignment="1" applyProtection="1">
      <alignment horizontal="center" vertical="center" wrapText="1"/>
      <protection locked="0"/>
    </xf>
    <xf numFmtId="4" fontId="15" fillId="32" borderId="4" xfId="0" applyNumberFormat="1" applyFont="1" applyFill="1" applyBorder="1" applyAlignment="1" applyProtection="1">
      <alignment horizontal="center" vertical="center" wrapText="1"/>
      <protection locked="0"/>
    </xf>
    <xf numFmtId="4" fontId="15" fillId="32" borderId="1" xfId="11" applyNumberFormat="1" applyFont="1" applyFill="1" applyBorder="1" applyAlignment="1">
      <alignment horizontal="center" vertical="center" wrapText="1"/>
    </xf>
    <xf numFmtId="4" fontId="15" fillId="32" borderId="1" xfId="11" applyNumberFormat="1" applyFont="1" applyFill="1" applyBorder="1" applyAlignment="1" applyProtection="1">
      <alignment horizontal="center" vertical="center"/>
      <protection locked="0"/>
    </xf>
    <xf numFmtId="4" fontId="15" fillId="14" borderId="1" xfId="11" applyNumberFormat="1" applyFont="1" applyFill="1" applyBorder="1" applyAlignment="1" applyProtection="1">
      <alignment horizontal="center" vertical="center"/>
      <protection locked="0"/>
    </xf>
    <xf numFmtId="4" fontId="15" fillId="32" borderId="3" xfId="0" applyNumberFormat="1" applyFont="1" applyFill="1" applyBorder="1" applyAlignment="1" applyProtection="1">
      <alignment horizontal="center" vertical="center" wrapText="1"/>
      <protection locked="0"/>
    </xf>
    <xf numFmtId="4" fontId="15" fillId="32" borderId="2" xfId="11" applyNumberFormat="1" applyFont="1" applyFill="1" applyBorder="1" applyAlignment="1" applyProtection="1">
      <alignment horizontal="center" vertical="center" wrapText="1"/>
      <protection locked="0"/>
    </xf>
    <xf numFmtId="4" fontId="15" fillId="32" borderId="4" xfId="11" applyNumberFormat="1" applyFont="1" applyFill="1" applyBorder="1" applyAlignment="1" applyProtection="1">
      <alignment horizontal="center" vertical="center" wrapText="1"/>
      <protection locked="0"/>
    </xf>
    <xf numFmtId="0" fontId="55" fillId="23" borderId="38" xfId="11" applyFont="1" applyFill="1" applyBorder="1" applyAlignment="1" applyProtection="1">
      <alignment horizontal="left" vertical="center" wrapText="1"/>
      <protection locked="0"/>
    </xf>
    <xf numFmtId="0" fontId="55" fillId="23" borderId="58" xfId="11" applyFont="1" applyFill="1" applyBorder="1" applyAlignment="1" applyProtection="1">
      <alignment horizontal="left" vertical="center" wrapText="1"/>
      <protection locked="0"/>
    </xf>
    <xf numFmtId="0" fontId="55" fillId="23" borderId="44" xfId="11" applyFont="1" applyFill="1" applyBorder="1" applyAlignment="1" applyProtection="1">
      <alignment horizontal="left" vertical="center" wrapText="1"/>
      <protection locked="0"/>
    </xf>
    <xf numFmtId="0" fontId="15" fillId="23" borderId="1" xfId="11" applyFont="1" applyFill="1" applyBorder="1" applyAlignment="1" applyProtection="1">
      <alignment horizontal="center" vertical="center"/>
      <protection locked="0"/>
    </xf>
    <xf numFmtId="0" fontId="15" fillId="23" borderId="1" xfId="11" applyFont="1" applyFill="1" applyBorder="1" applyAlignment="1" applyProtection="1">
      <alignment horizontal="left" vertical="center" wrapText="1"/>
      <protection locked="0"/>
    </xf>
    <xf numFmtId="0" fontId="56" fillId="23" borderId="1" xfId="11" applyFont="1" applyFill="1" applyBorder="1" applyAlignment="1" applyProtection="1">
      <alignment horizontal="center" vertical="center" wrapText="1"/>
      <protection locked="0"/>
    </xf>
    <xf numFmtId="0" fontId="55" fillId="23" borderId="1" xfId="11" applyFont="1" applyFill="1" applyBorder="1" applyAlignment="1" applyProtection="1">
      <alignment horizontal="left" vertical="center" wrapText="1"/>
      <protection locked="0"/>
    </xf>
    <xf numFmtId="0" fontId="56" fillId="23" borderId="1" xfId="11" applyFont="1" applyFill="1" applyBorder="1" applyAlignment="1" applyProtection="1">
      <alignment horizontal="left" vertical="center" wrapText="1"/>
      <protection locked="0"/>
    </xf>
    <xf numFmtId="0" fontId="35" fillId="23" borderId="0" xfId="8" applyFont="1" applyFill="1" applyAlignment="1">
      <alignment horizontal="center" vertical="center"/>
    </xf>
    <xf numFmtId="0" fontId="36" fillId="23" borderId="0" xfId="8" applyFont="1" applyFill="1" applyAlignment="1">
      <alignment horizontal="center" vertical="center"/>
    </xf>
    <xf numFmtId="0" fontId="37" fillId="23" borderId="0" xfId="8" applyFont="1" applyFill="1" applyAlignment="1">
      <alignment horizontal="right" vertical="center" wrapText="1"/>
    </xf>
    <xf numFmtId="0" fontId="39" fillId="0" borderId="1" xfId="0" applyFont="1" applyBorder="1" applyAlignment="1">
      <alignment horizontal="center" vertical="center"/>
    </xf>
    <xf numFmtId="0" fontId="39" fillId="32" borderId="1" xfId="0" applyFont="1" applyFill="1" applyBorder="1" applyAlignment="1">
      <alignment horizontal="center" vertical="center"/>
    </xf>
    <xf numFmtId="0" fontId="38" fillId="0" borderId="1" xfId="0" applyFont="1" applyBorder="1" applyAlignment="1">
      <alignment horizontal="center" vertical="center" wrapText="1"/>
    </xf>
    <xf numFmtId="0" fontId="47" fillId="33" borderId="1" xfId="0" applyFont="1" applyFill="1" applyBorder="1" applyAlignment="1">
      <alignment horizontal="center" vertical="center" wrapText="1"/>
    </xf>
    <xf numFmtId="0" fontId="47" fillId="33" borderId="2" xfId="0" applyFont="1" applyFill="1" applyBorder="1" applyAlignment="1">
      <alignment horizontal="center" vertical="center" wrapText="1"/>
    </xf>
    <xf numFmtId="0" fontId="37" fillId="0" borderId="45" xfId="0" applyFont="1" applyBorder="1" applyAlignment="1">
      <alignment horizontal="center" vertical="center" wrapText="1"/>
    </xf>
    <xf numFmtId="0" fontId="37" fillId="0" borderId="47" xfId="0" applyFont="1" applyBorder="1" applyAlignment="1">
      <alignment horizontal="center" vertical="center" wrapText="1"/>
    </xf>
    <xf numFmtId="0" fontId="37" fillId="0" borderId="50" xfId="0" applyFont="1" applyBorder="1" applyAlignment="1">
      <alignment horizontal="center" vertical="center" wrapText="1"/>
    </xf>
    <xf numFmtId="0" fontId="37" fillId="23" borderId="45" xfId="0" applyFont="1" applyFill="1" applyBorder="1" applyAlignment="1">
      <alignment horizontal="center" vertical="center" wrapText="1"/>
    </xf>
    <xf numFmtId="0" fontId="37" fillId="23" borderId="47" xfId="0" applyFont="1" applyFill="1" applyBorder="1" applyAlignment="1">
      <alignment horizontal="center" vertical="center" wrapText="1"/>
    </xf>
    <xf numFmtId="0" fontId="37" fillId="23" borderId="55" xfId="0" applyFont="1" applyFill="1" applyBorder="1" applyAlignment="1">
      <alignment horizontal="center" vertical="center" wrapText="1"/>
    </xf>
    <xf numFmtId="0" fontId="41" fillId="33" borderId="1" xfId="0" applyFont="1" applyFill="1" applyBorder="1" applyAlignment="1">
      <alignment horizontal="center" vertical="center" wrapText="1"/>
    </xf>
    <xf numFmtId="0" fontId="41" fillId="33" borderId="2" xfId="0" applyFont="1" applyFill="1" applyBorder="1" applyAlignment="1">
      <alignment horizontal="center" vertical="center" wrapText="1"/>
    </xf>
    <xf numFmtId="0" fontId="41" fillId="33" borderId="4" xfId="0" applyFont="1" applyFill="1" applyBorder="1" applyAlignment="1">
      <alignment horizontal="center" vertical="center" wrapText="1"/>
    </xf>
    <xf numFmtId="0" fontId="41" fillId="33" borderId="3" xfId="0" applyFont="1" applyFill="1" applyBorder="1" applyAlignment="1">
      <alignment horizontal="center" vertical="center" wrapText="1"/>
    </xf>
    <xf numFmtId="0" fontId="44" fillId="23" borderId="0" xfId="0" applyFont="1" applyFill="1" applyAlignment="1">
      <alignment horizontal="left" vertical="center" wrapText="1"/>
    </xf>
    <xf numFmtId="0" fontId="44" fillId="0" borderId="1" xfId="0" applyFont="1" applyBorder="1" applyAlignment="1">
      <alignment horizontal="center" vertical="center"/>
    </xf>
    <xf numFmtId="0" fontId="28" fillId="0" borderId="1" xfId="0" applyFont="1" applyBorder="1" applyAlignment="1">
      <alignment horizontal="center" vertical="center"/>
    </xf>
    <xf numFmtId="0" fontId="50" fillId="2" borderId="45" xfId="0" applyFont="1" applyFill="1" applyBorder="1" applyAlignment="1">
      <alignment horizontal="center" vertical="center" wrapText="1"/>
    </xf>
    <xf numFmtId="0" fontId="50" fillId="2" borderId="46" xfId="0" applyFont="1" applyFill="1" applyBorder="1" applyAlignment="1">
      <alignment horizontal="center" vertical="center" wrapText="1"/>
    </xf>
    <xf numFmtId="0" fontId="51" fillId="32" borderId="45" xfId="0" applyFont="1" applyFill="1" applyBorder="1" applyAlignment="1">
      <alignment horizontal="center" vertical="center" wrapText="1"/>
    </xf>
    <xf numFmtId="0" fontId="51" fillId="32" borderId="46" xfId="0" applyFont="1" applyFill="1" applyBorder="1" applyAlignment="1">
      <alignment horizontal="center" vertical="center" wrapText="1"/>
    </xf>
    <xf numFmtId="0" fontId="51" fillId="32" borderId="48" xfId="0" applyFont="1" applyFill="1" applyBorder="1" applyAlignment="1">
      <alignment horizontal="center" vertical="center" wrapText="1"/>
    </xf>
    <xf numFmtId="0" fontId="38" fillId="32" borderId="1" xfId="0" applyFont="1" applyFill="1" applyBorder="1" applyAlignment="1">
      <alignment horizontal="center" vertical="center" wrapText="1"/>
    </xf>
    <xf numFmtId="0" fontId="53" fillId="32" borderId="6" xfId="0" applyFont="1" applyFill="1" applyBorder="1" applyAlignment="1">
      <alignment horizontal="center" vertical="center" wrapText="1"/>
    </xf>
    <xf numFmtId="0" fontId="53" fillId="32" borderId="8" xfId="0" applyFont="1" applyFill="1" applyBorder="1" applyAlignment="1">
      <alignment horizontal="center" vertical="center" wrapText="1"/>
    </xf>
    <xf numFmtId="0" fontId="53" fillId="32" borderId="54" xfId="0" applyFont="1" applyFill="1" applyBorder="1" applyAlignment="1">
      <alignment horizontal="center" vertical="center" wrapText="1"/>
    </xf>
    <xf numFmtId="0" fontId="52" fillId="2" borderId="50" xfId="0" applyFont="1" applyFill="1" applyBorder="1" applyAlignment="1">
      <alignment horizontal="center" vertical="center" wrapText="1"/>
    </xf>
    <xf numFmtId="0" fontId="52" fillId="2" borderId="52" xfId="0" applyFont="1" applyFill="1" applyBorder="1" applyAlignment="1">
      <alignment horizontal="center" vertical="center" wrapText="1"/>
    </xf>
    <xf numFmtId="0" fontId="50" fillId="2" borderId="48" xfId="0" applyFont="1" applyFill="1" applyBorder="1" applyAlignment="1" applyProtection="1">
      <alignment horizontal="center" vertical="center" wrapText="1"/>
      <protection locked="0"/>
    </xf>
    <xf numFmtId="0" fontId="50" fillId="2" borderId="49" xfId="0" applyFont="1" applyFill="1" applyBorder="1" applyAlignment="1" applyProtection="1">
      <alignment horizontal="center" vertical="center" wrapText="1"/>
      <protection locked="0"/>
    </xf>
    <xf numFmtId="0" fontId="17" fillId="30" borderId="1" xfId="0" applyFont="1" applyFill="1" applyBorder="1" applyAlignment="1">
      <alignment horizontal="center" vertical="center" wrapText="1"/>
    </xf>
    <xf numFmtId="0" fontId="30" fillId="30" borderId="1" xfId="0" applyFont="1" applyFill="1" applyBorder="1" applyAlignment="1">
      <alignment horizontal="center" vertical="center" wrapText="1"/>
    </xf>
    <xf numFmtId="0" fontId="17" fillId="30" borderId="2" xfId="0" applyFont="1" applyFill="1" applyBorder="1" applyAlignment="1">
      <alignment horizontal="center" vertical="center" wrapText="1"/>
    </xf>
    <xf numFmtId="0" fontId="17" fillId="30" borderId="6" xfId="0" applyFont="1" applyFill="1" applyBorder="1" applyAlignment="1">
      <alignment horizontal="center" vertical="center" wrapText="1"/>
    </xf>
    <xf numFmtId="0" fontId="17" fillId="30" borderId="38" xfId="0" applyFont="1" applyFill="1" applyBorder="1" applyAlignment="1">
      <alignment horizontal="center" vertical="center" wrapText="1"/>
    </xf>
    <xf numFmtId="0" fontId="14" fillId="12" borderId="5" xfId="0" applyFont="1" applyFill="1" applyBorder="1" applyAlignment="1" applyProtection="1">
      <alignment horizontal="left" vertical="center" wrapText="1"/>
      <protection locked="0"/>
    </xf>
    <xf numFmtId="0" fontId="15" fillId="20" borderId="1" xfId="0" applyFont="1" applyFill="1" applyBorder="1" applyAlignment="1" applyProtection="1">
      <alignment horizontal="center" vertical="center" wrapText="1"/>
      <protection locked="0"/>
    </xf>
    <xf numFmtId="0" fontId="15" fillId="0" borderId="1" xfId="0" applyFont="1" applyBorder="1" applyAlignment="1" applyProtection="1">
      <alignment horizontal="left" vertical="center" wrapText="1"/>
      <protection locked="0"/>
    </xf>
    <xf numFmtId="0" fontId="15" fillId="0" borderId="6" xfId="0" applyFont="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3" fillId="12" borderId="6" xfId="0" applyFont="1" applyFill="1" applyBorder="1" applyAlignment="1" applyProtection="1">
      <alignment horizontal="left" vertical="center"/>
      <protection locked="0"/>
    </xf>
    <xf numFmtId="0" fontId="13" fillId="12" borderId="8" xfId="0" applyFont="1" applyFill="1" applyBorder="1" applyAlignment="1" applyProtection="1">
      <alignment horizontal="left" vertical="center"/>
      <protection locked="0"/>
    </xf>
    <xf numFmtId="0" fontId="13" fillId="12" borderId="7" xfId="0" applyFont="1" applyFill="1" applyBorder="1" applyAlignment="1" applyProtection="1">
      <alignment horizontal="left" vertical="center"/>
      <protection locked="0"/>
    </xf>
    <xf numFmtId="0" fontId="13" fillId="12" borderId="1" xfId="0" applyFont="1" applyFill="1" applyBorder="1" applyAlignment="1" applyProtection="1">
      <alignment horizontal="left" vertical="center"/>
      <protection locked="0"/>
    </xf>
    <xf numFmtId="0" fontId="13" fillId="20" borderId="1" xfId="0" applyFont="1" applyFill="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2" fillId="0" borderId="2" xfId="0" applyFont="1" applyBorder="1" applyAlignment="1" applyProtection="1">
      <alignment horizontal="center" vertical="center"/>
      <protection locked="0"/>
    </xf>
    <xf numFmtId="0" fontId="13" fillId="8" borderId="6" xfId="0" applyFont="1" applyFill="1" applyBorder="1" applyAlignment="1" applyProtection="1">
      <alignment horizontal="center" vertical="center"/>
      <protection locked="0"/>
    </xf>
    <xf numFmtId="0" fontId="13" fillId="8" borderId="8" xfId="0" applyFont="1" applyFill="1" applyBorder="1" applyAlignment="1" applyProtection="1">
      <alignment horizontal="center" vertical="center"/>
      <protection locked="0"/>
    </xf>
    <xf numFmtId="0" fontId="13" fillId="8" borderId="7" xfId="0" applyFont="1" applyFill="1" applyBorder="1" applyAlignment="1" applyProtection="1">
      <alignment horizontal="center" vertical="center"/>
      <protection locked="0"/>
    </xf>
    <xf numFmtId="0" fontId="12" fillId="8" borderId="1" xfId="0" applyFont="1" applyFill="1" applyBorder="1" applyAlignment="1" applyProtection="1">
      <alignment horizontal="center" vertical="center"/>
      <protection locked="0"/>
    </xf>
    <xf numFmtId="0" fontId="12" fillId="0" borderId="6" xfId="0" applyFont="1" applyBorder="1" applyAlignment="1" applyProtection="1">
      <alignment horizontal="center" vertical="center" wrapText="1"/>
      <protection locked="0"/>
    </xf>
    <xf numFmtId="0" fontId="12" fillId="0" borderId="8" xfId="0" applyFont="1" applyBorder="1" applyAlignment="1" applyProtection="1">
      <alignment horizontal="center" vertical="center" wrapText="1"/>
      <protection locked="0"/>
    </xf>
    <xf numFmtId="0" fontId="12" fillId="0" borderId="7" xfId="0" applyFont="1" applyBorder="1" applyAlignment="1" applyProtection="1">
      <alignment horizontal="center" vertical="center" wrapText="1"/>
      <protection locked="0"/>
    </xf>
    <xf numFmtId="0" fontId="12" fillId="0" borderId="1" xfId="0" applyFont="1" applyBorder="1" applyAlignment="1" applyProtection="1">
      <alignment horizontal="left" vertical="center" wrapText="1"/>
      <protection locked="0"/>
    </xf>
    <xf numFmtId="0" fontId="12" fillId="0" borderId="6" xfId="0" applyFont="1" applyBorder="1" applyAlignment="1" applyProtection="1">
      <alignment horizontal="left" vertical="center" wrapText="1"/>
      <protection locked="0"/>
    </xf>
    <xf numFmtId="0" fontId="12" fillId="0" borderId="8" xfId="0" applyFont="1" applyBorder="1" applyAlignment="1" applyProtection="1">
      <alignment horizontal="left" vertical="center" wrapText="1"/>
      <protection locked="0"/>
    </xf>
    <xf numFmtId="0" fontId="12" fillId="0" borderId="7" xfId="0" applyFont="1" applyBorder="1" applyAlignment="1" applyProtection="1">
      <alignment horizontal="left" vertical="center" wrapText="1"/>
      <protection locked="0"/>
    </xf>
    <xf numFmtId="0" fontId="19" fillId="21" borderId="14" xfId="0" applyFont="1" applyFill="1" applyBorder="1" applyAlignment="1" applyProtection="1">
      <alignment horizontal="center" vertical="center" wrapText="1"/>
      <protection locked="0"/>
    </xf>
    <xf numFmtId="0" fontId="19" fillId="21" borderId="16" xfId="0" applyFont="1" applyFill="1" applyBorder="1" applyAlignment="1" applyProtection="1">
      <alignment horizontal="center" vertical="center" wrapText="1"/>
      <protection locked="0"/>
    </xf>
    <xf numFmtId="0" fontId="20" fillId="22" borderId="14" xfId="0" applyFont="1" applyFill="1" applyBorder="1" applyAlignment="1" applyProtection="1">
      <alignment horizontal="center" vertical="center" wrapText="1"/>
      <protection locked="0"/>
    </xf>
    <xf numFmtId="0" fontId="20" fillId="22" borderId="17" xfId="0" applyFont="1" applyFill="1" applyBorder="1" applyAlignment="1" applyProtection="1">
      <alignment horizontal="center" vertical="center" wrapText="1"/>
      <protection locked="0"/>
    </xf>
    <xf numFmtId="0" fontId="20" fillId="22" borderId="16" xfId="0" applyFont="1" applyFill="1" applyBorder="1" applyAlignment="1" applyProtection="1">
      <alignment horizontal="center" vertical="center" wrapText="1"/>
      <protection locked="0"/>
    </xf>
    <xf numFmtId="0" fontId="19" fillId="21" borderId="30" xfId="0" applyFont="1" applyFill="1" applyBorder="1" applyAlignment="1" applyProtection="1">
      <alignment horizontal="center" vertical="center" wrapText="1"/>
      <protection locked="0"/>
    </xf>
    <xf numFmtId="0" fontId="19" fillId="21" borderId="0" xfId="0" applyFont="1" applyFill="1" applyAlignment="1" applyProtection="1">
      <alignment horizontal="center" vertical="center" wrapText="1"/>
      <protection locked="0"/>
    </xf>
    <xf numFmtId="0" fontId="22" fillId="13" borderId="43" xfId="0" applyFont="1" applyFill="1" applyBorder="1" applyAlignment="1" applyProtection="1">
      <alignment horizontal="center" vertical="center" wrapText="1"/>
      <protection locked="0"/>
    </xf>
    <xf numFmtId="0" fontId="22" fillId="13" borderId="18" xfId="0" applyFont="1" applyFill="1" applyBorder="1" applyAlignment="1" applyProtection="1">
      <alignment horizontal="center" vertical="center" wrapText="1"/>
      <protection locked="0"/>
    </xf>
    <xf numFmtId="0" fontId="22" fillId="13" borderId="19" xfId="0" applyFont="1" applyFill="1" applyBorder="1" applyAlignment="1" applyProtection="1">
      <alignment horizontal="center" vertical="center" wrapText="1"/>
      <protection locked="0"/>
    </xf>
    <xf numFmtId="0" fontId="19" fillId="21" borderId="15" xfId="0" applyFont="1" applyFill="1" applyBorder="1" applyAlignment="1" applyProtection="1">
      <alignment horizontal="center" vertical="center" wrapText="1"/>
      <protection locked="0"/>
    </xf>
    <xf numFmtId="0" fontId="19" fillId="21" borderId="18" xfId="0" applyFont="1" applyFill="1" applyBorder="1" applyAlignment="1" applyProtection="1">
      <alignment horizontal="center" vertical="center" wrapText="1"/>
      <protection locked="0"/>
    </xf>
    <xf numFmtId="176" fontId="21" fillId="13" borderId="14" xfId="0" applyNumberFormat="1" applyFont="1" applyFill="1" applyBorder="1" applyAlignment="1" applyProtection="1">
      <alignment horizontal="right" vertical="center" wrapText="1"/>
      <protection locked="0"/>
    </xf>
    <xf numFmtId="0" fontId="21" fillId="13" borderId="16" xfId="0" applyFont="1" applyFill="1" applyBorder="1" applyAlignment="1" applyProtection="1">
      <alignment horizontal="right" vertical="center" wrapText="1"/>
      <protection locked="0"/>
    </xf>
    <xf numFmtId="0" fontId="22" fillId="13" borderId="15" xfId="0" applyFont="1" applyFill="1" applyBorder="1" applyAlignment="1" applyProtection="1">
      <alignment horizontal="center" vertical="center" wrapText="1"/>
      <protection locked="0"/>
    </xf>
    <xf numFmtId="0" fontId="22" fillId="13" borderId="23" xfId="0" applyFont="1" applyFill="1" applyBorder="1" applyAlignment="1" applyProtection="1">
      <alignment horizontal="center" vertical="center" wrapText="1"/>
      <protection locked="0"/>
    </xf>
    <xf numFmtId="0" fontId="22" fillId="13" borderId="24" xfId="0" applyFont="1" applyFill="1" applyBorder="1" applyAlignment="1" applyProtection="1">
      <alignment horizontal="center" vertical="center" wrapText="1"/>
      <protection locked="0"/>
    </xf>
    <xf numFmtId="0" fontId="83" fillId="14" borderId="62" xfId="12" applyFont="1" applyFill="1" applyBorder="1" applyAlignment="1">
      <alignment horizontal="center" vertical="center" wrapText="1"/>
    </xf>
    <xf numFmtId="0" fontId="83" fillId="14" borderId="0" xfId="12" applyFont="1" applyFill="1" applyAlignment="1">
      <alignment horizontal="center" vertical="center" wrapText="1"/>
    </xf>
    <xf numFmtId="0" fontId="86" fillId="0" borderId="63" xfId="12" applyFont="1" applyBorder="1" applyAlignment="1">
      <alignment horizontal="center" vertical="center" wrapText="1"/>
    </xf>
    <xf numFmtId="0" fontId="86" fillId="0" borderId="63" xfId="12" applyFont="1" applyBorder="1" applyAlignment="1">
      <alignment horizontal="center" vertical="center"/>
    </xf>
    <xf numFmtId="0" fontId="83" fillId="39" borderId="63" xfId="12" applyFont="1" applyFill="1" applyBorder="1" applyAlignment="1">
      <alignment horizontal="left" vertical="center" wrapText="1"/>
    </xf>
    <xf numFmtId="179" fontId="85" fillId="0" borderId="65" xfId="12" applyNumberFormat="1" applyFont="1" applyBorder="1" applyAlignment="1">
      <alignment horizontal="left" vertical="center" wrapText="1"/>
    </xf>
    <xf numFmtId="179" fontId="85" fillId="0" borderId="66" xfId="12" applyNumberFormat="1" applyFont="1" applyBorder="1" applyAlignment="1">
      <alignment horizontal="left" vertical="center" wrapText="1"/>
    </xf>
    <xf numFmtId="179" fontId="85" fillId="0" borderId="67" xfId="12" applyNumberFormat="1" applyFont="1" applyBorder="1" applyAlignment="1">
      <alignment horizontal="left" vertical="center" wrapText="1"/>
    </xf>
    <xf numFmtId="0" fontId="90" fillId="40" borderId="65" xfId="12" applyFont="1" applyFill="1" applyBorder="1" applyAlignment="1">
      <alignment horizontal="center" vertical="center" wrapText="1"/>
    </xf>
    <xf numFmtId="0" fontId="90" fillId="40" borderId="66" xfId="12" applyFont="1" applyFill="1" applyBorder="1" applyAlignment="1">
      <alignment horizontal="center" vertical="center" wrapText="1"/>
    </xf>
    <xf numFmtId="0" fontId="90" fillId="40" borderId="67" xfId="12" applyFont="1" applyFill="1" applyBorder="1" applyAlignment="1">
      <alignment horizontal="center" vertical="center" wrapText="1"/>
    </xf>
    <xf numFmtId="0" fontId="85" fillId="0" borderId="65" xfId="12" applyFont="1" applyBorder="1" applyAlignment="1">
      <alignment horizontal="left" vertical="center" wrapText="1"/>
    </xf>
    <xf numFmtId="0" fontId="85" fillId="0" borderId="66" xfId="12" applyFont="1" applyBorder="1" applyAlignment="1">
      <alignment horizontal="left" vertical="center" wrapText="1"/>
    </xf>
    <xf numFmtId="0" fontId="85" fillId="0" borderId="67" xfId="12" applyFont="1" applyBorder="1" applyAlignment="1">
      <alignment horizontal="left" vertical="center" wrapText="1"/>
    </xf>
    <xf numFmtId="0" fontId="56" fillId="0" borderId="50" xfId="17" applyFont="1" applyBorder="1" applyAlignment="1">
      <alignment horizontal="center" vertical="center" wrapText="1" readingOrder="1"/>
    </xf>
    <xf numFmtId="0" fontId="56" fillId="0" borderId="52" xfId="17" applyFont="1" applyBorder="1" applyAlignment="1">
      <alignment horizontal="center" vertical="center" wrapText="1" readingOrder="1"/>
    </xf>
    <xf numFmtId="0" fontId="56" fillId="0" borderId="6" xfId="17" applyFont="1" applyBorder="1" applyAlignment="1">
      <alignment horizontal="center" vertical="center" wrapText="1" readingOrder="1"/>
    </xf>
    <xf numFmtId="0" fontId="56" fillId="0" borderId="8" xfId="17" applyFont="1" applyBorder="1" applyAlignment="1">
      <alignment horizontal="center" vertical="center" wrapText="1" readingOrder="1"/>
    </xf>
    <xf numFmtId="0" fontId="56" fillId="0" borderId="7" xfId="17" applyFont="1" applyBorder="1" applyAlignment="1">
      <alignment horizontal="center" vertical="center" wrapText="1" readingOrder="1"/>
    </xf>
    <xf numFmtId="0" fontId="56" fillId="0" borderId="51" xfId="17" applyFont="1" applyBorder="1" applyAlignment="1">
      <alignment horizontal="center" vertical="center" wrapText="1" readingOrder="1"/>
    </xf>
    <xf numFmtId="0" fontId="56" fillId="0" borderId="131" xfId="17" applyFont="1" applyBorder="1" applyAlignment="1">
      <alignment horizontal="center" vertical="center" wrapText="1" readingOrder="1"/>
    </xf>
    <xf numFmtId="0" fontId="56" fillId="0" borderId="132" xfId="17" applyFont="1" applyBorder="1" applyAlignment="1">
      <alignment horizontal="center" vertical="center" wrapText="1" readingOrder="1"/>
    </xf>
    <xf numFmtId="0" fontId="56" fillId="0" borderId="133" xfId="17" applyFont="1" applyBorder="1" applyAlignment="1">
      <alignment horizontal="center" vertical="center" wrapText="1" readingOrder="1"/>
    </xf>
    <xf numFmtId="0" fontId="56" fillId="0" borderId="134" xfId="17" applyFont="1" applyBorder="1" applyAlignment="1">
      <alignment horizontal="center" vertical="center" wrapText="1" readingOrder="1"/>
    </xf>
    <xf numFmtId="0" fontId="56" fillId="0" borderId="124" xfId="17" applyFont="1" applyBorder="1" applyAlignment="1">
      <alignment horizontal="center" vertical="center" wrapText="1" readingOrder="1"/>
    </xf>
    <xf numFmtId="0" fontId="56" fillId="0" borderId="125" xfId="17" applyFont="1" applyBorder="1" applyAlignment="1">
      <alignment horizontal="center" vertical="center" wrapText="1" readingOrder="1"/>
    </xf>
    <xf numFmtId="0" fontId="56" fillId="0" borderId="130" xfId="17" applyFont="1" applyBorder="1" applyAlignment="1">
      <alignment horizontal="center" vertical="center" wrapText="1" readingOrder="1"/>
    </xf>
    <xf numFmtId="0" fontId="190" fillId="67" borderId="6" xfId="17" applyFont="1" applyFill="1" applyBorder="1" applyAlignment="1">
      <alignment horizontal="left" vertical="center" wrapText="1" readingOrder="1"/>
    </xf>
    <xf numFmtId="0" fontId="190" fillId="67" borderId="8" xfId="17" applyFont="1" applyFill="1" applyBorder="1" applyAlignment="1">
      <alignment horizontal="left" vertical="center" wrapText="1" readingOrder="1"/>
    </xf>
    <xf numFmtId="0" fontId="190" fillId="67" borderId="7" xfId="17" applyFont="1" applyFill="1" applyBorder="1" applyAlignment="1">
      <alignment horizontal="left" vertical="center" wrapText="1" readingOrder="1"/>
    </xf>
    <xf numFmtId="0" fontId="56" fillId="0" borderId="2" xfId="17" applyFont="1" applyBorder="1" applyAlignment="1">
      <alignment horizontal="center" vertical="center" wrapText="1" readingOrder="1"/>
    </xf>
    <xf numFmtId="0" fontId="56" fillId="0" borderId="4" xfId="17" applyFont="1" applyBorder="1" applyAlignment="1">
      <alignment horizontal="center" vertical="center" wrapText="1" readingOrder="1"/>
    </xf>
    <xf numFmtId="0" fontId="56" fillId="0" borderId="126" xfId="17" applyFont="1" applyBorder="1" applyAlignment="1">
      <alignment horizontal="center" vertical="center" wrapText="1" readingOrder="1"/>
    </xf>
    <xf numFmtId="2" fontId="191" fillId="0" borderId="6" xfId="17" applyNumberFormat="1" applyFont="1" applyBorder="1" applyAlignment="1">
      <alignment horizontal="center" wrapText="1" readingOrder="1"/>
    </xf>
    <xf numFmtId="2" fontId="191" fillId="0" borderId="7" xfId="17" applyNumberFormat="1" applyFont="1" applyBorder="1" applyAlignment="1">
      <alignment horizontal="center" wrapText="1" readingOrder="1"/>
    </xf>
    <xf numFmtId="0" fontId="100" fillId="0" borderId="51" xfId="17" applyFont="1" applyBorder="1" applyAlignment="1">
      <alignment horizontal="center" vertical="center" wrapText="1" readingOrder="1"/>
    </xf>
    <xf numFmtId="0" fontId="100" fillId="0" borderId="5" xfId="17" applyFont="1" applyBorder="1" applyAlignment="1">
      <alignment horizontal="center" vertical="center" wrapText="1" readingOrder="1"/>
    </xf>
    <xf numFmtId="0" fontId="100" fillId="0" borderId="40" xfId="17" applyFont="1" applyBorder="1" applyAlignment="1">
      <alignment horizontal="center" vertical="center" wrapText="1" readingOrder="1"/>
    </xf>
    <xf numFmtId="0" fontId="184" fillId="0" borderId="121" xfId="17" applyFont="1" applyBorder="1" applyAlignment="1">
      <alignment horizontal="center" vertical="center" wrapText="1" readingOrder="1"/>
    </xf>
    <xf numFmtId="0" fontId="184" fillId="0" borderId="122" xfId="17" applyFont="1" applyBorder="1" applyAlignment="1">
      <alignment horizontal="center" vertical="center" wrapText="1" readingOrder="1"/>
    </xf>
    <xf numFmtId="0" fontId="184" fillId="0" borderId="123" xfId="17" applyFont="1" applyBorder="1" applyAlignment="1">
      <alignment horizontal="center" vertical="center" wrapText="1" readingOrder="1"/>
    </xf>
    <xf numFmtId="0" fontId="188" fillId="64" borderId="6" xfId="17" applyFont="1" applyFill="1" applyBorder="1" applyAlignment="1">
      <alignment horizontal="center" vertical="center" wrapText="1" readingOrder="1"/>
    </xf>
    <xf numFmtId="0" fontId="188" fillId="64" borderId="8" xfId="17" applyFont="1" applyFill="1" applyBorder="1" applyAlignment="1">
      <alignment horizontal="center" vertical="center" wrapText="1" readingOrder="1"/>
    </xf>
    <xf numFmtId="0" fontId="188" fillId="64" borderId="7" xfId="17" applyFont="1" applyFill="1" applyBorder="1" applyAlignment="1">
      <alignment horizontal="center" vertical="center" wrapText="1" readingOrder="1"/>
    </xf>
    <xf numFmtId="0" fontId="184" fillId="0" borderId="51" xfId="17" applyFont="1" applyBorder="1" applyAlignment="1">
      <alignment horizontal="center" vertical="center" wrapText="1" readingOrder="1"/>
    </xf>
    <xf numFmtId="0" fontId="184" fillId="0" borderId="8" xfId="17" applyFont="1" applyBorder="1" applyAlignment="1">
      <alignment horizontal="center" vertical="center" wrapText="1" readingOrder="1"/>
    </xf>
    <xf numFmtId="0" fontId="184" fillId="0" borderId="7" xfId="17" applyFont="1" applyBorder="1" applyAlignment="1">
      <alignment horizontal="center" vertical="center" wrapText="1" readingOrder="1"/>
    </xf>
    <xf numFmtId="1" fontId="100" fillId="8" borderId="78" xfId="14" applyNumberFormat="1" applyFont="1" applyFill="1" applyBorder="1" applyAlignment="1">
      <alignment horizontal="center" vertical="center"/>
    </xf>
    <xf numFmtId="1" fontId="100" fillId="8" borderId="0" xfId="14" applyNumberFormat="1" applyFont="1" applyFill="1" applyAlignment="1">
      <alignment horizontal="center" vertical="center"/>
    </xf>
    <xf numFmtId="180" fontId="56" fillId="8" borderId="78" xfId="14" applyNumberFormat="1" applyFont="1" applyFill="1" applyBorder="1" applyAlignment="1">
      <alignment horizontal="center" vertical="center" wrapText="1"/>
    </xf>
    <xf numFmtId="180" fontId="56" fillId="8" borderId="0" xfId="14" applyNumberFormat="1" applyFont="1" applyFill="1" applyAlignment="1">
      <alignment horizontal="center" vertical="center" wrapText="1"/>
    </xf>
    <xf numFmtId="0" fontId="18" fillId="0" borderId="0" xfId="14" applyNumberFormat="1" applyFont="1" applyAlignment="1">
      <alignment horizontal="center" vertical="center" wrapText="1"/>
    </xf>
    <xf numFmtId="0" fontId="18" fillId="0" borderId="0" xfId="14" applyNumberFormat="1" applyFont="1" applyAlignment="1">
      <alignment horizontal="center" vertical="center"/>
    </xf>
    <xf numFmtId="0" fontId="12" fillId="0" borderId="68" xfId="30" applyFont="1" applyBorder="1" applyAlignment="1">
      <alignment horizontal="center" vertical="center"/>
    </xf>
    <xf numFmtId="0" fontId="12" fillId="0" borderId="69" xfId="30" applyFont="1" applyBorder="1" applyAlignment="1">
      <alignment horizontal="center" vertical="center"/>
    </xf>
    <xf numFmtId="0" fontId="56" fillId="8" borderId="78" xfId="14" applyNumberFormat="1" applyFont="1" applyFill="1" applyBorder="1" applyAlignment="1">
      <alignment horizontal="center" vertical="center"/>
    </xf>
    <xf numFmtId="0" fontId="56" fillId="8" borderId="0" xfId="14" applyNumberFormat="1" applyFont="1" applyFill="1" applyBorder="1" applyAlignment="1">
      <alignment horizontal="center" vertical="center"/>
    </xf>
    <xf numFmtId="179" fontId="56" fillId="8" borderId="78" xfId="14" applyNumberFormat="1" applyFont="1" applyFill="1" applyBorder="1" applyAlignment="1">
      <alignment horizontal="center" vertical="center"/>
    </xf>
    <xf numFmtId="179" fontId="56" fillId="8" borderId="0" xfId="14" applyNumberFormat="1" applyFont="1" applyFill="1" applyBorder="1" applyAlignment="1">
      <alignment horizontal="center" vertical="center"/>
    </xf>
    <xf numFmtId="0" fontId="56" fillId="2" borderId="78" xfId="14" applyNumberFormat="1" applyFont="1" applyFill="1" applyBorder="1" applyAlignment="1">
      <alignment horizontal="center" vertical="center"/>
    </xf>
    <xf numFmtId="0" fontId="56" fillId="2" borderId="0" xfId="14" applyNumberFormat="1" applyFont="1" applyFill="1" applyAlignment="1">
      <alignment horizontal="center" vertical="center"/>
    </xf>
    <xf numFmtId="0" fontId="101" fillId="0" borderId="0" xfId="14" applyNumberFormat="1" applyFont="1" applyAlignment="1">
      <alignment horizontal="center" vertical="center"/>
    </xf>
    <xf numFmtId="0" fontId="100" fillId="0" borderId="8" xfId="17" applyFont="1" applyBorder="1" applyAlignment="1">
      <alignment horizontal="center" vertical="center" wrapText="1" readingOrder="1"/>
    </xf>
    <xf numFmtId="0" fontId="100" fillId="0" borderId="7" xfId="17" applyFont="1" applyBorder="1" applyAlignment="1">
      <alignment horizontal="center" vertical="center" wrapText="1" readingOrder="1"/>
    </xf>
    <xf numFmtId="0" fontId="93" fillId="0" borderId="81" xfId="14" applyNumberFormat="1" applyFont="1" applyBorder="1" applyAlignment="1">
      <alignment horizontal="center" vertical="center" wrapText="1"/>
    </xf>
    <xf numFmtId="0" fontId="93" fillId="0" borderId="100" xfId="14" applyNumberFormat="1" applyFont="1" applyBorder="1" applyAlignment="1">
      <alignment horizontal="center" vertical="center" wrapText="1"/>
    </xf>
    <xf numFmtId="0" fontId="93" fillId="0" borderId="110" xfId="14" applyNumberFormat="1" applyFont="1" applyBorder="1" applyAlignment="1">
      <alignment horizontal="center" vertical="center" wrapText="1"/>
    </xf>
    <xf numFmtId="0" fontId="12" fillId="0" borderId="97" xfId="15" applyFont="1" applyBorder="1" applyAlignment="1">
      <alignment horizontal="center" vertical="center" wrapText="1"/>
    </xf>
    <xf numFmtId="0" fontId="12" fillId="0" borderId="98" xfId="15" applyFont="1" applyBorder="1" applyAlignment="1">
      <alignment horizontal="center" vertical="center" wrapText="1"/>
    </xf>
    <xf numFmtId="0" fontId="12" fillId="0" borderId="99" xfId="15" applyFont="1" applyBorder="1" applyAlignment="1">
      <alignment horizontal="center" vertical="center" wrapText="1"/>
    </xf>
    <xf numFmtId="3" fontId="56" fillId="8" borderId="78" xfId="14" applyNumberFormat="1" applyFont="1" applyFill="1" applyBorder="1" applyAlignment="1">
      <alignment horizontal="center" vertical="center" wrapText="1"/>
    </xf>
    <xf numFmtId="3" fontId="56" fillId="8" borderId="0" xfId="14" applyNumberFormat="1" applyFont="1" applyFill="1" applyBorder="1" applyAlignment="1">
      <alignment horizontal="center" vertical="center" wrapText="1"/>
    </xf>
    <xf numFmtId="194" fontId="100" fillId="8" borderId="78" xfId="14" applyNumberFormat="1" applyFont="1" applyFill="1" applyBorder="1" applyAlignment="1">
      <alignment horizontal="center" vertical="center"/>
    </xf>
    <xf numFmtId="194" fontId="100" fillId="8" borderId="0" xfId="14" applyNumberFormat="1" applyFont="1" applyFill="1" applyBorder="1" applyAlignment="1">
      <alignment horizontal="center" vertical="center"/>
    </xf>
    <xf numFmtId="2" fontId="56" fillId="2" borderId="0" xfId="14" applyNumberFormat="1" applyFont="1" applyFill="1" applyAlignment="1">
      <alignment horizontal="center" vertical="center"/>
    </xf>
    <xf numFmtId="0" fontId="93" fillId="0" borderId="65" xfId="14" applyNumberFormat="1" applyFont="1" applyBorder="1" applyAlignment="1">
      <alignment horizontal="center" vertical="center"/>
    </xf>
    <xf numFmtId="0" fontId="101" fillId="0" borderId="0" xfId="30" applyFont="1" applyAlignment="1">
      <alignment horizontal="center" vertical="center"/>
    </xf>
    <xf numFmtId="0" fontId="190" fillId="67" borderId="2" xfId="17" applyFont="1" applyFill="1" applyBorder="1" applyAlignment="1">
      <alignment horizontal="left" vertical="center" wrapText="1" readingOrder="1"/>
    </xf>
    <xf numFmtId="0" fontId="190" fillId="67" borderId="4" xfId="17" applyFont="1" applyFill="1" applyBorder="1" applyAlignment="1">
      <alignment horizontal="left" vertical="center" wrapText="1" readingOrder="1"/>
    </xf>
    <xf numFmtId="0" fontId="190" fillId="67" borderId="3" xfId="17" applyFont="1" applyFill="1" applyBorder="1" applyAlignment="1">
      <alignment horizontal="left" vertical="center" wrapText="1" readingOrder="1"/>
    </xf>
    <xf numFmtId="0" fontId="56" fillId="0" borderId="120" xfId="17" applyFont="1" applyBorder="1" applyAlignment="1">
      <alignment horizontal="center" vertical="center" wrapText="1" readingOrder="1"/>
    </xf>
    <xf numFmtId="0" fontId="56" fillId="0" borderId="80" xfId="17" applyFont="1" applyBorder="1" applyAlignment="1">
      <alignment horizontal="center" vertical="center" wrapText="1" readingOrder="1"/>
    </xf>
    <xf numFmtId="0" fontId="56" fillId="0" borderId="101" xfId="17" applyFont="1" applyBorder="1" applyAlignment="1">
      <alignment horizontal="center" vertical="center" wrapText="1" readingOrder="1"/>
    </xf>
    <xf numFmtId="0" fontId="56" fillId="0" borderId="64" xfId="17" applyFont="1" applyBorder="1" applyAlignment="1">
      <alignment horizontal="center" vertical="center" wrapText="1" readingOrder="1"/>
    </xf>
    <xf numFmtId="0" fontId="56" fillId="0" borderId="102" xfId="17" applyFont="1" applyBorder="1" applyAlignment="1">
      <alignment horizontal="center" vertical="center" wrapText="1" readingOrder="1"/>
    </xf>
    <xf numFmtId="0" fontId="56" fillId="0" borderId="129" xfId="17" applyFont="1" applyBorder="1" applyAlignment="1">
      <alignment horizontal="center" vertical="center" wrapText="1" readingOrder="1"/>
    </xf>
    <xf numFmtId="0" fontId="75" fillId="0" borderId="63" xfId="12" applyBorder="1" applyAlignment="1">
      <alignment horizontal="center" vertical="center"/>
    </xf>
    <xf numFmtId="0" fontId="75" fillId="41" borderId="65" xfId="12" applyFill="1" applyBorder="1" applyAlignment="1">
      <alignment horizontal="center" vertical="center"/>
    </xf>
    <xf numFmtId="0" fontId="75" fillId="41" borderId="67" xfId="12" applyFill="1" applyBorder="1" applyAlignment="1">
      <alignment horizontal="center" vertical="center"/>
    </xf>
    <xf numFmtId="0" fontId="75" fillId="41" borderId="80" xfId="12" applyFill="1" applyBorder="1" applyAlignment="1">
      <alignment horizontal="center" vertical="center"/>
    </xf>
    <xf numFmtId="0" fontId="75" fillId="41" borderId="64" xfId="12" applyFill="1" applyBorder="1" applyAlignment="1">
      <alignment horizontal="center" vertical="center"/>
    </xf>
    <xf numFmtId="0" fontId="75" fillId="41" borderId="103" xfId="12" applyFill="1" applyBorder="1" applyAlignment="1">
      <alignment horizontal="center" vertical="center"/>
    </xf>
    <xf numFmtId="0" fontId="75" fillId="41" borderId="105" xfId="12" applyFill="1" applyBorder="1" applyAlignment="1">
      <alignment horizontal="center" vertical="center"/>
    </xf>
    <xf numFmtId="0" fontId="75" fillId="41" borderId="109" xfId="12" applyFill="1" applyBorder="1" applyAlignment="1">
      <alignment horizontal="center" vertical="center"/>
    </xf>
    <xf numFmtId="0" fontId="75" fillId="41" borderId="108" xfId="12" applyFill="1" applyBorder="1" applyAlignment="1">
      <alignment horizontal="center" vertical="center"/>
    </xf>
    <xf numFmtId="0" fontId="75" fillId="0" borderId="65" xfId="12" applyBorder="1" applyAlignment="1">
      <alignment horizontal="center" vertical="center"/>
    </xf>
    <xf numFmtId="0" fontId="75" fillId="0" borderId="67" xfId="12" applyBorder="1" applyAlignment="1">
      <alignment horizontal="center" vertical="center"/>
    </xf>
    <xf numFmtId="0" fontId="75" fillId="45" borderId="65" xfId="12" applyFill="1" applyBorder="1" applyAlignment="1">
      <alignment horizontal="center" vertical="center"/>
    </xf>
    <xf numFmtId="0" fontId="75" fillId="45" borderId="67" xfId="12" applyFill="1" applyBorder="1" applyAlignment="1">
      <alignment horizontal="center" vertical="center"/>
    </xf>
    <xf numFmtId="0" fontId="75" fillId="41" borderId="63" xfId="12" applyFill="1" applyBorder="1" applyAlignment="1">
      <alignment horizontal="center" vertical="center"/>
    </xf>
    <xf numFmtId="184" fontId="75" fillId="0" borderId="65" xfId="12" applyNumberFormat="1" applyBorder="1" applyAlignment="1">
      <alignment horizontal="center" vertical="center"/>
    </xf>
    <xf numFmtId="184" fontId="75" fillId="0" borderId="67" xfId="12" applyNumberFormat="1" applyBorder="1" applyAlignment="1">
      <alignment horizontal="center" vertical="center"/>
    </xf>
    <xf numFmtId="0" fontId="178" fillId="0" borderId="63" xfId="12" applyFont="1" applyBorder="1" applyAlignment="1">
      <alignment horizontal="center" vertical="center"/>
    </xf>
    <xf numFmtId="0" fontId="178" fillId="20" borderId="120" xfId="12" applyFont="1" applyFill="1" applyBorder="1" applyAlignment="1">
      <alignment horizontal="center"/>
    </xf>
    <xf numFmtId="184" fontId="75" fillId="0" borderId="63" xfId="12" applyNumberFormat="1" applyBorder="1" applyAlignment="1">
      <alignment horizontal="center"/>
    </xf>
    <xf numFmtId="0" fontId="116" fillId="20" borderId="80" xfId="36" applyFill="1" applyBorder="1" applyAlignment="1" applyProtection="1">
      <alignment horizontal="center" vertical="center" wrapText="1"/>
    </xf>
    <xf numFmtId="0" fontId="116" fillId="20" borderId="101" xfId="36" applyFill="1" applyBorder="1" applyAlignment="1" applyProtection="1">
      <alignment horizontal="center" vertical="center" wrapText="1"/>
    </xf>
    <xf numFmtId="0" fontId="116" fillId="20" borderId="64" xfId="36" applyFill="1" applyBorder="1" applyAlignment="1" applyProtection="1">
      <alignment horizontal="center" vertical="center" wrapText="1"/>
    </xf>
    <xf numFmtId="0" fontId="166" fillId="0" borderId="117" xfId="36" applyFont="1" applyBorder="1" applyAlignment="1" applyProtection="1">
      <alignment horizontal="center" vertical="center"/>
    </xf>
    <xf numFmtId="0" fontId="166" fillId="0" borderId="118" xfId="36" applyFont="1" applyBorder="1" applyAlignment="1" applyProtection="1">
      <alignment horizontal="center" vertical="center"/>
    </xf>
    <xf numFmtId="0" fontId="174" fillId="58" borderId="102" xfId="36" applyFont="1" applyFill="1" applyBorder="1" applyAlignment="1" applyProtection="1">
      <alignment horizontal="center" vertical="center"/>
    </xf>
    <xf numFmtId="0" fontId="174" fillId="59" borderId="102" xfId="36" applyFont="1" applyFill="1" applyBorder="1" applyAlignment="1" applyProtection="1">
      <alignment horizontal="center" vertical="center"/>
    </xf>
    <xf numFmtId="0" fontId="173" fillId="60" borderId="102" xfId="36" applyFont="1" applyFill="1" applyBorder="1" applyAlignment="1" applyProtection="1">
      <alignment horizontal="center" vertical="center"/>
    </xf>
    <xf numFmtId="0" fontId="174" fillId="11" borderId="102" xfId="36" applyFont="1" applyFill="1" applyBorder="1" applyAlignment="1" applyProtection="1">
      <alignment horizontal="center" vertical="center"/>
    </xf>
    <xf numFmtId="0" fontId="116" fillId="50" borderId="80" xfId="36" applyFill="1" applyBorder="1" applyAlignment="1" applyProtection="1">
      <alignment horizontal="center" vertical="center"/>
    </xf>
    <xf numFmtId="0" fontId="116" fillId="50" borderId="101" xfId="36" applyFill="1" applyBorder="1" applyAlignment="1" applyProtection="1">
      <alignment horizontal="center" vertical="center"/>
    </xf>
    <xf numFmtId="0" fontId="116" fillId="50" borderId="64" xfId="36" applyFill="1" applyBorder="1" applyAlignment="1" applyProtection="1">
      <alignment horizontal="center" vertical="center"/>
    </xf>
    <xf numFmtId="0" fontId="75" fillId="50" borderId="63" xfId="26" applyFill="1" applyBorder="1" applyAlignment="1" applyProtection="1">
      <alignment horizontal="center" vertical="center"/>
    </xf>
    <xf numFmtId="0" fontId="116" fillId="0" borderId="63" xfId="36" applyBorder="1" applyAlignment="1" applyProtection="1">
      <alignment horizontal="center" vertical="center" wrapText="1"/>
    </xf>
    <xf numFmtId="0" fontId="166" fillId="0" borderId="78" xfId="36" applyFont="1" applyBorder="1" applyAlignment="1" applyProtection="1">
      <alignment horizontal="center" vertical="center" wrapText="1"/>
    </xf>
    <xf numFmtId="0" fontId="167" fillId="0" borderId="0" xfId="36" applyFont="1" applyAlignment="1" applyProtection="1">
      <alignment horizontal="center" vertical="center" wrapText="1"/>
    </xf>
    <xf numFmtId="0" fontId="166" fillId="0" borderId="78" xfId="26" applyFont="1" applyBorder="1" applyAlignment="1" applyProtection="1">
      <alignment horizontal="center" vertical="center" wrapText="1"/>
    </xf>
    <xf numFmtId="0" fontId="168" fillId="0" borderId="0" xfId="26" applyFont="1" applyAlignment="1" applyProtection="1">
      <alignment horizontal="center"/>
    </xf>
    <xf numFmtId="9" fontId="168" fillId="0" borderId="115" xfId="26" applyNumberFormat="1" applyFont="1" applyBorder="1" applyAlignment="1" applyProtection="1">
      <alignment horizontal="center" vertical="center"/>
    </xf>
    <xf numFmtId="9" fontId="168" fillId="0" borderId="116" xfId="26" applyNumberFormat="1" applyFont="1" applyBorder="1" applyAlignment="1" applyProtection="1">
      <alignment horizontal="center" vertical="center"/>
    </xf>
    <xf numFmtId="0" fontId="167" fillId="0" borderId="0" xfId="26" applyFont="1" applyAlignment="1" applyProtection="1">
      <alignment horizontal="center"/>
    </xf>
    <xf numFmtId="0" fontId="167" fillId="0" borderId="0" xfId="26" applyFont="1" applyAlignment="1" applyProtection="1">
      <alignment horizontal="center" wrapText="1"/>
    </xf>
    <xf numFmtId="0" fontId="171" fillId="0" borderId="0" xfId="26" applyFont="1" applyAlignment="1" applyProtection="1">
      <alignment horizontal="center"/>
    </xf>
    <xf numFmtId="0" fontId="171" fillId="0" borderId="115" xfId="26" applyFont="1" applyBorder="1" applyAlignment="1" applyProtection="1">
      <alignment horizontal="center"/>
    </xf>
    <xf numFmtId="0" fontId="116" fillId="0" borderId="115" xfId="36" applyBorder="1" applyAlignment="1" applyProtection="1">
      <alignment horizontal="center" vertical="center"/>
    </xf>
    <xf numFmtId="0" fontId="116" fillId="0" borderId="0" xfId="36" applyAlignment="1" applyProtection="1">
      <alignment horizontal="center" vertical="center"/>
    </xf>
    <xf numFmtId="0" fontId="166" fillId="0" borderId="112" xfId="26" applyFont="1" applyBorder="1" applyAlignment="1" applyProtection="1">
      <alignment horizontal="center" vertical="center"/>
    </xf>
    <xf numFmtId="0" fontId="166" fillId="0" borderId="113" xfId="26" applyFont="1" applyBorder="1" applyAlignment="1" applyProtection="1">
      <alignment horizontal="center" vertical="center"/>
    </xf>
    <xf numFmtId="0" fontId="166" fillId="0" borderId="114" xfId="26" applyFont="1" applyBorder="1" applyAlignment="1" applyProtection="1">
      <alignment horizontal="center" vertical="center"/>
    </xf>
    <xf numFmtId="0" fontId="166" fillId="0" borderId="78" xfId="26" applyFont="1" applyBorder="1" applyAlignment="1" applyProtection="1">
      <alignment horizontal="center" vertical="center"/>
    </xf>
    <xf numFmtId="0" fontId="166" fillId="0" borderId="0" xfId="26" applyFont="1" applyAlignment="1" applyProtection="1">
      <alignment horizontal="center" vertical="center"/>
    </xf>
    <xf numFmtId="0" fontId="167" fillId="0" borderId="0" xfId="36" applyFont="1" applyAlignment="1" applyProtection="1">
      <alignment horizontal="center" vertical="center"/>
    </xf>
    <xf numFmtId="0" fontId="167" fillId="0" borderId="115" xfId="36" applyFont="1" applyBorder="1" applyAlignment="1" applyProtection="1">
      <alignment horizontal="center" vertical="center"/>
    </xf>
    <xf numFmtId="0" fontId="180" fillId="20" borderId="120" xfId="0" applyFont="1" applyFill="1" applyBorder="1" applyAlignment="1">
      <alignment horizontal="center" vertical="center" wrapText="1" readingOrder="1"/>
    </xf>
    <xf numFmtId="0" fontId="180" fillId="0" borderId="120" xfId="0" applyFont="1" applyBorder="1" applyAlignment="1">
      <alignment horizontal="center" vertical="center" wrapText="1" readingOrder="1"/>
    </xf>
    <xf numFmtId="0" fontId="159" fillId="52" borderId="63" xfId="34" applyFont="1" applyFill="1" applyBorder="1" applyAlignment="1">
      <alignment horizontal="center" vertical="center" wrapText="1"/>
    </xf>
    <xf numFmtId="0" fontId="159" fillId="52" borderId="63" xfId="34" applyFont="1" applyFill="1" applyBorder="1" applyAlignment="1">
      <alignment horizontal="center" vertical="center"/>
    </xf>
    <xf numFmtId="0" fontId="120" fillId="52" borderId="63" xfId="34" applyFont="1" applyFill="1" applyBorder="1" applyAlignment="1">
      <alignment horizontal="center" vertical="center" wrapText="1"/>
    </xf>
    <xf numFmtId="0" fontId="159" fillId="52" borderId="65" xfId="34" applyFont="1" applyFill="1" applyBorder="1" applyAlignment="1">
      <alignment horizontal="center" vertical="center"/>
    </xf>
    <xf numFmtId="0" fontId="159" fillId="52" borderId="66" xfId="34" applyFont="1" applyFill="1" applyBorder="1" applyAlignment="1">
      <alignment horizontal="center" vertical="center"/>
    </xf>
    <xf numFmtId="0" fontId="159" fillId="52" borderId="67" xfId="34" applyFont="1" applyFill="1" applyBorder="1" applyAlignment="1">
      <alignment horizontal="center" vertical="center"/>
    </xf>
    <xf numFmtId="0" fontId="103" fillId="56" borderId="63" xfId="34" applyFont="1" applyFill="1" applyBorder="1" applyAlignment="1">
      <alignment horizontal="center" vertical="center"/>
    </xf>
    <xf numFmtId="0" fontId="161" fillId="0" borderId="109" xfId="34" applyFont="1" applyBorder="1" applyAlignment="1">
      <alignment horizontal="left" vertical="center" wrapText="1"/>
    </xf>
    <xf numFmtId="0" fontId="161" fillId="0" borderId="102" xfId="34" applyFont="1" applyBorder="1" applyAlignment="1">
      <alignment horizontal="left" vertical="center" wrapText="1"/>
    </xf>
    <xf numFmtId="0" fontId="160" fillId="0" borderId="0" xfId="34" applyFont="1" applyAlignment="1">
      <alignment horizontal="center" vertical="center"/>
    </xf>
    <xf numFmtId="0" fontId="161" fillId="0" borderId="65" xfId="34" applyFont="1" applyBorder="1" applyAlignment="1">
      <alignment horizontal="left" vertical="center" wrapText="1"/>
    </xf>
    <xf numFmtId="0" fontId="161" fillId="0" borderId="66" xfId="34" applyFont="1" applyBorder="1" applyAlignment="1">
      <alignment horizontal="left" vertical="center" wrapText="1"/>
    </xf>
    <xf numFmtId="0" fontId="159" fillId="52" borderId="80" xfId="34" applyFont="1" applyFill="1" applyBorder="1" applyAlignment="1">
      <alignment horizontal="center" vertical="center" wrapText="1"/>
    </xf>
    <xf numFmtId="0" fontId="159" fillId="52" borderId="64" xfId="34" applyFont="1" applyFill="1" applyBorder="1" applyAlignment="1">
      <alignment horizontal="center" vertical="center" wrapText="1"/>
    </xf>
    <xf numFmtId="0" fontId="120" fillId="52" borderId="80" xfId="34" applyFont="1" applyFill="1" applyBorder="1" applyAlignment="1">
      <alignment horizontal="center" vertical="center" wrapText="1"/>
    </xf>
    <xf numFmtId="0" fontId="120" fillId="52" borderId="64" xfId="34" applyFont="1" applyFill="1" applyBorder="1" applyAlignment="1">
      <alignment horizontal="center" vertical="center" wrapText="1"/>
    </xf>
    <xf numFmtId="0" fontId="120" fillId="52" borderId="63" xfId="34" applyFont="1" applyFill="1" applyBorder="1" applyAlignment="1">
      <alignment horizontal="center" vertical="center"/>
    </xf>
    <xf numFmtId="184" fontId="120" fillId="52" borderId="63" xfId="34" applyNumberFormat="1" applyFont="1" applyFill="1" applyBorder="1" applyAlignment="1">
      <alignment horizontal="center" vertical="center" wrapText="1"/>
    </xf>
    <xf numFmtId="0" fontId="111" fillId="42" borderId="63" xfId="21" applyFont="1" applyFill="1" applyBorder="1" applyAlignment="1" applyProtection="1">
      <alignment horizontal="left" vertical="center" wrapText="1"/>
    </xf>
    <xf numFmtId="0" fontId="87" fillId="44" borderId="63" xfId="21" applyFont="1" applyFill="1" applyBorder="1" applyAlignment="1" applyProtection="1">
      <alignment horizontal="left" vertical="center" wrapText="1"/>
    </xf>
    <xf numFmtId="49" fontId="111" fillId="42" borderId="63" xfId="21" applyNumberFormat="1" applyFont="1" applyFill="1" applyBorder="1" applyAlignment="1" applyProtection="1">
      <alignment horizontal="center" vertical="center" wrapText="1"/>
    </xf>
    <xf numFmtId="49" fontId="113" fillId="43" borderId="63" xfId="21" applyNumberFormat="1" applyFont="1" applyFill="1" applyBorder="1" applyAlignment="1" applyProtection="1">
      <alignment horizontal="center" vertical="center"/>
    </xf>
    <xf numFmtId="0" fontId="87" fillId="44" borderId="103" xfId="21" applyFont="1" applyFill="1" applyBorder="1" applyAlignment="1" applyProtection="1">
      <alignment horizontal="center" vertical="center" wrapText="1"/>
    </xf>
    <xf numFmtId="0" fontId="87" fillId="44" borderId="104" xfId="21" applyFont="1" applyFill="1" applyBorder="1" applyAlignment="1" applyProtection="1">
      <alignment horizontal="center" vertical="center" wrapText="1"/>
    </xf>
    <xf numFmtId="0" fontId="87" fillId="44" borderId="105" xfId="21" applyFont="1" applyFill="1" applyBorder="1" applyAlignment="1" applyProtection="1">
      <alignment horizontal="center" vertical="center" wrapText="1"/>
    </xf>
    <xf numFmtId="0" fontId="87" fillId="44" borderId="62" xfId="21" applyFont="1" applyFill="1" applyBorder="1" applyAlignment="1" applyProtection="1">
      <alignment horizontal="center" vertical="center" wrapText="1"/>
    </xf>
    <xf numFmtId="0" fontId="87" fillId="44" borderId="0" xfId="21" applyFont="1" applyFill="1" applyAlignment="1" applyProtection="1">
      <alignment horizontal="center" vertical="center" wrapText="1"/>
    </xf>
    <xf numFmtId="0" fontId="87" fillId="44" borderId="106" xfId="21" applyFont="1" applyFill="1" applyBorder="1" applyAlignment="1" applyProtection="1">
      <alignment horizontal="center" vertical="center" wrapText="1"/>
    </xf>
    <xf numFmtId="0" fontId="150" fillId="0" borderId="63" xfId="33" applyFont="1" applyBorder="1" applyAlignment="1">
      <alignment horizontal="center" vertical="center" wrapText="1"/>
    </xf>
    <xf numFmtId="0" fontId="147" fillId="0" borderId="63" xfId="33" applyFont="1" applyBorder="1" applyAlignment="1">
      <alignment horizontal="center" vertical="center" wrapText="1"/>
    </xf>
    <xf numFmtId="0" fontId="0" fillId="0" borderId="0" xfId="0" applyAlignment="1">
      <alignment horizontal="left" vertical="center"/>
    </xf>
    <xf numFmtId="49" fontId="87" fillId="43" borderId="63" xfId="21" applyNumberFormat="1" applyFont="1" applyFill="1" applyBorder="1" applyAlignment="1" applyProtection="1">
      <alignment horizontal="left" vertical="center" wrapText="1"/>
    </xf>
    <xf numFmtId="176" fontId="113" fillId="43" borderId="63" xfId="22" applyFont="1" applyFill="1" applyBorder="1" applyAlignment="1" applyProtection="1">
      <alignment horizontal="center" vertical="center" wrapText="1" shrinkToFit="1"/>
    </xf>
    <xf numFmtId="9" fontId="87" fillId="44" borderId="63" xfId="21" applyNumberFormat="1" applyFont="1" applyFill="1" applyBorder="1" applyAlignment="1" applyProtection="1">
      <alignment horizontal="left" vertical="center" wrapText="1"/>
    </xf>
    <xf numFmtId="0" fontId="87" fillId="44" borderId="65" xfId="21" applyFont="1" applyFill="1" applyBorder="1" applyAlignment="1" applyProtection="1">
      <alignment horizontal="left" vertical="center"/>
    </xf>
    <xf numFmtId="0" fontId="87" fillId="44" borderId="66" xfId="21" applyFont="1" applyFill="1" applyBorder="1" applyAlignment="1" applyProtection="1">
      <alignment horizontal="left" vertical="center"/>
    </xf>
    <xf numFmtId="0" fontId="87" fillId="44" borderId="67" xfId="21" applyFont="1" applyFill="1" applyBorder="1" applyAlignment="1" applyProtection="1">
      <alignment horizontal="left" vertical="center"/>
    </xf>
    <xf numFmtId="9" fontId="87" fillId="44" borderId="65" xfId="21" applyNumberFormat="1" applyFont="1" applyFill="1" applyBorder="1" applyAlignment="1" applyProtection="1">
      <alignment horizontal="left" vertical="center" wrapText="1"/>
    </xf>
    <xf numFmtId="9" fontId="87" fillId="44" borderId="66" xfId="21" applyNumberFormat="1" applyFont="1" applyFill="1" applyBorder="1" applyAlignment="1" applyProtection="1">
      <alignment horizontal="left" vertical="center" wrapText="1"/>
    </xf>
    <xf numFmtId="9" fontId="87" fillId="44" borderId="67" xfId="21" applyNumberFormat="1" applyFont="1" applyFill="1" applyBorder="1" applyAlignment="1" applyProtection="1">
      <alignment horizontal="left" vertical="center" wrapText="1"/>
    </xf>
    <xf numFmtId="49" fontId="113" fillId="50" borderId="105" xfId="21" applyNumberFormat="1" applyFont="1" applyFill="1" applyBorder="1" applyAlignment="1" applyProtection="1">
      <alignment horizontal="center" vertical="center"/>
    </xf>
    <xf numFmtId="49" fontId="113" fillId="50" borderId="106" xfId="21" applyNumberFormat="1" applyFont="1" applyFill="1" applyBorder="1" applyAlignment="1" applyProtection="1">
      <alignment horizontal="center" vertical="center"/>
    </xf>
    <xf numFmtId="49" fontId="113" fillId="50" borderId="108" xfId="21" applyNumberFormat="1" applyFont="1" applyFill="1" applyBorder="1" applyAlignment="1" applyProtection="1">
      <alignment horizontal="center" vertical="center"/>
    </xf>
    <xf numFmtId="176" fontId="113" fillId="44" borderId="80" xfId="22" applyFont="1" applyFill="1" applyBorder="1" applyAlignment="1" applyProtection="1">
      <alignment horizontal="center" vertical="center" wrapText="1"/>
    </xf>
    <xf numFmtId="176" fontId="113" fillId="44" borderId="101" xfId="22" applyFont="1" applyFill="1" applyBorder="1" applyAlignment="1" applyProtection="1">
      <alignment horizontal="center" vertical="center" wrapText="1"/>
    </xf>
    <xf numFmtId="176" fontId="113" fillId="44" borderId="64" xfId="22" applyFont="1" applyFill="1" applyBorder="1" applyAlignment="1" applyProtection="1">
      <alignment horizontal="center" vertical="center" wrapText="1"/>
    </xf>
    <xf numFmtId="176" fontId="87" fillId="44" borderId="80" xfId="22" applyFont="1" applyFill="1" applyBorder="1" applyAlignment="1" applyProtection="1">
      <alignment horizontal="center" vertical="center" wrapText="1" shrinkToFit="1"/>
    </xf>
    <xf numFmtId="176" fontId="87" fillId="44" borderId="101" xfId="22" applyFont="1" applyFill="1" applyBorder="1" applyAlignment="1" applyProtection="1">
      <alignment horizontal="center" vertical="center" wrapText="1" shrinkToFit="1"/>
    </xf>
    <xf numFmtId="176" fontId="87" fillId="44" borderId="64" xfId="22" applyFont="1" applyFill="1" applyBorder="1" applyAlignment="1" applyProtection="1">
      <alignment horizontal="center" vertical="center" wrapText="1" shrinkToFit="1"/>
    </xf>
    <xf numFmtId="176" fontId="87" fillId="44" borderId="66" xfId="22" applyFont="1" applyFill="1" applyBorder="1" applyAlignment="1" applyProtection="1">
      <alignment horizontal="center" vertical="center" wrapText="1"/>
    </xf>
    <xf numFmtId="176" fontId="87" fillId="44" borderId="67" xfId="22" applyFont="1" applyFill="1" applyBorder="1" applyAlignment="1" applyProtection="1">
      <alignment horizontal="center" vertical="center" wrapText="1"/>
    </xf>
    <xf numFmtId="176" fontId="103" fillId="43" borderId="63" xfId="22" applyFont="1" applyFill="1" applyBorder="1" applyAlignment="1" applyProtection="1">
      <alignment horizontal="center" vertical="center" wrapText="1"/>
    </xf>
    <xf numFmtId="176" fontId="87" fillId="44" borderId="63" xfId="22" applyFont="1" applyFill="1" applyBorder="1" applyAlignment="1" applyProtection="1">
      <alignment horizontal="center" vertical="center" wrapText="1"/>
    </xf>
    <xf numFmtId="176" fontId="120" fillId="52" borderId="63" xfId="22" applyFont="1" applyFill="1" applyBorder="1" applyAlignment="1" applyProtection="1">
      <alignment horizontal="center" vertical="center"/>
    </xf>
    <xf numFmtId="176" fontId="109" fillId="42" borderId="63" xfId="22" applyFont="1" applyFill="1" applyBorder="1" applyAlignment="1" applyProtection="1">
      <alignment horizontal="center" vertical="center"/>
    </xf>
    <xf numFmtId="0" fontId="120" fillId="52" borderId="80" xfId="21" applyFont="1" applyFill="1" applyBorder="1" applyAlignment="1" applyProtection="1">
      <alignment horizontal="center" vertical="center" wrapText="1"/>
    </xf>
    <xf numFmtId="0" fontId="120" fillId="52" borderId="101" xfId="21" applyFont="1" applyFill="1" applyBorder="1" applyAlignment="1" applyProtection="1">
      <alignment horizontal="center" vertical="center" wrapText="1"/>
    </xf>
    <xf numFmtId="0" fontId="120" fillId="52" borderId="64" xfId="21" applyFont="1" applyFill="1" applyBorder="1" applyAlignment="1" applyProtection="1">
      <alignment horizontal="center" vertical="center" wrapText="1"/>
    </xf>
    <xf numFmtId="176" fontId="87" fillId="44" borderId="65" xfId="22" applyFont="1" applyFill="1" applyBorder="1" applyAlignment="1" applyProtection="1">
      <alignment horizontal="center" vertical="center" wrapText="1"/>
    </xf>
    <xf numFmtId="176" fontId="120" fillId="52" borderId="105" xfId="22" applyFont="1" applyFill="1" applyBorder="1" applyAlignment="1" applyProtection="1">
      <alignment horizontal="center" vertical="center" wrapText="1"/>
    </xf>
    <xf numFmtId="176" fontId="120" fillId="52" borderId="106" xfId="22" applyFont="1" applyFill="1" applyBorder="1" applyAlignment="1" applyProtection="1">
      <alignment horizontal="center" vertical="center" wrapText="1"/>
    </xf>
    <xf numFmtId="176" fontId="87" fillId="44" borderId="80" xfId="22" applyFont="1" applyFill="1" applyBorder="1" applyAlignment="1" applyProtection="1">
      <alignment horizontal="center" vertical="center" wrapText="1"/>
    </xf>
    <xf numFmtId="176" fontId="87" fillId="44" borderId="101" xfId="22" applyFont="1" applyFill="1" applyBorder="1" applyAlignment="1" applyProtection="1">
      <alignment horizontal="center" vertical="center" wrapText="1"/>
    </xf>
    <xf numFmtId="176" fontId="87" fillId="44" borderId="64" xfId="22" applyFont="1" applyFill="1" applyBorder="1" applyAlignment="1" applyProtection="1">
      <alignment horizontal="center" vertical="center" wrapText="1"/>
    </xf>
    <xf numFmtId="176" fontId="87" fillId="44" borderId="103" xfId="22" applyFont="1" applyFill="1" applyBorder="1" applyAlignment="1" applyProtection="1">
      <alignment horizontal="center" vertical="center" wrapText="1"/>
    </xf>
    <xf numFmtId="176" fontId="87" fillId="44" borderId="104" xfId="22" applyFont="1" applyFill="1" applyBorder="1" applyAlignment="1" applyProtection="1">
      <alignment horizontal="center" vertical="center" wrapText="1"/>
    </xf>
    <xf numFmtId="176" fontId="87" fillId="44" borderId="105" xfId="22" applyFont="1" applyFill="1" applyBorder="1" applyAlignment="1" applyProtection="1">
      <alignment horizontal="center" vertical="center" wrapText="1"/>
    </xf>
    <xf numFmtId="176" fontId="87" fillId="44" borderId="62" xfId="22" applyFont="1" applyFill="1" applyBorder="1" applyAlignment="1" applyProtection="1">
      <alignment horizontal="center" vertical="center" wrapText="1"/>
    </xf>
    <xf numFmtId="176" fontId="87" fillId="44" borderId="0" xfId="22" applyFont="1" applyFill="1" applyAlignment="1" applyProtection="1">
      <alignment horizontal="center" vertical="center" wrapText="1"/>
    </xf>
    <xf numFmtId="176" fontId="87" fillId="44" borderId="106" xfId="22" applyFont="1" applyFill="1" applyBorder="1" applyAlignment="1" applyProtection="1">
      <alignment horizontal="center" vertical="center" wrapText="1"/>
    </xf>
    <xf numFmtId="176" fontId="87" fillId="44" borderId="109" xfId="22" applyFont="1" applyFill="1" applyBorder="1" applyAlignment="1" applyProtection="1">
      <alignment horizontal="center" vertical="center" wrapText="1"/>
    </xf>
    <xf numFmtId="176" fontId="87" fillId="44" borderId="102" xfId="22" applyFont="1" applyFill="1" applyBorder="1" applyAlignment="1" applyProtection="1">
      <alignment horizontal="center" vertical="center" wrapText="1"/>
    </xf>
    <xf numFmtId="176" fontId="87" fillId="44" borderId="108" xfId="22" applyFont="1" applyFill="1" applyBorder="1" applyAlignment="1" applyProtection="1">
      <alignment horizontal="center" vertical="center" wrapText="1"/>
    </xf>
    <xf numFmtId="176" fontId="122" fillId="42" borderId="80" xfId="22" applyFont="1" applyFill="1" applyBorder="1" applyAlignment="1" applyProtection="1">
      <alignment horizontal="center" vertical="center"/>
    </xf>
    <xf numFmtId="176" fontId="122" fillId="42" borderId="64" xfId="22" applyFont="1" applyFill="1" applyBorder="1" applyAlignment="1" applyProtection="1">
      <alignment horizontal="center" vertical="center"/>
    </xf>
    <xf numFmtId="0" fontId="152" fillId="0" borderId="103" xfId="21" applyFont="1" applyBorder="1" applyAlignment="1" applyProtection="1">
      <alignment horizontal="center"/>
    </xf>
    <xf numFmtId="0" fontId="22" fillId="0" borderId="62" xfId="21" applyFont="1" applyBorder="1" applyAlignment="1" applyProtection="1">
      <alignment horizontal="center"/>
    </xf>
    <xf numFmtId="176" fontId="87" fillId="44" borderId="65" xfId="22" applyFont="1" applyFill="1" applyBorder="1" applyAlignment="1" applyProtection="1">
      <alignment horizontal="center" vertical="center" wrapText="1" shrinkToFit="1"/>
    </xf>
    <xf numFmtId="176" fontId="87" fillId="44" borderId="66" xfId="22" applyFont="1" applyFill="1" applyBorder="1" applyAlignment="1" applyProtection="1">
      <alignment horizontal="center" vertical="center" wrapText="1" shrinkToFit="1"/>
    </xf>
    <xf numFmtId="176" fontId="87" fillId="44" borderId="67" xfId="22" applyFont="1" applyFill="1" applyBorder="1" applyAlignment="1" applyProtection="1">
      <alignment horizontal="center" vertical="center" wrapText="1" shrinkToFit="1"/>
    </xf>
    <xf numFmtId="0" fontId="124" fillId="0" borderId="65" xfId="17" applyFont="1" applyBorder="1" applyAlignment="1">
      <alignment horizontal="center" vertical="center" wrapText="1"/>
    </xf>
    <xf numFmtId="0" fontId="124" fillId="0" borderId="66" xfId="17" applyFont="1" applyBorder="1" applyAlignment="1">
      <alignment horizontal="center" vertical="center" wrapText="1"/>
    </xf>
    <xf numFmtId="0" fontId="124" fillId="0" borderId="67" xfId="17" applyFont="1" applyBorder="1" applyAlignment="1">
      <alignment horizontal="center" vertical="center" wrapText="1"/>
    </xf>
    <xf numFmtId="0" fontId="87" fillId="3" borderId="120" xfId="17" applyFont="1" applyFill="1" applyBorder="1" applyAlignment="1">
      <alignment horizontal="center" vertical="center" wrapText="1"/>
    </xf>
    <xf numFmtId="0" fontId="87" fillId="3" borderId="80" xfId="17" applyFont="1" applyFill="1" applyBorder="1" applyAlignment="1">
      <alignment horizontal="center" vertical="center" wrapText="1"/>
    </xf>
    <xf numFmtId="0" fontId="87" fillId="3" borderId="64" xfId="17" applyFont="1" applyFill="1" applyBorder="1" applyAlignment="1">
      <alignment horizontal="center" vertical="center" wrapText="1"/>
    </xf>
    <xf numFmtId="184" fontId="87" fillId="3" borderId="120" xfId="17" applyNumberFormat="1" applyFont="1" applyFill="1" applyBorder="1" applyAlignment="1">
      <alignment horizontal="center" vertical="center" wrapText="1"/>
    </xf>
    <xf numFmtId="0" fontId="113" fillId="0" borderId="104" xfId="17" applyFont="1" applyBorder="1" applyAlignment="1">
      <alignment horizontal="left" vertical="center" wrapText="1"/>
    </xf>
    <xf numFmtId="184" fontId="87" fillId="3" borderId="80" xfId="17" applyNumberFormat="1" applyFont="1" applyFill="1" applyBorder="1" applyAlignment="1">
      <alignment horizontal="center" vertical="center" wrapText="1"/>
    </xf>
    <xf numFmtId="184" fontId="87" fillId="3" borderId="64" xfId="17" applyNumberFormat="1" applyFont="1" applyFill="1" applyBorder="1" applyAlignment="1">
      <alignment horizontal="center" vertical="center" wrapText="1"/>
    </xf>
    <xf numFmtId="0" fontId="157" fillId="42" borderId="65" xfId="23" applyFont="1" applyFill="1" applyBorder="1" applyAlignment="1" applyProtection="1">
      <alignment horizontal="center" vertical="center" wrapText="1"/>
    </xf>
    <xf numFmtId="0" fontId="157" fillId="42" borderId="66" xfId="23" applyFont="1" applyFill="1" applyBorder="1" applyAlignment="1" applyProtection="1">
      <alignment horizontal="center" vertical="center" wrapText="1"/>
    </xf>
    <xf numFmtId="0" fontId="157" fillId="42" borderId="80" xfId="23" applyFont="1" applyFill="1" applyBorder="1" applyAlignment="1" applyProtection="1">
      <alignment horizontal="center" vertical="center" wrapText="1"/>
    </xf>
    <xf numFmtId="0" fontId="157" fillId="42" borderId="64" xfId="23" applyFont="1" applyFill="1" applyBorder="1" applyAlignment="1" applyProtection="1">
      <alignment horizontal="center" vertical="center" wrapText="1"/>
    </xf>
    <xf numFmtId="0" fontId="157" fillId="42" borderId="63" xfId="23" applyFont="1" applyFill="1" applyBorder="1" applyAlignment="1" applyProtection="1">
      <alignment horizontal="center" vertical="center" wrapText="1"/>
    </xf>
    <xf numFmtId="0" fontId="128" fillId="42" borderId="65" xfId="23" applyFont="1" applyFill="1" applyBorder="1" applyAlignment="1" applyProtection="1">
      <alignment horizontal="center" vertical="center" wrapText="1"/>
    </xf>
    <xf numFmtId="0" fontId="157" fillId="42" borderId="67" xfId="23" applyFont="1" applyFill="1" applyBorder="1" applyAlignment="1" applyProtection="1">
      <alignment horizontal="center" vertical="center" wrapText="1"/>
    </xf>
    <xf numFmtId="0" fontId="156" fillId="43" borderId="63" xfId="23" applyFont="1" applyFill="1" applyBorder="1" applyAlignment="1" applyProtection="1">
      <alignment horizontal="center" vertical="center" wrapText="1"/>
    </xf>
    <xf numFmtId="0" fontId="156" fillId="43" borderId="63" xfId="23" applyFont="1" applyFill="1" applyBorder="1" applyAlignment="1" applyProtection="1">
      <alignment horizontal="center" vertical="center"/>
    </xf>
    <xf numFmtId="0" fontId="156" fillId="45" borderId="63" xfId="23" applyFont="1" applyFill="1" applyBorder="1" applyAlignment="1" applyProtection="1">
      <alignment horizontal="center" vertical="center"/>
    </xf>
    <xf numFmtId="0" fontId="156" fillId="20" borderId="120" xfId="23" applyFont="1" applyFill="1" applyBorder="1" applyAlignment="1" applyProtection="1">
      <alignment horizontal="center" vertical="center" wrapText="1"/>
    </xf>
    <xf numFmtId="0" fontId="156" fillId="0" borderId="104" xfId="23" applyFont="1" applyBorder="1" applyAlignment="1" applyProtection="1">
      <alignment horizontal="center" vertical="center" wrapText="1"/>
    </xf>
    <xf numFmtId="0" fontId="89" fillId="0" borderId="0" xfId="16" applyAlignment="1">
      <alignment horizontal="center"/>
    </xf>
    <xf numFmtId="198" fontId="160" fillId="0" borderId="102" xfId="38" applyNumberFormat="1" applyFont="1" applyBorder="1" applyAlignment="1">
      <alignment horizontal="center" vertical="center" wrapText="1"/>
    </xf>
    <xf numFmtId="0" fontId="89" fillId="41" borderId="0" xfId="16" applyFill="1" applyAlignment="1">
      <alignment horizontal="center"/>
    </xf>
    <xf numFmtId="0" fontId="185" fillId="41" borderId="0" xfId="16" applyFont="1" applyFill="1" applyAlignment="1">
      <alignment horizontal="center"/>
    </xf>
    <xf numFmtId="0" fontId="185" fillId="0" borderId="0" xfId="16" applyFont="1" applyAlignment="1">
      <alignment horizontal="center"/>
    </xf>
    <xf numFmtId="198" fontId="18" fillId="65" borderId="120" xfId="38" applyNumberFormat="1" applyFont="1" applyFill="1" applyBorder="1" applyAlignment="1">
      <alignment horizontal="center" vertical="center" wrapText="1"/>
    </xf>
    <xf numFmtId="198" fontId="18" fillId="65" borderId="101" xfId="38" applyNumberFormat="1" applyFont="1" applyFill="1" applyBorder="1" applyAlignment="1">
      <alignment horizontal="center" vertical="center" wrapText="1"/>
    </xf>
    <xf numFmtId="198" fontId="18" fillId="65" borderId="64" xfId="38" applyNumberFormat="1" applyFont="1" applyFill="1" applyBorder="1" applyAlignment="1">
      <alignment horizontal="center" vertical="center" wrapText="1"/>
    </xf>
    <xf numFmtId="189" fontId="18" fillId="65" borderId="80" xfId="38" applyNumberFormat="1" applyFont="1" applyFill="1" applyBorder="1" applyAlignment="1">
      <alignment horizontal="center" vertical="center" wrapText="1"/>
    </xf>
    <xf numFmtId="0" fontId="89" fillId="0" borderId="64" xfId="16" applyBorder="1" applyAlignment="1">
      <alignment horizontal="center" vertical="center" wrapText="1"/>
    </xf>
    <xf numFmtId="189" fontId="18" fillId="65" borderId="64" xfId="38" applyNumberFormat="1" applyFont="1" applyFill="1" applyBorder="1" applyAlignment="1">
      <alignment horizontal="center" vertical="center" wrapText="1"/>
    </xf>
    <xf numFmtId="198" fontId="187" fillId="0" borderId="65" xfId="38" applyNumberFormat="1" applyFont="1" applyBorder="1" applyAlignment="1">
      <alignment horizontal="right" vertical="center" wrapText="1"/>
    </xf>
    <xf numFmtId="198" fontId="187" fillId="0" borderId="66" xfId="38" applyNumberFormat="1" applyFont="1" applyBorder="1" applyAlignment="1">
      <alignment horizontal="right" vertical="center" wrapText="1"/>
    </xf>
    <xf numFmtId="198" fontId="187" fillId="0" borderId="67" xfId="38" applyNumberFormat="1" applyFont="1" applyBorder="1" applyAlignment="1">
      <alignment horizontal="right" vertical="center" wrapText="1"/>
    </xf>
    <xf numFmtId="0" fontId="33" fillId="0" borderId="104" xfId="16" applyFont="1" applyBorder="1" applyAlignment="1">
      <alignment horizontal="left" vertical="top" wrapText="1"/>
    </xf>
    <xf numFmtId="189" fontId="18" fillId="65" borderId="120" xfId="38" applyNumberFormat="1" applyFont="1" applyFill="1" applyBorder="1" applyAlignment="1">
      <alignment horizontal="center" vertical="center" wrapText="1"/>
    </xf>
    <xf numFmtId="189" fontId="18" fillId="65" borderId="101" xfId="38" applyNumberFormat="1" applyFont="1" applyFill="1" applyBorder="1" applyAlignment="1">
      <alignment horizontal="center" vertical="center" wrapText="1"/>
    </xf>
    <xf numFmtId="189" fontId="18" fillId="65" borderId="62" xfId="38" applyNumberFormat="1" applyFont="1" applyFill="1" applyBorder="1" applyAlignment="1">
      <alignment horizontal="center" vertical="center" wrapText="1"/>
    </xf>
    <xf numFmtId="189" fontId="18" fillId="65" borderId="109" xfId="38" applyNumberFormat="1" applyFont="1" applyFill="1" applyBorder="1" applyAlignment="1">
      <alignment horizontal="center" vertical="center" wrapText="1"/>
    </xf>
    <xf numFmtId="189" fontId="47" fillId="8" borderId="80" xfId="38" applyNumberFormat="1" applyFont="1" applyFill="1" applyBorder="1" applyAlignment="1">
      <alignment horizontal="center" vertical="center" wrapText="1"/>
    </xf>
    <xf numFmtId="0" fontId="186" fillId="8" borderId="80" xfId="16" applyFont="1" applyFill="1" applyBorder="1" applyAlignment="1">
      <alignment horizontal="center" vertical="center" wrapText="1"/>
    </xf>
    <xf numFmtId="0" fontId="20" fillId="0" borderId="63" xfId="17" applyFont="1" applyBorder="1" applyAlignment="1">
      <alignment horizontal="center" vertical="center" wrapText="1"/>
    </xf>
    <xf numFmtId="0" fontId="67" fillId="0" borderId="62" xfId="17" applyFont="1" applyBorder="1" applyAlignment="1">
      <alignment horizontal="center" vertical="center"/>
    </xf>
    <xf numFmtId="0" fontId="67" fillId="0" borderId="0" xfId="17" applyFont="1" applyAlignment="1">
      <alignment horizontal="center" vertical="center"/>
    </xf>
    <xf numFmtId="0" fontId="30" fillId="0" borderId="63" xfId="17" applyFont="1" applyBorder="1" applyAlignment="1">
      <alignment horizontal="center" vertical="center" wrapText="1"/>
    </xf>
    <xf numFmtId="0" fontId="13" fillId="0" borderId="80" xfId="17" applyFont="1" applyBorder="1" applyAlignment="1">
      <alignment horizontal="center" vertical="center" wrapText="1"/>
    </xf>
    <xf numFmtId="0" fontId="13" fillId="0" borderId="101" xfId="17" applyFont="1" applyBorder="1" applyAlignment="1">
      <alignment horizontal="center" vertical="center" wrapText="1"/>
    </xf>
    <xf numFmtId="0" fontId="13" fillId="0" borderId="64" xfId="17" applyFont="1" applyBorder="1" applyAlignment="1">
      <alignment horizontal="center" vertical="center" wrapText="1"/>
    </xf>
    <xf numFmtId="0" fontId="13" fillId="0" borderId="63" xfId="17" applyFont="1" applyBorder="1" applyAlignment="1">
      <alignment horizontal="center" vertical="center" wrapText="1"/>
    </xf>
    <xf numFmtId="0" fontId="13" fillId="0" borderId="65" xfId="17" applyFont="1" applyBorder="1" applyAlignment="1">
      <alignment horizontal="center" vertical="center" wrapText="1"/>
    </xf>
    <xf numFmtId="0" fontId="13" fillId="0" borderId="67" xfId="17" applyFont="1" applyBorder="1" applyAlignment="1">
      <alignment horizontal="center" vertical="center" wrapText="1"/>
    </xf>
    <xf numFmtId="0" fontId="2" fillId="24" borderId="5" xfId="0" applyFont="1" applyFill="1" applyBorder="1" applyAlignment="1" applyProtection="1">
      <alignment horizontal="center" vertical="center"/>
      <protection locked="0"/>
    </xf>
    <xf numFmtId="0" fontId="2" fillId="25" borderId="5" xfId="0" applyFont="1" applyFill="1" applyBorder="1" applyAlignment="1">
      <alignment horizontal="center" vertical="center"/>
    </xf>
    <xf numFmtId="181" fontId="2" fillId="26" borderId="5" xfId="0" applyNumberFormat="1" applyFont="1" applyFill="1" applyBorder="1" applyAlignment="1">
      <alignment horizontal="center" vertical="center"/>
    </xf>
    <xf numFmtId="181" fontId="2" fillId="16" borderId="5" xfId="0" applyNumberFormat="1" applyFont="1" applyFill="1" applyBorder="1" applyAlignment="1">
      <alignment horizontal="center" vertical="center"/>
    </xf>
    <xf numFmtId="181" fontId="2" fillId="16" borderId="40" xfId="0" applyNumberFormat="1" applyFont="1" applyFill="1" applyBorder="1" applyAlignment="1">
      <alignment horizontal="center" vertical="center"/>
    </xf>
    <xf numFmtId="0" fontId="25" fillId="27" borderId="1" xfId="0" applyFont="1" applyFill="1" applyBorder="1" applyAlignment="1">
      <alignment horizontal="center" vertical="center" wrapText="1"/>
    </xf>
    <xf numFmtId="0" fontId="25" fillId="28" borderId="6" xfId="0" applyFont="1" applyFill="1" applyBorder="1" applyAlignment="1">
      <alignment horizontal="center" vertical="center" wrapText="1"/>
    </xf>
    <xf numFmtId="0" fontId="25" fillId="28" borderId="8" xfId="0" applyFont="1" applyFill="1" applyBorder="1" applyAlignment="1">
      <alignment horizontal="center" vertical="center" wrapText="1"/>
    </xf>
    <xf numFmtId="0" fontId="25" fillId="28" borderId="7" xfId="0" applyFont="1" applyFill="1" applyBorder="1" applyAlignment="1">
      <alignment horizontal="center" vertical="center" wrapText="1"/>
    </xf>
    <xf numFmtId="0" fontId="25" fillId="15" borderId="6" xfId="0" applyFont="1" applyFill="1" applyBorder="1" applyAlignment="1">
      <alignment horizontal="center" vertical="center" wrapText="1"/>
    </xf>
    <xf numFmtId="0" fontId="25" fillId="15" borderId="8" xfId="0" applyFont="1" applyFill="1" applyBorder="1" applyAlignment="1">
      <alignment horizontal="center" vertical="center" wrapText="1"/>
    </xf>
    <xf numFmtId="0" fontId="25" fillId="15" borderId="7" xfId="0" applyFont="1" applyFill="1" applyBorder="1" applyAlignment="1">
      <alignment horizontal="center" vertical="center" wrapText="1"/>
    </xf>
    <xf numFmtId="0" fontId="25" fillId="29" borderId="6" xfId="0" applyFont="1" applyFill="1" applyBorder="1" applyAlignment="1">
      <alignment horizontal="center" vertical="center" wrapText="1"/>
    </xf>
    <xf numFmtId="0" fontId="25" fillId="29" borderId="8" xfId="0" applyFont="1" applyFill="1" applyBorder="1" applyAlignment="1">
      <alignment horizontal="center" vertical="center" wrapText="1"/>
    </xf>
    <xf numFmtId="0" fontId="25" fillId="29" borderId="7" xfId="0" applyFont="1" applyFill="1" applyBorder="1" applyAlignment="1">
      <alignment horizontal="center" vertical="center" wrapText="1"/>
    </xf>
    <xf numFmtId="181" fontId="25" fillId="26" borderId="6" xfId="0" applyNumberFormat="1" applyFont="1" applyFill="1" applyBorder="1" applyAlignment="1">
      <alignment horizontal="center" vertical="center" wrapText="1"/>
    </xf>
    <xf numFmtId="181" fontId="25" fillId="26" borderId="8" xfId="0" applyNumberFormat="1" applyFont="1" applyFill="1" applyBorder="1" applyAlignment="1">
      <alignment horizontal="center" vertical="center" wrapText="1"/>
    </xf>
    <xf numFmtId="181" fontId="25" fillId="26" borderId="7" xfId="0" applyNumberFormat="1" applyFont="1" applyFill="1" applyBorder="1" applyAlignment="1">
      <alignment horizontal="center" vertical="center" wrapText="1"/>
    </xf>
    <xf numFmtId="181" fontId="25" fillId="16" borderId="6" xfId="0" applyNumberFormat="1" applyFont="1" applyFill="1" applyBorder="1" applyAlignment="1">
      <alignment horizontal="center" vertical="center" wrapText="1"/>
    </xf>
    <xf numFmtId="181" fontId="25" fillId="16" borderId="8" xfId="0" applyNumberFormat="1" applyFont="1" applyFill="1" applyBorder="1" applyAlignment="1">
      <alignment horizontal="center" vertical="center" wrapText="1"/>
    </xf>
    <xf numFmtId="181" fontId="25" fillId="10" borderId="38" xfId="0" applyNumberFormat="1" applyFont="1" applyFill="1" applyBorder="1" applyAlignment="1">
      <alignment horizontal="center" vertical="center" wrapText="1"/>
    </xf>
    <xf numFmtId="181" fontId="25" fillId="10" borderId="39" xfId="0" applyNumberFormat="1" applyFont="1" applyFill="1" applyBorder="1" applyAlignment="1">
      <alignment horizontal="center" vertical="center" wrapText="1"/>
    </xf>
    <xf numFmtId="181" fontId="25" fillId="10" borderId="41" xfId="0" applyNumberFormat="1" applyFont="1" applyFill="1" applyBorder="1" applyAlignment="1">
      <alignment horizontal="center" vertical="center" wrapText="1"/>
    </xf>
    <xf numFmtId="181" fontId="25" fillId="16" borderId="1" xfId="0" applyNumberFormat="1" applyFont="1" applyFill="1" applyBorder="1" applyAlignment="1">
      <alignment horizontal="center" vertical="center" wrapText="1"/>
    </xf>
    <xf numFmtId="181" fontId="25" fillId="16" borderId="2" xfId="0" applyNumberFormat="1" applyFont="1" applyFill="1" applyBorder="1" applyAlignment="1">
      <alignment horizontal="center" vertical="center" wrapText="1"/>
    </xf>
    <xf numFmtId="181" fontId="25" fillId="16" borderId="38" xfId="0" applyNumberFormat="1" applyFont="1" applyFill="1" applyBorder="1" applyAlignment="1">
      <alignment horizontal="center" vertical="center" wrapText="1"/>
    </xf>
    <xf numFmtId="0" fontId="25" fillId="27" borderId="2" xfId="0" applyFont="1" applyFill="1" applyBorder="1" applyAlignment="1">
      <alignment horizontal="center" vertical="center" wrapText="1"/>
    </xf>
    <xf numFmtId="0" fontId="25" fillId="27" borderId="3" xfId="0" applyFont="1" applyFill="1" applyBorder="1" applyAlignment="1">
      <alignment horizontal="center" vertical="center" wrapText="1"/>
    </xf>
    <xf numFmtId="0" fontId="25" fillId="24" borderId="1" xfId="0" applyFont="1" applyFill="1" applyBorder="1" applyAlignment="1" applyProtection="1">
      <alignment horizontal="center" vertical="center" wrapText="1"/>
      <protection locked="0"/>
    </xf>
    <xf numFmtId="0" fontId="25" fillId="24" borderId="2" xfId="0" applyFont="1" applyFill="1" applyBorder="1" applyAlignment="1" applyProtection="1">
      <alignment horizontal="center" vertical="center" wrapText="1"/>
      <protection locked="0"/>
    </xf>
    <xf numFmtId="0" fontId="25" fillId="25" borderId="1" xfId="0" applyFont="1" applyFill="1" applyBorder="1" applyAlignment="1">
      <alignment horizontal="center" vertical="center" wrapText="1"/>
    </xf>
    <xf numFmtId="0" fontId="25" fillId="25" borderId="2" xfId="0" applyFont="1" applyFill="1" applyBorder="1" applyAlignment="1">
      <alignment horizontal="center" vertical="center" wrapText="1"/>
    </xf>
    <xf numFmtId="181" fontId="25" fillId="26" borderId="2" xfId="0" applyNumberFormat="1" applyFont="1" applyFill="1" applyBorder="1" applyAlignment="1">
      <alignment horizontal="center" vertical="center" wrapText="1"/>
    </xf>
    <xf numFmtId="181" fontId="25" fillId="26" borderId="4" xfId="0" applyNumberFormat="1" applyFont="1" applyFill="1" applyBorder="1" applyAlignment="1">
      <alignment horizontal="center" vertical="center" wrapText="1"/>
    </xf>
    <xf numFmtId="0" fontId="25" fillId="28" borderId="2" xfId="0" applyFont="1" applyFill="1" applyBorder="1" applyAlignment="1">
      <alignment horizontal="center" vertical="center" wrapText="1"/>
    </xf>
    <xf numFmtId="0" fontId="25" fillId="28" borderId="3" xfId="0" applyFont="1" applyFill="1" applyBorder="1" applyAlignment="1">
      <alignment horizontal="center" vertical="center" wrapText="1"/>
    </xf>
    <xf numFmtId="0" fontId="25" fillId="15" borderId="2"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25" fillId="29" borderId="2" xfId="0" applyFont="1" applyFill="1" applyBorder="1" applyAlignment="1">
      <alignment horizontal="center" vertical="center" wrapText="1"/>
    </xf>
    <xf numFmtId="0" fontId="25" fillId="29" borderId="3" xfId="0" applyFont="1" applyFill="1" applyBorder="1" applyAlignment="1">
      <alignment horizontal="center" vertical="center" wrapText="1"/>
    </xf>
    <xf numFmtId="0" fontId="19" fillId="21" borderId="19" xfId="0" applyFont="1" applyFill="1" applyBorder="1" applyAlignment="1" applyProtection="1">
      <alignment horizontal="center" vertical="center" wrapText="1"/>
      <protection locked="0"/>
    </xf>
    <xf numFmtId="0" fontId="20" fillId="22" borderId="23" xfId="0" applyFont="1" applyFill="1" applyBorder="1" applyAlignment="1" applyProtection="1">
      <alignment horizontal="center" vertical="center" wrapText="1"/>
      <protection locked="0"/>
    </xf>
    <xf numFmtId="0" fontId="20" fillId="22" borderId="24" xfId="0" applyFont="1" applyFill="1" applyBorder="1" applyAlignment="1" applyProtection="1">
      <alignment horizontal="center" vertical="center" wrapText="1"/>
      <protection locked="0"/>
    </xf>
    <xf numFmtId="180" fontId="21" fillId="13" borderId="26" xfId="1" applyNumberFormat="1" applyFont="1" applyFill="1" applyBorder="1" applyAlignment="1" applyProtection="1">
      <alignment horizontal="left" vertical="center" wrapText="1"/>
      <protection locked="0"/>
    </xf>
    <xf numFmtId="180" fontId="21" fillId="13" borderId="11" xfId="1" applyNumberFormat="1" applyFont="1" applyFill="1" applyBorder="1" applyAlignment="1" applyProtection="1">
      <alignment horizontal="left" vertical="center" wrapText="1"/>
      <protection locked="0"/>
    </xf>
    <xf numFmtId="176" fontId="21" fillId="13" borderId="21" xfId="1" applyNumberFormat="1" applyFont="1" applyFill="1" applyBorder="1" applyAlignment="1" applyProtection="1">
      <alignment horizontal="left" vertical="center"/>
      <protection locked="0"/>
    </xf>
    <xf numFmtId="176" fontId="21" fillId="13" borderId="10" xfId="1" applyNumberFormat="1" applyFont="1" applyFill="1" applyBorder="1" applyAlignment="1" applyProtection="1">
      <alignment horizontal="left" vertical="center"/>
      <protection locked="0"/>
    </xf>
    <xf numFmtId="176" fontId="21" fillId="13" borderId="22" xfId="1" applyNumberFormat="1" applyFont="1" applyFill="1" applyBorder="1" applyAlignment="1" applyProtection="1">
      <alignment horizontal="left" vertical="center"/>
      <protection locked="0"/>
    </xf>
    <xf numFmtId="180" fontId="21" fillId="13" borderId="12" xfId="1" applyNumberFormat="1" applyFont="1" applyFill="1" applyBorder="1" applyAlignment="1" applyProtection="1">
      <alignment horizontal="left" vertical="center" wrapText="1"/>
      <protection locked="0"/>
    </xf>
    <xf numFmtId="180" fontId="21" fillId="13" borderId="10" xfId="1" applyNumberFormat="1" applyFont="1" applyFill="1" applyBorder="1" applyAlignment="1" applyProtection="1">
      <alignment horizontal="left" vertical="center" wrapText="1"/>
      <protection locked="0"/>
    </xf>
    <xf numFmtId="180" fontId="21" fillId="13" borderId="22" xfId="1" applyNumberFormat="1" applyFont="1" applyFill="1" applyBorder="1" applyAlignment="1" applyProtection="1">
      <alignment horizontal="left" vertical="center" wrapText="1"/>
      <protection locked="0"/>
    </xf>
    <xf numFmtId="180" fontId="20" fillId="14" borderId="26" xfId="1" applyNumberFormat="1" applyFont="1" applyFill="1" applyBorder="1" applyAlignment="1" applyProtection="1">
      <alignment horizontal="center" vertical="center" wrapText="1"/>
      <protection locked="0"/>
    </xf>
    <xf numFmtId="180" fontId="20" fillId="14" borderId="27" xfId="1" applyNumberFormat="1" applyFont="1" applyFill="1" applyBorder="1" applyAlignment="1" applyProtection="1">
      <alignment horizontal="center" vertical="center" wrapText="1"/>
      <protection locked="0"/>
    </xf>
    <xf numFmtId="0" fontId="19" fillId="21" borderId="28" xfId="0" applyFont="1" applyFill="1" applyBorder="1" applyAlignment="1" applyProtection="1">
      <alignment horizontal="center" vertical="center" wrapText="1"/>
      <protection locked="0"/>
    </xf>
    <xf numFmtId="0" fontId="19" fillId="21" borderId="29" xfId="0" applyFont="1" applyFill="1" applyBorder="1" applyAlignment="1" applyProtection="1">
      <alignment horizontal="center" vertical="center" wrapText="1"/>
      <protection locked="0"/>
    </xf>
    <xf numFmtId="0" fontId="19" fillId="21" borderId="32" xfId="0" applyFont="1" applyFill="1" applyBorder="1" applyAlignment="1" applyProtection="1">
      <alignment horizontal="center" vertical="center" wrapText="1"/>
      <protection locked="0"/>
    </xf>
    <xf numFmtId="0" fontId="19" fillId="21" borderId="33" xfId="0" applyFont="1" applyFill="1" applyBorder="1" applyAlignment="1" applyProtection="1">
      <alignment horizontal="center" vertical="center" wrapText="1"/>
      <protection locked="0"/>
    </xf>
    <xf numFmtId="0" fontId="19" fillId="21" borderId="34" xfId="0" applyFont="1" applyFill="1" applyBorder="1" applyAlignment="1" applyProtection="1">
      <alignment horizontal="center" vertical="center" wrapText="1"/>
      <protection locked="0"/>
    </xf>
    <xf numFmtId="0" fontId="20" fillId="22" borderId="35" xfId="0" applyFont="1" applyFill="1" applyBorder="1" applyAlignment="1" applyProtection="1">
      <alignment horizontal="center" vertical="center" wrapText="1"/>
      <protection locked="0"/>
    </xf>
    <xf numFmtId="0" fontId="19" fillId="21" borderId="31" xfId="0" applyFont="1" applyFill="1" applyBorder="1" applyAlignment="1" applyProtection="1">
      <alignment horizontal="center" vertical="center" wrapText="1"/>
      <protection locked="0"/>
    </xf>
    <xf numFmtId="180" fontId="21" fillId="20" borderId="36" xfId="1" applyNumberFormat="1" applyFont="1" applyFill="1" applyBorder="1" applyAlignment="1" applyProtection="1">
      <alignment horizontal="center" vertical="center" wrapText="1"/>
      <protection locked="0"/>
    </xf>
    <xf numFmtId="180" fontId="21" fillId="20" borderId="37" xfId="1" applyNumberFormat="1" applyFont="1" applyFill="1" applyBorder="1" applyAlignment="1" applyProtection="1">
      <alignment horizontal="center" vertical="center" wrapText="1"/>
      <protection locked="0"/>
    </xf>
    <xf numFmtId="180" fontId="20" fillId="20" borderId="36" xfId="1" applyNumberFormat="1" applyFont="1" applyFill="1" applyBorder="1" applyAlignment="1" applyProtection="1">
      <alignment horizontal="center" vertical="center" wrapText="1"/>
      <protection locked="0"/>
    </xf>
    <xf numFmtId="180" fontId="20" fillId="20" borderId="37" xfId="1" applyNumberFormat="1" applyFont="1" applyFill="1" applyBorder="1" applyAlignment="1" applyProtection="1">
      <alignment horizontal="center" vertical="center" wrapText="1"/>
      <protection locked="0"/>
    </xf>
    <xf numFmtId="49" fontId="9" fillId="14" borderId="2" xfId="11" applyNumberFormat="1" applyFont="1" applyFill="1" applyBorder="1" applyAlignment="1">
      <alignment horizontal="right" vertical="center"/>
    </xf>
    <xf numFmtId="49" fontId="9" fillId="14" borderId="4" xfId="11" applyNumberFormat="1" applyFont="1" applyFill="1" applyBorder="1" applyAlignment="1">
      <alignment horizontal="right" vertical="center"/>
    </xf>
    <xf numFmtId="49" fontId="9" fillId="14" borderId="3" xfId="11" applyNumberFormat="1" applyFont="1" applyFill="1" applyBorder="1" applyAlignment="1">
      <alignment horizontal="right" vertical="center"/>
    </xf>
  </cellXfs>
  <cellStyles count="42">
    <cellStyle name="Normal" xfId="37" xr:uid="{018DF0B8-DD54-8149-A470-210ED777080E}"/>
    <cellStyle name="Normal 3" xfId="33" xr:uid="{2297EA16-0C62-4A4C-A033-1E6E64B767E9}"/>
    <cellStyle name="百分比" xfId="2" builtinId="5"/>
    <cellStyle name="百分比 2" xfId="5" xr:uid="{00000000-0005-0000-0000-000031000000}"/>
    <cellStyle name="百分比 2 2 2" xfId="19" xr:uid="{98B847C2-2CA0-1843-99D0-7A36046D8AE5}"/>
    <cellStyle name="百分比 3" xfId="25" xr:uid="{72FC35B8-9A12-EB4A-B656-54ED4134BEE6}"/>
    <cellStyle name="百分比 4" xfId="32" xr:uid="{6B26EE9B-4303-9C4B-ADF3-3F176825C49E}"/>
    <cellStyle name="百分比 5" xfId="29" xr:uid="{73D2D55E-ADD6-1F42-84CF-513E3051B5C6}"/>
    <cellStyle name="常规" xfId="0" builtinId="0"/>
    <cellStyle name="常规 10" xfId="15" xr:uid="{F07E7E1B-FF85-F843-9359-E05098B19A42}"/>
    <cellStyle name="常规 10 2" xfId="34" xr:uid="{F9F60B24-C63D-2E4C-BD95-E191330F7481}"/>
    <cellStyle name="常规 11" xfId="14" xr:uid="{CA809961-036A-8F41-920B-3AE35A1721AD}"/>
    <cellStyle name="常规 19" xfId="16" xr:uid="{20B7D806-0AE6-9A4D-AF04-429CE5CBC9FE}"/>
    <cellStyle name="常规 19 2" xfId="30" xr:uid="{639592B3-4A1E-A543-8482-E309C64B57E5}"/>
    <cellStyle name="常规 2" xfId="7" xr:uid="{00000000-0005-0000-0000-000035000000}"/>
    <cellStyle name="常规 2 2 2" xfId="23" xr:uid="{77DC108C-2B2E-8E49-B922-CED8BE32A6DE}"/>
    <cellStyle name="常规 2 2 2 2" xfId="17" xr:uid="{83BA2CA2-1D78-1E46-8DA2-EB08DA17A389}"/>
    <cellStyle name="常规 2 2 2 2 2" xfId="21" xr:uid="{8736A34C-9845-FE48-91D4-5C45C0FE59B0}"/>
    <cellStyle name="常规 2 2 2 3" xfId="35" xr:uid="{5F09DA76-DB89-5945-BDC4-E73FF62869F1}"/>
    <cellStyle name="常规 2 2 3" xfId="27" xr:uid="{0EAD8EC4-2CC7-2446-9E31-012DF9E0FD6A}"/>
    <cellStyle name="常规 2 3 2" xfId="8" xr:uid="{00000000-0005-0000-0000-000034000000}"/>
    <cellStyle name="常规 3" xfId="9" xr:uid="{00000000-0005-0000-0000-000036000000}"/>
    <cellStyle name="常规 3 2" xfId="7" xr:uid="{00000000-0005-0000-0000-000033000000}"/>
    <cellStyle name="常规 3 2 2" xfId="13" xr:uid="{CCBF6801-31A6-8743-9659-D7EBE722575E}"/>
    <cellStyle name="常规 3 3" xfId="28" xr:uid="{D3501508-3A52-DC45-B9CA-35E58285CEC2}"/>
    <cellStyle name="常规 4" xfId="11" xr:uid="{00000000-0005-0000-0000-000038000000}"/>
    <cellStyle name="常规 5" xfId="12" xr:uid="{00000000-0005-0000-0000-00003A000000}"/>
    <cellStyle name="常规 5 2" xfId="26" xr:uid="{9E2F509D-A018-284F-A601-4A5591823A86}"/>
    <cellStyle name="常规 5 2 2" xfId="36" xr:uid="{AB11C260-3FF4-8741-BA19-A860587ECD7D}"/>
    <cellStyle name="常规 6 2" xfId="6" xr:uid="{00000000-0005-0000-0000-000032000000}"/>
    <cellStyle name="常规_2012年定型" xfId="39" xr:uid="{7D3CF461-43E5-4D40-A769-F07ADA3BAFCC}"/>
    <cellStyle name="常规_工程量清单" xfId="38" xr:uid="{3F79D96F-EE48-B34E-8790-8C942D15607B}"/>
    <cellStyle name="超链接" xfId="3" xr:uid="{00000000-0005-0000-0000-00002F000000}"/>
    <cellStyle name="千位分隔" xfId="1" builtinId="3"/>
    <cellStyle name="千位分隔 2" xfId="10" xr:uid="{00000000-0005-0000-0000-000037000000}"/>
    <cellStyle name="千位分隔 2 2 2" xfId="18" xr:uid="{699CEE8B-9AC4-DF49-A9F2-900FCA1E1A59}"/>
    <cellStyle name="千位分隔 2 2 2 2" xfId="22" xr:uid="{E6C48B37-6ACB-C544-9538-8AA47F60A71C}"/>
    <cellStyle name="千位分隔 3" xfId="10" xr:uid="{00000000-0005-0000-0000-000039000000}"/>
    <cellStyle name="千位分隔 3 3" xfId="20" xr:uid="{843A45E4-D80C-3141-897C-21390A35BDA8}"/>
    <cellStyle name="千位分隔 4" xfId="24" xr:uid="{6FA580C4-BD54-A249-86E2-5FF322A03A5A}"/>
    <cellStyle name="千位分隔 5" xfId="31" xr:uid="{5B6EFDB9-18EC-184D-9DF8-6AFC5E8C6F16}"/>
    <cellStyle name="已访问的超链接" xfId="4" xr:uid="{00000000-0005-0000-0000-000030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15</xdr:col>
      <xdr:colOff>416340</xdr:colOff>
      <xdr:row>14</xdr:row>
      <xdr:rowOff>80937</xdr:rowOff>
    </xdr:from>
    <xdr:to>
      <xdr:col>20</xdr:col>
      <xdr:colOff>714375</xdr:colOff>
      <xdr:row>37</xdr:row>
      <xdr:rowOff>147409</xdr:rowOff>
    </xdr:to>
    <xdr:pic>
      <xdr:nvPicPr>
        <xdr:cNvPr id="2" name="图片 1" descr=" ">
          <a:extLst>
            <a:ext uri="{FF2B5EF4-FFF2-40B4-BE49-F238E27FC236}">
              <a16:creationId xmlns:a16="http://schemas.microsoft.com/office/drawing/2014/main" id="{4FD162F9-75FC-2B41-81B2-858C31698A86}"/>
            </a:ext>
          </a:extLst>
        </xdr:cNvPr>
        <xdr:cNvPicPr/>
      </xdr:nvPicPr>
      <xdr:blipFill>
        <a:blip xmlns:r="http://schemas.openxmlformats.org/officeDocument/2006/relationships" r:embed="rId1"/>
        <a:srcRect/>
        <a:stretch>
          <a:fillRect/>
        </a:stretch>
      </xdr:blipFill>
      <xdr:spPr>
        <a:xfrm>
          <a:off x="17739140" y="2570137"/>
          <a:ext cx="4984335" cy="4397172"/>
        </a:xfrm>
        <a:prstGeom prst="rect">
          <a:avLst/>
        </a:prstGeom>
        <a:noFill/>
        <a:ln w="9525" cap="flat" cmpd="sng">
          <a:noFill/>
          <a:prstDash val="solid"/>
          <a:miter/>
        </a:ln>
        <a:effectLst/>
      </xdr:spPr>
    </xdr:pic>
    <xdr:clientData/>
  </xdr:twoCellAnchor>
  <xdr:twoCellAnchor>
    <xdr:from>
      <xdr:col>15</xdr:col>
      <xdr:colOff>356599</xdr:colOff>
      <xdr:row>0</xdr:row>
      <xdr:rowOff>0</xdr:rowOff>
    </xdr:from>
    <xdr:to>
      <xdr:col>21</xdr:col>
      <xdr:colOff>0</xdr:colOff>
      <xdr:row>13</xdr:row>
      <xdr:rowOff>79375</xdr:rowOff>
    </xdr:to>
    <xdr:pic>
      <xdr:nvPicPr>
        <xdr:cNvPr id="3" name="图片 2" descr=" ">
          <a:extLst>
            <a:ext uri="{FF2B5EF4-FFF2-40B4-BE49-F238E27FC236}">
              <a16:creationId xmlns:a16="http://schemas.microsoft.com/office/drawing/2014/main" id="{F9DD7E4A-BC11-224F-853F-88A80CE12C45}"/>
            </a:ext>
          </a:extLst>
        </xdr:cNvPr>
        <xdr:cNvPicPr/>
      </xdr:nvPicPr>
      <xdr:blipFill>
        <a:blip xmlns:r="http://schemas.openxmlformats.org/officeDocument/2006/relationships" r:embed="rId2"/>
        <a:srcRect/>
        <a:stretch>
          <a:fillRect/>
        </a:stretch>
      </xdr:blipFill>
      <xdr:spPr>
        <a:xfrm>
          <a:off x="17679399" y="0"/>
          <a:ext cx="5167901" cy="2390775"/>
        </a:xfrm>
        <a:prstGeom prst="rect">
          <a:avLst/>
        </a:prstGeom>
        <a:noFill/>
        <a:ln w="9525" cap="flat" cmpd="sng">
          <a:noFill/>
          <a:prstDash val="solid"/>
          <a:miter/>
        </a:ln>
        <a:effectLst/>
      </xdr:spPr>
    </xdr:pic>
    <xdr:clientData/>
  </xdr:twoCellAnchor>
  <xdr:twoCellAnchor>
    <xdr:from>
      <xdr:col>8</xdr:col>
      <xdr:colOff>67488</xdr:colOff>
      <xdr:row>0</xdr:row>
      <xdr:rowOff>17639</xdr:rowOff>
    </xdr:from>
    <xdr:to>
      <xdr:col>14</xdr:col>
      <xdr:colOff>1058334</xdr:colOff>
      <xdr:row>39</xdr:row>
      <xdr:rowOff>26459</xdr:rowOff>
    </xdr:to>
    <xdr:pic>
      <xdr:nvPicPr>
        <xdr:cNvPr id="4" name="图片 3" descr="313f6715ff801cd17094fba0ceb4625">
          <a:extLst>
            <a:ext uri="{FF2B5EF4-FFF2-40B4-BE49-F238E27FC236}">
              <a16:creationId xmlns:a16="http://schemas.microsoft.com/office/drawing/2014/main" id="{BA630827-895D-854D-92EB-8828368B441C}"/>
            </a:ext>
          </a:extLst>
        </xdr:cNvPr>
        <xdr:cNvPicPr/>
      </xdr:nvPicPr>
      <xdr:blipFill>
        <a:blip xmlns:r="http://schemas.openxmlformats.org/officeDocument/2006/relationships" r:embed="rId3"/>
        <a:srcRect/>
        <a:stretch>
          <a:fillRect/>
        </a:stretch>
      </xdr:blipFill>
      <xdr:spPr>
        <a:xfrm>
          <a:off x="10608488" y="17639"/>
          <a:ext cx="6705846" cy="7197020"/>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94654</xdr:colOff>
      <xdr:row>5</xdr:row>
      <xdr:rowOff>25912</xdr:rowOff>
    </xdr:from>
    <xdr:to>
      <xdr:col>26</xdr:col>
      <xdr:colOff>623436</xdr:colOff>
      <xdr:row>34</xdr:row>
      <xdr:rowOff>113585</xdr:rowOff>
    </xdr:to>
    <xdr:pic>
      <xdr:nvPicPr>
        <xdr:cNvPr id="2" name="图片 1">
          <a:extLst>
            <a:ext uri="{FF2B5EF4-FFF2-40B4-BE49-F238E27FC236}">
              <a16:creationId xmlns:a16="http://schemas.microsoft.com/office/drawing/2014/main" id="{136CBE7D-D9DC-0C4E-A22D-C46C37FF2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391554" y="1207012"/>
          <a:ext cx="8034482" cy="6209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33226</xdr:colOff>
      <xdr:row>1</xdr:row>
      <xdr:rowOff>34414</xdr:rowOff>
    </xdr:from>
    <xdr:to>
      <xdr:col>27</xdr:col>
      <xdr:colOff>447049</xdr:colOff>
      <xdr:row>20</xdr:row>
      <xdr:rowOff>261120</xdr:rowOff>
    </xdr:to>
    <xdr:pic>
      <xdr:nvPicPr>
        <xdr:cNvPr id="2" name="图片 1">
          <a:extLst>
            <a:ext uri="{FF2B5EF4-FFF2-40B4-BE49-F238E27FC236}">
              <a16:creationId xmlns:a16="http://schemas.microsoft.com/office/drawing/2014/main" id="{5F49B870-AA57-2D41-B662-D7F25A2D0ACB}"/>
            </a:ext>
          </a:extLst>
        </xdr:cNvPr>
        <xdr:cNvPicPr>
          <a:picLocks noChangeAspect="1"/>
        </xdr:cNvPicPr>
      </xdr:nvPicPr>
      <xdr:blipFill>
        <a:blip xmlns:r="http://schemas.openxmlformats.org/officeDocument/2006/relationships" r:embed="rId1"/>
        <a:stretch>
          <a:fillRect/>
        </a:stretch>
      </xdr:blipFill>
      <xdr:spPr>
        <a:xfrm>
          <a:off x="21547026" y="275714"/>
          <a:ext cx="10065823" cy="6970406"/>
        </a:xfrm>
        <a:prstGeom prst="rect">
          <a:avLst/>
        </a:prstGeom>
      </xdr:spPr>
    </xdr:pic>
    <xdr:clientData/>
  </xdr:twoCellAnchor>
  <xdr:twoCellAnchor editAs="oneCell">
    <xdr:from>
      <xdr:col>17</xdr:col>
      <xdr:colOff>385445</xdr:colOff>
      <xdr:row>1</xdr:row>
      <xdr:rowOff>347980</xdr:rowOff>
    </xdr:from>
    <xdr:to>
      <xdr:col>21</xdr:col>
      <xdr:colOff>623570</xdr:colOff>
      <xdr:row>14</xdr:row>
      <xdr:rowOff>174625</xdr:rowOff>
    </xdr:to>
    <xdr:pic>
      <xdr:nvPicPr>
        <xdr:cNvPr id="3" name="图片 2">
          <a:extLst>
            <a:ext uri="{FF2B5EF4-FFF2-40B4-BE49-F238E27FC236}">
              <a16:creationId xmlns:a16="http://schemas.microsoft.com/office/drawing/2014/main" id="{79E5E038-D615-4349-AFF7-F449C10F3680}"/>
            </a:ext>
          </a:extLst>
        </xdr:cNvPr>
        <xdr:cNvPicPr>
          <a:picLocks noChangeAspect="1"/>
        </xdr:cNvPicPr>
      </xdr:nvPicPr>
      <xdr:blipFill>
        <a:blip xmlns:r="http://schemas.openxmlformats.org/officeDocument/2006/relationships" r:embed="rId2"/>
        <a:stretch>
          <a:fillRect/>
        </a:stretch>
      </xdr:blipFill>
      <xdr:spPr>
        <a:xfrm>
          <a:off x="21899245" y="589280"/>
          <a:ext cx="4048125" cy="4411345"/>
        </a:xfrm>
        <a:prstGeom prst="rect">
          <a:avLst/>
        </a:prstGeom>
        <a:noFill/>
        <a:ln w="9525">
          <a:noFill/>
        </a:ln>
      </xdr:spPr>
    </xdr:pic>
    <xdr:clientData/>
  </xdr:twoCellAnchor>
  <xdr:twoCellAnchor editAs="oneCell">
    <xdr:from>
      <xdr:col>22</xdr:col>
      <xdr:colOff>17780</xdr:colOff>
      <xdr:row>1</xdr:row>
      <xdr:rowOff>379095</xdr:rowOff>
    </xdr:from>
    <xdr:to>
      <xdr:col>25</xdr:col>
      <xdr:colOff>615950</xdr:colOff>
      <xdr:row>14</xdr:row>
      <xdr:rowOff>173355</xdr:rowOff>
    </xdr:to>
    <xdr:pic>
      <xdr:nvPicPr>
        <xdr:cNvPr id="4" name="图片 3">
          <a:extLst>
            <a:ext uri="{FF2B5EF4-FFF2-40B4-BE49-F238E27FC236}">
              <a16:creationId xmlns:a16="http://schemas.microsoft.com/office/drawing/2014/main" id="{DE0C6878-998B-2A49-B9CE-B05E9A622904}"/>
            </a:ext>
          </a:extLst>
        </xdr:cNvPr>
        <xdr:cNvPicPr>
          <a:picLocks noChangeAspect="1"/>
        </xdr:cNvPicPr>
      </xdr:nvPicPr>
      <xdr:blipFill>
        <a:blip xmlns:r="http://schemas.openxmlformats.org/officeDocument/2006/relationships" r:embed="rId3"/>
        <a:stretch>
          <a:fillRect/>
        </a:stretch>
      </xdr:blipFill>
      <xdr:spPr>
        <a:xfrm>
          <a:off x="26484580" y="620395"/>
          <a:ext cx="3773170" cy="442976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election activeCell="A13" sqref="A13"/>
    </sheetView>
  </sheetViews>
  <sheetFormatPr baseColWidth="10" defaultColWidth="9.1640625" defaultRowHeight="12.75" customHeight="1"/>
  <cols>
    <col min="1" max="1" width="154.5" style="66" customWidth="1"/>
  </cols>
  <sheetData>
    <row r="1" spans="1:1" ht="12.75" customHeight="1">
      <c r="A1" s="66" t="s">
        <v>0</v>
      </c>
    </row>
    <row r="2" spans="1:1" ht="12.75" customHeight="1">
      <c r="A2" s="66" t="s">
        <v>1</v>
      </c>
    </row>
    <row r="3" spans="1:1" ht="12.75" customHeight="1">
      <c r="A3" s="66" t="s">
        <v>2</v>
      </c>
    </row>
    <row r="4" spans="1:1" ht="12.75" customHeight="1">
      <c r="A4" s="613" t="s">
        <v>3</v>
      </c>
    </row>
    <row r="5" spans="1:1" ht="12.75" customHeight="1">
      <c r="A5" s="66" t="s">
        <v>4</v>
      </c>
    </row>
    <row r="6" spans="1:1" ht="12.75" customHeight="1">
      <c r="A6" s="613" t="s">
        <v>5</v>
      </c>
    </row>
    <row r="7" spans="1:1" ht="12.75" customHeight="1">
      <c r="A7" s="66" t="s">
        <v>6</v>
      </c>
    </row>
    <row r="8" spans="1:1" ht="12.75" customHeight="1">
      <c r="A8" s="613" t="s">
        <v>7</v>
      </c>
    </row>
    <row r="9" spans="1:1" ht="12.75" customHeight="1">
      <c r="A9" s="614" t="s">
        <v>8</v>
      </c>
    </row>
    <row r="10" spans="1:1" ht="12.75" customHeight="1">
      <c r="A10" s="613" t="s">
        <v>9</v>
      </c>
    </row>
    <row r="11" spans="1:1" ht="12.75" customHeight="1">
      <c r="A11" s="614" t="s">
        <v>10</v>
      </c>
    </row>
  </sheetData>
  <sheetProtection insertRows="0"/>
  <phoneticPr fontId="84" type="noConversion"/>
  <pageMargins left="0.69791666666666663" right="0.69791666666666663" top="0.75" bottom="0.75" header="0.30208333333333331" footer="0.30208333333333331"/>
  <pageSetup orientation="landscape"/>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60F4-0665-BF4F-9B99-197CECF7E20E}">
  <sheetPr>
    <pageSetUpPr fitToPage="1"/>
  </sheetPr>
  <dimension ref="A1:J101"/>
  <sheetViews>
    <sheetView view="pageBreakPreview" zoomScaleNormal="85" zoomScaleSheetLayoutView="100" workbookViewId="0">
      <pane ySplit="4" topLeftCell="A24" activePane="bottomLeft" state="frozen"/>
      <selection activeCell="D78" sqref="D78"/>
      <selection pane="bottomLeft" sqref="A1:G1"/>
    </sheetView>
  </sheetViews>
  <sheetFormatPr baseColWidth="10" defaultColWidth="8.6640625" defaultRowHeight="14"/>
  <cols>
    <col min="1" max="1" width="5.1640625" style="1363" bestFit="1" customWidth="1"/>
    <col min="2" max="2" width="8.5" style="1363" customWidth="1"/>
    <col min="3" max="3" width="11.33203125" style="1385" customWidth="1"/>
    <col min="4" max="4" width="24.1640625" style="1363" customWidth="1"/>
    <col min="5" max="5" width="11.1640625" style="1363" bestFit="1" customWidth="1"/>
    <col min="6" max="6" width="38.1640625" style="1363" customWidth="1"/>
    <col min="7" max="7" width="63.1640625" style="1363" customWidth="1"/>
    <col min="8" max="8" width="36.5" style="1363" customWidth="1"/>
    <col min="9" max="16384" width="8.6640625" style="1363"/>
  </cols>
  <sheetData>
    <row r="1" spans="1:10" ht="31">
      <c r="A1" s="1387" t="s">
        <v>8109</v>
      </c>
      <c r="B1" s="1387"/>
      <c r="C1" s="1387"/>
      <c r="D1" s="1387"/>
      <c r="E1" s="1387"/>
      <c r="F1" s="1387"/>
      <c r="G1" s="1387"/>
      <c r="H1" s="1362"/>
      <c r="I1" s="1362"/>
      <c r="J1" s="1362"/>
    </row>
    <row r="2" spans="1:10" ht="20" customHeight="1" thickBot="1">
      <c r="A2" s="1388" t="s">
        <v>8110</v>
      </c>
      <c r="B2" s="1388"/>
      <c r="C2" s="1388"/>
      <c r="D2" s="1388"/>
      <c r="E2" s="1388"/>
      <c r="F2" s="1388"/>
      <c r="G2" s="1388"/>
      <c r="H2" s="1362"/>
      <c r="I2" s="1362"/>
      <c r="J2" s="1362"/>
    </row>
    <row r="3" spans="1:10" ht="100" customHeight="1">
      <c r="A3" s="1389" t="s">
        <v>8111</v>
      </c>
      <c r="B3" s="1390"/>
      <c r="C3" s="1390"/>
      <c r="D3" s="1390"/>
      <c r="E3" s="1390"/>
      <c r="F3" s="1390"/>
      <c r="G3" s="1391"/>
      <c r="H3" s="1364"/>
      <c r="I3" s="1362"/>
      <c r="J3" s="1362"/>
    </row>
    <row r="4" spans="1:10" ht="20" customHeight="1">
      <c r="A4" s="1365" t="s">
        <v>11</v>
      </c>
      <c r="B4" s="1366" t="s">
        <v>12</v>
      </c>
      <c r="C4" s="1366" t="s">
        <v>13</v>
      </c>
      <c r="D4" s="1366" t="s">
        <v>14</v>
      </c>
      <c r="E4" s="1366" t="s">
        <v>8112</v>
      </c>
      <c r="F4" s="1366" t="s">
        <v>8113</v>
      </c>
      <c r="G4" s="1367" t="s">
        <v>8114</v>
      </c>
      <c r="H4" s="1362"/>
      <c r="I4" s="1362"/>
      <c r="J4" s="1362"/>
    </row>
    <row r="5" spans="1:10" ht="20" hidden="1" customHeight="1">
      <c r="A5" s="1368" t="s">
        <v>8115</v>
      </c>
      <c r="B5" s="1369" t="s">
        <v>8116</v>
      </c>
      <c r="C5" s="1392" t="s">
        <v>8117</v>
      </c>
      <c r="D5" s="1392"/>
      <c r="E5" s="1392"/>
      <c r="F5" s="1392"/>
      <c r="G5" s="1393"/>
      <c r="H5" s="1362"/>
      <c r="I5" s="1362"/>
      <c r="J5" s="1362"/>
    </row>
    <row r="6" spans="1:10" ht="40" hidden="1" customHeight="1">
      <c r="A6" s="1370">
        <f>MAX(A$5:A5)+1</f>
        <v>1</v>
      </c>
      <c r="B6" s="1394" t="s">
        <v>8118</v>
      </c>
      <c r="C6" s="1394" t="s">
        <v>8119</v>
      </c>
      <c r="D6" s="1372" t="s">
        <v>8120</v>
      </c>
      <c r="E6" s="1371" t="s">
        <v>16</v>
      </c>
      <c r="F6" s="1372" t="s">
        <v>8121</v>
      </c>
      <c r="G6" s="1373" t="s">
        <v>8122</v>
      </c>
      <c r="H6" s="1362"/>
      <c r="I6" s="1362"/>
      <c r="J6" s="1362"/>
    </row>
    <row r="7" spans="1:10" ht="40" hidden="1" customHeight="1">
      <c r="A7" s="1370">
        <f>MAX(A$5:A6)+1</f>
        <v>2</v>
      </c>
      <c r="B7" s="1394"/>
      <c r="C7" s="1394"/>
      <c r="D7" s="1372" t="s">
        <v>8123</v>
      </c>
      <c r="E7" s="1371" t="s">
        <v>16</v>
      </c>
      <c r="F7" s="1372"/>
      <c r="G7" s="1373" t="s">
        <v>8124</v>
      </c>
      <c r="H7" s="1362"/>
      <c r="I7" s="1362"/>
      <c r="J7" s="1362"/>
    </row>
    <row r="8" spans="1:10" ht="40" hidden="1" customHeight="1">
      <c r="A8" s="1370">
        <f>MAX(A$5:A7)+1</f>
        <v>3</v>
      </c>
      <c r="B8" s="1394"/>
      <c r="C8" s="1394"/>
      <c r="D8" s="1372" t="s">
        <v>8125</v>
      </c>
      <c r="E8" s="1371" t="s">
        <v>8126</v>
      </c>
      <c r="F8" s="1372"/>
      <c r="G8" s="1373" t="s">
        <v>8124</v>
      </c>
      <c r="H8" s="1362"/>
      <c r="I8" s="1362"/>
      <c r="J8" s="1362"/>
    </row>
    <row r="9" spans="1:10" ht="40" hidden="1" customHeight="1">
      <c r="A9" s="1370">
        <f>MAX(A$5:A8)+1</f>
        <v>4</v>
      </c>
      <c r="B9" s="1394"/>
      <c r="C9" s="1394"/>
      <c r="D9" s="1372" t="s">
        <v>8127</v>
      </c>
      <c r="E9" s="1371" t="s">
        <v>16</v>
      </c>
      <c r="F9" s="1372"/>
      <c r="G9" s="1373" t="s">
        <v>8128</v>
      </c>
      <c r="H9" s="1362"/>
      <c r="I9" s="1362"/>
      <c r="J9" s="1362"/>
    </row>
    <row r="10" spans="1:10" ht="40" hidden="1" customHeight="1">
      <c r="A10" s="1370">
        <f>MAX(A$5:A9)+1</f>
        <v>5</v>
      </c>
      <c r="B10" s="1394"/>
      <c r="C10" s="1394"/>
      <c r="D10" s="1372" t="s">
        <v>8129</v>
      </c>
      <c r="E10" s="1371" t="s">
        <v>16</v>
      </c>
      <c r="F10" s="1372"/>
      <c r="G10" s="1373" t="s">
        <v>8130</v>
      </c>
      <c r="H10" s="1362"/>
      <c r="I10" s="1362"/>
      <c r="J10" s="1362"/>
    </row>
    <row r="11" spans="1:10" ht="40" hidden="1" customHeight="1">
      <c r="A11" s="1370">
        <f>MAX(A$5:A10)+1</f>
        <v>6</v>
      </c>
      <c r="B11" s="1394"/>
      <c r="C11" s="1394"/>
      <c r="D11" s="1372" t="s">
        <v>8131</v>
      </c>
      <c r="E11" s="1371" t="s">
        <v>16</v>
      </c>
      <c r="F11" s="1372"/>
      <c r="G11" s="1373" t="s">
        <v>8124</v>
      </c>
      <c r="H11" s="1362"/>
      <c r="I11" s="1362"/>
      <c r="J11" s="1362"/>
    </row>
    <row r="12" spans="1:10" ht="40" hidden="1" customHeight="1">
      <c r="A12" s="1370">
        <f>MAX(A$5:A11)+1</f>
        <v>7</v>
      </c>
      <c r="B12" s="1394"/>
      <c r="C12" s="1394"/>
      <c r="D12" s="1372" t="s">
        <v>8132</v>
      </c>
      <c r="E12" s="1371"/>
      <c r="F12" s="1371"/>
      <c r="G12" s="1374"/>
      <c r="H12" s="1362"/>
      <c r="I12" s="1362"/>
      <c r="J12" s="1362"/>
    </row>
    <row r="13" spans="1:10" ht="187" hidden="1">
      <c r="A13" s="1370">
        <f>MAX(A$5:A12)+1</f>
        <v>8</v>
      </c>
      <c r="B13" s="1394" t="s">
        <v>8133</v>
      </c>
      <c r="C13" s="1395" t="s">
        <v>8134</v>
      </c>
      <c r="D13" s="1372" t="s">
        <v>8135</v>
      </c>
      <c r="E13" s="1371" t="s">
        <v>16</v>
      </c>
      <c r="F13" s="1372" t="s">
        <v>8136</v>
      </c>
      <c r="G13" s="1373"/>
      <c r="H13" s="1362"/>
      <c r="I13" s="1362"/>
      <c r="J13" s="1362"/>
    </row>
    <row r="14" spans="1:10" ht="20" hidden="1" customHeight="1">
      <c r="A14" s="1370">
        <f>MAX(A$5:A13)+1</f>
        <v>9</v>
      </c>
      <c r="B14" s="1394"/>
      <c r="C14" s="1395"/>
      <c r="D14" s="1372" t="s">
        <v>8137</v>
      </c>
      <c r="E14" s="1371" t="s">
        <v>16</v>
      </c>
      <c r="F14" s="1372"/>
      <c r="G14" s="1373"/>
      <c r="H14" s="1362"/>
      <c r="I14" s="1362"/>
      <c r="J14" s="1362"/>
    </row>
    <row r="15" spans="1:10" ht="20" hidden="1" customHeight="1">
      <c r="A15" s="1370">
        <f>MAX(A$5:A14)+1</f>
        <v>10</v>
      </c>
      <c r="B15" s="1394"/>
      <c r="C15" s="1395"/>
      <c r="D15" s="1372" t="s">
        <v>8138</v>
      </c>
      <c r="E15" s="1371" t="s">
        <v>16</v>
      </c>
      <c r="F15" s="1372" t="s">
        <v>8139</v>
      </c>
      <c r="G15" s="1373"/>
      <c r="H15" s="1362"/>
      <c r="I15" s="1362"/>
      <c r="J15" s="1362"/>
    </row>
    <row r="16" spans="1:10" ht="40" hidden="1" customHeight="1">
      <c r="A16" s="1370">
        <f>MAX(A$5:A15)+1</f>
        <v>11</v>
      </c>
      <c r="B16" s="1394"/>
      <c r="C16" s="1395"/>
      <c r="D16" s="1372" t="s">
        <v>8140</v>
      </c>
      <c r="E16" s="1371" t="s">
        <v>16</v>
      </c>
      <c r="F16" s="1375" t="s">
        <v>8141</v>
      </c>
      <c r="G16" s="1373" t="s">
        <v>8142</v>
      </c>
      <c r="H16" s="1362"/>
      <c r="I16" s="1362"/>
      <c r="J16" s="1362"/>
    </row>
    <row r="17" spans="1:10" ht="40" hidden="1" customHeight="1">
      <c r="A17" s="1370">
        <f>MAX(A$5:A16)+1</f>
        <v>12</v>
      </c>
      <c r="B17" s="1394"/>
      <c r="C17" s="1395"/>
      <c r="D17" s="1372" t="s">
        <v>8143</v>
      </c>
      <c r="E17" s="1371" t="s">
        <v>16</v>
      </c>
      <c r="F17" s="1372" t="s">
        <v>8144</v>
      </c>
      <c r="G17" s="1373"/>
      <c r="H17" s="1362"/>
      <c r="I17" s="1362"/>
      <c r="J17" s="1362"/>
    </row>
    <row r="18" spans="1:10" ht="40" hidden="1" customHeight="1">
      <c r="A18" s="1370">
        <f>MAX(A$5:A17)+1</f>
        <v>13</v>
      </c>
      <c r="B18" s="1394"/>
      <c r="C18" s="1395"/>
      <c r="D18" s="1372" t="s">
        <v>8145</v>
      </c>
      <c r="E18" s="1371" t="s">
        <v>16</v>
      </c>
      <c r="F18" s="1372" t="s">
        <v>8146</v>
      </c>
      <c r="G18" s="1373" t="s">
        <v>8147</v>
      </c>
      <c r="H18" s="1362"/>
      <c r="I18" s="1362"/>
      <c r="J18" s="1362"/>
    </row>
    <row r="19" spans="1:10" ht="40" hidden="1" customHeight="1">
      <c r="A19" s="1370">
        <f>MAX(A$5:A18)+1</f>
        <v>14</v>
      </c>
      <c r="B19" s="1394"/>
      <c r="C19" s="1395"/>
      <c r="D19" s="1372" t="s">
        <v>8148</v>
      </c>
      <c r="E19" s="1371" t="s">
        <v>16</v>
      </c>
      <c r="F19" s="1375" t="s">
        <v>8149</v>
      </c>
      <c r="G19" s="1376" t="s">
        <v>8150</v>
      </c>
      <c r="H19" s="1362"/>
      <c r="I19" s="1362"/>
      <c r="J19" s="1362"/>
    </row>
    <row r="20" spans="1:10" ht="20" hidden="1" customHeight="1">
      <c r="A20" s="1370">
        <f>MAX(A$5:A19)+1</f>
        <v>15</v>
      </c>
      <c r="B20" s="1394"/>
      <c r="C20" s="1395"/>
      <c r="D20" s="1372" t="s">
        <v>8151</v>
      </c>
      <c r="E20" s="1371" t="s">
        <v>16</v>
      </c>
      <c r="F20" s="1372"/>
      <c r="G20" s="1373"/>
      <c r="H20" s="1362"/>
      <c r="I20" s="1362"/>
      <c r="J20" s="1362"/>
    </row>
    <row r="21" spans="1:10" ht="20" hidden="1" customHeight="1">
      <c r="A21" s="1370">
        <f>MAX(A$5:A20)+1</f>
        <v>16</v>
      </c>
      <c r="B21" s="1394"/>
      <c r="C21" s="1395"/>
      <c r="D21" s="1372" t="s">
        <v>8152</v>
      </c>
      <c r="E21" s="1371" t="s">
        <v>16</v>
      </c>
      <c r="F21" s="1372"/>
      <c r="G21" s="1373" t="s">
        <v>8153</v>
      </c>
      <c r="H21" s="1362"/>
      <c r="I21" s="1362"/>
      <c r="J21" s="1362"/>
    </row>
    <row r="22" spans="1:10" ht="20" hidden="1" customHeight="1">
      <c r="A22" s="1370">
        <f>MAX(A$5:A21)+1</f>
        <v>17</v>
      </c>
      <c r="B22" s="1394"/>
      <c r="C22" s="1395"/>
      <c r="D22" s="1372" t="s">
        <v>8154</v>
      </c>
      <c r="E22" s="1371" t="s">
        <v>16</v>
      </c>
      <c r="F22" s="1372" t="s">
        <v>8155</v>
      </c>
      <c r="G22" s="1373"/>
      <c r="H22" s="1362"/>
      <c r="I22" s="1362"/>
      <c r="J22" s="1362"/>
    </row>
    <row r="23" spans="1:10" ht="20" hidden="1" customHeight="1">
      <c r="A23" s="1370">
        <f>MAX(A$5:A22)+1</f>
        <v>18</v>
      </c>
      <c r="B23" s="1394"/>
      <c r="C23" s="1395"/>
      <c r="D23" s="1372" t="s">
        <v>8156</v>
      </c>
      <c r="E23" s="1371" t="s">
        <v>16</v>
      </c>
      <c r="F23" s="1372" t="s">
        <v>8157</v>
      </c>
      <c r="G23" s="1373"/>
      <c r="H23" s="1362"/>
      <c r="I23" s="1362"/>
      <c r="J23" s="1362"/>
    </row>
    <row r="24" spans="1:10" ht="20" customHeight="1">
      <c r="A24" s="1370" t="s">
        <v>8115</v>
      </c>
      <c r="B24" s="1371" t="s">
        <v>8158</v>
      </c>
      <c r="C24" s="1396" t="s">
        <v>8159</v>
      </c>
      <c r="D24" s="1396"/>
      <c r="E24" s="1396"/>
      <c r="F24" s="1396"/>
      <c r="G24" s="1396"/>
      <c r="H24" s="1362"/>
      <c r="I24" s="1362"/>
      <c r="J24" s="1362"/>
    </row>
    <row r="25" spans="1:10" ht="20" customHeight="1">
      <c r="A25" s="1370">
        <v>1</v>
      </c>
      <c r="B25" s="1397" t="s">
        <v>8118</v>
      </c>
      <c r="C25" s="1394" t="s">
        <v>8160</v>
      </c>
      <c r="D25" s="1372" t="s">
        <v>8161</v>
      </c>
      <c r="E25" s="1378" t="s">
        <v>19</v>
      </c>
      <c r="F25" s="1377"/>
      <c r="G25" s="1379"/>
      <c r="H25" s="1362"/>
      <c r="I25" s="1362"/>
      <c r="J25" s="1362"/>
    </row>
    <row r="26" spans="1:10" ht="20" customHeight="1">
      <c r="A26" s="1370">
        <v>2</v>
      </c>
      <c r="B26" s="1398"/>
      <c r="C26" s="1394"/>
      <c r="D26" s="1372" t="s">
        <v>8162</v>
      </c>
      <c r="E26" s="1378" t="s">
        <v>8163</v>
      </c>
      <c r="F26" s="1377" t="s">
        <v>8164</v>
      </c>
      <c r="G26" s="1379"/>
      <c r="H26" s="1362"/>
      <c r="I26" s="1362"/>
      <c r="J26" s="1362"/>
    </row>
    <row r="27" spans="1:10" ht="20" customHeight="1">
      <c r="A27" s="1370">
        <v>3</v>
      </c>
      <c r="B27" s="1398"/>
      <c r="C27" s="1394"/>
      <c r="D27" s="1372" t="s">
        <v>8165</v>
      </c>
      <c r="E27" s="1378" t="s">
        <v>19</v>
      </c>
      <c r="F27" s="1377"/>
      <c r="G27" s="1379"/>
      <c r="H27" s="1362"/>
      <c r="I27" s="1362"/>
      <c r="J27" s="1362"/>
    </row>
    <row r="28" spans="1:10" ht="17">
      <c r="A28" s="1370">
        <v>4</v>
      </c>
      <c r="B28" s="1398"/>
      <c r="C28" s="1394"/>
      <c r="D28" s="1372" t="s">
        <v>8166</v>
      </c>
      <c r="E28" s="1378" t="s">
        <v>8163</v>
      </c>
      <c r="F28" s="1375"/>
      <c r="G28" s="1375" t="s">
        <v>8167</v>
      </c>
      <c r="H28" s="1362"/>
      <c r="I28" s="1362"/>
      <c r="J28" s="1362"/>
    </row>
    <row r="29" spans="1:10" ht="20" customHeight="1">
      <c r="A29" s="1370">
        <v>5</v>
      </c>
      <c r="B29" s="1398"/>
      <c r="C29" s="1394"/>
      <c r="D29" s="1372" t="s">
        <v>8168</v>
      </c>
      <c r="E29" s="1378" t="s">
        <v>19</v>
      </c>
      <c r="F29" s="1377" t="s">
        <v>8169</v>
      </c>
      <c r="G29" s="1379"/>
      <c r="H29" s="1362"/>
      <c r="I29" s="1362"/>
      <c r="J29" s="1362"/>
    </row>
    <row r="30" spans="1:10" ht="30.5" customHeight="1">
      <c r="A30" s="1370">
        <v>6</v>
      </c>
      <c r="B30" s="1398"/>
      <c r="C30" s="1394"/>
      <c r="D30" s="1372" t="s">
        <v>8170</v>
      </c>
      <c r="E30" s="1378" t="s">
        <v>19</v>
      </c>
      <c r="F30" s="1375" t="s">
        <v>8171</v>
      </c>
      <c r="G30" s="1375" t="s">
        <v>8172</v>
      </c>
      <c r="H30" s="1362"/>
      <c r="I30" s="1362"/>
      <c r="J30" s="1362"/>
    </row>
    <row r="31" spans="1:10" ht="68">
      <c r="A31" s="1370">
        <v>7</v>
      </c>
      <c r="B31" s="1398"/>
      <c r="C31" s="1394"/>
      <c r="D31" s="1372" t="s">
        <v>20</v>
      </c>
      <c r="E31" s="1378" t="s">
        <v>19</v>
      </c>
      <c r="F31" s="1377" t="s">
        <v>8169</v>
      </c>
      <c r="G31" s="1375" t="s">
        <v>8173</v>
      </c>
      <c r="H31" s="1362"/>
      <c r="I31" s="1362"/>
      <c r="J31" s="1362"/>
    </row>
    <row r="32" spans="1:10" ht="34">
      <c r="A32" s="1370">
        <v>8</v>
      </c>
      <c r="B32" s="1398"/>
      <c r="C32" s="1394"/>
      <c r="D32" s="1372" t="s">
        <v>21</v>
      </c>
      <c r="E32" s="1378" t="s">
        <v>19</v>
      </c>
      <c r="F32" s="1377" t="s">
        <v>8169</v>
      </c>
      <c r="G32" s="1375" t="s">
        <v>8174</v>
      </c>
      <c r="H32" s="1362"/>
      <c r="I32" s="1362"/>
      <c r="J32" s="1362"/>
    </row>
    <row r="33" spans="1:10" ht="34">
      <c r="A33" s="1370">
        <v>9</v>
      </c>
      <c r="B33" s="1398"/>
      <c r="C33" s="1394"/>
      <c r="D33" s="1372" t="s">
        <v>8175</v>
      </c>
      <c r="E33" s="1378" t="s">
        <v>19</v>
      </c>
      <c r="F33" s="1377" t="s">
        <v>8169</v>
      </c>
      <c r="G33" s="1375" t="s">
        <v>8176</v>
      </c>
      <c r="H33" s="1380"/>
      <c r="I33" s="1362"/>
      <c r="J33" s="1362"/>
    </row>
    <row r="34" spans="1:10" ht="20" customHeight="1">
      <c r="A34" s="1370">
        <v>10</v>
      </c>
      <c r="B34" s="1398"/>
      <c r="C34" s="1394"/>
      <c r="D34" s="1372" t="s">
        <v>8177</v>
      </c>
      <c r="E34" s="1371"/>
      <c r="F34" s="1377"/>
      <c r="G34" s="1379"/>
      <c r="H34" s="1362"/>
      <c r="I34" s="1362"/>
      <c r="J34" s="1362"/>
    </row>
    <row r="35" spans="1:10" ht="56" customHeight="1">
      <c r="A35" s="1370">
        <v>11</v>
      </c>
      <c r="B35" s="1398"/>
      <c r="C35" s="1400" t="s">
        <v>8178</v>
      </c>
      <c r="D35" s="1372" t="s">
        <v>22</v>
      </c>
      <c r="E35" s="1378" t="s">
        <v>19</v>
      </c>
      <c r="F35" s="1377" t="s">
        <v>8169</v>
      </c>
      <c r="G35" s="1375" t="s">
        <v>8179</v>
      </c>
      <c r="H35" s="1364"/>
      <c r="I35" s="1362"/>
      <c r="J35" s="1362"/>
    </row>
    <row r="36" spans="1:10" ht="20" customHeight="1">
      <c r="A36" s="1370">
        <v>12</v>
      </c>
      <c r="B36" s="1398"/>
      <c r="C36" s="1400"/>
      <c r="D36" s="1372" t="s">
        <v>23</v>
      </c>
      <c r="E36" s="1378" t="s">
        <v>19</v>
      </c>
      <c r="F36" s="1377" t="s">
        <v>8169</v>
      </c>
      <c r="G36" s="1375" t="s">
        <v>8180</v>
      </c>
      <c r="H36" s="1382"/>
      <c r="I36" s="1362"/>
      <c r="J36" s="1362"/>
    </row>
    <row r="37" spans="1:10" ht="20" customHeight="1">
      <c r="A37" s="1370">
        <v>13</v>
      </c>
      <c r="B37" s="1398"/>
      <c r="C37" s="1400"/>
      <c r="D37" s="1372" t="s">
        <v>8181</v>
      </c>
      <c r="E37" s="1378" t="s">
        <v>19</v>
      </c>
      <c r="F37" s="1377" t="s">
        <v>8169</v>
      </c>
      <c r="G37" s="1375" t="s">
        <v>8182</v>
      </c>
      <c r="H37" s="1382"/>
      <c r="I37" s="1362"/>
      <c r="J37" s="1362"/>
    </row>
    <row r="38" spans="1:10" ht="17">
      <c r="A38" s="1370">
        <v>14</v>
      </c>
      <c r="B38" s="1398"/>
      <c r="C38" s="1400"/>
      <c r="D38" s="1372" t="s">
        <v>24</v>
      </c>
      <c r="E38" s="1378" t="s">
        <v>19</v>
      </c>
      <c r="F38" s="1377" t="s">
        <v>8169</v>
      </c>
      <c r="G38" s="1375"/>
      <c r="H38" s="1362"/>
      <c r="I38" s="1362"/>
      <c r="J38" s="1362"/>
    </row>
    <row r="39" spans="1:10" ht="20" customHeight="1">
      <c r="A39" s="1370">
        <v>15</v>
      </c>
      <c r="B39" s="1398"/>
      <c r="C39" s="1400"/>
      <c r="D39" s="1372" t="s">
        <v>8183</v>
      </c>
      <c r="E39" s="1378" t="s">
        <v>19</v>
      </c>
      <c r="F39" s="1377" t="s">
        <v>8169</v>
      </c>
      <c r="G39" s="1375" t="s">
        <v>8184</v>
      </c>
      <c r="H39" s="1362"/>
      <c r="I39" s="1362"/>
      <c r="J39" s="1362"/>
    </row>
    <row r="40" spans="1:10" ht="20" customHeight="1">
      <c r="A40" s="1370">
        <v>16</v>
      </c>
      <c r="B40" s="1398"/>
      <c r="C40" s="1400"/>
      <c r="D40" s="1372" t="s">
        <v>8185</v>
      </c>
      <c r="E40" s="1378" t="s">
        <v>19</v>
      </c>
      <c r="F40" s="1377" t="s">
        <v>8169</v>
      </c>
      <c r="G40" s="1375" t="s">
        <v>8186</v>
      </c>
      <c r="H40" s="1362"/>
      <c r="I40" s="1362"/>
      <c r="J40" s="1362"/>
    </row>
    <row r="41" spans="1:10" ht="20" customHeight="1">
      <c r="A41" s="1370">
        <v>17</v>
      </c>
      <c r="B41" s="1398"/>
      <c r="C41" s="1400"/>
      <c r="D41" s="1372" t="s">
        <v>8187</v>
      </c>
      <c r="E41" s="1378" t="s">
        <v>19</v>
      </c>
      <c r="F41" s="1377" t="s">
        <v>8169</v>
      </c>
      <c r="G41" s="1375" t="s">
        <v>8188</v>
      </c>
      <c r="H41" s="1362"/>
      <c r="I41" s="1362"/>
      <c r="J41" s="1362"/>
    </row>
    <row r="42" spans="1:10" ht="51">
      <c r="A42" s="1370">
        <v>18</v>
      </c>
      <c r="B42" s="1398"/>
      <c r="C42" s="1400"/>
      <c r="D42" s="1372" t="s">
        <v>8189</v>
      </c>
      <c r="E42" s="1378" t="s">
        <v>19</v>
      </c>
      <c r="F42" s="1375"/>
      <c r="G42" s="1375" t="s">
        <v>8190</v>
      </c>
      <c r="H42" s="1362"/>
      <c r="I42" s="1362"/>
      <c r="J42" s="1362"/>
    </row>
    <row r="43" spans="1:10" ht="51">
      <c r="A43" s="1370">
        <v>19</v>
      </c>
      <c r="B43" s="1398"/>
      <c r="C43" s="1400"/>
      <c r="D43" s="1372" t="s">
        <v>8191</v>
      </c>
      <c r="E43" s="1378" t="s">
        <v>19</v>
      </c>
      <c r="F43" s="1377" t="s">
        <v>8169</v>
      </c>
      <c r="G43" s="1375" t="s">
        <v>8192</v>
      </c>
      <c r="H43" s="1362"/>
      <c r="I43" s="1362"/>
      <c r="J43" s="1362"/>
    </row>
    <row r="44" spans="1:10" ht="20" customHeight="1">
      <c r="A44" s="1370">
        <v>20</v>
      </c>
      <c r="B44" s="1398"/>
      <c r="C44" s="1400" t="s">
        <v>25</v>
      </c>
      <c r="D44" s="1372" t="s">
        <v>26</v>
      </c>
      <c r="E44" s="1378" t="s">
        <v>19</v>
      </c>
      <c r="F44" s="1377" t="s">
        <v>8169</v>
      </c>
      <c r="G44" s="1375" t="s">
        <v>8193</v>
      </c>
      <c r="H44" s="1362"/>
      <c r="I44" s="1362"/>
      <c r="J44" s="1362"/>
    </row>
    <row r="45" spans="1:10" ht="68">
      <c r="A45" s="1370">
        <v>21</v>
      </c>
      <c r="B45" s="1398"/>
      <c r="C45" s="1400"/>
      <c r="D45" s="1372" t="s">
        <v>27</v>
      </c>
      <c r="E45" s="1378" t="s">
        <v>19</v>
      </c>
      <c r="F45" s="1375" t="s">
        <v>8194</v>
      </c>
      <c r="G45" s="1375" t="s">
        <v>8195</v>
      </c>
      <c r="H45" s="1362"/>
      <c r="I45" s="1362"/>
      <c r="J45" s="1362"/>
    </row>
    <row r="46" spans="1:10" ht="17">
      <c r="A46" s="1370">
        <v>22</v>
      </c>
      <c r="B46" s="1398"/>
      <c r="C46" s="1400"/>
      <c r="D46" s="1372" t="s">
        <v>8196</v>
      </c>
      <c r="E46" s="1378" t="s">
        <v>19</v>
      </c>
      <c r="F46" s="1375" t="s">
        <v>8171</v>
      </c>
      <c r="G46" s="1375" t="s">
        <v>8197</v>
      </c>
      <c r="H46" s="1362"/>
      <c r="I46" s="1362"/>
      <c r="J46" s="1362"/>
    </row>
    <row r="47" spans="1:10" ht="51">
      <c r="A47" s="1370">
        <v>23</v>
      </c>
      <c r="B47" s="1398"/>
      <c r="C47" s="1400"/>
      <c r="D47" s="1372" t="s">
        <v>28</v>
      </c>
      <c r="E47" s="1378" t="s">
        <v>8163</v>
      </c>
      <c r="F47" s="1375" t="s">
        <v>8198</v>
      </c>
      <c r="G47" s="1375" t="s">
        <v>8199</v>
      </c>
      <c r="H47" s="1362"/>
      <c r="I47" s="1362"/>
      <c r="J47" s="1362"/>
    </row>
    <row r="48" spans="1:10" ht="20" customHeight="1">
      <c r="A48" s="1370">
        <v>24</v>
      </c>
      <c r="B48" s="1398"/>
      <c r="C48" s="1401" t="s">
        <v>8200</v>
      </c>
      <c r="D48" s="1372" t="s">
        <v>8201</v>
      </c>
      <c r="E48" s="1378" t="s">
        <v>8163</v>
      </c>
      <c r="F48" s="1375" t="s">
        <v>8202</v>
      </c>
      <c r="G48" s="1375" t="s">
        <v>8203</v>
      </c>
      <c r="H48" s="1362"/>
      <c r="I48" s="1362"/>
      <c r="J48" s="1362"/>
    </row>
    <row r="49" spans="1:10" ht="20" customHeight="1">
      <c r="A49" s="1370">
        <v>25</v>
      </c>
      <c r="B49" s="1398"/>
      <c r="C49" s="1401"/>
      <c r="D49" s="1372" t="s">
        <v>8177</v>
      </c>
      <c r="E49" s="1378" t="s">
        <v>19</v>
      </c>
      <c r="F49" s="1375"/>
      <c r="G49" s="1375"/>
      <c r="H49" s="1362"/>
      <c r="I49" s="1362"/>
      <c r="J49" s="1362"/>
    </row>
    <row r="50" spans="1:10" ht="51">
      <c r="A50" s="1370">
        <v>26</v>
      </c>
      <c r="B50" s="1398"/>
      <c r="C50" s="1381" t="s">
        <v>8204</v>
      </c>
      <c r="D50" s="1372" t="s">
        <v>8204</v>
      </c>
      <c r="E50" s="1378" t="s">
        <v>8163</v>
      </c>
      <c r="F50" s="1375" t="s">
        <v>8205</v>
      </c>
      <c r="G50" s="1375"/>
      <c r="H50" s="1362"/>
      <c r="I50" s="1362"/>
      <c r="J50" s="1362"/>
    </row>
    <row r="51" spans="1:10" ht="17">
      <c r="A51" s="1370">
        <v>27</v>
      </c>
      <c r="B51" s="1398"/>
      <c r="C51" s="1381" t="s">
        <v>8206</v>
      </c>
      <c r="D51" s="1372" t="s">
        <v>8207</v>
      </c>
      <c r="E51" s="1378" t="s">
        <v>8163</v>
      </c>
      <c r="F51" s="1375" t="s">
        <v>8208</v>
      </c>
      <c r="G51" s="1375"/>
      <c r="H51" s="1362"/>
      <c r="I51" s="1362"/>
      <c r="J51" s="1362"/>
    </row>
    <row r="52" spans="1:10" ht="34">
      <c r="A52" s="1370">
        <v>28</v>
      </c>
      <c r="B52" s="1398"/>
      <c r="C52" s="1381" t="s">
        <v>29</v>
      </c>
      <c r="D52" s="1372" t="s">
        <v>30</v>
      </c>
      <c r="E52" s="1378" t="s">
        <v>19</v>
      </c>
      <c r="F52" s="1375"/>
      <c r="G52" s="1375"/>
      <c r="H52" s="1362"/>
      <c r="I52" s="1362"/>
      <c r="J52" s="1362"/>
    </row>
    <row r="53" spans="1:10" ht="34">
      <c r="A53" s="1370">
        <v>29</v>
      </c>
      <c r="B53" s="1399"/>
      <c r="C53" s="1381" t="s">
        <v>31</v>
      </c>
      <c r="D53" s="1372" t="s">
        <v>30</v>
      </c>
      <c r="E53" s="1378" t="s">
        <v>8163</v>
      </c>
      <c r="F53" s="1375"/>
      <c r="G53" s="1375"/>
      <c r="H53" s="1362"/>
      <c r="I53" s="1362"/>
      <c r="J53" s="1362"/>
    </row>
    <row r="54" spans="1:10" ht="20" customHeight="1">
      <c r="A54" s="1370">
        <v>30</v>
      </c>
      <c r="B54" s="1397" t="s">
        <v>32</v>
      </c>
      <c r="C54" s="1402" t="s">
        <v>33</v>
      </c>
      <c r="D54" s="1372" t="s">
        <v>34</v>
      </c>
      <c r="E54" s="1378" t="s">
        <v>19</v>
      </c>
      <c r="F54" s="1375"/>
      <c r="G54" s="1375"/>
      <c r="H54" s="1362"/>
      <c r="I54" s="1362"/>
      <c r="J54" s="1362"/>
    </row>
    <row r="55" spans="1:10" ht="20" customHeight="1">
      <c r="A55" s="1370">
        <v>31</v>
      </c>
      <c r="B55" s="1398"/>
      <c r="C55" s="1402"/>
      <c r="D55" s="1372" t="s">
        <v>35</v>
      </c>
      <c r="E55" s="1378" t="s">
        <v>8163</v>
      </c>
      <c r="F55" s="1375" t="s">
        <v>8092</v>
      </c>
      <c r="G55" s="1375"/>
      <c r="H55" s="1362"/>
      <c r="I55" s="1362"/>
      <c r="J55" s="1362"/>
    </row>
    <row r="56" spans="1:10" ht="20" customHeight="1">
      <c r="A56" s="1370">
        <v>32</v>
      </c>
      <c r="B56" s="1398"/>
      <c r="C56" s="1402"/>
      <c r="D56" s="1372" t="s">
        <v>8209</v>
      </c>
      <c r="E56" s="1378" t="s">
        <v>19</v>
      </c>
      <c r="F56" s="1375"/>
      <c r="G56" s="1375"/>
      <c r="H56" s="1362"/>
      <c r="I56" s="1362"/>
      <c r="J56" s="1362"/>
    </row>
    <row r="57" spans="1:10" ht="20" customHeight="1">
      <c r="A57" s="1370">
        <v>33</v>
      </c>
      <c r="B57" s="1398"/>
      <c r="C57" s="1402"/>
      <c r="D57" s="1372" t="s">
        <v>8210</v>
      </c>
      <c r="E57" s="1378" t="s">
        <v>19</v>
      </c>
      <c r="F57" s="1375"/>
      <c r="G57" s="1375"/>
      <c r="H57" s="1362"/>
      <c r="I57" s="1362"/>
      <c r="J57" s="1362"/>
    </row>
    <row r="58" spans="1:10" ht="20" customHeight="1">
      <c r="A58" s="1370">
        <v>34</v>
      </c>
      <c r="B58" s="1398"/>
      <c r="C58" s="1402" t="s">
        <v>8211</v>
      </c>
      <c r="D58" s="1372" t="s">
        <v>8212</v>
      </c>
      <c r="E58" s="1378" t="s">
        <v>8163</v>
      </c>
      <c r="F58" s="1375" t="s">
        <v>8213</v>
      </c>
      <c r="G58" s="1375"/>
      <c r="H58" s="1362"/>
      <c r="I58" s="1362"/>
      <c r="J58" s="1362"/>
    </row>
    <row r="59" spans="1:10" ht="20" customHeight="1">
      <c r="A59" s="1370">
        <v>35</v>
      </c>
      <c r="B59" s="1398"/>
      <c r="C59" s="1402"/>
      <c r="D59" s="1372" t="s">
        <v>8214</v>
      </c>
      <c r="E59" s="1378" t="s">
        <v>8163</v>
      </c>
      <c r="F59" s="1375"/>
      <c r="G59" s="1375" t="s">
        <v>8215</v>
      </c>
      <c r="H59" s="1362"/>
      <c r="I59" s="1362"/>
      <c r="J59" s="1362"/>
    </row>
    <row r="60" spans="1:10" ht="20" customHeight="1">
      <c r="A60" s="1370">
        <v>36</v>
      </c>
      <c r="B60" s="1398"/>
      <c r="C60" s="1402"/>
      <c r="D60" s="1372" t="s">
        <v>8216</v>
      </c>
      <c r="E60" s="1378" t="s">
        <v>8163</v>
      </c>
      <c r="F60" s="1375" t="s">
        <v>8217</v>
      </c>
      <c r="G60" s="1375"/>
      <c r="H60" s="1362"/>
      <c r="I60" s="1362"/>
      <c r="J60" s="1362"/>
    </row>
    <row r="61" spans="1:10" ht="20" customHeight="1">
      <c r="A61" s="1370">
        <v>37</v>
      </c>
      <c r="B61" s="1398"/>
      <c r="C61" s="1402" t="s">
        <v>8218</v>
      </c>
      <c r="D61" s="1372" t="s">
        <v>8219</v>
      </c>
      <c r="E61" s="1378" t="s">
        <v>19</v>
      </c>
      <c r="F61" s="1375" t="s">
        <v>8220</v>
      </c>
      <c r="G61" s="1375"/>
      <c r="H61" s="1362"/>
      <c r="I61" s="1362"/>
      <c r="J61" s="1362"/>
    </row>
    <row r="62" spans="1:10" ht="20" customHeight="1">
      <c r="A62" s="1370">
        <v>38</v>
      </c>
      <c r="B62" s="1398"/>
      <c r="C62" s="1402"/>
      <c r="D62" s="1372" t="s">
        <v>36</v>
      </c>
      <c r="E62" s="1378" t="s">
        <v>19</v>
      </c>
      <c r="F62" s="1375"/>
      <c r="G62" s="1375"/>
      <c r="H62" s="1362"/>
      <c r="I62" s="1362"/>
      <c r="J62" s="1362"/>
    </row>
    <row r="63" spans="1:10" ht="20" customHeight="1">
      <c r="A63" s="1370">
        <v>39</v>
      </c>
      <c r="B63" s="1398"/>
      <c r="C63" s="1402" t="s">
        <v>18</v>
      </c>
      <c r="D63" s="1372" t="s">
        <v>37</v>
      </c>
      <c r="E63" s="1378" t="s">
        <v>8163</v>
      </c>
      <c r="F63" s="1375"/>
      <c r="G63" s="1375"/>
      <c r="H63" s="1362"/>
      <c r="I63" s="1362"/>
      <c r="J63" s="1362"/>
    </row>
    <row r="64" spans="1:10" ht="20" customHeight="1">
      <c r="A64" s="1370">
        <v>40</v>
      </c>
      <c r="B64" s="1398"/>
      <c r="C64" s="1402"/>
      <c r="D64" s="1372" t="s">
        <v>8221</v>
      </c>
      <c r="E64" s="1378" t="s">
        <v>19</v>
      </c>
      <c r="F64" s="1375"/>
      <c r="G64" s="1375"/>
      <c r="H64" s="1362"/>
      <c r="I64" s="1362"/>
      <c r="J64" s="1362"/>
    </row>
    <row r="65" spans="1:10" ht="20" customHeight="1">
      <c r="A65" s="1370">
        <v>41</v>
      </c>
      <c r="B65" s="1398"/>
      <c r="C65" s="1402"/>
      <c r="D65" s="1372" t="s">
        <v>38</v>
      </c>
      <c r="E65" s="1378" t="s">
        <v>19</v>
      </c>
      <c r="F65" s="1375"/>
      <c r="G65" s="1375"/>
      <c r="H65" s="1362"/>
      <c r="I65" s="1362"/>
      <c r="J65" s="1362"/>
    </row>
    <row r="66" spans="1:10" ht="34">
      <c r="A66" s="1370">
        <v>42</v>
      </c>
      <c r="B66" s="1398"/>
      <c r="C66" s="1383" t="s">
        <v>39</v>
      </c>
      <c r="D66" s="1372" t="s">
        <v>40</v>
      </c>
      <c r="E66" s="1378" t="s">
        <v>8163</v>
      </c>
      <c r="F66" s="1375"/>
      <c r="G66" s="1375"/>
      <c r="H66" s="1362"/>
      <c r="I66" s="1362"/>
      <c r="J66" s="1362"/>
    </row>
    <row r="67" spans="1:10" ht="17">
      <c r="A67" s="1370">
        <v>43</v>
      </c>
      <c r="B67" s="1398"/>
      <c r="C67" s="1402" t="s">
        <v>41</v>
      </c>
      <c r="D67" s="1372" t="s">
        <v>42</v>
      </c>
      <c r="E67" s="1378" t="s">
        <v>8163</v>
      </c>
      <c r="F67" s="1375" t="s">
        <v>8222</v>
      </c>
      <c r="G67" s="1375" t="s">
        <v>43</v>
      </c>
      <c r="H67" s="1362"/>
      <c r="I67" s="1362"/>
      <c r="J67" s="1362"/>
    </row>
    <row r="68" spans="1:10" ht="17">
      <c r="A68" s="1370">
        <v>44</v>
      </c>
      <c r="B68" s="1398"/>
      <c r="C68" s="1402"/>
      <c r="D68" s="1372" t="s">
        <v>44</v>
      </c>
      <c r="E68" s="1378" t="s">
        <v>19</v>
      </c>
      <c r="F68" s="1375"/>
      <c r="G68" s="1375" t="s">
        <v>43</v>
      </c>
      <c r="H68" s="1362"/>
      <c r="I68" s="1362"/>
      <c r="J68" s="1362"/>
    </row>
    <row r="69" spans="1:10" ht="51">
      <c r="A69" s="1370">
        <v>45</v>
      </c>
      <c r="B69" s="1398"/>
      <c r="C69" s="1402" t="s">
        <v>45</v>
      </c>
      <c r="D69" s="1372" t="s">
        <v>46</v>
      </c>
      <c r="E69" s="1378" t="s">
        <v>8163</v>
      </c>
      <c r="F69" s="1375" t="s">
        <v>8223</v>
      </c>
      <c r="G69" s="1375" t="s">
        <v>43</v>
      </c>
      <c r="H69" s="1362"/>
      <c r="I69" s="1362"/>
      <c r="J69" s="1362"/>
    </row>
    <row r="70" spans="1:10" ht="20" customHeight="1">
      <c r="A70" s="1370">
        <v>46</v>
      </c>
      <c r="B70" s="1398"/>
      <c r="C70" s="1402"/>
      <c r="D70" s="1372" t="s">
        <v>47</v>
      </c>
      <c r="E70" s="1378" t="s">
        <v>8163</v>
      </c>
      <c r="F70" s="1375" t="s">
        <v>8224</v>
      </c>
      <c r="G70" s="1375" t="s">
        <v>43</v>
      </c>
      <c r="H70" s="1362"/>
      <c r="I70" s="1362"/>
      <c r="J70" s="1362"/>
    </row>
    <row r="71" spans="1:10" ht="20" customHeight="1">
      <c r="A71" s="1370">
        <v>47</v>
      </c>
      <c r="B71" s="1398"/>
      <c r="C71" s="1402"/>
      <c r="D71" s="1372" t="s">
        <v>8225</v>
      </c>
      <c r="E71" s="1378" t="s">
        <v>8163</v>
      </c>
      <c r="F71" s="1375" t="s">
        <v>8226</v>
      </c>
      <c r="G71" s="1375"/>
      <c r="H71" s="1362"/>
      <c r="I71" s="1362"/>
      <c r="J71" s="1362"/>
    </row>
    <row r="72" spans="1:10" ht="20" customHeight="1">
      <c r="A72" s="1370">
        <v>48</v>
      </c>
      <c r="B72" s="1398"/>
      <c r="C72" s="1383" t="s">
        <v>8227</v>
      </c>
      <c r="D72" s="1372" t="s">
        <v>8228</v>
      </c>
      <c r="E72" s="1378" t="s">
        <v>19</v>
      </c>
      <c r="F72" s="1375"/>
      <c r="G72" s="1375" t="s">
        <v>8229</v>
      </c>
      <c r="H72" s="1362"/>
      <c r="I72" s="1362"/>
      <c r="J72" s="1362"/>
    </row>
    <row r="73" spans="1:10" ht="20" customHeight="1">
      <c r="A73" s="1370">
        <v>49</v>
      </c>
      <c r="B73" s="1399"/>
      <c r="C73" s="1383" t="s">
        <v>48</v>
      </c>
      <c r="D73" s="1375" t="s">
        <v>30</v>
      </c>
      <c r="E73" s="1378" t="s">
        <v>19</v>
      </c>
      <c r="F73" s="1375" t="s">
        <v>49</v>
      </c>
      <c r="G73" s="1375" t="s">
        <v>43</v>
      </c>
      <c r="H73" s="1362"/>
      <c r="I73" s="1362"/>
      <c r="J73" s="1362"/>
    </row>
    <row r="74" spans="1:10" ht="51">
      <c r="A74" s="1370">
        <v>50</v>
      </c>
      <c r="B74" s="1394" t="s">
        <v>17</v>
      </c>
      <c r="C74" s="1400" t="s">
        <v>50</v>
      </c>
      <c r="D74" s="1372" t="s">
        <v>8230</v>
      </c>
      <c r="E74" s="1378" t="s">
        <v>8163</v>
      </c>
      <c r="F74" s="1375" t="s">
        <v>8231</v>
      </c>
      <c r="G74" s="1375"/>
      <c r="H74" s="1362"/>
      <c r="I74" s="1362"/>
      <c r="J74" s="1362"/>
    </row>
    <row r="75" spans="1:10" ht="34">
      <c r="A75" s="1370">
        <v>51</v>
      </c>
      <c r="B75" s="1394"/>
      <c r="C75" s="1400"/>
      <c r="D75" s="1372" t="s">
        <v>8232</v>
      </c>
      <c r="E75" s="1378" t="s">
        <v>19</v>
      </c>
      <c r="F75" s="1375"/>
      <c r="G75" s="1375"/>
      <c r="H75" s="1362"/>
      <c r="I75" s="1362"/>
      <c r="J75" s="1362"/>
    </row>
    <row r="76" spans="1:10" ht="20" customHeight="1">
      <c r="A76" s="1370">
        <v>52</v>
      </c>
      <c r="B76" s="1394"/>
      <c r="C76" s="1400"/>
      <c r="D76" s="1372" t="s">
        <v>8233</v>
      </c>
      <c r="E76" s="1378" t="s">
        <v>19</v>
      </c>
      <c r="F76" s="1375" t="s">
        <v>8234</v>
      </c>
      <c r="G76" s="1375"/>
      <c r="H76" s="1362"/>
      <c r="I76" s="1362"/>
      <c r="J76" s="1362"/>
    </row>
    <row r="77" spans="1:10" ht="20" customHeight="1">
      <c r="A77" s="1370">
        <v>53</v>
      </c>
      <c r="B77" s="1394"/>
      <c r="C77" s="1400"/>
      <c r="D77" s="1372" t="s">
        <v>51</v>
      </c>
      <c r="E77" s="1378" t="s">
        <v>19</v>
      </c>
      <c r="F77" s="1375" t="s">
        <v>8235</v>
      </c>
      <c r="G77" s="1375"/>
      <c r="H77" s="1362"/>
      <c r="I77" s="1362"/>
      <c r="J77" s="1362"/>
    </row>
    <row r="78" spans="1:10" ht="51">
      <c r="A78" s="1370">
        <v>54</v>
      </c>
      <c r="B78" s="1394"/>
      <c r="C78" s="1400" t="s">
        <v>52</v>
      </c>
      <c r="D78" s="1372" t="s">
        <v>8236</v>
      </c>
      <c r="E78" s="1378" t="s">
        <v>19</v>
      </c>
      <c r="F78" s="1375" t="s">
        <v>8237</v>
      </c>
      <c r="G78" s="1375" t="s">
        <v>8238</v>
      </c>
      <c r="H78" s="1362"/>
      <c r="I78" s="1362"/>
      <c r="J78" s="1362"/>
    </row>
    <row r="79" spans="1:10" ht="68">
      <c r="A79" s="1370">
        <v>55</v>
      </c>
      <c r="B79" s="1394"/>
      <c r="C79" s="1400"/>
      <c r="D79" s="1372" t="s">
        <v>8239</v>
      </c>
      <c r="E79" s="1378" t="s">
        <v>8163</v>
      </c>
      <c r="F79" s="1375" t="s">
        <v>8240</v>
      </c>
      <c r="G79" s="1375" t="s">
        <v>8241</v>
      </c>
      <c r="H79" s="1362"/>
      <c r="I79" s="1362"/>
      <c r="J79" s="1362"/>
    </row>
    <row r="80" spans="1:10" ht="51">
      <c r="A80" s="1370">
        <v>56</v>
      </c>
      <c r="B80" s="1394"/>
      <c r="C80" s="1400"/>
      <c r="D80" s="1372" t="s">
        <v>8242</v>
      </c>
      <c r="E80" s="1378" t="s">
        <v>19</v>
      </c>
      <c r="F80" s="1375" t="s">
        <v>8237</v>
      </c>
      <c r="G80" s="1375" t="s">
        <v>8243</v>
      </c>
      <c r="H80" s="1362"/>
      <c r="I80" s="1362"/>
      <c r="J80" s="1362"/>
    </row>
    <row r="81" spans="1:10" ht="68">
      <c r="A81" s="1370">
        <v>57</v>
      </c>
      <c r="B81" s="1394"/>
      <c r="C81" s="1400"/>
      <c r="D81" s="1372" t="s">
        <v>8244</v>
      </c>
      <c r="E81" s="1378" t="s">
        <v>8163</v>
      </c>
      <c r="F81" s="1375"/>
      <c r="G81" s="1375" t="s">
        <v>8245</v>
      </c>
      <c r="H81" s="1362"/>
      <c r="I81" s="1362"/>
      <c r="J81" s="1362"/>
    </row>
    <row r="82" spans="1:10" ht="20" customHeight="1">
      <c r="A82" s="1370">
        <v>58</v>
      </c>
      <c r="B82" s="1394"/>
      <c r="C82" s="1400"/>
      <c r="D82" s="1372" t="s">
        <v>8246</v>
      </c>
      <c r="E82" s="1378" t="s">
        <v>19</v>
      </c>
      <c r="F82" s="1375"/>
      <c r="G82" s="1375" t="s">
        <v>8247</v>
      </c>
      <c r="H82" s="1362"/>
      <c r="I82" s="1362"/>
      <c r="J82" s="1362"/>
    </row>
    <row r="83" spans="1:10" ht="20" customHeight="1">
      <c r="A83" s="1370">
        <v>59</v>
      </c>
      <c r="B83" s="1394"/>
      <c r="C83" s="1400"/>
      <c r="D83" s="1372" t="s">
        <v>8248</v>
      </c>
      <c r="E83" s="1378" t="s">
        <v>19</v>
      </c>
      <c r="F83" s="1375" t="s">
        <v>8249</v>
      </c>
      <c r="G83" s="1375"/>
      <c r="H83" s="1362"/>
      <c r="I83" s="1362"/>
      <c r="J83" s="1362"/>
    </row>
    <row r="84" spans="1:10" ht="20" customHeight="1">
      <c r="A84" s="1370">
        <v>60</v>
      </c>
      <c r="B84" s="1394"/>
      <c r="C84" s="1381" t="s">
        <v>48</v>
      </c>
      <c r="D84" s="1375" t="s">
        <v>54</v>
      </c>
      <c r="E84" s="1378" t="s">
        <v>8163</v>
      </c>
      <c r="F84" s="1375"/>
      <c r="G84" s="1375" t="s">
        <v>8250</v>
      </c>
      <c r="H84" s="1362"/>
      <c r="I84" s="1362"/>
      <c r="J84" s="1362"/>
    </row>
    <row r="85" spans="1:10" ht="51">
      <c r="A85" s="1370">
        <v>61</v>
      </c>
      <c r="B85" s="1394" t="s">
        <v>55</v>
      </c>
      <c r="C85" s="1381" t="s">
        <v>56</v>
      </c>
      <c r="D85" s="1372" t="s">
        <v>8251</v>
      </c>
      <c r="E85" s="1378" t="s">
        <v>19</v>
      </c>
      <c r="F85" s="1375" t="s">
        <v>8252</v>
      </c>
      <c r="G85" s="1375"/>
      <c r="H85" s="1362"/>
      <c r="I85" s="1362"/>
      <c r="J85" s="1362"/>
    </row>
    <row r="86" spans="1:10" ht="20" customHeight="1">
      <c r="A86" s="1370">
        <v>62</v>
      </c>
      <c r="B86" s="1394"/>
      <c r="C86" s="1381" t="s">
        <v>57</v>
      </c>
      <c r="D86" s="1372" t="s">
        <v>8253</v>
      </c>
      <c r="E86" s="1378" t="s">
        <v>19</v>
      </c>
      <c r="F86" s="1375"/>
      <c r="G86" s="1375"/>
      <c r="H86" s="1362"/>
      <c r="I86" s="1362"/>
      <c r="J86" s="1362"/>
    </row>
    <row r="87" spans="1:10" ht="51">
      <c r="A87" s="1370">
        <v>63</v>
      </c>
      <c r="B87" s="1394"/>
      <c r="C87" s="1381" t="s">
        <v>8254</v>
      </c>
      <c r="D87" s="1372" t="s">
        <v>8255</v>
      </c>
      <c r="E87" s="1378" t="s">
        <v>8163</v>
      </c>
      <c r="F87" s="1375" t="s">
        <v>8256</v>
      </c>
      <c r="G87" s="1375"/>
      <c r="H87" s="1362"/>
      <c r="I87" s="1362"/>
      <c r="J87" s="1362"/>
    </row>
    <row r="88" spans="1:10" ht="51">
      <c r="A88" s="1370">
        <v>64</v>
      </c>
      <c r="B88" s="1394"/>
      <c r="C88" s="1381" t="s">
        <v>8257</v>
      </c>
      <c r="D88" s="1372" t="s">
        <v>8258</v>
      </c>
      <c r="E88" s="1378" t="s">
        <v>8163</v>
      </c>
      <c r="F88" s="1375" t="s">
        <v>8259</v>
      </c>
      <c r="G88" s="1375"/>
      <c r="H88" s="1362"/>
      <c r="I88" s="1362"/>
      <c r="J88" s="1362"/>
    </row>
    <row r="89" spans="1:10" ht="68">
      <c r="A89" s="1370">
        <v>65</v>
      </c>
      <c r="B89" s="1394"/>
      <c r="C89" s="1381" t="s">
        <v>8260</v>
      </c>
      <c r="D89" s="1372" t="s">
        <v>8261</v>
      </c>
      <c r="E89" s="1378" t="s">
        <v>8163</v>
      </c>
      <c r="F89" s="1375" t="s">
        <v>8262</v>
      </c>
      <c r="G89" s="1375" t="s">
        <v>8263</v>
      </c>
      <c r="H89" s="1362"/>
      <c r="I89" s="1362"/>
      <c r="J89" s="1362"/>
    </row>
    <row r="90" spans="1:10" ht="17">
      <c r="A90" s="1370">
        <v>66</v>
      </c>
      <c r="B90" s="1394"/>
      <c r="C90" s="1381" t="s">
        <v>58</v>
      </c>
      <c r="D90" s="1372" t="s">
        <v>59</v>
      </c>
      <c r="E90" s="1378" t="s">
        <v>19</v>
      </c>
      <c r="F90" s="1375"/>
      <c r="G90" s="1375"/>
      <c r="H90" s="1362"/>
      <c r="I90" s="1362"/>
      <c r="J90" s="1362"/>
    </row>
    <row r="91" spans="1:10" ht="20" customHeight="1">
      <c r="A91" s="1370">
        <v>67</v>
      </c>
      <c r="B91" s="1394" t="s">
        <v>60</v>
      </c>
      <c r="C91" s="1400" t="s">
        <v>8264</v>
      </c>
      <c r="D91" s="1372" t="s">
        <v>8225</v>
      </c>
      <c r="E91" s="1378" t="s">
        <v>8163</v>
      </c>
      <c r="F91" s="1375" t="s">
        <v>8226</v>
      </c>
      <c r="G91" s="1375"/>
      <c r="H91" s="1362"/>
      <c r="I91" s="1362"/>
      <c r="J91" s="1362"/>
    </row>
    <row r="92" spans="1:10" ht="20" customHeight="1">
      <c r="A92" s="1370">
        <v>68</v>
      </c>
      <c r="B92" s="1394"/>
      <c r="C92" s="1400"/>
      <c r="D92" s="1372" t="s">
        <v>8248</v>
      </c>
      <c r="E92" s="1378" t="s">
        <v>19</v>
      </c>
      <c r="F92" s="1375"/>
      <c r="G92" s="1375"/>
      <c r="H92" s="1362"/>
      <c r="I92" s="1362"/>
      <c r="J92" s="1362"/>
    </row>
    <row r="93" spans="1:10" ht="17">
      <c r="A93" s="1370">
        <v>69</v>
      </c>
      <c r="B93" s="1394"/>
      <c r="C93" s="1381" t="s">
        <v>61</v>
      </c>
      <c r="D93" s="1375" t="s">
        <v>8265</v>
      </c>
      <c r="E93" s="1378" t="s">
        <v>19</v>
      </c>
      <c r="F93" s="1375"/>
      <c r="G93" s="1375"/>
      <c r="H93" s="1362"/>
      <c r="I93" s="1362"/>
      <c r="J93" s="1362"/>
    </row>
    <row r="94" spans="1:10" ht="20" customHeight="1">
      <c r="A94" s="1370">
        <v>70</v>
      </c>
      <c r="B94" s="1371" t="s">
        <v>62</v>
      </c>
      <c r="C94" s="1381" t="s">
        <v>43</v>
      </c>
      <c r="D94" s="1375" t="s">
        <v>63</v>
      </c>
      <c r="E94" s="1378" t="s">
        <v>19</v>
      </c>
      <c r="F94" s="1375"/>
      <c r="G94" s="1375"/>
      <c r="H94" s="1362"/>
      <c r="I94" s="1362"/>
      <c r="J94" s="1362"/>
    </row>
    <row r="95" spans="1:10" ht="20" customHeight="1">
      <c r="A95" s="1370">
        <v>71</v>
      </c>
      <c r="B95" s="1371" t="s">
        <v>64</v>
      </c>
      <c r="C95" s="1381" t="s">
        <v>43</v>
      </c>
      <c r="D95" s="1375" t="s">
        <v>65</v>
      </c>
      <c r="E95" s="1378" t="s">
        <v>19</v>
      </c>
      <c r="F95" s="1375"/>
      <c r="G95" s="1375"/>
      <c r="H95" s="1362"/>
      <c r="I95" s="1362"/>
      <c r="J95" s="1362"/>
    </row>
    <row r="96" spans="1:10" ht="68">
      <c r="A96" s="1370">
        <v>72</v>
      </c>
      <c r="B96" s="1394" t="s">
        <v>66</v>
      </c>
      <c r="C96" s="1400" t="s">
        <v>8266</v>
      </c>
      <c r="D96" s="1372" t="s">
        <v>8267</v>
      </c>
      <c r="E96" s="1378" t="s">
        <v>19</v>
      </c>
      <c r="F96" s="1375" t="s">
        <v>8268</v>
      </c>
      <c r="G96" s="1375"/>
      <c r="H96" s="1362"/>
      <c r="I96" s="1362"/>
      <c r="J96" s="1362"/>
    </row>
    <row r="97" spans="1:10" ht="34">
      <c r="A97" s="1370">
        <v>73</v>
      </c>
      <c r="B97" s="1394"/>
      <c r="C97" s="1400"/>
      <c r="D97" s="1372" t="s">
        <v>8269</v>
      </c>
      <c r="E97" s="1378" t="s">
        <v>19</v>
      </c>
      <c r="F97" s="1375" t="s">
        <v>8270</v>
      </c>
      <c r="G97" s="1375"/>
      <c r="H97" s="1362"/>
      <c r="I97" s="1362"/>
      <c r="J97" s="1362"/>
    </row>
    <row r="98" spans="1:10" ht="20" customHeight="1">
      <c r="A98" s="1370">
        <v>74</v>
      </c>
      <c r="B98" s="1394"/>
      <c r="C98" s="1381" t="s">
        <v>8271</v>
      </c>
      <c r="D98" s="1372" t="s">
        <v>8272</v>
      </c>
      <c r="E98" s="1378" t="s">
        <v>19</v>
      </c>
      <c r="F98" s="1375" t="s">
        <v>8273</v>
      </c>
      <c r="G98" s="1375" t="s">
        <v>8274</v>
      </c>
      <c r="H98" s="1362"/>
      <c r="I98" s="1362"/>
      <c r="J98" s="1362"/>
    </row>
    <row r="99" spans="1:10" ht="34">
      <c r="A99" s="1370">
        <v>75</v>
      </c>
      <c r="B99" s="1394"/>
      <c r="C99" s="1381" t="s">
        <v>43</v>
      </c>
      <c r="D99" s="1375" t="s">
        <v>68</v>
      </c>
      <c r="E99" s="1378" t="s">
        <v>19</v>
      </c>
      <c r="F99" s="1375"/>
      <c r="G99" s="1375"/>
      <c r="H99" s="1362"/>
      <c r="I99" s="1362"/>
      <c r="J99" s="1362"/>
    </row>
    <row r="100" spans="1:10" ht="40" customHeight="1">
      <c r="A100" s="1370">
        <v>76</v>
      </c>
      <c r="B100" s="1371" t="s">
        <v>8275</v>
      </c>
      <c r="C100" s="1381" t="s">
        <v>8276</v>
      </c>
      <c r="D100" s="1372" t="s">
        <v>8277</v>
      </c>
      <c r="E100" s="1378" t="s">
        <v>19</v>
      </c>
      <c r="F100" s="1375"/>
      <c r="G100" s="1375"/>
      <c r="H100" s="1362"/>
      <c r="I100" s="1362"/>
      <c r="J100" s="1362"/>
    </row>
    <row r="101" spans="1:10" ht="20" customHeight="1" thickBot="1">
      <c r="A101" s="1370">
        <v>77</v>
      </c>
      <c r="B101" s="1384" t="s">
        <v>48</v>
      </c>
      <c r="C101" s="1378"/>
      <c r="D101" s="1375"/>
      <c r="E101" s="1378" t="s">
        <v>19</v>
      </c>
      <c r="F101" s="1375"/>
      <c r="G101" s="1375"/>
      <c r="H101" s="1362"/>
      <c r="I101" s="1362"/>
      <c r="J101" s="1362"/>
    </row>
  </sheetData>
  <mergeCells count="29">
    <mergeCell ref="B96:B99"/>
    <mergeCell ref="C96:C97"/>
    <mergeCell ref="B74:B84"/>
    <mergeCell ref="C74:C77"/>
    <mergeCell ref="C78:C83"/>
    <mergeCell ref="B85:B90"/>
    <mergeCell ref="B91:B93"/>
    <mergeCell ref="C91:C92"/>
    <mergeCell ref="B54:B73"/>
    <mergeCell ref="C54:C57"/>
    <mergeCell ref="C58:C60"/>
    <mergeCell ref="C61:C62"/>
    <mergeCell ref="C63:C65"/>
    <mergeCell ref="C67:C68"/>
    <mergeCell ref="C69:C71"/>
    <mergeCell ref="B13:B23"/>
    <mergeCell ref="C13:C23"/>
    <mergeCell ref="C24:G24"/>
    <mergeCell ref="B25:B53"/>
    <mergeCell ref="C25:C34"/>
    <mergeCell ref="C35:C43"/>
    <mergeCell ref="C44:C47"/>
    <mergeCell ref="C48:C49"/>
    <mergeCell ref="A1:G1"/>
    <mergeCell ref="A2:G2"/>
    <mergeCell ref="A3:G3"/>
    <mergeCell ref="C5:G5"/>
    <mergeCell ref="B6:B12"/>
    <mergeCell ref="C6:C12"/>
  </mergeCells>
  <phoneticPr fontId="84" type="noConversion"/>
  <conditionalFormatting sqref="E4">
    <cfRule type="cellIs" dxfId="2" priority="3" operator="equal">
      <formula>"是"</formula>
    </cfRule>
  </conditionalFormatting>
  <conditionalFormatting sqref="E6:E23">
    <cfRule type="cellIs" dxfId="1" priority="1" operator="equal">
      <formula>"是"</formula>
    </cfRule>
  </conditionalFormatting>
  <conditionalFormatting sqref="E25:E1048576 H33">
    <cfRule type="cellIs" dxfId="0" priority="2" operator="equal">
      <formula>"是"</formula>
    </cfRule>
  </conditionalFormatting>
  <dataValidations count="1">
    <dataValidation type="list" allowBlank="1" showInputMessage="1" showErrorMessage="1" sqref="H33 E35:E101 E25:E33" xr:uid="{7B00009D-85B5-6F43-A015-0DDA483E50A4}">
      <formula1>"是,否"</formula1>
    </dataValidation>
  </dataValidations>
  <printOptions horizontalCentered="1"/>
  <pageMargins left="0.47244094488188981" right="0.47244094488188981" top="0.59055118110236227" bottom="0.59055118110236227" header="0.31496062992125984" footer="0.31496062992125984"/>
  <pageSetup paperSize="9" scale="54" fitToHeight="0" orientation="portrait" r:id="rId1"/>
  <headerFooter>
    <oddFooter>&amp;C&amp;P</oddFooter>
  </headerFooter>
  <rowBreaks count="2" manualBreakCount="2">
    <brk id="53" max="6" man="1"/>
    <brk id="84"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J131"/>
  <sheetViews>
    <sheetView zoomScale="130" workbookViewId="0">
      <selection activeCell="L6" sqref="L6"/>
    </sheetView>
  </sheetViews>
  <sheetFormatPr baseColWidth="10" defaultColWidth="10" defaultRowHeight="31.75" customHeight="1" outlineLevelRow="2"/>
  <cols>
    <col min="1" max="2" width="6" style="591" customWidth="1"/>
    <col min="3" max="3" width="20" style="591" customWidth="1"/>
    <col min="4" max="5" width="12.5" style="591" customWidth="1"/>
    <col min="6" max="6" width="23.6640625" style="591" customWidth="1"/>
    <col min="7" max="7" width="11.1640625" style="591" customWidth="1"/>
    <col min="8" max="8" width="25.5" style="591" customWidth="1"/>
    <col min="9" max="9" width="32.5" style="591" customWidth="1"/>
    <col min="10" max="10" width="17.83203125" style="591" customWidth="1"/>
  </cols>
  <sheetData>
    <row r="1" spans="1:10" s="585" customFormat="1" ht="32.25" customHeight="1">
      <c r="A1" s="1403" t="s">
        <v>69</v>
      </c>
      <c r="B1" s="1403"/>
      <c r="C1" s="1403"/>
      <c r="D1" s="1403"/>
      <c r="E1" s="1403"/>
      <c r="F1" s="1403"/>
      <c r="G1" s="1403"/>
      <c r="H1" s="1403"/>
      <c r="I1" s="1403"/>
      <c r="J1" s="1403"/>
    </row>
    <row r="2" spans="1:10" s="585" customFormat="1" ht="25.5" customHeight="1">
      <c r="A2" s="1404" t="s">
        <v>70</v>
      </c>
      <c r="B2" s="1404"/>
      <c r="C2" s="1404"/>
      <c r="D2" s="1404"/>
      <c r="E2" s="1404"/>
      <c r="F2" s="1404"/>
      <c r="G2" s="1404"/>
      <c r="H2" s="1404"/>
      <c r="I2" s="1404"/>
      <c r="J2" s="1404"/>
    </row>
    <row r="3" spans="1:10" s="585" customFormat="1" ht="25.5" customHeight="1" outlineLevel="2">
      <c r="A3" s="1405" t="s">
        <v>71</v>
      </c>
      <c r="B3" s="1405"/>
      <c r="C3" s="592" t="s">
        <v>72</v>
      </c>
      <c r="D3" s="592" t="s">
        <v>73</v>
      </c>
      <c r="E3" s="592" t="s">
        <v>74</v>
      </c>
      <c r="F3" s="592" t="s">
        <v>75</v>
      </c>
      <c r="G3" s="592" t="s">
        <v>76</v>
      </c>
      <c r="H3" s="592" t="s">
        <v>77</v>
      </c>
      <c r="I3" s="592" t="s">
        <v>78</v>
      </c>
      <c r="J3" s="592" t="s">
        <v>78</v>
      </c>
    </row>
    <row r="4" spans="1:10" s="586" customFormat="1" ht="24.75" customHeight="1" outlineLevel="2">
      <c r="A4" s="1409" t="s">
        <v>79</v>
      </c>
      <c r="B4" s="1409"/>
      <c r="C4" s="594" t="s">
        <v>80</v>
      </c>
      <c r="D4" s="594" t="s">
        <v>81</v>
      </c>
      <c r="E4" s="594" t="s">
        <v>82</v>
      </c>
      <c r="F4" s="594" t="s">
        <v>83</v>
      </c>
      <c r="G4" s="594" t="s">
        <v>84</v>
      </c>
      <c r="H4" s="594"/>
      <c r="I4" s="607" t="s">
        <v>85</v>
      </c>
      <c r="J4" s="1409" t="s">
        <v>86</v>
      </c>
    </row>
    <row r="5" spans="1:10" s="586" customFormat="1" ht="25.5" customHeight="1" outlineLevel="2">
      <c r="A5" s="1409"/>
      <c r="B5" s="1409"/>
      <c r="C5" s="594" t="s">
        <v>87</v>
      </c>
      <c r="D5" s="594" t="s">
        <v>81</v>
      </c>
      <c r="E5" s="594" t="s">
        <v>82</v>
      </c>
      <c r="F5" s="594" t="s">
        <v>88</v>
      </c>
      <c r="G5" s="594" t="s">
        <v>84</v>
      </c>
      <c r="H5" s="594"/>
      <c r="I5" s="607" t="s">
        <v>89</v>
      </c>
      <c r="J5" s="1409"/>
    </row>
    <row r="6" spans="1:10" s="586" customFormat="1" ht="92.25" customHeight="1" outlineLevel="2">
      <c r="A6" s="1409" t="s">
        <v>90</v>
      </c>
      <c r="B6" s="1412" t="s">
        <v>91</v>
      </c>
      <c r="C6" s="594" t="s">
        <v>92</v>
      </c>
      <c r="D6" s="594"/>
      <c r="E6" s="594" t="s">
        <v>93</v>
      </c>
      <c r="F6" s="594" t="s">
        <v>82</v>
      </c>
      <c r="G6" s="594"/>
      <c r="H6" s="593" t="s">
        <v>94</v>
      </c>
      <c r="I6" s="608" t="s">
        <v>95</v>
      </c>
      <c r="J6" s="1409"/>
    </row>
    <row r="7" spans="1:10" s="586" customFormat="1" ht="56.25" customHeight="1" outlineLevel="2">
      <c r="A7" s="1409"/>
      <c r="B7" s="1413"/>
      <c r="C7" s="595" t="s">
        <v>96</v>
      </c>
      <c r="D7" s="595"/>
      <c r="E7" s="595" t="s">
        <v>93</v>
      </c>
      <c r="F7" s="595" t="s">
        <v>82</v>
      </c>
      <c r="G7" s="595"/>
      <c r="H7" s="596" t="s">
        <v>97</v>
      </c>
      <c r="I7" s="596" t="s">
        <v>82</v>
      </c>
      <c r="J7" s="1411" t="s">
        <v>98</v>
      </c>
    </row>
    <row r="8" spans="1:10" s="586" customFormat="1" ht="67.5" customHeight="1" outlineLevel="2">
      <c r="A8" s="1409"/>
      <c r="B8" s="1413"/>
      <c r="C8" s="595" t="s">
        <v>99</v>
      </c>
      <c r="D8" s="595"/>
      <c r="E8" s="595" t="s">
        <v>93</v>
      </c>
      <c r="F8" s="595" t="s">
        <v>82</v>
      </c>
      <c r="G8" s="595"/>
      <c r="H8" s="596" t="s">
        <v>100</v>
      </c>
      <c r="I8" s="596" t="s">
        <v>82</v>
      </c>
      <c r="J8" s="1411"/>
    </row>
    <row r="9" spans="1:10" s="586" customFormat="1" ht="25.5" customHeight="1" outlineLevel="2">
      <c r="A9" s="1409"/>
      <c r="B9" s="1413"/>
      <c r="C9" s="1408" t="s">
        <v>101</v>
      </c>
      <c r="D9" s="593" t="s">
        <v>102</v>
      </c>
      <c r="E9" s="594" t="s">
        <v>103</v>
      </c>
      <c r="F9" s="594">
        <v>38</v>
      </c>
      <c r="G9" s="597" t="s">
        <v>104</v>
      </c>
      <c r="H9" s="1409" t="s">
        <v>105</v>
      </c>
      <c r="I9" s="1410" t="s">
        <v>106</v>
      </c>
      <c r="J9" s="1412" t="s">
        <v>86</v>
      </c>
    </row>
    <row r="10" spans="1:10" s="586" customFormat="1" ht="25.5" customHeight="1" outlineLevel="2">
      <c r="A10" s="1409"/>
      <c r="B10" s="1413"/>
      <c r="C10" s="1408"/>
      <c r="D10" s="593" t="s">
        <v>107</v>
      </c>
      <c r="E10" s="594" t="s">
        <v>103</v>
      </c>
      <c r="F10" s="594">
        <v>40</v>
      </c>
      <c r="G10" s="597" t="s">
        <v>104</v>
      </c>
      <c r="H10" s="1409"/>
      <c r="I10" s="1410"/>
      <c r="J10" s="1413"/>
    </row>
    <row r="11" spans="1:10" s="586" customFormat="1" ht="48" customHeight="1" outlineLevel="2">
      <c r="A11" s="1409"/>
      <c r="B11" s="1413"/>
      <c r="C11" s="1408" t="s">
        <v>108</v>
      </c>
      <c r="D11" s="594" t="s">
        <v>81</v>
      </c>
      <c r="E11" s="594" t="s">
        <v>82</v>
      </c>
      <c r="F11" s="598">
        <v>5.6000000000000001E-2</v>
      </c>
      <c r="G11" s="597" t="s">
        <v>104</v>
      </c>
      <c r="H11" s="593" t="s">
        <v>109</v>
      </c>
      <c r="I11" s="607" t="s">
        <v>110</v>
      </c>
      <c r="J11" s="1413"/>
    </row>
    <row r="12" spans="1:10" s="586" customFormat="1" ht="25.5" customHeight="1" outlineLevel="2">
      <c r="A12" s="1409"/>
      <c r="B12" s="1413"/>
      <c r="C12" s="1408"/>
      <c r="D12" s="1408" t="s">
        <v>111</v>
      </c>
      <c r="E12" s="594" t="s">
        <v>82</v>
      </c>
      <c r="F12" s="593" t="s">
        <v>112</v>
      </c>
      <c r="G12" s="597" t="s">
        <v>104</v>
      </c>
      <c r="H12" s="1409" t="s">
        <v>109</v>
      </c>
      <c r="I12" s="1410" t="s">
        <v>110</v>
      </c>
      <c r="J12" s="1413"/>
    </row>
    <row r="13" spans="1:10" s="586" customFormat="1" ht="25.5" customHeight="1" outlineLevel="2">
      <c r="A13" s="1409"/>
      <c r="B13" s="1413"/>
      <c r="C13" s="1408"/>
      <c r="D13" s="1408"/>
      <c r="E13" s="594" t="s">
        <v>82</v>
      </c>
      <c r="F13" s="593" t="s">
        <v>113</v>
      </c>
      <c r="G13" s="597" t="s">
        <v>104</v>
      </c>
      <c r="H13" s="1409"/>
      <c r="I13" s="1410"/>
      <c r="J13" s="1413"/>
    </row>
    <row r="14" spans="1:10" s="586" customFormat="1" ht="25.5" customHeight="1" outlineLevel="2">
      <c r="A14" s="1409"/>
      <c r="B14" s="1413"/>
      <c r="C14" s="1408"/>
      <c r="D14" s="1408"/>
      <c r="E14" s="594" t="s">
        <v>82</v>
      </c>
      <c r="F14" s="593" t="s">
        <v>114</v>
      </c>
      <c r="G14" s="597" t="s">
        <v>104</v>
      </c>
      <c r="H14" s="1409"/>
      <c r="I14" s="1410"/>
      <c r="J14" s="1413"/>
    </row>
    <row r="15" spans="1:10" s="586" customFormat="1" ht="25.5" customHeight="1" outlineLevel="2">
      <c r="A15" s="1409"/>
      <c r="B15" s="1414"/>
      <c r="C15" s="1408"/>
      <c r="D15" s="594" t="s">
        <v>115</v>
      </c>
      <c r="E15" s="594" t="s">
        <v>82</v>
      </c>
      <c r="F15" s="599">
        <v>0.08</v>
      </c>
      <c r="G15" s="597" t="s">
        <v>104</v>
      </c>
      <c r="H15" s="1409"/>
      <c r="I15" s="1410"/>
      <c r="J15" s="1414"/>
    </row>
    <row r="16" spans="1:10" s="586" customFormat="1" ht="94.5" customHeight="1" outlineLevel="2">
      <c r="A16" s="1409"/>
      <c r="B16" s="1412" t="s">
        <v>116</v>
      </c>
      <c r="C16" s="594" t="s">
        <v>117</v>
      </c>
      <c r="D16" s="594"/>
      <c r="E16" s="594" t="s">
        <v>82</v>
      </c>
      <c r="F16" s="599">
        <v>0.56999999999999995</v>
      </c>
      <c r="G16" s="597" t="s">
        <v>104</v>
      </c>
      <c r="H16" s="593" t="s">
        <v>118</v>
      </c>
      <c r="I16" s="607" t="s">
        <v>119</v>
      </c>
      <c r="J16" s="593" t="s">
        <v>86</v>
      </c>
    </row>
    <row r="17" spans="1:10" s="586" customFormat="1" ht="45" customHeight="1" outlineLevel="2">
      <c r="A17" s="1409"/>
      <c r="B17" s="1413"/>
      <c r="C17" s="595" t="s">
        <v>120</v>
      </c>
      <c r="D17" s="595"/>
      <c r="E17" s="595"/>
      <c r="F17" s="600" t="s">
        <v>82</v>
      </c>
      <c r="G17" s="601" t="s">
        <v>82</v>
      </c>
      <c r="H17" s="596" t="s">
        <v>120</v>
      </c>
      <c r="I17" s="609" t="s">
        <v>121</v>
      </c>
      <c r="J17" s="596" t="s">
        <v>98</v>
      </c>
    </row>
    <row r="18" spans="1:10" s="586" customFormat="1" ht="39" customHeight="1" outlineLevel="2">
      <c r="A18" s="1409"/>
      <c r="B18" s="1413"/>
      <c r="C18" s="595" t="s">
        <v>122</v>
      </c>
      <c r="D18" s="595"/>
      <c r="E18" s="595" t="s">
        <v>123</v>
      </c>
      <c r="F18" s="600"/>
      <c r="G18" s="601"/>
      <c r="H18" s="596" t="s">
        <v>124</v>
      </c>
      <c r="I18" s="609" t="s">
        <v>125</v>
      </c>
      <c r="J18" s="1422" t="s">
        <v>126</v>
      </c>
    </row>
    <row r="19" spans="1:10" s="586" customFormat="1" ht="39" customHeight="1" outlineLevel="2">
      <c r="A19" s="1409"/>
      <c r="B19" s="1413"/>
      <c r="C19" s="595" t="s">
        <v>127</v>
      </c>
      <c r="D19" s="595"/>
      <c r="E19" s="595" t="s">
        <v>123</v>
      </c>
      <c r="F19" s="600"/>
      <c r="G19" s="601"/>
      <c r="H19" s="596" t="s">
        <v>128</v>
      </c>
      <c r="I19" s="609" t="s">
        <v>129</v>
      </c>
      <c r="J19" s="1423"/>
    </row>
    <row r="20" spans="1:10" s="586" customFormat="1" ht="39" customHeight="1" outlineLevel="2">
      <c r="A20" s="1409"/>
      <c r="B20" s="1414"/>
      <c r="C20" s="594" t="s">
        <v>130</v>
      </c>
      <c r="D20" s="594"/>
      <c r="E20" s="594" t="s">
        <v>131</v>
      </c>
      <c r="F20" s="593" t="s">
        <v>132</v>
      </c>
      <c r="G20" s="594" t="s">
        <v>84</v>
      </c>
      <c r="H20" s="593"/>
      <c r="I20" s="607" t="s">
        <v>133</v>
      </c>
      <c r="J20" s="610" t="s">
        <v>86</v>
      </c>
    </row>
    <row r="21" spans="1:10" s="586" customFormat="1" ht="25.5" customHeight="1" outlineLevel="2">
      <c r="A21" s="1409"/>
      <c r="B21" s="1409" t="s">
        <v>134</v>
      </c>
      <c r="C21" s="1408" t="s">
        <v>135</v>
      </c>
      <c r="D21" s="594" t="s">
        <v>136</v>
      </c>
      <c r="E21" s="594" t="s">
        <v>82</v>
      </c>
      <c r="F21" s="594" t="s">
        <v>137</v>
      </c>
      <c r="G21" s="597" t="s">
        <v>104</v>
      </c>
      <c r="H21" s="1409" t="s">
        <v>138</v>
      </c>
      <c r="I21" s="1410" t="s">
        <v>139</v>
      </c>
      <c r="J21" s="1412" t="s">
        <v>86</v>
      </c>
    </row>
    <row r="22" spans="1:10" s="586" customFormat="1" ht="25.5" customHeight="1" outlineLevel="2">
      <c r="A22" s="1409"/>
      <c r="B22" s="1409"/>
      <c r="C22" s="1408"/>
      <c r="D22" s="594" t="s">
        <v>140</v>
      </c>
      <c r="E22" s="594" t="s">
        <v>82</v>
      </c>
      <c r="F22" s="594" t="s">
        <v>141</v>
      </c>
      <c r="G22" s="597" t="s">
        <v>104</v>
      </c>
      <c r="H22" s="1409"/>
      <c r="I22" s="1410"/>
      <c r="J22" s="1413"/>
    </row>
    <row r="23" spans="1:10" s="586" customFormat="1" ht="25.5" customHeight="1" outlineLevel="2">
      <c r="A23" s="1409"/>
      <c r="B23" s="1409"/>
      <c r="C23" s="1408"/>
      <c r="D23" s="594" t="s">
        <v>142</v>
      </c>
      <c r="E23" s="594" t="s">
        <v>82</v>
      </c>
      <c r="F23" s="594" t="s">
        <v>143</v>
      </c>
      <c r="G23" s="597" t="s">
        <v>104</v>
      </c>
      <c r="H23" s="1409"/>
      <c r="I23" s="1410"/>
      <c r="J23" s="1413"/>
    </row>
    <row r="24" spans="1:10" s="586" customFormat="1" ht="25.5" customHeight="1" outlineLevel="2">
      <c r="A24" s="1409"/>
      <c r="B24" s="1409"/>
      <c r="C24" s="594" t="s">
        <v>130</v>
      </c>
      <c r="D24" s="594"/>
      <c r="E24" s="594" t="s">
        <v>131</v>
      </c>
      <c r="F24" s="594" t="s">
        <v>144</v>
      </c>
      <c r="G24" s="594" t="s">
        <v>84</v>
      </c>
      <c r="H24" s="593"/>
      <c r="I24" s="607" t="s">
        <v>133</v>
      </c>
      <c r="J24" s="1413"/>
    </row>
    <row r="25" spans="1:10" s="586" customFormat="1" ht="25.5" customHeight="1" outlineLevel="2">
      <c r="A25" s="1409"/>
      <c r="B25" s="1409"/>
      <c r="C25" s="1408" t="s">
        <v>145</v>
      </c>
      <c r="D25" s="594" t="s">
        <v>136</v>
      </c>
      <c r="E25" s="594" t="s">
        <v>93</v>
      </c>
      <c r="F25" s="594" t="s">
        <v>146</v>
      </c>
      <c r="G25" s="594" t="s">
        <v>84</v>
      </c>
      <c r="H25" s="593"/>
      <c r="I25" s="1410" t="s">
        <v>133</v>
      </c>
      <c r="J25" s="1413"/>
    </row>
    <row r="26" spans="1:10" s="586" customFormat="1" ht="25.5" customHeight="1" outlineLevel="2">
      <c r="A26" s="1409"/>
      <c r="B26" s="1409"/>
      <c r="C26" s="1408"/>
      <c r="D26" s="594" t="s">
        <v>140</v>
      </c>
      <c r="E26" s="594" t="s">
        <v>93</v>
      </c>
      <c r="F26" s="594" t="s">
        <v>147</v>
      </c>
      <c r="G26" s="594" t="s">
        <v>84</v>
      </c>
      <c r="H26" s="593"/>
      <c r="I26" s="1410"/>
      <c r="J26" s="1413"/>
    </row>
    <row r="27" spans="1:10" s="586" customFormat="1" ht="25.5" customHeight="1" outlineLevel="2">
      <c r="A27" s="1409"/>
      <c r="B27" s="1409"/>
      <c r="C27" s="1408"/>
      <c r="D27" s="594" t="s">
        <v>142</v>
      </c>
      <c r="E27" s="594" t="s">
        <v>93</v>
      </c>
      <c r="F27" s="594" t="s">
        <v>148</v>
      </c>
      <c r="G27" s="594" t="s">
        <v>84</v>
      </c>
      <c r="H27" s="593"/>
      <c r="I27" s="1410"/>
      <c r="J27" s="1414"/>
    </row>
    <row r="28" spans="1:10" s="586" customFormat="1" ht="25.5" customHeight="1" outlineLevel="2">
      <c r="A28" s="1409"/>
      <c r="B28" s="1409"/>
      <c r="C28" s="595" t="s">
        <v>149</v>
      </c>
      <c r="D28" s="595"/>
      <c r="E28" s="595" t="s">
        <v>93</v>
      </c>
      <c r="F28" s="595" t="s">
        <v>82</v>
      </c>
      <c r="G28" s="602" t="s">
        <v>82</v>
      </c>
      <c r="H28" s="596"/>
      <c r="I28" s="609" t="s">
        <v>150</v>
      </c>
      <c r="J28" s="1422" t="s">
        <v>151</v>
      </c>
    </row>
    <row r="29" spans="1:10" s="586" customFormat="1" ht="25.5" customHeight="1" outlineLevel="2">
      <c r="A29" s="1409"/>
      <c r="B29" s="1409"/>
      <c r="C29" s="595" t="s">
        <v>152</v>
      </c>
      <c r="D29" s="595"/>
      <c r="E29" s="595" t="s">
        <v>153</v>
      </c>
      <c r="F29" s="595" t="s">
        <v>82</v>
      </c>
      <c r="G29" s="602" t="s">
        <v>82</v>
      </c>
      <c r="H29" s="596"/>
      <c r="I29" s="609" t="s">
        <v>154</v>
      </c>
      <c r="J29" s="1423"/>
    </row>
    <row r="30" spans="1:10" s="586" customFormat="1" ht="25.5" customHeight="1" outlineLevel="2">
      <c r="A30" s="1409"/>
      <c r="B30" s="1409"/>
      <c r="C30" s="595" t="s">
        <v>155</v>
      </c>
      <c r="D30" s="595"/>
      <c r="E30" s="595" t="s">
        <v>156</v>
      </c>
      <c r="F30" s="595" t="s">
        <v>82</v>
      </c>
      <c r="G30" s="602" t="s">
        <v>82</v>
      </c>
      <c r="H30" s="596"/>
      <c r="I30" s="609" t="s">
        <v>157</v>
      </c>
      <c r="J30" s="1424"/>
    </row>
    <row r="31" spans="1:10" s="586" customFormat="1" ht="25.5" customHeight="1" outlineLevel="2">
      <c r="A31" s="1409"/>
      <c r="B31" s="1409"/>
      <c r="C31" s="594" t="s">
        <v>158</v>
      </c>
      <c r="D31" s="594"/>
      <c r="E31" s="594" t="s">
        <v>82</v>
      </c>
      <c r="F31" s="594" t="s">
        <v>82</v>
      </c>
      <c r="G31" s="594" t="s">
        <v>84</v>
      </c>
      <c r="H31" s="593"/>
      <c r="I31" s="607" t="s">
        <v>159</v>
      </c>
      <c r="J31" s="610" t="s">
        <v>86</v>
      </c>
    </row>
    <row r="32" spans="1:10" s="586" customFormat="1" ht="25.5" customHeight="1" outlineLevel="2">
      <c r="A32" s="1409"/>
      <c r="B32" s="1409" t="s">
        <v>160</v>
      </c>
      <c r="C32" s="594" t="s">
        <v>161</v>
      </c>
      <c r="D32" s="1408" t="s">
        <v>162</v>
      </c>
      <c r="E32" s="594" t="s">
        <v>93</v>
      </c>
      <c r="F32" s="594" t="s">
        <v>163</v>
      </c>
      <c r="G32" s="594" t="s">
        <v>84</v>
      </c>
      <c r="H32" s="1409" t="s">
        <v>164</v>
      </c>
      <c r="I32" s="1410" t="s">
        <v>165</v>
      </c>
      <c r="J32" s="1412" t="s">
        <v>86</v>
      </c>
    </row>
    <row r="33" spans="1:10" s="586" customFormat="1" ht="25.5" customHeight="1" outlineLevel="2">
      <c r="A33" s="1409"/>
      <c r="B33" s="1409"/>
      <c r="C33" s="594" t="s">
        <v>166</v>
      </c>
      <c r="D33" s="1408"/>
      <c r="E33" s="594" t="s">
        <v>167</v>
      </c>
      <c r="F33" s="594" t="s">
        <v>168</v>
      </c>
      <c r="G33" s="594" t="s">
        <v>84</v>
      </c>
      <c r="H33" s="1409"/>
      <c r="I33" s="1410"/>
      <c r="J33" s="1413"/>
    </row>
    <row r="34" spans="1:10" s="586" customFormat="1" ht="25.5" customHeight="1" outlineLevel="2">
      <c r="A34" s="1409"/>
      <c r="B34" s="1409"/>
      <c r="C34" s="594" t="s">
        <v>169</v>
      </c>
      <c r="D34" s="1408"/>
      <c r="E34" s="594" t="s">
        <v>170</v>
      </c>
      <c r="F34" s="594" t="s">
        <v>171</v>
      </c>
      <c r="G34" s="597" t="s">
        <v>104</v>
      </c>
      <c r="H34" s="1409"/>
      <c r="I34" s="1410"/>
      <c r="J34" s="1413"/>
    </row>
    <row r="35" spans="1:10" s="586" customFormat="1" ht="25.5" customHeight="1" outlineLevel="2">
      <c r="A35" s="1409"/>
      <c r="B35" s="1409"/>
      <c r="C35" s="594" t="s">
        <v>161</v>
      </c>
      <c r="D35" s="1408" t="s">
        <v>172</v>
      </c>
      <c r="E35" s="594" t="s">
        <v>93</v>
      </c>
      <c r="F35" s="594" t="s">
        <v>173</v>
      </c>
      <c r="G35" s="594" t="s">
        <v>84</v>
      </c>
      <c r="H35" s="1409"/>
      <c r="I35" s="1410"/>
      <c r="J35" s="1413"/>
    </row>
    <row r="36" spans="1:10" s="586" customFormat="1" ht="25.5" customHeight="1" outlineLevel="2">
      <c r="A36" s="1409"/>
      <c r="B36" s="1409"/>
      <c r="C36" s="594" t="s">
        <v>166</v>
      </c>
      <c r="D36" s="1408"/>
      <c r="E36" s="594" t="s">
        <v>167</v>
      </c>
      <c r="F36" s="594" t="s">
        <v>168</v>
      </c>
      <c r="G36" s="594" t="s">
        <v>84</v>
      </c>
      <c r="H36" s="1409"/>
      <c r="I36" s="1410"/>
      <c r="J36" s="1413"/>
    </row>
    <row r="37" spans="1:10" s="586" customFormat="1" ht="25.5" customHeight="1" outlineLevel="2">
      <c r="A37" s="1409"/>
      <c r="B37" s="1409"/>
      <c r="C37" s="594" t="s">
        <v>169</v>
      </c>
      <c r="D37" s="1408"/>
      <c r="E37" s="594" t="s">
        <v>170</v>
      </c>
      <c r="F37" s="594" t="s">
        <v>174</v>
      </c>
      <c r="G37" s="597" t="s">
        <v>104</v>
      </c>
      <c r="H37" s="1409"/>
      <c r="I37" s="1410"/>
      <c r="J37" s="1413"/>
    </row>
    <row r="38" spans="1:10" s="586" customFormat="1" ht="25.5" customHeight="1" outlineLevel="2">
      <c r="A38" s="1409"/>
      <c r="B38" s="1409"/>
      <c r="C38" s="594" t="s">
        <v>161</v>
      </c>
      <c r="D38" s="1408" t="s">
        <v>175</v>
      </c>
      <c r="E38" s="594" t="s">
        <v>93</v>
      </c>
      <c r="F38" s="594" t="s">
        <v>176</v>
      </c>
      <c r="G38" s="594" t="s">
        <v>84</v>
      </c>
      <c r="H38" s="1409"/>
      <c r="I38" s="1410"/>
      <c r="J38" s="1413"/>
    </row>
    <row r="39" spans="1:10" s="586" customFormat="1" ht="25.5" customHeight="1" outlineLevel="2">
      <c r="A39" s="1409"/>
      <c r="B39" s="1409"/>
      <c r="C39" s="594" t="s">
        <v>166</v>
      </c>
      <c r="D39" s="1408"/>
      <c r="E39" s="594" t="s">
        <v>167</v>
      </c>
      <c r="F39" s="594" t="s">
        <v>177</v>
      </c>
      <c r="G39" s="594" t="s">
        <v>84</v>
      </c>
      <c r="H39" s="1409"/>
      <c r="I39" s="1410"/>
      <c r="J39" s="1413"/>
    </row>
    <row r="40" spans="1:10" s="586" customFormat="1" ht="25.5" customHeight="1" outlineLevel="2">
      <c r="A40" s="1409"/>
      <c r="B40" s="1409"/>
      <c r="C40" s="594" t="s">
        <v>169</v>
      </c>
      <c r="D40" s="1408"/>
      <c r="E40" s="594" t="s">
        <v>170</v>
      </c>
      <c r="F40" s="594" t="s">
        <v>178</v>
      </c>
      <c r="G40" s="597" t="s">
        <v>104</v>
      </c>
      <c r="H40" s="1409"/>
      <c r="I40" s="1410"/>
      <c r="J40" s="1414"/>
    </row>
    <row r="41" spans="1:10" s="586" customFormat="1" ht="25.5" customHeight="1" outlineLevel="2">
      <c r="A41" s="1409"/>
      <c r="B41" s="1409"/>
      <c r="C41" s="595" t="s">
        <v>179</v>
      </c>
      <c r="D41" s="595" t="s">
        <v>82</v>
      </c>
      <c r="E41" s="595" t="s">
        <v>123</v>
      </c>
      <c r="F41" s="595" t="s">
        <v>82</v>
      </c>
      <c r="G41" s="603" t="s">
        <v>82</v>
      </c>
      <c r="H41" s="596" t="s">
        <v>180</v>
      </c>
      <c r="I41" s="609"/>
      <c r="J41" s="609" t="s">
        <v>181</v>
      </c>
    </row>
    <row r="42" spans="1:10" s="586" customFormat="1" ht="25.5" customHeight="1" outlineLevel="2">
      <c r="A42" s="1409"/>
      <c r="B42" s="1409"/>
      <c r="C42" s="1408" t="s">
        <v>130</v>
      </c>
      <c r="D42" s="594" t="s">
        <v>162</v>
      </c>
      <c r="E42" s="594" t="s">
        <v>131</v>
      </c>
      <c r="F42" s="594">
        <v>3.6</v>
      </c>
      <c r="G42" s="594" t="s">
        <v>84</v>
      </c>
      <c r="H42" s="593"/>
      <c r="I42" s="1410" t="s">
        <v>133</v>
      </c>
      <c r="J42" s="1409" t="s">
        <v>86</v>
      </c>
    </row>
    <row r="43" spans="1:10" s="586" customFormat="1" ht="25.5" customHeight="1" outlineLevel="2">
      <c r="A43" s="1409"/>
      <c r="B43" s="1409"/>
      <c r="C43" s="1408"/>
      <c r="D43" s="594" t="s">
        <v>172</v>
      </c>
      <c r="E43" s="594" t="s">
        <v>131</v>
      </c>
      <c r="F43" s="594">
        <v>3.6</v>
      </c>
      <c r="G43" s="594" t="s">
        <v>84</v>
      </c>
      <c r="H43" s="593"/>
      <c r="I43" s="1410"/>
      <c r="J43" s="1409"/>
    </row>
    <row r="44" spans="1:10" s="586" customFormat="1" ht="25.5" customHeight="1" outlineLevel="2">
      <c r="A44" s="1409"/>
      <c r="B44" s="1409"/>
      <c r="C44" s="1408"/>
      <c r="D44" s="594" t="s">
        <v>175</v>
      </c>
      <c r="E44" s="594" t="s">
        <v>131</v>
      </c>
      <c r="F44" s="594">
        <v>3.5</v>
      </c>
      <c r="G44" s="594" t="s">
        <v>84</v>
      </c>
      <c r="H44" s="593"/>
      <c r="I44" s="1410"/>
      <c r="J44" s="1409"/>
    </row>
    <row r="45" spans="1:10" s="586" customFormat="1" ht="25.5" customHeight="1" outlineLevel="2">
      <c r="A45" s="1409"/>
      <c r="B45" s="1409"/>
      <c r="C45" s="1408" t="s">
        <v>182</v>
      </c>
      <c r="D45" s="594" t="s">
        <v>162</v>
      </c>
      <c r="E45" s="594" t="s">
        <v>131</v>
      </c>
      <c r="F45" s="594">
        <v>4.5</v>
      </c>
      <c r="G45" s="594" t="s">
        <v>84</v>
      </c>
      <c r="H45" s="593"/>
      <c r="I45" s="1410" t="s">
        <v>183</v>
      </c>
      <c r="J45" s="1409"/>
    </row>
    <row r="46" spans="1:10" s="586" customFormat="1" ht="25.5" customHeight="1" outlineLevel="2">
      <c r="A46" s="1409"/>
      <c r="B46" s="1409"/>
      <c r="C46" s="1408"/>
      <c r="D46" s="594" t="s">
        <v>172</v>
      </c>
      <c r="E46" s="594" t="s">
        <v>131</v>
      </c>
      <c r="F46" s="594">
        <v>4.2</v>
      </c>
      <c r="G46" s="594" t="s">
        <v>84</v>
      </c>
      <c r="H46" s="593"/>
      <c r="I46" s="1410"/>
      <c r="J46" s="1409"/>
    </row>
    <row r="47" spans="1:10" s="586" customFormat="1" ht="25.5" customHeight="1" outlineLevel="2">
      <c r="A47" s="1409"/>
      <c r="B47" s="1409"/>
      <c r="C47" s="1408"/>
      <c r="D47" s="594" t="s">
        <v>175</v>
      </c>
      <c r="E47" s="594" t="s">
        <v>131</v>
      </c>
      <c r="F47" s="594" t="s">
        <v>184</v>
      </c>
      <c r="G47" s="594" t="s">
        <v>84</v>
      </c>
      <c r="H47" s="594"/>
      <c r="I47" s="1410"/>
      <c r="J47" s="1409"/>
    </row>
    <row r="48" spans="1:10" s="587" customFormat="1" ht="25.5" customHeight="1">
      <c r="A48" s="1404" t="s">
        <v>185</v>
      </c>
      <c r="B48" s="1404"/>
      <c r="C48" s="1404"/>
      <c r="D48" s="1404"/>
      <c r="E48" s="1404"/>
      <c r="F48" s="1404"/>
      <c r="G48" s="1404"/>
      <c r="H48" s="1404"/>
      <c r="I48" s="1404"/>
      <c r="J48" s="1404"/>
    </row>
    <row r="49" spans="1:10" s="587" customFormat="1" ht="25.5" customHeight="1" outlineLevel="1">
      <c r="A49" s="1406" t="s">
        <v>186</v>
      </c>
      <c r="B49" s="1406"/>
      <c r="C49" s="1406"/>
      <c r="D49" s="1406"/>
      <c r="E49" s="1406"/>
      <c r="F49" s="1406"/>
      <c r="G49" s="1406"/>
      <c r="H49" s="1406"/>
      <c r="I49" s="1406"/>
      <c r="J49" s="1406"/>
    </row>
    <row r="50" spans="1:10" s="585" customFormat="1" ht="25.5" customHeight="1" outlineLevel="2">
      <c r="A50" s="1405" t="s">
        <v>11</v>
      </c>
      <c r="B50" s="1405"/>
      <c r="C50" s="1407" t="s">
        <v>187</v>
      </c>
      <c r="D50" s="1407" t="s">
        <v>188</v>
      </c>
      <c r="E50" s="1407"/>
      <c r="F50" s="1407"/>
      <c r="G50" s="1407"/>
      <c r="H50" s="1407"/>
      <c r="I50" s="1407"/>
      <c r="J50" s="1407"/>
    </row>
    <row r="51" spans="1:10" s="585" customFormat="1" ht="25.5" customHeight="1" outlineLevel="2">
      <c r="A51" s="1405"/>
      <c r="B51" s="1405"/>
      <c r="C51" s="1407"/>
      <c r="D51" s="1407" t="s">
        <v>52</v>
      </c>
      <c r="E51" s="1407"/>
      <c r="F51" s="1407"/>
      <c r="G51" s="1407"/>
      <c r="H51" s="1407" t="s">
        <v>50</v>
      </c>
      <c r="I51" s="1407"/>
      <c r="J51" s="1407"/>
    </row>
    <row r="52" spans="1:10" s="588" customFormat="1" ht="25.5" customHeight="1" outlineLevel="2">
      <c r="A52" s="1408">
        <v>1</v>
      </c>
      <c r="B52" s="1408"/>
      <c r="C52" s="594" t="s">
        <v>189</v>
      </c>
      <c r="D52" s="1409" t="s">
        <v>190</v>
      </c>
      <c r="E52" s="1409"/>
      <c r="F52" s="1409"/>
      <c r="G52" s="1409"/>
      <c r="H52" s="1409" t="s">
        <v>82</v>
      </c>
      <c r="I52" s="1409"/>
      <c r="J52" s="1409"/>
    </row>
    <row r="53" spans="1:10" s="588" customFormat="1" ht="25.5" customHeight="1" outlineLevel="2">
      <c r="A53" s="1408">
        <f t="shared" ref="A53:A60" si="0">MAX(A52)+1</f>
        <v>2</v>
      </c>
      <c r="B53" s="1408"/>
      <c r="C53" s="594" t="s">
        <v>191</v>
      </c>
      <c r="D53" s="1415" t="s">
        <v>192</v>
      </c>
      <c r="E53" s="1415"/>
      <c r="F53" s="1415"/>
      <c r="G53" s="1415"/>
      <c r="H53" s="1415" t="s">
        <v>82</v>
      </c>
      <c r="I53" s="1415"/>
      <c r="J53" s="1415"/>
    </row>
    <row r="54" spans="1:10" s="588" customFormat="1" ht="25.5" customHeight="1" outlineLevel="2">
      <c r="A54" s="1408">
        <f t="shared" si="0"/>
        <v>3</v>
      </c>
      <c r="B54" s="1408"/>
      <c r="C54" s="594" t="s">
        <v>193</v>
      </c>
      <c r="D54" s="1415" t="s">
        <v>194</v>
      </c>
      <c r="E54" s="1415"/>
      <c r="F54" s="1415"/>
      <c r="G54" s="1415"/>
      <c r="H54" s="1415" t="s">
        <v>195</v>
      </c>
      <c r="I54" s="1415"/>
      <c r="J54" s="1415"/>
    </row>
    <row r="55" spans="1:10" s="588" customFormat="1" ht="25.5" customHeight="1" outlineLevel="2">
      <c r="A55" s="1416">
        <f t="shared" si="0"/>
        <v>4</v>
      </c>
      <c r="B55" s="1416"/>
      <c r="C55" s="605" t="s">
        <v>196</v>
      </c>
      <c r="D55" s="1415" t="s">
        <v>197</v>
      </c>
      <c r="E55" s="1415"/>
      <c r="F55" s="1415"/>
      <c r="G55" s="1415"/>
      <c r="H55" s="1415" t="s">
        <v>198</v>
      </c>
      <c r="I55" s="1415"/>
      <c r="J55" s="1415"/>
    </row>
    <row r="56" spans="1:10" s="588" customFormat="1" ht="25.5" customHeight="1" outlineLevel="2">
      <c r="A56" s="1416">
        <f t="shared" si="0"/>
        <v>5</v>
      </c>
      <c r="B56" s="1416"/>
      <c r="C56" s="605" t="s">
        <v>199</v>
      </c>
      <c r="D56" s="1415" t="s">
        <v>200</v>
      </c>
      <c r="E56" s="1415"/>
      <c r="F56" s="1415"/>
      <c r="G56" s="1415"/>
      <c r="H56" s="1415" t="s">
        <v>201</v>
      </c>
      <c r="I56" s="1415"/>
      <c r="J56" s="1415"/>
    </row>
    <row r="57" spans="1:10" s="588" customFormat="1" ht="25.5" customHeight="1" outlineLevel="2">
      <c r="A57" s="1416">
        <f t="shared" si="0"/>
        <v>6</v>
      </c>
      <c r="B57" s="1416"/>
      <c r="C57" s="606" t="s">
        <v>202</v>
      </c>
      <c r="D57" s="1417" t="s">
        <v>203</v>
      </c>
      <c r="E57" s="1417"/>
      <c r="F57" s="1417"/>
      <c r="G57" s="1417"/>
      <c r="H57" s="1418" t="s">
        <v>204</v>
      </c>
      <c r="I57" s="1418"/>
      <c r="J57" s="1418"/>
    </row>
    <row r="58" spans="1:10" s="588" customFormat="1" ht="25.5" customHeight="1" outlineLevel="2">
      <c r="A58" s="1416">
        <f t="shared" si="0"/>
        <v>7</v>
      </c>
      <c r="B58" s="1416"/>
      <c r="C58" s="605" t="s">
        <v>205</v>
      </c>
      <c r="D58" s="1417" t="s">
        <v>200</v>
      </c>
      <c r="E58" s="1417"/>
      <c r="F58" s="1417"/>
      <c r="G58" s="1417"/>
      <c r="H58" s="1418" t="s">
        <v>206</v>
      </c>
      <c r="I58" s="1418"/>
      <c r="J58" s="1418"/>
    </row>
    <row r="59" spans="1:10" s="588" customFormat="1" ht="25.5" customHeight="1" outlineLevel="2">
      <c r="A59" s="1416">
        <f t="shared" si="0"/>
        <v>8</v>
      </c>
      <c r="B59" s="1416"/>
      <c r="C59" s="606" t="s">
        <v>207</v>
      </c>
      <c r="D59" s="1418" t="s">
        <v>208</v>
      </c>
      <c r="E59" s="1418"/>
      <c r="F59" s="1418"/>
      <c r="G59" s="1418"/>
      <c r="H59" s="1417" t="s">
        <v>209</v>
      </c>
      <c r="I59" s="1417"/>
      <c r="J59" s="1417"/>
    </row>
    <row r="60" spans="1:10" s="588" customFormat="1" ht="25.5" customHeight="1" outlineLevel="2">
      <c r="A60" s="1416">
        <f t="shared" si="0"/>
        <v>9</v>
      </c>
      <c r="B60" s="1416"/>
      <c r="C60" s="606" t="s">
        <v>210</v>
      </c>
      <c r="D60" s="1417" t="s">
        <v>211</v>
      </c>
      <c r="E60" s="1417"/>
      <c r="F60" s="1417"/>
      <c r="G60" s="1417"/>
      <c r="H60" s="1417" t="s">
        <v>212</v>
      </c>
      <c r="I60" s="1417"/>
      <c r="J60" s="1417"/>
    </row>
    <row r="61" spans="1:10" s="587" customFormat="1" ht="25.5" customHeight="1" outlineLevel="1">
      <c r="A61" s="1406" t="s">
        <v>213</v>
      </c>
      <c r="B61" s="1406"/>
      <c r="C61" s="1406"/>
      <c r="D61" s="1406"/>
      <c r="E61" s="1406"/>
      <c r="F61" s="1406"/>
      <c r="G61" s="1406"/>
      <c r="H61" s="1406"/>
      <c r="I61" s="1406"/>
      <c r="J61" s="1406"/>
    </row>
    <row r="62" spans="1:10" s="585" customFormat="1" ht="25.5" customHeight="1" outlineLevel="2">
      <c r="A62" s="1405" t="s">
        <v>11</v>
      </c>
      <c r="B62" s="1405"/>
      <c r="C62" s="1407" t="s">
        <v>187</v>
      </c>
      <c r="D62" s="1407" t="s">
        <v>214</v>
      </c>
      <c r="E62" s="1407"/>
      <c r="F62" s="1407" t="s">
        <v>215</v>
      </c>
      <c r="G62" s="1407"/>
      <c r="H62" s="1407"/>
      <c r="I62" s="1407"/>
      <c r="J62" s="1407"/>
    </row>
    <row r="63" spans="1:10" s="585" customFormat="1" ht="25.5" customHeight="1" outlineLevel="2">
      <c r="A63" s="1405"/>
      <c r="B63" s="1405"/>
      <c r="C63" s="1407"/>
      <c r="D63" s="604" t="s">
        <v>216</v>
      </c>
      <c r="E63" s="604" t="s">
        <v>217</v>
      </c>
      <c r="F63" s="1407" t="s">
        <v>216</v>
      </c>
      <c r="G63" s="1407"/>
      <c r="H63" s="1407" t="s">
        <v>217</v>
      </c>
      <c r="I63" s="1407"/>
      <c r="J63" s="1407"/>
    </row>
    <row r="64" spans="1:10" s="588" customFormat="1" ht="25.5" customHeight="1" outlineLevel="2">
      <c r="A64" s="1408">
        <f t="shared" ref="A64:A74" si="1">MAX(A63)+1</f>
        <v>1</v>
      </c>
      <c r="B64" s="1408"/>
      <c r="C64" s="594" t="s">
        <v>218</v>
      </c>
      <c r="D64" s="594" t="s">
        <v>82</v>
      </c>
      <c r="E64" s="594" t="s">
        <v>219</v>
      </c>
      <c r="F64" s="1408" t="s">
        <v>82</v>
      </c>
      <c r="G64" s="1408"/>
      <c r="H64" s="1408" t="s">
        <v>220</v>
      </c>
      <c r="I64" s="1408"/>
      <c r="J64" s="1408"/>
    </row>
    <row r="65" spans="1:10" s="588" customFormat="1" ht="25.5" customHeight="1" outlineLevel="2">
      <c r="A65" s="1408">
        <f t="shared" si="1"/>
        <v>2</v>
      </c>
      <c r="B65" s="1408"/>
      <c r="C65" s="594" t="s">
        <v>221</v>
      </c>
      <c r="D65" s="594" t="s">
        <v>82</v>
      </c>
      <c r="E65" s="594" t="s">
        <v>219</v>
      </c>
      <c r="F65" s="1408" t="s">
        <v>82</v>
      </c>
      <c r="G65" s="1408"/>
      <c r="H65" s="1408" t="s">
        <v>220</v>
      </c>
      <c r="I65" s="1408"/>
      <c r="J65" s="1408"/>
    </row>
    <row r="66" spans="1:10" s="589" customFormat="1" ht="25.5" customHeight="1" outlineLevel="2">
      <c r="A66" s="1408">
        <f t="shared" si="1"/>
        <v>3</v>
      </c>
      <c r="B66" s="1408"/>
      <c r="C66" s="611" t="s">
        <v>222</v>
      </c>
      <c r="D66" s="594" t="s">
        <v>82</v>
      </c>
      <c r="E66" s="594" t="s">
        <v>219</v>
      </c>
      <c r="F66" s="1408" t="s">
        <v>82</v>
      </c>
      <c r="G66" s="1408"/>
      <c r="H66" s="1408" t="s">
        <v>220</v>
      </c>
      <c r="I66" s="1408"/>
      <c r="J66" s="1408"/>
    </row>
    <row r="67" spans="1:10" s="589" customFormat="1" ht="47.25" customHeight="1" outlineLevel="2">
      <c r="A67" s="1408">
        <f t="shared" si="1"/>
        <v>4</v>
      </c>
      <c r="B67" s="1408"/>
      <c r="C67" s="611" t="s">
        <v>223</v>
      </c>
      <c r="D67" s="594" t="s">
        <v>219</v>
      </c>
      <c r="E67" s="594" t="s">
        <v>219</v>
      </c>
      <c r="F67" s="1409" t="s">
        <v>224</v>
      </c>
      <c r="G67" s="1409"/>
      <c r="H67" s="1409" t="s">
        <v>224</v>
      </c>
      <c r="I67" s="1409"/>
      <c r="J67" s="1409"/>
    </row>
    <row r="68" spans="1:10" s="589" customFormat="1" ht="25.5" customHeight="1" outlineLevel="2">
      <c r="A68" s="1408">
        <f t="shared" si="1"/>
        <v>5</v>
      </c>
      <c r="B68" s="1408"/>
      <c r="C68" s="611" t="s">
        <v>81</v>
      </c>
      <c r="D68" s="1419" t="s">
        <v>225</v>
      </c>
      <c r="E68" s="1419"/>
      <c r="F68" s="1419" t="s">
        <v>82</v>
      </c>
      <c r="G68" s="1419"/>
      <c r="H68" s="1419" t="s">
        <v>226</v>
      </c>
      <c r="I68" s="1419"/>
      <c r="J68" s="1419"/>
    </row>
    <row r="69" spans="1:10" s="589" customFormat="1" ht="25.5" customHeight="1" outlineLevel="2">
      <c r="A69" s="1408">
        <f t="shared" si="1"/>
        <v>6</v>
      </c>
      <c r="B69" s="1408"/>
      <c r="C69" s="611" t="s">
        <v>111</v>
      </c>
      <c r="D69" s="1419" t="s">
        <v>225</v>
      </c>
      <c r="E69" s="1419"/>
      <c r="F69" s="1419" t="s">
        <v>82</v>
      </c>
      <c r="G69" s="1419"/>
      <c r="H69" s="1419" t="s">
        <v>227</v>
      </c>
      <c r="I69" s="1419"/>
      <c r="J69" s="1419"/>
    </row>
    <row r="70" spans="1:10" s="589" customFormat="1" ht="25.5" customHeight="1" outlineLevel="2">
      <c r="A70" s="1408">
        <f t="shared" si="1"/>
        <v>7</v>
      </c>
      <c r="B70" s="1408"/>
      <c r="C70" s="611" t="s">
        <v>115</v>
      </c>
      <c r="D70" s="1419" t="s">
        <v>225</v>
      </c>
      <c r="E70" s="1419"/>
      <c r="F70" s="1419" t="s">
        <v>82</v>
      </c>
      <c r="G70" s="1419"/>
      <c r="H70" s="1419" t="s">
        <v>228</v>
      </c>
      <c r="I70" s="1419"/>
      <c r="J70" s="1419"/>
    </row>
    <row r="71" spans="1:10" s="589" customFormat="1" ht="25.5" customHeight="1" outlineLevel="2">
      <c r="A71" s="1408">
        <f t="shared" si="1"/>
        <v>8</v>
      </c>
      <c r="B71" s="1408"/>
      <c r="C71" s="611" t="s">
        <v>229</v>
      </c>
      <c r="D71" s="611" t="s">
        <v>82</v>
      </c>
      <c r="E71" s="594" t="s">
        <v>219</v>
      </c>
      <c r="F71" s="1419" t="s">
        <v>82</v>
      </c>
      <c r="G71" s="1419"/>
      <c r="H71" s="1408" t="s">
        <v>220</v>
      </c>
      <c r="I71" s="1408"/>
      <c r="J71" s="1408"/>
    </row>
    <row r="72" spans="1:10" s="589" customFormat="1" ht="25.5" customHeight="1" outlineLevel="2">
      <c r="A72" s="1408">
        <f t="shared" si="1"/>
        <v>9</v>
      </c>
      <c r="B72" s="1408"/>
      <c r="C72" s="611" t="s">
        <v>230</v>
      </c>
      <c r="D72" s="611" t="s">
        <v>82</v>
      </c>
      <c r="E72" s="594" t="s">
        <v>219</v>
      </c>
      <c r="F72" s="1419" t="s">
        <v>82</v>
      </c>
      <c r="G72" s="1419"/>
      <c r="H72" s="1408" t="s">
        <v>220</v>
      </c>
      <c r="I72" s="1408"/>
      <c r="J72" s="1408"/>
    </row>
    <row r="73" spans="1:10" s="589" customFormat="1" ht="25.5" customHeight="1" outlineLevel="2">
      <c r="A73" s="1408">
        <f t="shared" si="1"/>
        <v>10</v>
      </c>
      <c r="B73" s="1408"/>
      <c r="C73" s="611" t="s">
        <v>231</v>
      </c>
      <c r="D73" s="611" t="s">
        <v>82</v>
      </c>
      <c r="E73" s="594" t="s">
        <v>82</v>
      </c>
      <c r="F73" s="1419" t="s">
        <v>82</v>
      </c>
      <c r="G73" s="1419"/>
      <c r="H73" s="1419" t="s">
        <v>82</v>
      </c>
      <c r="I73" s="1419"/>
      <c r="J73" s="1419"/>
    </row>
    <row r="74" spans="1:10" s="589" customFormat="1" ht="25.5" customHeight="1" outlineLevel="2">
      <c r="A74" s="1408">
        <f t="shared" si="1"/>
        <v>11</v>
      </c>
      <c r="B74" s="1408"/>
      <c r="C74" s="611" t="s">
        <v>232</v>
      </c>
      <c r="D74" s="611" t="s">
        <v>82</v>
      </c>
      <c r="E74" s="594" t="s">
        <v>82</v>
      </c>
      <c r="F74" s="1419" t="s">
        <v>82</v>
      </c>
      <c r="G74" s="1419"/>
      <c r="H74" s="1419" t="s">
        <v>82</v>
      </c>
      <c r="I74" s="1419"/>
      <c r="J74" s="1419"/>
    </row>
    <row r="75" spans="1:10" ht="25.5" customHeight="1">
      <c r="A75" s="1404" t="s">
        <v>233</v>
      </c>
      <c r="B75" s="1404"/>
      <c r="C75" s="1404"/>
      <c r="D75" s="1404"/>
      <c r="E75" s="1404"/>
      <c r="F75" s="1404"/>
      <c r="G75" s="1404"/>
      <c r="H75" s="1404"/>
      <c r="I75" s="1404"/>
      <c r="J75" s="1404"/>
    </row>
    <row r="76" spans="1:10" s="590" customFormat="1" ht="25.5" customHeight="1" outlineLevel="1">
      <c r="A76" s="1420" t="s">
        <v>234</v>
      </c>
      <c r="B76" s="1420"/>
      <c r="C76" s="1420"/>
      <c r="D76" s="1420"/>
      <c r="E76" s="1420"/>
      <c r="F76" s="1420"/>
      <c r="G76" s="1420"/>
      <c r="H76" s="1420"/>
      <c r="I76" s="1420"/>
      <c r="J76" s="1420"/>
    </row>
    <row r="77" spans="1:10" s="590" customFormat="1" ht="25.5" customHeight="1" outlineLevel="1">
      <c r="A77" s="1420" t="s">
        <v>235</v>
      </c>
      <c r="B77" s="1420"/>
      <c r="C77" s="1420"/>
      <c r="D77" s="1420"/>
      <c r="E77" s="1420"/>
      <c r="F77" s="1420"/>
      <c r="G77" s="1420"/>
      <c r="H77" s="1420"/>
      <c r="I77" s="1420"/>
      <c r="J77" s="1420"/>
    </row>
    <row r="78" spans="1:10" ht="25.5" customHeight="1">
      <c r="A78" s="1404" t="s">
        <v>236</v>
      </c>
      <c r="B78" s="1404"/>
      <c r="C78" s="1404"/>
      <c r="D78" s="1404"/>
      <c r="E78" s="1404"/>
      <c r="F78" s="1404"/>
      <c r="G78" s="1404"/>
      <c r="H78" s="1404"/>
      <c r="I78" s="1404"/>
      <c r="J78" s="1404"/>
    </row>
    <row r="79" spans="1:10" s="590" customFormat="1" ht="50.25" customHeight="1" outlineLevel="2">
      <c r="A79" s="1420" t="s">
        <v>237</v>
      </c>
      <c r="B79" s="1420"/>
      <c r="C79" s="1420"/>
      <c r="D79" s="1420"/>
      <c r="E79" s="1420"/>
      <c r="F79" s="1420"/>
      <c r="G79" s="1420"/>
      <c r="H79" s="1420"/>
      <c r="I79" s="1420"/>
      <c r="J79" s="1420"/>
    </row>
    <row r="80" spans="1:10" ht="25.5" customHeight="1">
      <c r="A80" s="1404" t="s">
        <v>238</v>
      </c>
      <c r="B80" s="1404"/>
      <c r="C80" s="1404"/>
      <c r="D80" s="1404"/>
      <c r="E80" s="1404"/>
      <c r="F80" s="1404"/>
      <c r="G80" s="1404"/>
      <c r="H80" s="1404"/>
      <c r="I80" s="1404"/>
      <c r="J80" s="1404"/>
    </row>
    <row r="81" spans="1:10" s="505" customFormat="1" ht="58.5" customHeight="1" outlineLevel="2">
      <c r="A81" s="1421" t="s">
        <v>239</v>
      </c>
      <c r="B81" s="1421"/>
      <c r="C81" s="1421"/>
      <c r="D81" s="1421"/>
      <c r="E81" s="1421"/>
      <c r="F81" s="1421"/>
      <c r="G81" s="1421"/>
      <c r="H81" s="1421"/>
      <c r="I81" s="1421"/>
      <c r="J81" s="1421"/>
    </row>
    <row r="82" spans="1:10" s="505" customFormat="1" ht="25.5" customHeight="1">
      <c r="A82" s="1404" t="s">
        <v>240</v>
      </c>
      <c r="B82" s="1404"/>
      <c r="C82" s="1404"/>
      <c r="D82" s="1404"/>
      <c r="E82" s="1404"/>
      <c r="F82" s="1404"/>
      <c r="G82" s="1404"/>
      <c r="H82" s="1404"/>
      <c r="I82" s="1404"/>
      <c r="J82" s="1404"/>
    </row>
    <row r="83" spans="1:10" s="590" customFormat="1" ht="109.5" customHeight="1" outlineLevel="2">
      <c r="A83" s="1420" t="s">
        <v>241</v>
      </c>
      <c r="B83" s="1420"/>
      <c r="C83" s="1420"/>
      <c r="D83" s="1420"/>
      <c r="E83" s="1420"/>
      <c r="F83" s="1420"/>
      <c r="G83" s="1420"/>
      <c r="H83" s="1420"/>
      <c r="I83" s="1420"/>
      <c r="J83" s="1420"/>
    </row>
    <row r="84" spans="1:10" ht="32.25" customHeight="1">
      <c r="D84" s="612"/>
    </row>
    <row r="93" spans="1:10" ht="32.25" customHeight="1">
      <c r="C93" s="612"/>
    </row>
    <row r="94" spans="1:10" ht="32.25" customHeight="1">
      <c r="D94" s="612"/>
    </row>
    <row r="131" spans="3:3" ht="32.25" customHeight="1">
      <c r="C131" s="612"/>
    </row>
  </sheetData>
  <sheetProtection insertRows="0"/>
  <mergeCells count="124">
    <mergeCell ref="J18:J19"/>
    <mergeCell ref="J21:J27"/>
    <mergeCell ref="J28:J30"/>
    <mergeCell ref="J32:J40"/>
    <mergeCell ref="J42:J47"/>
    <mergeCell ref="A62:B63"/>
    <mergeCell ref="A50:B51"/>
    <mergeCell ref="A4:B5"/>
    <mergeCell ref="A78:J78"/>
    <mergeCell ref="F73:G73"/>
    <mergeCell ref="H73:J73"/>
    <mergeCell ref="A74:B74"/>
    <mergeCell ref="F74:G74"/>
    <mergeCell ref="H74:J74"/>
    <mergeCell ref="A75:J75"/>
    <mergeCell ref="A76:J76"/>
    <mergeCell ref="A77:J77"/>
    <mergeCell ref="A70:B70"/>
    <mergeCell ref="D70:E70"/>
    <mergeCell ref="F70:G70"/>
    <mergeCell ref="H70:J70"/>
    <mergeCell ref="A71:B71"/>
    <mergeCell ref="F71:G71"/>
    <mergeCell ref="H71:J71"/>
    <mergeCell ref="A79:J79"/>
    <mergeCell ref="A80:J80"/>
    <mergeCell ref="A81:J81"/>
    <mergeCell ref="A82:J82"/>
    <mergeCell ref="A83:J83"/>
    <mergeCell ref="A6:A47"/>
    <mergeCell ref="B6:B15"/>
    <mergeCell ref="B16:B20"/>
    <mergeCell ref="B21:B31"/>
    <mergeCell ref="B32:B47"/>
    <mergeCell ref="C9:C10"/>
    <mergeCell ref="C11:C15"/>
    <mergeCell ref="C21:C23"/>
    <mergeCell ref="C25:C27"/>
    <mergeCell ref="C42:C44"/>
    <mergeCell ref="C45:C47"/>
    <mergeCell ref="C50:C51"/>
    <mergeCell ref="C62:C63"/>
    <mergeCell ref="D12:D14"/>
    <mergeCell ref="D32:D34"/>
    <mergeCell ref="D35:D37"/>
    <mergeCell ref="D38:D40"/>
    <mergeCell ref="H9:H10"/>
    <mergeCell ref="A73:B73"/>
    <mergeCell ref="A72:B72"/>
    <mergeCell ref="F72:G72"/>
    <mergeCell ref="H72:J72"/>
    <mergeCell ref="A67:B67"/>
    <mergeCell ref="F67:G67"/>
    <mergeCell ref="H67:J67"/>
    <mergeCell ref="A68:B68"/>
    <mergeCell ref="D68:E68"/>
    <mergeCell ref="F68:G68"/>
    <mergeCell ref="H68:J68"/>
    <mergeCell ref="A69:B69"/>
    <mergeCell ref="D69:E69"/>
    <mergeCell ref="F69:G69"/>
    <mergeCell ref="H69:J69"/>
    <mergeCell ref="F63:G63"/>
    <mergeCell ref="H63:J63"/>
    <mergeCell ref="A64:B64"/>
    <mergeCell ref="F64:G64"/>
    <mergeCell ref="H64:J64"/>
    <mergeCell ref="A65:B65"/>
    <mergeCell ref="F65:G65"/>
    <mergeCell ref="H65:J65"/>
    <mergeCell ref="A66:B66"/>
    <mergeCell ref="F66:G66"/>
    <mergeCell ref="H66:J66"/>
    <mergeCell ref="A59:B59"/>
    <mergeCell ref="D59:G59"/>
    <mergeCell ref="H59:J59"/>
    <mergeCell ref="A60:B60"/>
    <mergeCell ref="D60:G60"/>
    <mergeCell ref="H60:J60"/>
    <mergeCell ref="A61:J61"/>
    <mergeCell ref="D62:E62"/>
    <mergeCell ref="F62:J62"/>
    <mergeCell ref="A56:B56"/>
    <mergeCell ref="D56:G56"/>
    <mergeCell ref="H56:J56"/>
    <mergeCell ref="A57:B57"/>
    <mergeCell ref="D57:G57"/>
    <mergeCell ref="H57:J57"/>
    <mergeCell ref="A58:B58"/>
    <mergeCell ref="D58:G58"/>
    <mergeCell ref="H58:J58"/>
    <mergeCell ref="A53:B53"/>
    <mergeCell ref="D53:G53"/>
    <mergeCell ref="H53:J53"/>
    <mergeCell ref="A54:B54"/>
    <mergeCell ref="D54:G54"/>
    <mergeCell ref="H54:J54"/>
    <mergeCell ref="A55:B55"/>
    <mergeCell ref="D55:G55"/>
    <mergeCell ref="H55:J55"/>
    <mergeCell ref="A1:J1"/>
    <mergeCell ref="A2:J2"/>
    <mergeCell ref="A3:B3"/>
    <mergeCell ref="A48:J48"/>
    <mergeCell ref="A49:J49"/>
    <mergeCell ref="D50:J50"/>
    <mergeCell ref="D51:G51"/>
    <mergeCell ref="H51:J51"/>
    <mergeCell ref="A52:B52"/>
    <mergeCell ref="D52:G52"/>
    <mergeCell ref="H52:J52"/>
    <mergeCell ref="H12:H15"/>
    <mergeCell ref="H21:H23"/>
    <mergeCell ref="H32:H40"/>
    <mergeCell ref="I9:I10"/>
    <mergeCell ref="I12:I15"/>
    <mergeCell ref="I21:I23"/>
    <mergeCell ref="I25:I27"/>
    <mergeCell ref="I32:I40"/>
    <mergeCell ref="I42:I44"/>
    <mergeCell ref="I45:I47"/>
    <mergeCell ref="J4:J6"/>
    <mergeCell ref="J7:J8"/>
    <mergeCell ref="J9:J15"/>
  </mergeCells>
  <phoneticPr fontId="84" type="noConversion"/>
  <pageMargins left="0.75" right="0.75" top="0.55208333333333337" bottom="0.4375" header="0.3125" footer="0.23958333333333334"/>
  <pageSetup paperSize="8" scale="79" fitToHeight="0" orientation="portrait"/>
  <headerFooter>
    <oddHeader>&amp;L&amp;C&amp;R</oddHeader>
    <oddFooter>&amp;L&amp;C&amp;R</oddFooter>
    <evenHeader>&amp;L&amp;C&amp;R</evenHeader>
    <evenFooter>&amp;L&amp;C&amp;R</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outlinePr summaryBelow="0"/>
  </sheetPr>
  <dimension ref="A1:CI96"/>
  <sheetViews>
    <sheetView topLeftCell="G13" zoomScale="92" zoomScaleNormal="92" workbookViewId="0">
      <selection activeCell="Y27" sqref="Y27"/>
    </sheetView>
  </sheetViews>
  <sheetFormatPr baseColWidth="10" defaultColWidth="9" defaultRowHeight="16.5" customHeight="1" outlineLevelRow="1" outlineLevelCol="1"/>
  <cols>
    <col min="1" max="1" width="9" style="478"/>
    <col min="2" max="2" width="21.5" style="478" customWidth="1"/>
    <col min="3" max="3" width="22.33203125" style="478" customWidth="1"/>
    <col min="4" max="9" width="15.6640625" style="478" customWidth="1"/>
    <col min="10" max="10" width="17.6640625" style="478" customWidth="1"/>
    <col min="11" max="13" width="15.6640625" style="478" customWidth="1"/>
    <col min="14" max="14" width="13.83203125" style="478" customWidth="1"/>
    <col min="15" max="15" width="11.6640625" style="478" customWidth="1"/>
    <col min="16" max="16" width="21.33203125" style="478" customWidth="1"/>
    <col min="17" max="17" width="24.5" style="478" customWidth="1"/>
    <col min="18" max="18" width="15.6640625" style="478" customWidth="1"/>
    <col min="19" max="19" width="18" style="478" customWidth="1"/>
    <col min="20" max="20" width="17.83203125" style="478" customWidth="1"/>
    <col min="21" max="21" width="15.6640625" style="478" customWidth="1"/>
    <col min="22" max="22" width="15.6640625" style="479" customWidth="1"/>
    <col min="23" max="23" width="18" style="480" customWidth="1"/>
    <col min="24" max="24" width="15.33203125" style="481" customWidth="1"/>
    <col min="25" max="25" width="15.6640625" style="481" customWidth="1"/>
    <col min="26" max="26" width="11.6640625" style="481" customWidth="1"/>
    <col min="27" max="28" width="11.6640625" style="66" customWidth="1"/>
    <col min="29" max="29" width="13.5" style="66" customWidth="1"/>
    <col min="30" max="30" width="19.33203125" style="66" customWidth="1"/>
    <col min="31" max="31" width="16.6640625" style="66" customWidth="1"/>
    <col min="32" max="32" width="13.33203125" style="66" customWidth="1"/>
    <col min="33" max="34" width="11.6640625" style="66" customWidth="1"/>
    <col min="35" max="35" width="11.33203125" style="66" customWidth="1"/>
    <col min="36" max="36" width="13.6640625" style="66" customWidth="1"/>
    <col min="37" max="37" width="11.33203125" style="66" customWidth="1"/>
    <col min="38" max="38" width="12.33203125" style="66" customWidth="1"/>
    <col min="39" max="39" width="14.1640625" style="66" customWidth="1"/>
    <col min="40" max="40" width="13.5" style="66" customWidth="1"/>
    <col min="42" max="42" width="13.33203125" style="66" customWidth="1"/>
    <col min="43" max="43" width="12.33203125" style="66" customWidth="1"/>
    <col min="46" max="46" width="12.6640625" style="66" customWidth="1"/>
    <col min="47" max="47" width="10.33203125" style="66" customWidth="1"/>
    <col min="48" max="51" width="11.1640625" style="66" customWidth="1"/>
    <col min="52" max="52" width="14" style="66" customWidth="1"/>
    <col min="53" max="53" width="16.33203125" style="66" customWidth="1"/>
    <col min="54" max="54" width="12.33203125" style="66" customWidth="1"/>
    <col min="55" max="55" width="9" style="66" outlineLevel="1"/>
    <col min="56" max="56" width="10.5" style="66" customWidth="1" outlineLevel="1"/>
    <col min="57" max="58" width="9" style="66" outlineLevel="1"/>
    <col min="59" max="59" width="15" style="66" customWidth="1" outlineLevel="1"/>
    <col min="60" max="60" width="9" style="66" outlineLevel="1"/>
    <col min="61" max="61" width="13.33203125" style="66" customWidth="1" outlineLevel="1"/>
    <col min="62" max="62" width="10.33203125" style="66" customWidth="1"/>
    <col min="63" max="63" width="11.33203125" style="66" customWidth="1" outlineLevel="1"/>
    <col min="64" max="64" width="9" style="66" outlineLevel="1"/>
    <col min="65" max="65" width="11.33203125" style="66" customWidth="1" outlineLevel="1"/>
    <col min="66" max="66" width="8" style="66" customWidth="1" outlineLevel="1"/>
    <col min="67" max="67" width="11.33203125" style="66" customWidth="1" outlineLevel="1"/>
    <col min="68" max="68" width="9" style="66" outlineLevel="1"/>
    <col min="69" max="70" width="12.33203125" style="66" customWidth="1" outlineLevel="1"/>
    <col min="71" max="72" width="12.33203125" style="66" customWidth="1"/>
    <col min="73" max="73" width="12.33203125" style="66" customWidth="1" outlineLevel="1"/>
    <col min="74" max="74" width="9.5" style="66" customWidth="1" outlineLevel="1"/>
    <col min="75" max="75" width="11.1640625" style="66" customWidth="1" outlineLevel="1"/>
    <col min="76" max="78" width="12.33203125" style="66" customWidth="1" outlineLevel="1"/>
    <col min="80" max="80" width="11.1640625" style="66" customWidth="1"/>
    <col min="82" max="83" width="9.6640625" style="66" customWidth="1"/>
    <col min="84" max="84" width="19.83203125" style="66" customWidth="1"/>
    <col min="85" max="85" width="16.5" style="66" customWidth="1"/>
    <col min="86" max="86" width="20.5" style="66" customWidth="1"/>
    <col min="87" max="87" width="13.6640625" style="66" hidden="1" customWidth="1"/>
  </cols>
  <sheetData>
    <row r="1" spans="1:87" ht="16.5" customHeight="1">
      <c r="A1" s="482" t="s">
        <v>242</v>
      </c>
      <c r="B1" s="483"/>
      <c r="C1" s="483"/>
      <c r="D1" s="483"/>
      <c r="E1" s="483"/>
      <c r="F1" s="483"/>
      <c r="CG1" s="481"/>
      <c r="CI1" s="481" t="s">
        <v>243</v>
      </c>
    </row>
    <row r="2" spans="1:87" ht="24.75" customHeight="1" outlineLevel="1" thickBot="1">
      <c r="A2" s="1426" t="s">
        <v>244</v>
      </c>
      <c r="B2" s="1426"/>
      <c r="C2" s="1426"/>
      <c r="D2" s="1426"/>
      <c r="E2" s="1426"/>
      <c r="F2" s="1426"/>
      <c r="H2" s="1426" t="s">
        <v>245</v>
      </c>
      <c r="I2" s="1426"/>
      <c r="J2" s="1426"/>
      <c r="K2" s="1426"/>
      <c r="L2" s="1426"/>
      <c r="M2" s="1426"/>
      <c r="O2" s="1425" t="s">
        <v>246</v>
      </c>
      <c r="P2" s="1425"/>
      <c r="Q2" s="1425"/>
      <c r="R2" s="1425"/>
      <c r="S2" s="1425"/>
      <c r="T2" s="1425"/>
      <c r="V2" s="1425" t="s">
        <v>247</v>
      </c>
      <c r="W2" s="1425"/>
      <c r="X2" s="1425"/>
      <c r="Y2" s="1425"/>
      <c r="Z2" s="1425"/>
      <c r="AA2" s="1425"/>
      <c r="AB2" s="545"/>
      <c r="AC2" s="1425" t="s">
        <v>248</v>
      </c>
      <c r="AD2" s="1425"/>
      <c r="AE2" s="1425"/>
      <c r="AF2" s="1425"/>
      <c r="AG2" s="1425"/>
      <c r="AH2" s="1425"/>
      <c r="CG2" s="481"/>
      <c r="CI2" s="481" t="s">
        <v>249</v>
      </c>
    </row>
    <row r="3" spans="1:87" ht="21.75" customHeight="1" outlineLevel="1">
      <c r="A3" s="484" t="s">
        <v>11</v>
      </c>
      <c r="B3" s="485" t="s">
        <v>250</v>
      </c>
      <c r="C3" s="485" t="s">
        <v>251</v>
      </c>
      <c r="D3" s="485" t="s">
        <v>252</v>
      </c>
      <c r="E3" s="485" t="s">
        <v>74</v>
      </c>
      <c r="F3" s="486" t="s">
        <v>253</v>
      </c>
      <c r="G3" s="480"/>
      <c r="H3" s="1333" t="s">
        <v>11</v>
      </c>
      <c r="I3" s="1334" t="s">
        <v>250</v>
      </c>
      <c r="J3" s="1334" t="s">
        <v>251</v>
      </c>
      <c r="K3" s="1334" t="s">
        <v>252</v>
      </c>
      <c r="L3" s="1334" t="s">
        <v>74</v>
      </c>
      <c r="M3" s="1335" t="s">
        <v>253</v>
      </c>
      <c r="N3" s="480"/>
      <c r="O3" s="484" t="s">
        <v>11</v>
      </c>
      <c r="P3" s="485" t="s">
        <v>250</v>
      </c>
      <c r="Q3" s="485" t="s">
        <v>251</v>
      </c>
      <c r="R3" s="485" t="s">
        <v>252</v>
      </c>
      <c r="S3" s="529" t="s">
        <v>74</v>
      </c>
      <c r="T3" s="486" t="s">
        <v>253</v>
      </c>
      <c r="U3" s="480"/>
      <c r="V3" s="484" t="s">
        <v>11</v>
      </c>
      <c r="W3" s="485" t="s">
        <v>250</v>
      </c>
      <c r="X3" s="485" t="s">
        <v>251</v>
      </c>
      <c r="Y3" s="485" t="s">
        <v>252</v>
      </c>
      <c r="Z3" s="529" t="s">
        <v>74</v>
      </c>
      <c r="AA3" s="486" t="s">
        <v>253</v>
      </c>
      <c r="AB3" s="546"/>
      <c r="AC3" s="484" t="s">
        <v>11</v>
      </c>
      <c r="AD3" s="485" t="s">
        <v>250</v>
      </c>
      <c r="AE3" s="485" t="s">
        <v>251</v>
      </c>
      <c r="AF3" s="485" t="s">
        <v>252</v>
      </c>
      <c r="AG3" s="529" t="s">
        <v>74</v>
      </c>
      <c r="AH3" s="486" t="s">
        <v>253</v>
      </c>
      <c r="CG3" s="481"/>
      <c r="CI3" s="481" t="s">
        <v>254</v>
      </c>
    </row>
    <row r="4" spans="1:87" ht="24.75" customHeight="1" outlineLevel="1">
      <c r="A4" s="487">
        <v>1</v>
      </c>
      <c r="B4" s="488" t="s">
        <v>255</v>
      </c>
      <c r="C4" s="489" t="s">
        <v>256</v>
      </c>
      <c r="D4" s="490">
        <f>C69+C96</f>
        <v>74626.7546</v>
      </c>
      <c r="E4" s="488" t="s">
        <v>93</v>
      </c>
      <c r="F4" s="491" t="s">
        <v>257</v>
      </c>
      <c r="G4" s="492"/>
      <c r="H4" s="1336">
        <v>1</v>
      </c>
      <c r="I4" s="488" t="s">
        <v>258</v>
      </c>
      <c r="J4" s="488" t="s">
        <v>259</v>
      </c>
      <c r="K4" s="498" t="s">
        <v>7614</v>
      </c>
      <c r="L4" s="488"/>
      <c r="M4" s="1337" t="s">
        <v>260</v>
      </c>
      <c r="N4" s="492"/>
      <c r="O4" s="515">
        <v>1</v>
      </c>
      <c r="P4" s="516" t="s">
        <v>258</v>
      </c>
      <c r="Q4" s="495" t="s">
        <v>259</v>
      </c>
      <c r="R4" s="498"/>
      <c r="S4" s="496"/>
      <c r="T4" s="530" t="s">
        <v>81</v>
      </c>
      <c r="U4" s="492"/>
      <c r="V4" s="515">
        <v>1</v>
      </c>
      <c r="W4" s="516" t="s">
        <v>258</v>
      </c>
      <c r="X4" s="531" t="s">
        <v>259</v>
      </c>
      <c r="Y4" s="498"/>
      <c r="Z4" s="496"/>
      <c r="AA4" s="520" t="s">
        <v>111</v>
      </c>
      <c r="AB4" s="546"/>
      <c r="AC4" s="515">
        <v>1</v>
      </c>
      <c r="AD4" s="516" t="s">
        <v>258</v>
      </c>
      <c r="AE4" s="531" t="s">
        <v>259</v>
      </c>
      <c r="AF4" s="498"/>
      <c r="AG4" s="496"/>
      <c r="AH4" s="520" t="s">
        <v>115</v>
      </c>
      <c r="CG4" s="481"/>
      <c r="CI4" s="481" t="s">
        <v>261</v>
      </c>
    </row>
    <row r="5" spans="1:87" ht="24.75" customHeight="1" outlineLevel="1">
      <c r="A5" s="493">
        <f t="shared" ref="A5:A26" si="0">MAX(A4)+1</f>
        <v>2</v>
      </c>
      <c r="B5" s="488" t="s">
        <v>262</v>
      </c>
      <c r="C5" s="488" t="s">
        <v>263</v>
      </c>
      <c r="D5" s="490">
        <f>D4-D6</f>
        <v>52694.834600000002</v>
      </c>
      <c r="E5" s="488" t="s">
        <v>93</v>
      </c>
      <c r="F5" s="491" t="s">
        <v>257</v>
      </c>
      <c r="G5" s="492"/>
      <c r="H5" s="1336">
        <f t="shared" ref="H5:H26" si="1">MAX(H4)+1</f>
        <v>2</v>
      </c>
      <c r="I5" s="488" t="s">
        <v>264</v>
      </c>
      <c r="J5" s="488" t="s">
        <v>265</v>
      </c>
      <c r="K5" s="488">
        <f>D69</f>
        <v>46561.064599999998</v>
      </c>
      <c r="L5" s="488" t="s">
        <v>93</v>
      </c>
      <c r="M5" s="1337" t="s">
        <v>260</v>
      </c>
      <c r="N5" s="492"/>
      <c r="O5" s="515">
        <v>2</v>
      </c>
      <c r="P5" s="516" t="s">
        <v>266</v>
      </c>
      <c r="Q5" s="495" t="s">
        <v>267</v>
      </c>
      <c r="R5" s="532">
        <f>C75</f>
        <v>0</v>
      </c>
      <c r="S5" s="496" t="s">
        <v>93</v>
      </c>
      <c r="T5" s="530" t="s">
        <v>81</v>
      </c>
      <c r="U5" s="492"/>
      <c r="V5" s="493">
        <v>2</v>
      </c>
      <c r="W5" s="488" t="s">
        <v>268</v>
      </c>
      <c r="X5" s="531" t="s">
        <v>269</v>
      </c>
      <c r="Y5" s="537">
        <f>C78</f>
        <v>0</v>
      </c>
      <c r="Z5" s="490" t="s">
        <v>93</v>
      </c>
      <c r="AA5" s="520" t="s">
        <v>111</v>
      </c>
      <c r="AB5" s="546"/>
      <c r="AC5" s="493">
        <v>2</v>
      </c>
      <c r="AD5" s="488" t="s">
        <v>270</v>
      </c>
      <c r="AE5" s="531" t="s">
        <v>271</v>
      </c>
      <c r="AF5" s="547">
        <f>AF6+AF7</f>
        <v>0</v>
      </c>
      <c r="AG5" s="490" t="s">
        <v>93</v>
      </c>
      <c r="AH5" s="520" t="s">
        <v>115</v>
      </c>
      <c r="CG5" s="481"/>
      <c r="CI5" s="481" t="s">
        <v>272</v>
      </c>
    </row>
    <row r="6" spans="1:87" ht="24.75" customHeight="1" outlineLevel="1">
      <c r="A6" s="493">
        <f t="shared" si="0"/>
        <v>3</v>
      </c>
      <c r="B6" s="488" t="s">
        <v>273</v>
      </c>
      <c r="C6" s="488" t="s">
        <v>274</v>
      </c>
      <c r="D6" s="490">
        <f>C32+E96</f>
        <v>21931.919999999998</v>
      </c>
      <c r="E6" s="488" t="s">
        <v>93</v>
      </c>
      <c r="F6" s="491" t="s">
        <v>257</v>
      </c>
      <c r="G6" s="492"/>
      <c r="H6" s="1336">
        <f t="shared" si="1"/>
        <v>3</v>
      </c>
      <c r="I6" s="488" t="s">
        <v>275</v>
      </c>
      <c r="J6" s="488" t="s">
        <v>276</v>
      </c>
      <c r="K6" s="488">
        <f>K5-K7</f>
        <v>46561.064599999998</v>
      </c>
      <c r="L6" s="488" t="s">
        <v>93</v>
      </c>
      <c r="M6" s="1337" t="s">
        <v>260</v>
      </c>
      <c r="N6" s="492"/>
      <c r="O6" s="515">
        <f t="shared" ref="O6:O18" si="2">MAX(O5)+1</f>
        <v>3</v>
      </c>
      <c r="P6" s="516" t="s">
        <v>277</v>
      </c>
      <c r="Q6" s="495" t="s">
        <v>278</v>
      </c>
      <c r="R6" s="533">
        <f>E75</f>
        <v>0</v>
      </c>
      <c r="S6" s="496" t="s">
        <v>93</v>
      </c>
      <c r="T6" s="530" t="s">
        <v>81</v>
      </c>
      <c r="U6" s="492"/>
      <c r="V6" s="493">
        <f t="shared" ref="V6:V17" si="3">MAX(V5)+1</f>
        <v>3</v>
      </c>
      <c r="W6" s="488" t="s">
        <v>279</v>
      </c>
      <c r="X6" s="534" t="s">
        <v>280</v>
      </c>
      <c r="Y6" s="537">
        <f>H78</f>
        <v>0</v>
      </c>
      <c r="Z6" s="490" t="s">
        <v>93</v>
      </c>
      <c r="AA6" s="520" t="s">
        <v>111</v>
      </c>
      <c r="AB6" s="546"/>
      <c r="AC6" s="493">
        <f t="shared" ref="AC6:AC17" si="4">MAX(AC5)+1</f>
        <v>3</v>
      </c>
      <c r="AD6" s="488" t="s">
        <v>281</v>
      </c>
      <c r="AE6" s="531" t="s">
        <v>282</v>
      </c>
      <c r="AF6" s="537">
        <f>C81</f>
        <v>0</v>
      </c>
      <c r="AG6" s="490" t="s">
        <v>93</v>
      </c>
      <c r="AH6" s="520" t="s">
        <v>115</v>
      </c>
      <c r="CG6" s="481"/>
      <c r="CI6" s="481" t="s">
        <v>283</v>
      </c>
    </row>
    <row r="7" spans="1:87" ht="24.75" customHeight="1" outlineLevel="1">
      <c r="A7" s="493">
        <f t="shared" si="0"/>
        <v>4</v>
      </c>
      <c r="B7" s="488" t="s">
        <v>284</v>
      </c>
      <c r="C7" s="494" t="s">
        <v>285</v>
      </c>
      <c r="D7" s="490">
        <f>C96-C72</f>
        <v>0</v>
      </c>
      <c r="E7" s="490" t="s">
        <v>93</v>
      </c>
      <c r="F7" s="491" t="s">
        <v>257</v>
      </c>
      <c r="G7" s="492"/>
      <c r="H7" s="1336">
        <f t="shared" si="1"/>
        <v>4</v>
      </c>
      <c r="I7" s="488" t="s">
        <v>286</v>
      </c>
      <c r="J7" s="488" t="s">
        <v>287</v>
      </c>
      <c r="K7" s="488">
        <f>D32</f>
        <v>0</v>
      </c>
      <c r="L7" s="488" t="s">
        <v>93</v>
      </c>
      <c r="M7" s="1337" t="s">
        <v>260</v>
      </c>
      <c r="N7" s="492"/>
      <c r="O7" s="515">
        <f t="shared" si="2"/>
        <v>4</v>
      </c>
      <c r="P7" s="516" t="s">
        <v>288</v>
      </c>
      <c r="Q7" s="495" t="s">
        <v>289</v>
      </c>
      <c r="R7" s="533">
        <f>D75</f>
        <v>0</v>
      </c>
      <c r="S7" s="496" t="s">
        <v>93</v>
      </c>
      <c r="T7" s="530" t="s">
        <v>81</v>
      </c>
      <c r="U7" s="492"/>
      <c r="V7" s="493">
        <f t="shared" si="3"/>
        <v>4</v>
      </c>
      <c r="W7" s="488" t="s">
        <v>290</v>
      </c>
      <c r="X7" s="531" t="s">
        <v>291</v>
      </c>
      <c r="Y7" s="537">
        <f>M78</f>
        <v>0</v>
      </c>
      <c r="Z7" s="490" t="s">
        <v>93</v>
      </c>
      <c r="AA7" s="520" t="s">
        <v>111</v>
      </c>
      <c r="AB7" s="546"/>
      <c r="AC7" s="493">
        <f t="shared" si="4"/>
        <v>4</v>
      </c>
      <c r="AD7" s="488" t="s">
        <v>292</v>
      </c>
      <c r="AE7" s="531" t="s">
        <v>293</v>
      </c>
      <c r="AF7" s="548"/>
      <c r="AG7" s="490" t="s">
        <v>93</v>
      </c>
      <c r="AH7" s="520" t="s">
        <v>115</v>
      </c>
      <c r="CG7" s="481"/>
      <c r="CI7" s="481" t="s">
        <v>294</v>
      </c>
    </row>
    <row r="8" spans="1:87" ht="24.75" customHeight="1" outlineLevel="1">
      <c r="A8" s="493">
        <f t="shared" si="0"/>
        <v>5</v>
      </c>
      <c r="B8" s="488" t="s">
        <v>295</v>
      </c>
      <c r="C8" s="495" t="s">
        <v>120</v>
      </c>
      <c r="D8" s="490">
        <f>D7-D9</f>
        <v>0</v>
      </c>
      <c r="E8" s="490" t="s">
        <v>93</v>
      </c>
      <c r="F8" s="491" t="s">
        <v>257</v>
      </c>
      <c r="G8" s="492"/>
      <c r="H8" s="1336">
        <f t="shared" si="1"/>
        <v>5</v>
      </c>
      <c r="I8" s="488" t="s">
        <v>296</v>
      </c>
      <c r="J8" s="488" t="s">
        <v>297</v>
      </c>
      <c r="K8" s="517">
        <f>IFERROR(K5/D13,0)</f>
        <v>1.6159999986117155</v>
      </c>
      <c r="L8" s="488" t="s">
        <v>298</v>
      </c>
      <c r="M8" s="1337" t="s">
        <v>260</v>
      </c>
      <c r="N8" s="492"/>
      <c r="O8" s="515">
        <f t="shared" si="2"/>
        <v>5</v>
      </c>
      <c r="P8" s="516" t="s">
        <v>299</v>
      </c>
      <c r="Q8" s="495" t="s">
        <v>300</v>
      </c>
      <c r="R8" s="533">
        <f>H75</f>
        <v>0</v>
      </c>
      <c r="S8" s="496" t="s">
        <v>93</v>
      </c>
      <c r="T8" s="530" t="s">
        <v>81</v>
      </c>
      <c r="U8" s="492"/>
      <c r="V8" s="493">
        <f t="shared" si="3"/>
        <v>5</v>
      </c>
      <c r="W8" s="488" t="s">
        <v>301</v>
      </c>
      <c r="X8" s="534" t="s">
        <v>302</v>
      </c>
      <c r="Y8" s="537">
        <f>N78</f>
        <v>0</v>
      </c>
      <c r="Z8" s="490" t="s">
        <v>93</v>
      </c>
      <c r="AA8" s="520" t="s">
        <v>111</v>
      </c>
      <c r="AB8" s="546"/>
      <c r="AC8" s="493">
        <f t="shared" si="4"/>
        <v>5</v>
      </c>
      <c r="AD8" s="488" t="s">
        <v>303</v>
      </c>
      <c r="AE8" s="531" t="s">
        <v>304</v>
      </c>
      <c r="AF8" s="537">
        <f>BN81+BP81+BR81+BT81</f>
        <v>0</v>
      </c>
      <c r="AG8" s="490" t="s">
        <v>305</v>
      </c>
      <c r="AH8" s="520" t="s">
        <v>115</v>
      </c>
      <c r="CG8" s="481"/>
      <c r="CI8" s="481" t="s">
        <v>306</v>
      </c>
    </row>
    <row r="9" spans="1:87" ht="24.75" customHeight="1" outlineLevel="1">
      <c r="A9" s="493">
        <f t="shared" si="0"/>
        <v>6</v>
      </c>
      <c r="B9" s="488" t="s">
        <v>307</v>
      </c>
      <c r="C9" s="495" t="s">
        <v>96</v>
      </c>
      <c r="D9" s="496">
        <f>E75+E84</f>
        <v>0</v>
      </c>
      <c r="E9" s="490" t="s">
        <v>93</v>
      </c>
      <c r="F9" s="491" t="s">
        <v>257</v>
      </c>
      <c r="G9" s="492"/>
      <c r="H9" s="1336">
        <f t="shared" si="1"/>
        <v>6</v>
      </c>
      <c r="I9" s="488" t="s">
        <v>308</v>
      </c>
      <c r="J9" s="488" t="s">
        <v>309</v>
      </c>
      <c r="K9" s="501">
        <f>AC69</f>
        <v>301</v>
      </c>
      <c r="L9" s="488" t="s">
        <v>310</v>
      </c>
      <c r="M9" s="1338" t="s">
        <v>260</v>
      </c>
      <c r="N9" s="492"/>
      <c r="O9" s="515">
        <f t="shared" si="2"/>
        <v>6</v>
      </c>
      <c r="P9" s="516" t="s">
        <v>311</v>
      </c>
      <c r="Q9" s="495" t="s">
        <v>312</v>
      </c>
      <c r="R9" s="535">
        <f>R8-R10</f>
        <v>0</v>
      </c>
      <c r="S9" s="496" t="s">
        <v>93</v>
      </c>
      <c r="T9" s="530" t="s">
        <v>81</v>
      </c>
      <c r="U9" s="492"/>
      <c r="V9" s="493">
        <f t="shared" si="3"/>
        <v>6</v>
      </c>
      <c r="W9" s="488" t="s">
        <v>313</v>
      </c>
      <c r="X9" s="534" t="s">
        <v>135</v>
      </c>
      <c r="Y9" s="549">
        <f>IFERROR(Y6/(Y5-Y8),0)</f>
        <v>0</v>
      </c>
      <c r="Z9" s="490" t="s">
        <v>93</v>
      </c>
      <c r="AA9" s="520" t="s">
        <v>111</v>
      </c>
      <c r="AB9" s="546"/>
      <c r="AC9" s="493">
        <f t="shared" si="4"/>
        <v>6</v>
      </c>
      <c r="AD9" s="488" t="s">
        <v>314</v>
      </c>
      <c r="AE9" s="531" t="s">
        <v>315</v>
      </c>
      <c r="AF9" s="537">
        <f>BT81+BR81</f>
        <v>0</v>
      </c>
      <c r="AG9" s="490" t="s">
        <v>305</v>
      </c>
      <c r="AH9" s="520" t="s">
        <v>115</v>
      </c>
      <c r="CG9" s="481"/>
      <c r="CI9" s="481" t="s">
        <v>316</v>
      </c>
    </row>
    <row r="10" spans="1:87" ht="24.75" customHeight="1" outlineLevel="1">
      <c r="A10" s="493">
        <f t="shared" si="0"/>
        <v>7</v>
      </c>
      <c r="B10" s="488" t="s">
        <v>317</v>
      </c>
      <c r="C10" s="489" t="s">
        <v>318</v>
      </c>
      <c r="D10" s="490">
        <f>I69+C96</f>
        <v>74626.7546</v>
      </c>
      <c r="E10" s="488" t="s">
        <v>93</v>
      </c>
      <c r="F10" s="491" t="s">
        <v>257</v>
      </c>
      <c r="G10" s="492"/>
      <c r="H10" s="1336">
        <f t="shared" si="1"/>
        <v>7</v>
      </c>
      <c r="I10" s="497" t="s">
        <v>319</v>
      </c>
      <c r="J10" s="497" t="s">
        <v>320</v>
      </c>
      <c r="K10" s="518">
        <f>IFERROR(K11/D4,0)</f>
        <v>0.61896118687707202</v>
      </c>
      <c r="L10" s="518" t="s">
        <v>123</v>
      </c>
      <c r="M10" s="1338" t="s">
        <v>260</v>
      </c>
      <c r="N10" s="492"/>
      <c r="O10" s="515">
        <f t="shared" si="2"/>
        <v>7</v>
      </c>
      <c r="P10" s="516" t="s">
        <v>321</v>
      </c>
      <c r="Q10" s="495" t="s">
        <v>322</v>
      </c>
      <c r="R10" s="536"/>
      <c r="S10" s="496" t="s">
        <v>93</v>
      </c>
      <c r="T10" s="530" t="s">
        <v>81</v>
      </c>
      <c r="U10" s="492"/>
      <c r="V10" s="493">
        <f t="shared" si="3"/>
        <v>7</v>
      </c>
      <c r="W10" s="488" t="s">
        <v>323</v>
      </c>
      <c r="X10" s="534" t="s">
        <v>324</v>
      </c>
      <c r="Y10" s="537">
        <f>V78</f>
        <v>0</v>
      </c>
      <c r="Z10" s="490" t="s">
        <v>131</v>
      </c>
      <c r="AA10" s="520" t="s">
        <v>111</v>
      </c>
      <c r="AB10" s="546"/>
      <c r="AC10" s="493">
        <f t="shared" si="4"/>
        <v>7</v>
      </c>
      <c r="AD10" s="488" t="s">
        <v>325</v>
      </c>
      <c r="AE10" s="531" t="s">
        <v>169</v>
      </c>
      <c r="AF10" s="549">
        <f>IFERROR((AF6+AF7)/AF8,0)</f>
        <v>0</v>
      </c>
      <c r="AG10" s="490" t="s">
        <v>170</v>
      </c>
      <c r="AH10" s="520" t="s">
        <v>115</v>
      </c>
      <c r="CG10" s="481"/>
      <c r="CI10" s="481" t="s">
        <v>326</v>
      </c>
    </row>
    <row r="11" spans="1:87" ht="24.75" customHeight="1" outlineLevel="1">
      <c r="A11" s="493">
        <f t="shared" si="0"/>
        <v>8</v>
      </c>
      <c r="B11" s="488" t="s">
        <v>327</v>
      </c>
      <c r="C11" s="488" t="s">
        <v>328</v>
      </c>
      <c r="D11" s="490">
        <f>D10-D12</f>
        <v>52694.834600000002</v>
      </c>
      <c r="E11" s="488" t="s">
        <v>93</v>
      </c>
      <c r="F11" s="491" t="s">
        <v>257</v>
      </c>
      <c r="G11" s="492"/>
      <c r="H11" s="1336">
        <f t="shared" si="1"/>
        <v>8</v>
      </c>
      <c r="I11" s="488" t="s">
        <v>329</v>
      </c>
      <c r="J11" s="488" t="s">
        <v>330</v>
      </c>
      <c r="K11" s="519">
        <f>E69</f>
        <v>46191.064599999998</v>
      </c>
      <c r="L11" s="488" t="s">
        <v>93</v>
      </c>
      <c r="M11" s="1339" t="s">
        <v>260</v>
      </c>
      <c r="N11" s="492"/>
      <c r="O11" s="515">
        <f t="shared" si="2"/>
        <v>8</v>
      </c>
      <c r="P11" s="516" t="s">
        <v>331</v>
      </c>
      <c r="Q11" s="495" t="s">
        <v>332</v>
      </c>
      <c r="R11" s="533">
        <f>AD75</f>
        <v>0</v>
      </c>
      <c r="S11" s="496" t="s">
        <v>93</v>
      </c>
      <c r="T11" s="530" t="s">
        <v>81</v>
      </c>
      <c r="U11" s="492"/>
      <c r="V11" s="493">
        <f t="shared" si="3"/>
        <v>8</v>
      </c>
      <c r="W11" s="488" t="s">
        <v>333</v>
      </c>
      <c r="X11" s="534" t="s">
        <v>334</v>
      </c>
      <c r="Y11" s="537">
        <f>U78</f>
        <v>0</v>
      </c>
      <c r="Z11" s="490" t="s">
        <v>131</v>
      </c>
      <c r="AA11" s="520" t="s">
        <v>111</v>
      </c>
      <c r="AB11" s="546"/>
      <c r="AC11" s="493">
        <f t="shared" si="4"/>
        <v>8</v>
      </c>
      <c r="AD11" s="488" t="s">
        <v>335</v>
      </c>
      <c r="AE11" s="531" t="s">
        <v>179</v>
      </c>
      <c r="AF11" s="518">
        <f>IFERROR(AF9/AF8,0)</f>
        <v>0</v>
      </c>
      <c r="AG11" s="490" t="s">
        <v>123</v>
      </c>
      <c r="AH11" s="520" t="s">
        <v>115</v>
      </c>
      <c r="CG11" s="481"/>
      <c r="CI11" s="481" t="s">
        <v>336</v>
      </c>
    </row>
    <row r="12" spans="1:87" ht="24.75" customHeight="1" outlineLevel="1">
      <c r="A12" s="493">
        <f t="shared" si="0"/>
        <v>9</v>
      </c>
      <c r="B12" s="488" t="s">
        <v>337</v>
      </c>
      <c r="C12" s="488" t="s">
        <v>338</v>
      </c>
      <c r="D12" s="490">
        <f>E96+I32</f>
        <v>21931.919999999998</v>
      </c>
      <c r="E12" s="488" t="s">
        <v>93</v>
      </c>
      <c r="F12" s="491" t="s">
        <v>257</v>
      </c>
      <c r="G12" s="492"/>
      <c r="H12" s="1336">
        <f t="shared" si="1"/>
        <v>9</v>
      </c>
      <c r="I12" s="488" t="s">
        <v>339</v>
      </c>
      <c r="J12" s="488" t="s">
        <v>340</v>
      </c>
      <c r="K12" s="488">
        <f>+F69</f>
        <v>46191.064599999998</v>
      </c>
      <c r="L12" s="488" t="s">
        <v>93</v>
      </c>
      <c r="M12" s="1337" t="s">
        <v>260</v>
      </c>
      <c r="N12" s="492"/>
      <c r="O12" s="515">
        <f t="shared" si="2"/>
        <v>9</v>
      </c>
      <c r="P12" s="516" t="s">
        <v>341</v>
      </c>
      <c r="Q12" s="495" t="s">
        <v>117</v>
      </c>
      <c r="R12" s="518">
        <f>I75</f>
        <v>0</v>
      </c>
      <c r="S12" s="496" t="s">
        <v>123</v>
      </c>
      <c r="T12" s="530" t="s">
        <v>81</v>
      </c>
      <c r="U12" s="492"/>
      <c r="V12" s="493">
        <f t="shared" si="3"/>
        <v>9</v>
      </c>
      <c r="W12" s="488" t="s">
        <v>342</v>
      </c>
      <c r="X12" s="534" t="s">
        <v>343</v>
      </c>
      <c r="Y12" s="537">
        <f>F78</f>
        <v>0</v>
      </c>
      <c r="Z12" s="490" t="s">
        <v>131</v>
      </c>
      <c r="AA12" s="520" t="s">
        <v>111</v>
      </c>
      <c r="AB12" s="546"/>
      <c r="AC12" s="493">
        <f t="shared" si="4"/>
        <v>9</v>
      </c>
      <c r="AD12" s="488" t="s">
        <v>344</v>
      </c>
      <c r="AE12" s="531" t="s">
        <v>324</v>
      </c>
      <c r="AF12" s="537">
        <f>V81</f>
        <v>0</v>
      </c>
      <c r="AG12" s="462" t="s">
        <v>131</v>
      </c>
      <c r="AH12" s="520" t="s">
        <v>115</v>
      </c>
      <c r="CG12" s="481"/>
      <c r="CI12" s="481" t="s">
        <v>345</v>
      </c>
    </row>
    <row r="13" spans="1:87" ht="24.75" customHeight="1" outlineLevel="1">
      <c r="A13" s="493">
        <f t="shared" si="0"/>
        <v>10</v>
      </c>
      <c r="B13" s="497" t="s">
        <v>346</v>
      </c>
      <c r="C13" s="497" t="s">
        <v>347</v>
      </c>
      <c r="D13" s="498">
        <f>总指标!E4</f>
        <v>28812.54</v>
      </c>
      <c r="E13" s="488" t="s">
        <v>93</v>
      </c>
      <c r="F13" s="491" t="s">
        <v>257</v>
      </c>
      <c r="G13" s="492"/>
      <c r="H13" s="1336">
        <f t="shared" si="1"/>
        <v>10</v>
      </c>
      <c r="I13" s="488" t="s">
        <v>348</v>
      </c>
      <c r="J13" s="488" t="s">
        <v>349</v>
      </c>
      <c r="K13" s="518">
        <f>IFERROR(K12/D69,0)</f>
        <v>0.99205344630371706</v>
      </c>
      <c r="L13" s="488" t="s">
        <v>123</v>
      </c>
      <c r="M13" s="1337" t="s">
        <v>260</v>
      </c>
      <c r="N13" s="492"/>
      <c r="O13" s="515">
        <f t="shared" si="2"/>
        <v>10</v>
      </c>
      <c r="P13" s="516" t="s">
        <v>350</v>
      </c>
      <c r="Q13" s="495" t="s">
        <v>122</v>
      </c>
      <c r="R13" s="518">
        <f>J75</f>
        <v>0</v>
      </c>
      <c r="S13" s="496" t="s">
        <v>123</v>
      </c>
      <c r="T13" s="530" t="s">
        <v>81</v>
      </c>
      <c r="U13" s="492"/>
      <c r="V13" s="493">
        <f t="shared" si="3"/>
        <v>10</v>
      </c>
      <c r="W13" s="488" t="s">
        <v>351</v>
      </c>
      <c r="X13" s="534" t="s">
        <v>352</v>
      </c>
      <c r="Y13" s="537">
        <f>G78</f>
        <v>0</v>
      </c>
      <c r="Z13" s="490" t="s">
        <v>131</v>
      </c>
      <c r="AA13" s="520" t="s">
        <v>111</v>
      </c>
      <c r="AB13" s="546"/>
      <c r="AC13" s="493">
        <f t="shared" si="4"/>
        <v>10</v>
      </c>
      <c r="AD13" s="488" t="s">
        <v>353</v>
      </c>
      <c r="AE13" s="531" t="s">
        <v>334</v>
      </c>
      <c r="AF13" s="537">
        <f>U81</f>
        <v>0</v>
      </c>
      <c r="AG13" s="462" t="s">
        <v>131</v>
      </c>
      <c r="AH13" s="520" t="s">
        <v>115</v>
      </c>
      <c r="CG13" s="481"/>
      <c r="CI13" s="481" t="s">
        <v>354</v>
      </c>
    </row>
    <row r="14" spans="1:87" ht="24.75" customHeight="1" outlineLevel="1">
      <c r="A14" s="493">
        <f t="shared" si="0"/>
        <v>11</v>
      </c>
      <c r="B14" s="488" t="s">
        <v>355</v>
      </c>
      <c r="C14" s="488" t="s">
        <v>356</v>
      </c>
      <c r="D14" s="498">
        <f>总指标!E55-K26</f>
        <v>18786.64</v>
      </c>
      <c r="E14" s="488" t="s">
        <v>93</v>
      </c>
      <c r="F14" s="491" t="s">
        <v>257</v>
      </c>
      <c r="G14" s="492"/>
      <c r="H14" s="1336">
        <f t="shared" si="1"/>
        <v>11</v>
      </c>
      <c r="I14" s="488" t="s">
        <v>357</v>
      </c>
      <c r="J14" s="488" t="s">
        <v>358</v>
      </c>
      <c r="K14" s="518">
        <f>IFERROR(D14/D13,0)</f>
        <v>0.65202998416661628</v>
      </c>
      <c r="L14" s="488" t="s">
        <v>123</v>
      </c>
      <c r="M14" s="1337" t="s">
        <v>260</v>
      </c>
      <c r="N14" s="492"/>
      <c r="O14" s="515">
        <f t="shared" si="2"/>
        <v>11</v>
      </c>
      <c r="P14" s="516" t="s">
        <v>359</v>
      </c>
      <c r="Q14" s="495" t="s">
        <v>127</v>
      </c>
      <c r="R14" s="518">
        <f>K75</f>
        <v>0</v>
      </c>
      <c r="S14" s="496" t="s">
        <v>123</v>
      </c>
      <c r="T14" s="530" t="s">
        <v>81</v>
      </c>
      <c r="U14" s="492"/>
      <c r="V14" s="493">
        <f t="shared" si="3"/>
        <v>11</v>
      </c>
      <c r="W14" s="488" t="s">
        <v>360</v>
      </c>
      <c r="X14" s="534" t="s">
        <v>152</v>
      </c>
      <c r="Y14" s="537">
        <f>P78</f>
        <v>0</v>
      </c>
      <c r="Z14" s="490" t="s">
        <v>153</v>
      </c>
      <c r="AA14" s="520" t="s">
        <v>111</v>
      </c>
      <c r="AB14" s="546"/>
      <c r="AC14" s="493">
        <f t="shared" si="4"/>
        <v>11</v>
      </c>
      <c r="AD14" s="488" t="s">
        <v>361</v>
      </c>
      <c r="AE14" s="534" t="s">
        <v>362</v>
      </c>
      <c r="AF14" s="537">
        <f>Q81</f>
        <v>0</v>
      </c>
      <c r="AG14" s="490" t="s">
        <v>363</v>
      </c>
      <c r="AH14" s="520" t="s">
        <v>115</v>
      </c>
      <c r="CG14" s="481"/>
      <c r="CI14" s="481" t="s">
        <v>364</v>
      </c>
    </row>
    <row r="15" spans="1:87" ht="24.75" customHeight="1" outlineLevel="1">
      <c r="A15" s="493">
        <f t="shared" si="0"/>
        <v>12</v>
      </c>
      <c r="B15" s="488" t="s">
        <v>365</v>
      </c>
      <c r="C15" s="488" t="s">
        <v>366</v>
      </c>
      <c r="D15" s="499">
        <v>24661</v>
      </c>
      <c r="E15" s="488" t="s">
        <v>93</v>
      </c>
      <c r="F15" s="491" t="s">
        <v>257</v>
      </c>
      <c r="G15" s="492"/>
      <c r="H15" s="1336">
        <f t="shared" si="1"/>
        <v>12</v>
      </c>
      <c r="I15" s="488" t="s">
        <v>367</v>
      </c>
      <c r="J15" s="488" t="s">
        <v>368</v>
      </c>
      <c r="K15" s="518">
        <v>0</v>
      </c>
      <c r="L15" s="488" t="s">
        <v>123</v>
      </c>
      <c r="M15" s="1337" t="s">
        <v>260</v>
      </c>
      <c r="N15" s="492"/>
      <c r="O15" s="515">
        <f t="shared" si="2"/>
        <v>12</v>
      </c>
      <c r="P15" s="516" t="s">
        <v>290</v>
      </c>
      <c r="Q15" s="495" t="s">
        <v>369</v>
      </c>
      <c r="R15" s="537">
        <f>L75</f>
        <v>0</v>
      </c>
      <c r="S15" s="496" t="s">
        <v>93</v>
      </c>
      <c r="T15" s="530" t="s">
        <v>81</v>
      </c>
      <c r="U15" s="492"/>
      <c r="V15" s="493">
        <f t="shared" si="3"/>
        <v>12</v>
      </c>
      <c r="W15" s="488" t="s">
        <v>370</v>
      </c>
      <c r="X15" s="534" t="s">
        <v>362</v>
      </c>
      <c r="Y15" s="537">
        <f>Q78</f>
        <v>0</v>
      </c>
      <c r="Z15" s="490" t="s">
        <v>363</v>
      </c>
      <c r="AA15" s="520" t="s">
        <v>111</v>
      </c>
      <c r="AB15" s="546"/>
      <c r="AC15" s="493">
        <f t="shared" si="4"/>
        <v>12</v>
      </c>
      <c r="AD15" s="488" t="s">
        <v>371</v>
      </c>
      <c r="AE15" s="534" t="s">
        <v>372</v>
      </c>
      <c r="AF15" s="537">
        <f>R81</f>
        <v>0</v>
      </c>
      <c r="AG15" s="490" t="s">
        <v>156</v>
      </c>
      <c r="AH15" s="520" t="s">
        <v>115</v>
      </c>
      <c r="CG15" s="481"/>
      <c r="CI15" s="481" t="s">
        <v>373</v>
      </c>
    </row>
    <row r="16" spans="1:87" ht="24.75" customHeight="1" outlineLevel="1">
      <c r="A16" s="493">
        <f t="shared" si="0"/>
        <v>13</v>
      </c>
      <c r="B16" s="488" t="s">
        <v>374</v>
      </c>
      <c r="C16" s="488" t="s">
        <v>375</v>
      </c>
      <c r="D16" s="499">
        <f>支护!F3</f>
        <v>861</v>
      </c>
      <c r="E16" s="488" t="s">
        <v>376</v>
      </c>
      <c r="F16" s="491" t="s">
        <v>257</v>
      </c>
      <c r="G16" s="492"/>
      <c r="H16" s="1336">
        <f t="shared" si="1"/>
        <v>13</v>
      </c>
      <c r="I16" s="488" t="s">
        <v>377</v>
      </c>
      <c r="J16" s="488" t="s">
        <v>378</v>
      </c>
      <c r="K16" s="518">
        <v>0</v>
      </c>
      <c r="L16" s="488" t="s">
        <v>123</v>
      </c>
      <c r="M16" s="1337" t="s">
        <v>260</v>
      </c>
      <c r="N16" s="492"/>
      <c r="O16" s="515">
        <f t="shared" si="2"/>
        <v>13</v>
      </c>
      <c r="P16" s="516" t="s">
        <v>370</v>
      </c>
      <c r="Q16" s="538" t="s">
        <v>362</v>
      </c>
      <c r="R16" s="537">
        <f>Q75</f>
        <v>0</v>
      </c>
      <c r="S16" s="496" t="s">
        <v>363</v>
      </c>
      <c r="T16" s="530" t="s">
        <v>81</v>
      </c>
      <c r="U16" s="492"/>
      <c r="V16" s="493">
        <f t="shared" si="3"/>
        <v>13</v>
      </c>
      <c r="W16" s="488" t="s">
        <v>379</v>
      </c>
      <c r="X16" s="534" t="s">
        <v>372</v>
      </c>
      <c r="Y16" s="537">
        <f>R78</f>
        <v>0</v>
      </c>
      <c r="Z16" s="490" t="s">
        <v>156</v>
      </c>
      <c r="AA16" s="520" t="s">
        <v>111</v>
      </c>
      <c r="AB16" s="546"/>
      <c r="AC16" s="493">
        <f t="shared" si="4"/>
        <v>13</v>
      </c>
      <c r="AD16" s="488" t="s">
        <v>380</v>
      </c>
      <c r="AE16" s="531" t="s">
        <v>381</v>
      </c>
      <c r="AF16" s="550"/>
      <c r="AG16" s="490" t="s">
        <v>82</v>
      </c>
      <c r="AH16" s="520" t="s">
        <v>115</v>
      </c>
      <c r="CG16" s="481"/>
      <c r="CI16" s="481" t="s">
        <v>382</v>
      </c>
    </row>
    <row r="17" spans="1:87" ht="24.75" customHeight="1" outlineLevel="1" thickBot="1">
      <c r="A17" s="493">
        <f t="shared" si="0"/>
        <v>14</v>
      </c>
      <c r="B17" s="488" t="s">
        <v>383</v>
      </c>
      <c r="C17" s="495" t="s">
        <v>384</v>
      </c>
      <c r="D17" s="499"/>
      <c r="E17" s="496" t="s">
        <v>385</v>
      </c>
      <c r="F17" s="491" t="s">
        <v>257</v>
      </c>
      <c r="G17" s="492"/>
      <c r="H17" s="1336">
        <f t="shared" si="1"/>
        <v>14</v>
      </c>
      <c r="I17" s="488" t="s">
        <v>386</v>
      </c>
      <c r="J17" s="488" t="s">
        <v>387</v>
      </c>
      <c r="K17" s="518">
        <v>0</v>
      </c>
      <c r="L17" s="488" t="s">
        <v>123</v>
      </c>
      <c r="M17" s="1337" t="s">
        <v>260</v>
      </c>
      <c r="N17" s="492"/>
      <c r="O17" s="515">
        <f t="shared" si="2"/>
        <v>14</v>
      </c>
      <c r="P17" s="516" t="s">
        <v>379</v>
      </c>
      <c r="Q17" s="538" t="s">
        <v>372</v>
      </c>
      <c r="R17" s="537">
        <f>R75</f>
        <v>0</v>
      </c>
      <c r="S17" s="496" t="s">
        <v>156</v>
      </c>
      <c r="T17" s="530" t="s">
        <v>81</v>
      </c>
      <c r="U17" s="492"/>
      <c r="V17" s="502">
        <f t="shared" si="3"/>
        <v>14</v>
      </c>
      <c r="W17" s="525" t="s">
        <v>388</v>
      </c>
      <c r="X17" s="539" t="s">
        <v>389</v>
      </c>
      <c r="Y17" s="551"/>
      <c r="Z17" s="552" t="s">
        <v>82</v>
      </c>
      <c r="AA17" s="526" t="s">
        <v>111</v>
      </c>
      <c r="AB17" s="546"/>
      <c r="AC17" s="502">
        <f t="shared" si="4"/>
        <v>14</v>
      </c>
      <c r="AD17" s="525" t="s">
        <v>390</v>
      </c>
      <c r="AE17" s="539" t="s">
        <v>389</v>
      </c>
      <c r="AF17" s="553"/>
      <c r="AG17" s="552" t="s">
        <v>82</v>
      </c>
      <c r="AH17" s="526" t="s">
        <v>115</v>
      </c>
      <c r="CG17" s="481"/>
      <c r="CI17" s="481" t="s">
        <v>391</v>
      </c>
    </row>
    <row r="18" spans="1:87" ht="24.75" customHeight="1" outlineLevel="1" thickBot="1">
      <c r="A18" s="493">
        <f t="shared" si="0"/>
        <v>15</v>
      </c>
      <c r="B18" s="488" t="s">
        <v>392</v>
      </c>
      <c r="C18" s="488" t="s">
        <v>393</v>
      </c>
      <c r="D18" s="500"/>
      <c r="E18" s="488" t="s">
        <v>394</v>
      </c>
      <c r="F18" s="491" t="s">
        <v>257</v>
      </c>
      <c r="G18" s="492"/>
      <c r="H18" s="1336">
        <f t="shared" si="1"/>
        <v>15</v>
      </c>
      <c r="I18" s="488" t="s">
        <v>395</v>
      </c>
      <c r="J18" s="488" t="s">
        <v>396</v>
      </c>
      <c r="K18" s="488"/>
      <c r="L18" s="488" t="s">
        <v>93</v>
      </c>
      <c r="M18" s="1337" t="s">
        <v>260</v>
      </c>
      <c r="N18" s="492"/>
      <c r="O18" s="521">
        <f t="shared" si="2"/>
        <v>15</v>
      </c>
      <c r="P18" s="522" t="s">
        <v>388</v>
      </c>
      <c r="Q18" s="540" t="s">
        <v>389</v>
      </c>
      <c r="R18" s="541"/>
      <c r="S18" s="542" t="s">
        <v>82</v>
      </c>
      <c r="T18" s="543" t="s">
        <v>81</v>
      </c>
      <c r="U18" s="492"/>
      <c r="V18" s="492"/>
      <c r="W18" s="478"/>
      <c r="X18" s="478"/>
      <c r="Y18" s="478"/>
      <c r="Z18" s="478"/>
      <c r="AA18" s="481"/>
      <c r="AB18" s="481"/>
      <c r="CG18" s="481"/>
      <c r="CI18" s="481" t="s">
        <v>397</v>
      </c>
    </row>
    <row r="19" spans="1:87" ht="24.75" customHeight="1" outlineLevel="1">
      <c r="A19" s="493">
        <f t="shared" si="0"/>
        <v>16</v>
      </c>
      <c r="B19" s="488" t="s">
        <v>398</v>
      </c>
      <c r="C19" s="488" t="s">
        <v>399</v>
      </c>
      <c r="D19" s="501">
        <f>AI69+CD96</f>
        <v>522.5</v>
      </c>
      <c r="E19" s="488" t="s">
        <v>400</v>
      </c>
      <c r="F19" s="491" t="s">
        <v>257</v>
      </c>
      <c r="G19" s="492"/>
      <c r="H19" s="1336">
        <f t="shared" si="1"/>
        <v>16</v>
      </c>
      <c r="I19" s="488" t="s">
        <v>401</v>
      </c>
      <c r="J19" s="488" t="s">
        <v>402</v>
      </c>
      <c r="K19" s="519">
        <f>G69</f>
        <v>46191.064599999998</v>
      </c>
      <c r="L19" s="488" t="s">
        <v>93</v>
      </c>
      <c r="M19" s="1339" t="s">
        <v>260</v>
      </c>
      <c r="N19" s="523"/>
      <c r="O19" s="523"/>
      <c r="P19" s="523"/>
      <c r="Q19" s="524"/>
      <c r="R19" s="544"/>
      <c r="S19" s="492"/>
      <c r="T19" s="492"/>
      <c r="U19" s="492"/>
      <c r="V19" s="478"/>
      <c r="W19" s="478"/>
      <c r="X19" s="478"/>
      <c r="Y19" s="478"/>
      <c r="AA19" s="481"/>
      <c r="CG19" s="481"/>
      <c r="CI19" s="481" t="s">
        <v>403</v>
      </c>
    </row>
    <row r="20" spans="1:87" ht="24.75" customHeight="1" outlineLevel="1">
      <c r="A20" s="493">
        <f t="shared" si="0"/>
        <v>17</v>
      </c>
      <c r="B20" s="488" t="s">
        <v>404</v>
      </c>
      <c r="C20" s="488" t="s">
        <v>405</v>
      </c>
      <c r="D20" s="501">
        <f>AI32+CD72</f>
        <v>522.5</v>
      </c>
      <c r="E20" s="488" t="s">
        <v>400</v>
      </c>
      <c r="F20" s="491" t="s">
        <v>257</v>
      </c>
      <c r="G20" s="492"/>
      <c r="H20" s="1336">
        <f t="shared" si="1"/>
        <v>17</v>
      </c>
      <c r="I20" s="488" t="s">
        <v>406</v>
      </c>
      <c r="J20" s="488" t="s">
        <v>407</v>
      </c>
      <c r="K20" s="519">
        <f>H69</f>
        <v>0</v>
      </c>
      <c r="L20" s="488" t="s">
        <v>93</v>
      </c>
      <c r="M20" s="1339" t="s">
        <v>260</v>
      </c>
      <c r="N20" s="523"/>
      <c r="O20" s="523"/>
      <c r="P20" s="523"/>
      <c r="Q20" s="524"/>
      <c r="R20" s="544"/>
      <c r="S20" s="492"/>
      <c r="T20" s="492"/>
      <c r="U20" s="492"/>
      <c r="V20" s="478"/>
      <c r="W20" s="478"/>
      <c r="X20" s="478"/>
      <c r="Y20" s="478"/>
      <c r="AA20" s="481"/>
      <c r="CG20" s="481"/>
      <c r="CI20" s="481" t="s">
        <v>408</v>
      </c>
    </row>
    <row r="21" spans="1:87" ht="24.75" customHeight="1" outlineLevel="1">
      <c r="A21" s="493">
        <f t="shared" si="0"/>
        <v>18</v>
      </c>
      <c r="B21" s="488" t="s">
        <v>409</v>
      </c>
      <c r="C21" s="488" t="s">
        <v>410</v>
      </c>
      <c r="D21" s="501">
        <f>IFERROR((I33+E72)/D20,0)</f>
        <v>38.912765550239229</v>
      </c>
      <c r="E21" s="501" t="s">
        <v>411</v>
      </c>
      <c r="F21" s="501" t="s">
        <v>257</v>
      </c>
      <c r="G21" s="492"/>
      <c r="H21" s="1336">
        <f t="shared" si="1"/>
        <v>18</v>
      </c>
      <c r="I21" s="488" t="s">
        <v>412</v>
      </c>
      <c r="J21" s="488" t="s">
        <v>413</v>
      </c>
      <c r="K21" s="498">
        <f>总指标!K3+1000</f>
        <v>1370</v>
      </c>
      <c r="L21" s="488" t="s">
        <v>93</v>
      </c>
      <c r="M21" s="1339" t="s">
        <v>260</v>
      </c>
      <c r="N21" s="523"/>
      <c r="O21" s="523"/>
      <c r="P21" s="523"/>
      <c r="Q21" s="524"/>
      <c r="R21" s="544"/>
      <c r="S21" s="492"/>
      <c r="T21" s="492"/>
      <c r="U21" s="492"/>
      <c r="V21" s="478"/>
      <c r="W21" s="478"/>
      <c r="X21" s="478"/>
      <c r="Y21" s="478"/>
      <c r="AA21" s="481"/>
      <c r="CG21" s="481"/>
      <c r="CI21" s="481" t="s">
        <v>414</v>
      </c>
    </row>
    <row r="22" spans="1:87" ht="24.75" customHeight="1" outlineLevel="1">
      <c r="A22" s="493">
        <f t="shared" si="0"/>
        <v>19</v>
      </c>
      <c r="B22" s="488" t="s">
        <v>415</v>
      </c>
      <c r="C22" s="488" t="s">
        <v>416</v>
      </c>
      <c r="D22" s="501">
        <f>AJ69+CG96</f>
        <v>156.75</v>
      </c>
      <c r="E22" s="488" t="s">
        <v>417</v>
      </c>
      <c r="F22" s="491" t="s">
        <v>257</v>
      </c>
      <c r="G22" s="492"/>
      <c r="H22" s="1336">
        <f t="shared" si="1"/>
        <v>19</v>
      </c>
      <c r="I22" s="488" t="s">
        <v>418</v>
      </c>
      <c r="J22" s="488" t="s">
        <v>419</v>
      </c>
      <c r="K22" s="498">
        <f>总指标!K3</f>
        <v>370</v>
      </c>
      <c r="L22" s="488" t="s">
        <v>93</v>
      </c>
      <c r="M22" s="1337" t="s">
        <v>260</v>
      </c>
      <c r="N22" s="523"/>
      <c r="O22" s="523"/>
      <c r="P22" s="523"/>
      <c r="Q22" s="524"/>
      <c r="R22" s="544"/>
      <c r="S22" s="492"/>
      <c r="T22" s="492"/>
      <c r="U22" s="492"/>
      <c r="V22" s="478"/>
      <c r="W22" s="478"/>
      <c r="X22" s="478"/>
      <c r="Y22" s="478"/>
      <c r="AA22" s="481"/>
      <c r="CG22" s="481"/>
      <c r="CI22" s="481" t="s">
        <v>420</v>
      </c>
    </row>
    <row r="23" spans="1:87" ht="24.75" customHeight="1" outlineLevel="1">
      <c r="A23" s="493">
        <f t="shared" si="0"/>
        <v>20</v>
      </c>
      <c r="B23" s="488" t="s">
        <v>421</v>
      </c>
      <c r="C23" s="488" t="s">
        <v>422</v>
      </c>
      <c r="D23" s="501">
        <f>AK69+CH96</f>
        <v>2</v>
      </c>
      <c r="E23" s="488" t="s">
        <v>400</v>
      </c>
      <c r="F23" s="491" t="s">
        <v>257</v>
      </c>
      <c r="G23" s="492"/>
      <c r="H23" s="1336">
        <f t="shared" si="1"/>
        <v>20</v>
      </c>
      <c r="I23" s="488" t="s">
        <v>423</v>
      </c>
      <c r="J23" s="488" t="s">
        <v>424</v>
      </c>
      <c r="K23" s="498">
        <v>2</v>
      </c>
      <c r="L23" s="488" t="s">
        <v>400</v>
      </c>
      <c r="M23" s="1337" t="s">
        <v>260</v>
      </c>
      <c r="N23" s="523"/>
      <c r="O23" s="523"/>
      <c r="P23" s="524"/>
      <c r="Q23" s="544"/>
      <c r="R23" s="492"/>
      <c r="S23" s="492"/>
      <c r="T23" s="492"/>
      <c r="V23" s="478"/>
      <c r="W23" s="478"/>
      <c r="X23" s="478"/>
      <c r="CG23" s="481"/>
      <c r="CI23" s="481" t="s">
        <v>425</v>
      </c>
    </row>
    <row r="24" spans="1:87" ht="24.75" customHeight="1" outlineLevel="1">
      <c r="A24" s="493">
        <f t="shared" si="0"/>
        <v>21</v>
      </c>
      <c r="B24" s="488" t="s">
        <v>426</v>
      </c>
      <c r="C24" s="488" t="s">
        <v>427</v>
      </c>
      <c r="D24" s="500">
        <v>3.7</v>
      </c>
      <c r="E24" s="488" t="s">
        <v>131</v>
      </c>
      <c r="F24" s="491" t="s">
        <v>257</v>
      </c>
      <c r="G24" s="492"/>
      <c r="H24" s="1336">
        <f t="shared" si="1"/>
        <v>21</v>
      </c>
      <c r="I24" s="488" t="s">
        <v>428</v>
      </c>
      <c r="J24" s="488" t="s">
        <v>429</v>
      </c>
      <c r="K24" s="498">
        <f>SUM(总指标!J24:J26)</f>
        <v>319</v>
      </c>
      <c r="L24" s="488" t="s">
        <v>93</v>
      </c>
      <c r="M24" s="1337" t="s">
        <v>260</v>
      </c>
      <c r="N24" s="523"/>
      <c r="O24" s="523"/>
      <c r="P24" s="524"/>
      <c r="Q24" s="544"/>
      <c r="R24" s="492"/>
      <c r="S24" s="492"/>
      <c r="T24" s="492"/>
      <c r="V24" s="478"/>
      <c r="W24" s="478"/>
      <c r="X24" s="478"/>
      <c r="CG24" s="481"/>
      <c r="CI24" s="481" t="s">
        <v>430</v>
      </c>
    </row>
    <row r="25" spans="1:87" ht="24.75" customHeight="1" outlineLevel="1">
      <c r="A25" s="493">
        <f t="shared" si="0"/>
        <v>22</v>
      </c>
      <c r="B25" s="488" t="s">
        <v>431</v>
      </c>
      <c r="C25" s="488" t="s">
        <v>432</v>
      </c>
      <c r="D25" s="500"/>
      <c r="E25" s="488" t="s">
        <v>131</v>
      </c>
      <c r="F25" s="491" t="s">
        <v>257</v>
      </c>
      <c r="G25" s="492"/>
      <c r="H25" s="1336">
        <f t="shared" si="1"/>
        <v>22</v>
      </c>
      <c r="I25" s="488" t="s">
        <v>433</v>
      </c>
      <c r="J25" s="488" t="s">
        <v>434</v>
      </c>
      <c r="K25" s="498"/>
      <c r="L25" s="488" t="s">
        <v>131</v>
      </c>
      <c r="M25" s="1337" t="s">
        <v>260</v>
      </c>
      <c r="N25" s="523"/>
      <c r="O25" s="523"/>
      <c r="P25" s="524"/>
      <c r="Q25" s="544"/>
      <c r="R25" s="492"/>
      <c r="S25" s="492"/>
      <c r="T25" s="492"/>
      <c r="V25" s="478"/>
      <c r="W25" s="478"/>
      <c r="X25" s="478"/>
      <c r="CG25" s="481"/>
      <c r="CI25" s="481" t="s">
        <v>435</v>
      </c>
    </row>
    <row r="26" spans="1:87" ht="24.75" customHeight="1" outlineLevel="1" thickBot="1">
      <c r="A26" s="502">
        <f t="shared" si="0"/>
        <v>23</v>
      </c>
      <c r="B26" s="488" t="s">
        <v>436</v>
      </c>
      <c r="C26" s="488" t="s">
        <v>437</v>
      </c>
      <c r="D26" s="500"/>
      <c r="E26" s="488" t="s">
        <v>131</v>
      </c>
      <c r="F26" s="491" t="s">
        <v>257</v>
      </c>
      <c r="G26" s="492"/>
      <c r="H26" s="1340">
        <f t="shared" si="1"/>
        <v>23</v>
      </c>
      <c r="I26" s="1341" t="s">
        <v>438</v>
      </c>
      <c r="J26" s="1341" t="s">
        <v>439</v>
      </c>
      <c r="K26" s="1342">
        <v>4600</v>
      </c>
      <c r="L26" s="1341" t="s">
        <v>93</v>
      </c>
      <c r="M26" s="1343" t="s">
        <v>260</v>
      </c>
      <c r="N26" s="523"/>
      <c r="O26" s="523"/>
      <c r="P26" s="524"/>
      <c r="Q26" s="544"/>
      <c r="R26" s="492"/>
      <c r="S26" s="492"/>
      <c r="T26" s="492"/>
      <c r="V26" s="478"/>
      <c r="W26" s="478"/>
      <c r="X26" s="478"/>
      <c r="CG26" s="481"/>
      <c r="CI26" s="481" t="s">
        <v>440</v>
      </c>
    </row>
    <row r="27" spans="1:87" ht="24.75" customHeight="1" outlineLevel="1">
      <c r="G27" s="492"/>
      <c r="N27" s="523"/>
      <c r="O27" s="523"/>
      <c r="P27" s="524"/>
      <c r="Q27" s="544"/>
      <c r="R27" s="492"/>
      <c r="S27" s="492"/>
      <c r="T27" s="492"/>
      <c r="V27" s="478"/>
      <c r="W27" s="478"/>
      <c r="X27" s="478"/>
      <c r="CG27" s="481"/>
      <c r="CI27" s="481" t="s">
        <v>441</v>
      </c>
    </row>
    <row r="28" spans="1:87" ht="24.75" customHeight="1" outlineLevel="1">
      <c r="V28" s="478"/>
      <c r="W28" s="478"/>
      <c r="X28" s="478"/>
      <c r="CG28" s="481"/>
      <c r="CI28" s="481" t="s">
        <v>442</v>
      </c>
    </row>
    <row r="29" spans="1:87" ht="21.75" customHeight="1">
      <c r="A29" s="503" t="s">
        <v>443</v>
      </c>
      <c r="B29" s="504"/>
      <c r="F29" s="505"/>
      <c r="V29" s="478"/>
      <c r="W29" s="478"/>
      <c r="X29" s="478"/>
      <c r="CG29" s="481"/>
      <c r="CI29" s="481" t="s">
        <v>444</v>
      </c>
    </row>
    <row r="30" spans="1:87" ht="21.75" customHeight="1">
      <c r="A30" s="1426" t="s">
        <v>445</v>
      </c>
      <c r="B30" s="1426"/>
      <c r="F30" s="505"/>
      <c r="V30" s="478"/>
      <c r="W30" s="478"/>
      <c r="X30" s="478"/>
      <c r="CG30" s="481"/>
      <c r="CI30" s="481" t="s">
        <v>446</v>
      </c>
    </row>
    <row r="31" spans="1:87" ht="36" customHeight="1" outlineLevel="1">
      <c r="A31" s="506" t="s">
        <v>71</v>
      </c>
      <c r="B31" s="506" t="s">
        <v>447</v>
      </c>
      <c r="C31" s="507" t="s">
        <v>448</v>
      </c>
      <c r="D31" s="507" t="s">
        <v>449</v>
      </c>
      <c r="E31" s="507" t="s">
        <v>450</v>
      </c>
      <c r="F31" s="507" t="s">
        <v>451</v>
      </c>
      <c r="G31" s="507" t="s">
        <v>452</v>
      </c>
      <c r="H31" s="507" t="s">
        <v>453</v>
      </c>
      <c r="I31" s="506" t="s">
        <v>454</v>
      </c>
      <c r="J31" s="506" t="s">
        <v>455</v>
      </c>
      <c r="K31" s="506" t="s">
        <v>456</v>
      </c>
      <c r="L31" s="506" t="s">
        <v>457</v>
      </c>
      <c r="M31" s="506" t="s">
        <v>458</v>
      </c>
      <c r="N31" s="506" t="s">
        <v>459</v>
      </c>
      <c r="O31" s="506" t="s">
        <v>460</v>
      </c>
      <c r="P31" s="506" t="s">
        <v>461</v>
      </c>
      <c r="Q31" s="506" t="s">
        <v>462</v>
      </c>
      <c r="R31" s="506" t="s">
        <v>463</v>
      </c>
      <c r="S31" s="506" t="s">
        <v>464</v>
      </c>
      <c r="T31" s="506" t="s">
        <v>465</v>
      </c>
      <c r="U31" s="506" t="s">
        <v>466</v>
      </c>
      <c r="V31" s="506" t="s">
        <v>467</v>
      </c>
      <c r="W31" s="506" t="s">
        <v>468</v>
      </c>
      <c r="X31" s="506" t="s">
        <v>469</v>
      </c>
      <c r="Y31" s="506" t="s">
        <v>470</v>
      </c>
      <c r="Z31" s="506" t="s">
        <v>471</v>
      </c>
      <c r="AA31" s="506" t="s">
        <v>472</v>
      </c>
      <c r="AB31" s="506" t="s">
        <v>473</v>
      </c>
      <c r="AC31" s="506" t="s">
        <v>309</v>
      </c>
      <c r="AD31" s="506" t="s">
        <v>474</v>
      </c>
      <c r="AE31" s="506" t="s">
        <v>475</v>
      </c>
      <c r="AF31" s="506" t="s">
        <v>476</v>
      </c>
      <c r="AG31" s="506" t="s">
        <v>477</v>
      </c>
      <c r="AH31" s="506" t="s">
        <v>478</v>
      </c>
      <c r="AI31" s="506" t="s">
        <v>399</v>
      </c>
      <c r="AJ31" s="506" t="s">
        <v>416</v>
      </c>
      <c r="AK31" s="506" t="s">
        <v>422</v>
      </c>
      <c r="CG31" s="481"/>
      <c r="CI31" s="481" t="s">
        <v>479</v>
      </c>
    </row>
    <row r="32" spans="1:87" ht="16.5" customHeight="1" outlineLevel="1">
      <c r="A32" s="508" t="s">
        <v>480</v>
      </c>
      <c r="B32" s="508" t="s">
        <v>481</v>
      </c>
      <c r="C32" s="509">
        <f>SUM(C33:C35)</f>
        <v>21931.919999999998</v>
      </c>
      <c r="D32" s="509">
        <f>SUM(D33:D35)</f>
        <v>0</v>
      </c>
      <c r="E32" s="509">
        <f>SUM(E33:E35)</f>
        <v>0</v>
      </c>
      <c r="F32" s="509">
        <f>SUM(F33:F35)</f>
        <v>0</v>
      </c>
      <c r="G32" s="509">
        <f>SUM(G33)</f>
        <v>0</v>
      </c>
      <c r="H32" s="509">
        <f>SUM(H33:H35)</f>
        <v>0</v>
      </c>
      <c r="I32" s="509">
        <f>SUM(I33:I35)</f>
        <v>21931.919999999998</v>
      </c>
      <c r="J32" s="511"/>
      <c r="K32" s="511"/>
      <c r="L32" s="511"/>
      <c r="M32" s="511"/>
      <c r="N32" s="511"/>
      <c r="O32" s="511"/>
      <c r="P32" s="511"/>
      <c r="Q32" s="511"/>
      <c r="R32" s="511"/>
      <c r="S32" s="511"/>
      <c r="T32" s="511"/>
      <c r="U32" s="511"/>
      <c r="V32" s="511"/>
      <c r="W32" s="511"/>
      <c r="X32" s="511"/>
      <c r="Y32" s="511"/>
      <c r="Z32" s="511"/>
      <c r="AA32" s="527">
        <f>SUM(AA33)</f>
        <v>0</v>
      </c>
      <c r="AB32" s="511">
        <f>SUM(AB33:AB35)</f>
        <v>0</v>
      </c>
      <c r="AC32" s="511"/>
      <c r="AD32" s="511"/>
      <c r="AE32" s="511"/>
      <c r="AF32" s="511"/>
      <c r="AG32" s="511"/>
      <c r="AH32" s="511"/>
      <c r="AI32" s="527">
        <f>SUM(AI33)</f>
        <v>522.5</v>
      </c>
      <c r="AJ32" s="527">
        <f>SUM(AJ33)</f>
        <v>156.75</v>
      </c>
      <c r="AK32" s="509">
        <f>SUM(AK33)</f>
        <v>2</v>
      </c>
      <c r="CI32" s="66" t="s">
        <v>482</v>
      </c>
    </row>
    <row r="33" spans="1:87" ht="16.5" customHeight="1" outlineLevel="1">
      <c r="A33" s="366" t="s">
        <v>483</v>
      </c>
      <c r="B33" s="367" t="s">
        <v>484</v>
      </c>
      <c r="C33" s="510">
        <f>总指标!E19+总指标!E20</f>
        <v>20331.919999999998</v>
      </c>
      <c r="D33" s="510">
        <v>0</v>
      </c>
      <c r="E33" s="511"/>
      <c r="F33" s="511"/>
      <c r="G33" s="511"/>
      <c r="H33" s="512"/>
      <c r="I33" s="509">
        <f>C33+H33</f>
        <v>20331.919999999998</v>
      </c>
      <c r="J33" s="511"/>
      <c r="K33" s="511"/>
      <c r="L33" s="511"/>
      <c r="M33" s="511"/>
      <c r="N33" s="511"/>
      <c r="O33" s="511"/>
      <c r="P33" s="511"/>
      <c r="Q33" s="511"/>
      <c r="R33" s="511"/>
      <c r="S33" s="511"/>
      <c r="T33" s="511"/>
      <c r="U33" s="511"/>
      <c r="V33" s="511"/>
      <c r="W33" s="511"/>
      <c r="X33" s="511"/>
      <c r="Y33" s="511"/>
      <c r="Z33" s="511"/>
      <c r="AA33" s="528"/>
      <c r="AB33" s="511"/>
      <c r="AC33" s="511"/>
      <c r="AD33" s="511"/>
      <c r="AE33" s="511"/>
      <c r="AF33" s="511"/>
      <c r="AG33" s="511"/>
      <c r="AH33" s="511"/>
      <c r="AI33" s="528">
        <f>总指标!E39</f>
        <v>522.5</v>
      </c>
      <c r="AJ33" s="528">
        <f>AI33*0.3</f>
        <v>156.75</v>
      </c>
      <c r="AK33" s="510">
        <v>2</v>
      </c>
      <c r="CI33" s="66" t="s">
        <v>485</v>
      </c>
    </row>
    <row r="34" spans="1:87" ht="16.5" customHeight="1" outlineLevel="1">
      <c r="A34" s="366" t="s">
        <v>483</v>
      </c>
      <c r="B34" s="367" t="s">
        <v>486</v>
      </c>
      <c r="C34" s="510">
        <f>总指标!E21</f>
        <v>1600</v>
      </c>
      <c r="D34" s="510">
        <v>0</v>
      </c>
      <c r="E34" s="511"/>
      <c r="F34" s="511"/>
      <c r="G34" s="511"/>
      <c r="H34" s="512"/>
      <c r="I34" s="509">
        <f>C34+H34</f>
        <v>1600</v>
      </c>
      <c r="J34" s="511"/>
      <c r="K34" s="511"/>
      <c r="L34" s="511"/>
      <c r="M34" s="511"/>
      <c r="N34" s="511"/>
      <c r="O34" s="511"/>
      <c r="P34" s="511"/>
      <c r="Q34" s="511"/>
      <c r="R34" s="511"/>
      <c r="S34" s="511"/>
      <c r="T34" s="511"/>
      <c r="U34" s="511"/>
      <c r="V34" s="511"/>
      <c r="W34" s="511"/>
      <c r="X34" s="511"/>
      <c r="Y34" s="511"/>
      <c r="Z34" s="511"/>
      <c r="AA34" s="511"/>
      <c r="AB34" s="511"/>
      <c r="AC34" s="511"/>
      <c r="AD34" s="511"/>
      <c r="AE34" s="511"/>
      <c r="AF34" s="511"/>
      <c r="AG34" s="511"/>
      <c r="AH34" s="511"/>
      <c r="AI34" s="511"/>
      <c r="AJ34" s="511"/>
      <c r="AK34" s="511"/>
      <c r="CI34" s="66" t="s">
        <v>487</v>
      </c>
    </row>
    <row r="35" spans="1:87" ht="16.5" customHeight="1" outlineLevel="1">
      <c r="A35" s="366" t="s">
        <v>483</v>
      </c>
      <c r="B35" s="367" t="s">
        <v>488</v>
      </c>
      <c r="C35" s="510">
        <f>总指标!E22</f>
        <v>0</v>
      </c>
      <c r="D35" s="510">
        <v>0</v>
      </c>
      <c r="E35" s="512">
        <f>C35</f>
        <v>0</v>
      </c>
      <c r="F35" s="511"/>
      <c r="G35" s="510">
        <v>0</v>
      </c>
      <c r="H35" s="512"/>
      <c r="I35" s="509">
        <f>C35+H35</f>
        <v>0</v>
      </c>
      <c r="J35" s="511"/>
      <c r="K35" s="511"/>
      <c r="L35" s="511"/>
      <c r="M35" s="511"/>
      <c r="N35" s="511"/>
      <c r="O35" s="511"/>
      <c r="P35" s="511"/>
      <c r="Q35" s="511"/>
      <c r="R35" s="511"/>
      <c r="S35" s="511"/>
      <c r="T35" s="511"/>
      <c r="U35" s="511"/>
      <c r="V35" s="511"/>
      <c r="W35" s="511"/>
      <c r="X35" s="511"/>
      <c r="Y35" s="511"/>
      <c r="Z35" s="511"/>
      <c r="AA35" s="511"/>
      <c r="AB35" s="511"/>
      <c r="AC35" s="511"/>
      <c r="AD35" s="511"/>
      <c r="AE35" s="511"/>
      <c r="AF35" s="511"/>
      <c r="AG35" s="511"/>
      <c r="AH35" s="511"/>
      <c r="AI35" s="511"/>
      <c r="AJ35" s="511"/>
      <c r="AK35" s="511"/>
      <c r="CI35" s="66" t="s">
        <v>489</v>
      </c>
    </row>
    <row r="36" spans="1:87" ht="0" hidden="1" customHeight="1" outlineLevel="1">
      <c r="A36" s="508" t="s">
        <v>480</v>
      </c>
      <c r="B36" s="508" t="s">
        <v>490</v>
      </c>
      <c r="C36" s="509">
        <f t="shared" ref="C36:J36" si="5">SUM(C37:C38)</f>
        <v>0</v>
      </c>
      <c r="D36" s="509">
        <f t="shared" si="5"/>
        <v>0</v>
      </c>
      <c r="E36" s="509">
        <f t="shared" si="5"/>
        <v>0</v>
      </c>
      <c r="F36" s="509">
        <f t="shared" si="5"/>
        <v>0</v>
      </c>
      <c r="G36" s="509">
        <f t="shared" si="5"/>
        <v>0</v>
      </c>
      <c r="H36" s="509">
        <f t="shared" si="5"/>
        <v>0</v>
      </c>
      <c r="I36" s="509">
        <f t="shared" si="5"/>
        <v>0</v>
      </c>
      <c r="J36" s="527">
        <f t="shared" si="5"/>
        <v>0</v>
      </c>
      <c r="K36" s="509">
        <f>IF(L36=0,0,M36/L36)</f>
        <v>0</v>
      </c>
      <c r="L36" s="527">
        <f>SUM(L37:L38)</f>
        <v>0</v>
      </c>
      <c r="M36" s="509">
        <f>SUM(M37:M38)</f>
        <v>0</v>
      </c>
      <c r="N36" s="509">
        <f>IF(O36=0,0,P36/O36)</f>
        <v>0</v>
      </c>
      <c r="O36" s="527">
        <f>SUM(O37:O38)</f>
        <v>0</v>
      </c>
      <c r="P36" s="509">
        <f>SUM(P37:P38)</f>
        <v>0</v>
      </c>
      <c r="Q36" s="509">
        <f>IF(R36=0,0,S36/R36)</f>
        <v>0</v>
      </c>
      <c r="R36" s="527">
        <f>SUM(R37:R38)</f>
        <v>0</v>
      </c>
      <c r="S36" s="509">
        <f>SUM(S37:S38)</f>
        <v>0</v>
      </c>
      <c r="T36" s="509">
        <f>IF(U36=0,0,V36/U36)</f>
        <v>0</v>
      </c>
      <c r="U36" s="527">
        <f>SUM(U37:U38)</f>
        <v>0</v>
      </c>
      <c r="V36" s="509">
        <f>SUM(V37:V38)</f>
        <v>0</v>
      </c>
      <c r="W36" s="509">
        <f>IF(X36=0,0,Y36/X36)</f>
        <v>0</v>
      </c>
      <c r="X36" s="527">
        <f t="shared" ref="X36:AD36" si="6">SUM(X37:X38)</f>
        <v>0</v>
      </c>
      <c r="Y36" s="509">
        <f t="shared" si="6"/>
        <v>0</v>
      </c>
      <c r="Z36" s="509">
        <f t="shared" si="6"/>
        <v>0</v>
      </c>
      <c r="AA36" s="527">
        <f t="shared" si="6"/>
        <v>0</v>
      </c>
      <c r="AB36" s="527">
        <f t="shared" si="6"/>
        <v>0</v>
      </c>
      <c r="AC36" s="527">
        <f t="shared" si="6"/>
        <v>0</v>
      </c>
      <c r="AD36" s="527">
        <f t="shared" si="6"/>
        <v>0</v>
      </c>
      <c r="AE36" s="509">
        <f>IFERROR(AF36/C36,0)</f>
        <v>0</v>
      </c>
      <c r="AF36" s="509">
        <f>SUM(AF37:AF38)</f>
        <v>0</v>
      </c>
      <c r="AG36" s="527">
        <f>SUM(AG37:AG38)</f>
        <v>0</v>
      </c>
      <c r="AH36" s="527">
        <f>SUM(AH37:AH38)</f>
        <v>0</v>
      </c>
      <c r="AI36" s="527">
        <f>SUM(AI37:AI38)</f>
        <v>0</v>
      </c>
      <c r="AJ36" s="511"/>
      <c r="AK36" s="511"/>
      <c r="CI36" s="66" t="s">
        <v>491</v>
      </c>
    </row>
    <row r="37" spans="1:87" ht="0" hidden="1" customHeight="1" outlineLevel="1">
      <c r="A37" s="513" t="s">
        <v>483</v>
      </c>
      <c r="B37" s="367" t="s">
        <v>492</v>
      </c>
      <c r="C37" s="510"/>
      <c r="D37" s="510"/>
      <c r="E37" s="510"/>
      <c r="F37" s="510"/>
      <c r="G37" s="510"/>
      <c r="H37" s="510"/>
      <c r="I37" s="509">
        <f>C37+H37</f>
        <v>0</v>
      </c>
      <c r="J37" s="528"/>
      <c r="K37" s="510"/>
      <c r="L37" s="528"/>
      <c r="M37" s="509">
        <f>K37*L37</f>
        <v>0</v>
      </c>
      <c r="N37" s="510"/>
      <c r="O37" s="528"/>
      <c r="P37" s="509">
        <f>N37*O37</f>
        <v>0</v>
      </c>
      <c r="Q37" s="510"/>
      <c r="R37" s="528"/>
      <c r="S37" s="509">
        <f>Q37*R37</f>
        <v>0</v>
      </c>
      <c r="T37" s="510"/>
      <c r="U37" s="528"/>
      <c r="V37" s="509">
        <f>T37*U37</f>
        <v>0</v>
      </c>
      <c r="W37" s="510"/>
      <c r="X37" s="528"/>
      <c r="Y37" s="509">
        <f>W37*X37</f>
        <v>0</v>
      </c>
      <c r="Z37" s="510"/>
      <c r="AA37" s="528"/>
      <c r="AB37" s="528"/>
      <c r="AC37" s="528"/>
      <c r="AD37" s="528"/>
      <c r="AE37" s="510"/>
      <c r="AF37" s="509">
        <f>C37*AE37</f>
        <v>0</v>
      </c>
      <c r="AG37" s="528"/>
      <c r="AH37" s="528"/>
      <c r="AI37" s="528"/>
      <c r="AJ37" s="511"/>
      <c r="AK37" s="511"/>
      <c r="CI37" s="66" t="s">
        <v>493</v>
      </c>
    </row>
    <row r="38" spans="1:87" ht="0" hidden="1" customHeight="1" outlineLevel="1">
      <c r="A38" s="513" t="s">
        <v>483</v>
      </c>
      <c r="B38" s="367" t="s">
        <v>494</v>
      </c>
      <c r="C38" s="510"/>
      <c r="D38" s="510"/>
      <c r="E38" s="510"/>
      <c r="F38" s="510"/>
      <c r="G38" s="510"/>
      <c r="H38" s="510"/>
      <c r="I38" s="509">
        <f>C38+H38</f>
        <v>0</v>
      </c>
      <c r="J38" s="528"/>
      <c r="K38" s="510"/>
      <c r="L38" s="528"/>
      <c r="M38" s="509">
        <f>K38*L38</f>
        <v>0</v>
      </c>
      <c r="N38" s="510"/>
      <c r="O38" s="528"/>
      <c r="P38" s="509">
        <f>N38*O38</f>
        <v>0</v>
      </c>
      <c r="Q38" s="510"/>
      <c r="R38" s="528"/>
      <c r="S38" s="509">
        <f>Q38*R38</f>
        <v>0</v>
      </c>
      <c r="T38" s="510"/>
      <c r="U38" s="528"/>
      <c r="V38" s="509">
        <f>T38*U38</f>
        <v>0</v>
      </c>
      <c r="W38" s="510"/>
      <c r="X38" s="528"/>
      <c r="Y38" s="509">
        <f>W38*X38</f>
        <v>0</v>
      </c>
      <c r="Z38" s="510"/>
      <c r="AA38" s="528"/>
      <c r="AB38" s="528"/>
      <c r="AC38" s="528"/>
      <c r="AD38" s="528"/>
      <c r="AE38" s="510"/>
      <c r="AF38" s="509">
        <f>C38*AE38</f>
        <v>0</v>
      </c>
      <c r="AG38" s="528"/>
      <c r="AH38" s="528"/>
      <c r="AI38" s="528"/>
      <c r="AJ38" s="511"/>
      <c r="AK38" s="511"/>
      <c r="CI38" s="66" t="s">
        <v>495</v>
      </c>
    </row>
    <row r="39" spans="1:87" ht="0" hidden="1" customHeight="1" outlineLevel="1">
      <c r="A39" s="508" t="s">
        <v>480</v>
      </c>
      <c r="B39" s="514" t="s">
        <v>496</v>
      </c>
      <c r="C39" s="509">
        <f t="shared" ref="C39:J39" si="7">SUM(C40:C41)</f>
        <v>0</v>
      </c>
      <c r="D39" s="509">
        <f t="shared" si="7"/>
        <v>0</v>
      </c>
      <c r="E39" s="509">
        <f t="shared" si="7"/>
        <v>0</v>
      </c>
      <c r="F39" s="509">
        <f t="shared" si="7"/>
        <v>0</v>
      </c>
      <c r="G39" s="509">
        <f t="shared" si="7"/>
        <v>0</v>
      </c>
      <c r="H39" s="509">
        <f t="shared" si="7"/>
        <v>0</v>
      </c>
      <c r="I39" s="509">
        <f t="shared" si="7"/>
        <v>0</v>
      </c>
      <c r="J39" s="527">
        <f t="shared" si="7"/>
        <v>0</v>
      </c>
      <c r="K39" s="509">
        <f>IF(L39=0,0,M39/L39)</f>
        <v>0</v>
      </c>
      <c r="L39" s="527">
        <f>SUM(L40:L41)</f>
        <v>0</v>
      </c>
      <c r="M39" s="509">
        <f>SUM(M40:M41)</f>
        <v>0</v>
      </c>
      <c r="N39" s="509">
        <f>IF(O39=0,0,P39/O39)</f>
        <v>0</v>
      </c>
      <c r="O39" s="527">
        <f>SUM(O40:O41)</f>
        <v>0</v>
      </c>
      <c r="P39" s="509">
        <f>SUM(P40:P41)</f>
        <v>0</v>
      </c>
      <c r="Q39" s="509">
        <f>IF(R39=0,0,S39/R39)</f>
        <v>0</v>
      </c>
      <c r="R39" s="527">
        <f>SUM(R40:R41)</f>
        <v>0</v>
      </c>
      <c r="S39" s="509">
        <f>SUM(S40:S41)</f>
        <v>0</v>
      </c>
      <c r="T39" s="509">
        <f>IF(U39=0,0,V39/U39)</f>
        <v>0</v>
      </c>
      <c r="U39" s="527">
        <f>SUM(U40:U41)</f>
        <v>0</v>
      </c>
      <c r="V39" s="509">
        <f>SUM(V40:V41)</f>
        <v>0</v>
      </c>
      <c r="W39" s="509">
        <f>IF(X39=0,0,Y39/X39)</f>
        <v>0</v>
      </c>
      <c r="X39" s="527">
        <f t="shared" ref="X39:AD39" si="8">SUM(X40:X41)</f>
        <v>0</v>
      </c>
      <c r="Y39" s="509">
        <f t="shared" si="8"/>
        <v>0</v>
      </c>
      <c r="Z39" s="509">
        <f t="shared" si="8"/>
        <v>0</v>
      </c>
      <c r="AA39" s="527">
        <f t="shared" si="8"/>
        <v>0</v>
      </c>
      <c r="AB39" s="527">
        <f t="shared" si="8"/>
        <v>0</v>
      </c>
      <c r="AC39" s="527">
        <f t="shared" si="8"/>
        <v>0</v>
      </c>
      <c r="AD39" s="527">
        <f t="shared" si="8"/>
        <v>0</v>
      </c>
      <c r="AE39" s="509">
        <f>IFERROR(AF39/C39,0)</f>
        <v>0</v>
      </c>
      <c r="AF39" s="509">
        <f>SUM(AF40:AF41)</f>
        <v>0</v>
      </c>
      <c r="AG39" s="527">
        <f>SUM(AG40:AG41)</f>
        <v>0</v>
      </c>
      <c r="AH39" s="527">
        <f>SUM(AH40:AH41)</f>
        <v>0</v>
      </c>
      <c r="AI39" s="527">
        <f>SUM(AI40:AI41)</f>
        <v>0</v>
      </c>
      <c r="AJ39" s="511"/>
      <c r="AK39" s="511"/>
      <c r="CG39" s="481"/>
      <c r="CI39" s="481" t="s">
        <v>497</v>
      </c>
    </row>
    <row r="40" spans="1:87" ht="0" hidden="1" customHeight="1" outlineLevel="1">
      <c r="A40" s="513" t="s">
        <v>483</v>
      </c>
      <c r="B40" s="367" t="s">
        <v>492</v>
      </c>
      <c r="C40" s="510"/>
      <c r="D40" s="510"/>
      <c r="E40" s="510"/>
      <c r="F40" s="510"/>
      <c r="G40" s="510">
        <v>0</v>
      </c>
      <c r="H40" s="510">
        <v>0</v>
      </c>
      <c r="I40" s="509">
        <f>C40+H40</f>
        <v>0</v>
      </c>
      <c r="J40" s="528"/>
      <c r="K40" s="510"/>
      <c r="L40" s="528"/>
      <c r="M40" s="509">
        <f>K40*L40</f>
        <v>0</v>
      </c>
      <c r="N40" s="510"/>
      <c r="O40" s="528"/>
      <c r="P40" s="509">
        <f>N40*O40</f>
        <v>0</v>
      </c>
      <c r="Q40" s="510"/>
      <c r="R40" s="528"/>
      <c r="S40" s="509">
        <f>Q40*R40</f>
        <v>0</v>
      </c>
      <c r="T40" s="510"/>
      <c r="U40" s="528"/>
      <c r="V40" s="509">
        <f>T40*U40</f>
        <v>0</v>
      </c>
      <c r="W40" s="510"/>
      <c r="X40" s="528"/>
      <c r="Y40" s="509">
        <f>W40*X40</f>
        <v>0</v>
      </c>
      <c r="Z40" s="510"/>
      <c r="AA40" s="528"/>
      <c r="AB40" s="528"/>
      <c r="AC40" s="528"/>
      <c r="AD40" s="528"/>
      <c r="AE40" s="510"/>
      <c r="AF40" s="509">
        <f>C40*AE40</f>
        <v>0</v>
      </c>
      <c r="AG40" s="528"/>
      <c r="AH40" s="528"/>
      <c r="AI40" s="528"/>
      <c r="AJ40" s="511"/>
      <c r="AK40" s="511"/>
      <c r="CG40" s="481"/>
      <c r="CI40" s="481" t="s">
        <v>498</v>
      </c>
    </row>
    <row r="41" spans="1:87" ht="0" hidden="1" customHeight="1" outlineLevel="1">
      <c r="A41" s="513" t="s">
        <v>483</v>
      </c>
      <c r="B41" s="367" t="s">
        <v>494</v>
      </c>
      <c r="C41" s="510"/>
      <c r="D41" s="510"/>
      <c r="E41" s="510"/>
      <c r="F41" s="510"/>
      <c r="G41" s="510"/>
      <c r="H41" s="510"/>
      <c r="I41" s="509">
        <f>C41+H41</f>
        <v>0</v>
      </c>
      <c r="J41" s="528"/>
      <c r="K41" s="510"/>
      <c r="L41" s="528"/>
      <c r="M41" s="509">
        <f>K41*L41</f>
        <v>0</v>
      </c>
      <c r="N41" s="510"/>
      <c r="O41" s="528"/>
      <c r="P41" s="509">
        <f>N41*O41</f>
        <v>0</v>
      </c>
      <c r="Q41" s="510"/>
      <c r="R41" s="528"/>
      <c r="S41" s="509">
        <f>Q41*R41</f>
        <v>0</v>
      </c>
      <c r="T41" s="510"/>
      <c r="U41" s="528"/>
      <c r="V41" s="509">
        <f>T41*U41</f>
        <v>0</v>
      </c>
      <c r="W41" s="510"/>
      <c r="X41" s="528"/>
      <c r="Y41" s="509">
        <f>W41*X41</f>
        <v>0</v>
      </c>
      <c r="Z41" s="510"/>
      <c r="AA41" s="528"/>
      <c r="AB41" s="528"/>
      <c r="AC41" s="528"/>
      <c r="AD41" s="528"/>
      <c r="AE41" s="510"/>
      <c r="AF41" s="509">
        <f>C41*AE41</f>
        <v>0</v>
      </c>
      <c r="AG41" s="528"/>
      <c r="AH41" s="528"/>
      <c r="AI41" s="528"/>
      <c r="AJ41" s="511"/>
      <c r="AK41" s="511"/>
      <c r="CG41" s="481"/>
      <c r="CI41" s="481" t="s">
        <v>499</v>
      </c>
    </row>
    <row r="42" spans="1:87" ht="16.5" customHeight="1" outlineLevel="1">
      <c r="A42" s="508" t="s">
        <v>480</v>
      </c>
      <c r="B42" s="514" t="s">
        <v>500</v>
      </c>
      <c r="C42" s="509">
        <f t="shared" ref="C42:J42" si="9">SUM(C43:C44)</f>
        <v>51879.834600000002</v>
      </c>
      <c r="D42" s="509">
        <f t="shared" si="9"/>
        <v>46191.064599999998</v>
      </c>
      <c r="E42" s="509">
        <f t="shared" si="9"/>
        <v>46191.064599999998</v>
      </c>
      <c r="F42" s="509">
        <f t="shared" si="9"/>
        <v>46191.064599999998</v>
      </c>
      <c r="G42" s="509">
        <f t="shared" si="9"/>
        <v>46191.064599999998</v>
      </c>
      <c r="H42" s="509">
        <f t="shared" si="9"/>
        <v>0</v>
      </c>
      <c r="I42" s="509">
        <f t="shared" si="9"/>
        <v>51879.834600000002</v>
      </c>
      <c r="J42" s="527">
        <f t="shared" si="9"/>
        <v>15</v>
      </c>
      <c r="K42" s="509">
        <f>IF(L42=0,0,M42/L42)</f>
        <v>15.519999999999998</v>
      </c>
      <c r="L42" s="527">
        <f>SUM(L43:L44)</f>
        <v>135</v>
      </c>
      <c r="M42" s="509">
        <f>SUM(M43:M44)</f>
        <v>2095.1999999999998</v>
      </c>
      <c r="N42" s="509">
        <f>IF(O42=0,0,P42/O42)</f>
        <v>55</v>
      </c>
      <c r="O42" s="527">
        <f>SUM(O43:O44)</f>
        <v>15</v>
      </c>
      <c r="P42" s="509">
        <f>SUM(P43:P44)</f>
        <v>825</v>
      </c>
      <c r="Q42" s="509">
        <f>IF(R42=0,0,S42/R42)</f>
        <v>0</v>
      </c>
      <c r="R42" s="527">
        <f>SUM(R43:R44)</f>
        <v>0</v>
      </c>
      <c r="S42" s="509">
        <f>SUM(S43:S44)</f>
        <v>0</v>
      </c>
      <c r="T42" s="509">
        <f>IF(U42=0,0,V42/U42)</f>
        <v>60</v>
      </c>
      <c r="U42" s="527">
        <f>SUM(U43:U44)</f>
        <v>15</v>
      </c>
      <c r="V42" s="509">
        <f>SUM(V43:V44)</f>
        <v>900</v>
      </c>
      <c r="W42" s="509">
        <f>IF(X42=0,0,Y42/X42)</f>
        <v>75</v>
      </c>
      <c r="X42" s="527">
        <f t="shared" ref="X42:AD42" si="10">SUM(X43:X44)</f>
        <v>15</v>
      </c>
      <c r="Y42" s="509">
        <f t="shared" si="10"/>
        <v>1125</v>
      </c>
      <c r="Z42" s="509">
        <f t="shared" si="10"/>
        <v>4318.7700000000004</v>
      </c>
      <c r="AA42" s="527">
        <f t="shared" si="10"/>
        <v>210</v>
      </c>
      <c r="AB42" s="527">
        <f t="shared" si="10"/>
        <v>3.1</v>
      </c>
      <c r="AC42" s="527">
        <f t="shared" si="10"/>
        <v>300</v>
      </c>
      <c r="AD42" s="527">
        <f t="shared" si="10"/>
        <v>900</v>
      </c>
      <c r="AE42" s="509">
        <f>IFERROR(AF42/C42,0)</f>
        <v>1.2</v>
      </c>
      <c r="AF42" s="509">
        <f>SUM(AF43:AF44)</f>
        <v>62255.801520000001</v>
      </c>
      <c r="AG42" s="527">
        <f>SUM(AG43:AG44)</f>
        <v>8</v>
      </c>
      <c r="AH42" s="527">
        <f>SUM(AH43:AH44)</f>
        <v>0</v>
      </c>
      <c r="AI42" s="527">
        <f>SUM(AI43:AI44)</f>
        <v>0</v>
      </c>
      <c r="AJ42" s="511"/>
      <c r="AK42" s="511"/>
      <c r="CG42" s="481"/>
      <c r="CI42" s="481" t="s">
        <v>501</v>
      </c>
    </row>
    <row r="43" spans="1:87" ht="16.5" customHeight="1" outlineLevel="1">
      <c r="A43" s="513" t="s">
        <v>483</v>
      </c>
      <c r="B43" s="367" t="s">
        <v>7615</v>
      </c>
      <c r="C43" s="510">
        <f>总指标!E6+总指标!K15+总指标!K14</f>
        <v>51879.834600000002</v>
      </c>
      <c r="D43" s="510">
        <f>总指标!E6</f>
        <v>46191.064599999998</v>
      </c>
      <c r="E43" s="510">
        <f>D43</f>
        <v>46191.064599999998</v>
      </c>
      <c r="F43" s="510">
        <f>D43</f>
        <v>46191.064599999998</v>
      </c>
      <c r="G43" s="510">
        <f>D43</f>
        <v>46191.064599999998</v>
      </c>
      <c r="H43" s="510">
        <v>0</v>
      </c>
      <c r="I43" s="509">
        <f>C43+H43</f>
        <v>51879.834600000002</v>
      </c>
      <c r="J43" s="528">
        <v>15</v>
      </c>
      <c r="K43" s="510">
        <v>15.52</v>
      </c>
      <c r="L43" s="528">
        <f>15*9</f>
        <v>135</v>
      </c>
      <c r="M43" s="509">
        <f>K43*L43</f>
        <v>2095.1999999999998</v>
      </c>
      <c r="N43" s="510">
        <v>55</v>
      </c>
      <c r="O43" s="528">
        <v>15</v>
      </c>
      <c r="P43" s="509">
        <f>N43*O43</f>
        <v>825</v>
      </c>
      <c r="Q43" s="510">
        <v>0</v>
      </c>
      <c r="R43" s="528">
        <v>0</v>
      </c>
      <c r="S43" s="509">
        <f>Q43*R43</f>
        <v>0</v>
      </c>
      <c r="T43" s="510">
        <v>60</v>
      </c>
      <c r="U43" s="528">
        <f>O43</f>
        <v>15</v>
      </c>
      <c r="V43" s="509">
        <f>T43*U43</f>
        <v>900</v>
      </c>
      <c r="W43" s="510">
        <v>75</v>
      </c>
      <c r="X43" s="528">
        <f>O43</f>
        <v>15</v>
      </c>
      <c r="Y43" s="509">
        <f>W43*X43</f>
        <v>1125</v>
      </c>
      <c r="Z43" s="510">
        <f>总指标!K15</f>
        <v>4318.7700000000004</v>
      </c>
      <c r="AA43" s="528">
        <f>15*14</f>
        <v>210</v>
      </c>
      <c r="AB43" s="510">
        <v>3.1</v>
      </c>
      <c r="AC43" s="528">
        <f>总指标!L26</f>
        <v>300</v>
      </c>
      <c r="AD43" s="528">
        <f>AC43*3</f>
        <v>900</v>
      </c>
      <c r="AE43" s="510">
        <v>1.2</v>
      </c>
      <c r="AF43" s="509">
        <f>C43*AE43</f>
        <v>62255.801520000001</v>
      </c>
      <c r="AG43" s="528">
        <v>8</v>
      </c>
      <c r="AH43" s="528"/>
      <c r="AI43" s="528"/>
      <c r="AJ43" s="511"/>
      <c r="AK43" s="511"/>
      <c r="CG43" s="481"/>
      <c r="CI43" s="481" t="s">
        <v>502</v>
      </c>
    </row>
    <row r="44" spans="1:87" ht="16.5" customHeight="1" outlineLevel="1">
      <c r="A44" s="513" t="s">
        <v>483</v>
      </c>
      <c r="B44" s="367"/>
      <c r="C44" s="510"/>
      <c r="D44" s="510"/>
      <c r="E44" s="510"/>
      <c r="F44" s="510"/>
      <c r="G44" s="510"/>
      <c r="H44" s="510"/>
      <c r="I44" s="509">
        <f>C44+H44</f>
        <v>0</v>
      </c>
      <c r="J44" s="528"/>
      <c r="K44" s="510"/>
      <c r="L44" s="528"/>
      <c r="M44" s="509">
        <f>K44*L44</f>
        <v>0</v>
      </c>
      <c r="N44" s="510"/>
      <c r="O44" s="528"/>
      <c r="P44" s="509">
        <f>N44*O44</f>
        <v>0</v>
      </c>
      <c r="Q44" s="510"/>
      <c r="R44" s="528"/>
      <c r="S44" s="509">
        <f>Q44*R44</f>
        <v>0</v>
      </c>
      <c r="T44" s="510"/>
      <c r="U44" s="528"/>
      <c r="V44" s="509">
        <f>T44*U44</f>
        <v>0</v>
      </c>
      <c r="W44" s="510"/>
      <c r="X44" s="528"/>
      <c r="Y44" s="509">
        <f>W44*X44</f>
        <v>0</v>
      </c>
      <c r="Z44" s="510"/>
      <c r="AA44" s="528"/>
      <c r="AB44" s="528"/>
      <c r="AC44" s="528"/>
      <c r="AD44" s="528"/>
      <c r="AE44" s="510"/>
      <c r="AF44" s="509">
        <f>C44*AE44</f>
        <v>0</v>
      </c>
      <c r="AG44" s="528"/>
      <c r="AH44" s="528"/>
      <c r="AI44" s="528"/>
      <c r="AJ44" s="511"/>
      <c r="AK44" s="511"/>
      <c r="CG44" s="481"/>
      <c r="CI44" s="481" t="s">
        <v>503</v>
      </c>
    </row>
    <row r="45" spans="1:87" ht="0" hidden="1" customHeight="1" outlineLevel="1">
      <c r="A45" s="508" t="s">
        <v>480</v>
      </c>
      <c r="B45" s="514" t="s">
        <v>504</v>
      </c>
      <c r="C45" s="509">
        <f t="shared" ref="C45:J45" si="11">SUM(C46:C47)</f>
        <v>0</v>
      </c>
      <c r="D45" s="509">
        <f t="shared" si="11"/>
        <v>0</v>
      </c>
      <c r="E45" s="509">
        <f t="shared" si="11"/>
        <v>0</v>
      </c>
      <c r="F45" s="509">
        <f t="shared" si="11"/>
        <v>0</v>
      </c>
      <c r="G45" s="509">
        <f t="shared" si="11"/>
        <v>0</v>
      </c>
      <c r="H45" s="509">
        <f t="shared" si="11"/>
        <v>0</v>
      </c>
      <c r="I45" s="509">
        <f t="shared" si="11"/>
        <v>0</v>
      </c>
      <c r="J45" s="527">
        <f t="shared" si="11"/>
        <v>0</v>
      </c>
      <c r="K45" s="509">
        <f>IF(L45=0,0,M45/L45)</f>
        <v>0</v>
      </c>
      <c r="L45" s="527">
        <f>SUM(L46:L47)</f>
        <v>0</v>
      </c>
      <c r="M45" s="509">
        <f>SUM(M46:M47)</f>
        <v>0</v>
      </c>
      <c r="N45" s="509">
        <f>IF(O45=0,0,P45/O45)</f>
        <v>0</v>
      </c>
      <c r="O45" s="527">
        <f>SUM(O46:O47)</f>
        <v>0</v>
      </c>
      <c r="P45" s="509">
        <f>SUM(P46:P47)</f>
        <v>0</v>
      </c>
      <c r="Q45" s="509">
        <f>IF(R45=0,0,S45/R45)</f>
        <v>0</v>
      </c>
      <c r="R45" s="527">
        <f>SUM(R46:R47)</f>
        <v>0</v>
      </c>
      <c r="S45" s="509">
        <f>SUM(S46:S47)</f>
        <v>0</v>
      </c>
      <c r="T45" s="509">
        <f>IF(U45=0,0,V45/U45)</f>
        <v>0</v>
      </c>
      <c r="U45" s="527">
        <f>SUM(U46:U47)</f>
        <v>0</v>
      </c>
      <c r="V45" s="509">
        <f>SUM(V46:V47)</f>
        <v>0</v>
      </c>
      <c r="W45" s="509">
        <f>IF(X45=0,0,Y45/X45)</f>
        <v>0</v>
      </c>
      <c r="X45" s="527">
        <f t="shared" ref="X45:AD45" si="12">SUM(X46:X47)</f>
        <v>0</v>
      </c>
      <c r="Y45" s="509">
        <f t="shared" si="12"/>
        <v>0</v>
      </c>
      <c r="Z45" s="509">
        <f t="shared" si="12"/>
        <v>0</v>
      </c>
      <c r="AA45" s="527">
        <f t="shared" si="12"/>
        <v>0</v>
      </c>
      <c r="AB45" s="527">
        <f t="shared" si="12"/>
        <v>0</v>
      </c>
      <c r="AC45" s="527">
        <f t="shared" si="12"/>
        <v>0</v>
      </c>
      <c r="AD45" s="527">
        <f t="shared" si="12"/>
        <v>0</v>
      </c>
      <c r="AE45" s="509">
        <f>IFERROR(AF45/C45,0)</f>
        <v>0</v>
      </c>
      <c r="AF45" s="509">
        <f>SUM(AF46:AF47)</f>
        <v>0</v>
      </c>
      <c r="AG45" s="527">
        <f>SUM(AG46:AG47)</f>
        <v>0</v>
      </c>
      <c r="AH45" s="527">
        <f>SUM(AH46:AH47)</f>
        <v>0</v>
      </c>
      <c r="AI45" s="527">
        <f>SUM(AI46:AI47)</f>
        <v>0</v>
      </c>
      <c r="AJ45" s="511"/>
      <c r="AK45" s="511"/>
      <c r="CI45" s="66" t="s">
        <v>505</v>
      </c>
    </row>
    <row r="46" spans="1:87" ht="0" hidden="1" customHeight="1" outlineLevel="1">
      <c r="A46" s="513" t="s">
        <v>483</v>
      </c>
      <c r="B46" s="367" t="s">
        <v>492</v>
      </c>
      <c r="C46" s="510"/>
      <c r="D46" s="510"/>
      <c r="E46" s="510"/>
      <c r="F46" s="510"/>
      <c r="G46" s="510"/>
      <c r="H46" s="510"/>
      <c r="I46" s="509">
        <f>C46+H46</f>
        <v>0</v>
      </c>
      <c r="J46" s="528"/>
      <c r="K46" s="510"/>
      <c r="L46" s="528"/>
      <c r="M46" s="509">
        <f>K46*L46</f>
        <v>0</v>
      </c>
      <c r="N46" s="510"/>
      <c r="O46" s="528"/>
      <c r="P46" s="509">
        <f>N46*O46</f>
        <v>0</v>
      </c>
      <c r="Q46" s="510"/>
      <c r="R46" s="528"/>
      <c r="S46" s="509">
        <f>Q46*R46</f>
        <v>0</v>
      </c>
      <c r="T46" s="510"/>
      <c r="U46" s="528"/>
      <c r="V46" s="509">
        <f>T46*U46</f>
        <v>0</v>
      </c>
      <c r="W46" s="510"/>
      <c r="X46" s="528"/>
      <c r="Y46" s="509">
        <f>W46*X46</f>
        <v>0</v>
      </c>
      <c r="Z46" s="510"/>
      <c r="AA46" s="528"/>
      <c r="AB46" s="528"/>
      <c r="AC46" s="528"/>
      <c r="AD46" s="528"/>
      <c r="AE46" s="510"/>
      <c r="AF46" s="509">
        <f>C46*AE46</f>
        <v>0</v>
      </c>
      <c r="AG46" s="528"/>
      <c r="AH46" s="528"/>
      <c r="AI46" s="528"/>
      <c r="AJ46" s="511"/>
      <c r="AK46" s="511"/>
      <c r="CI46" s="66" t="s">
        <v>506</v>
      </c>
    </row>
    <row r="47" spans="1:87" ht="0" hidden="1" customHeight="1" outlineLevel="1">
      <c r="A47" s="513" t="s">
        <v>483</v>
      </c>
      <c r="B47" s="367" t="s">
        <v>494</v>
      </c>
      <c r="C47" s="510"/>
      <c r="D47" s="510"/>
      <c r="E47" s="510"/>
      <c r="F47" s="510"/>
      <c r="G47" s="510"/>
      <c r="H47" s="510"/>
      <c r="I47" s="509">
        <f>C47+H47</f>
        <v>0</v>
      </c>
      <c r="J47" s="528"/>
      <c r="K47" s="510"/>
      <c r="L47" s="528"/>
      <c r="M47" s="509">
        <f>K47*L47</f>
        <v>0</v>
      </c>
      <c r="N47" s="510"/>
      <c r="O47" s="528"/>
      <c r="P47" s="509">
        <f>N47*O47</f>
        <v>0</v>
      </c>
      <c r="Q47" s="510"/>
      <c r="R47" s="528"/>
      <c r="S47" s="509">
        <f>Q47*R47</f>
        <v>0</v>
      </c>
      <c r="T47" s="510"/>
      <c r="U47" s="528"/>
      <c r="V47" s="509">
        <f>T47*U47</f>
        <v>0</v>
      </c>
      <c r="W47" s="510"/>
      <c r="X47" s="528"/>
      <c r="Y47" s="509">
        <f>W47*X47</f>
        <v>0</v>
      </c>
      <c r="Z47" s="510"/>
      <c r="AA47" s="528"/>
      <c r="AB47" s="528"/>
      <c r="AC47" s="528"/>
      <c r="AD47" s="528"/>
      <c r="AE47" s="510"/>
      <c r="AF47" s="509">
        <f>C47*AE47</f>
        <v>0</v>
      </c>
      <c r="AG47" s="528"/>
      <c r="AH47" s="528"/>
      <c r="AI47" s="528"/>
      <c r="AJ47" s="511"/>
      <c r="AK47" s="511"/>
      <c r="CI47" s="66" t="s">
        <v>507</v>
      </c>
    </row>
    <row r="48" spans="1:87" ht="0" hidden="1" customHeight="1" outlineLevel="1">
      <c r="A48" s="508" t="s">
        <v>480</v>
      </c>
      <c r="B48" s="508" t="s">
        <v>508</v>
      </c>
      <c r="C48" s="509">
        <f t="shared" ref="C48:J48" si="13">SUM(C49:C50)</f>
        <v>0</v>
      </c>
      <c r="D48" s="509">
        <f t="shared" si="13"/>
        <v>0</v>
      </c>
      <c r="E48" s="509">
        <f t="shared" si="13"/>
        <v>0</v>
      </c>
      <c r="F48" s="509">
        <f t="shared" si="13"/>
        <v>0</v>
      </c>
      <c r="G48" s="509">
        <f t="shared" si="13"/>
        <v>0</v>
      </c>
      <c r="H48" s="509">
        <f t="shared" si="13"/>
        <v>0</v>
      </c>
      <c r="I48" s="509">
        <f t="shared" si="13"/>
        <v>0</v>
      </c>
      <c r="J48" s="527">
        <f t="shared" si="13"/>
        <v>0</v>
      </c>
      <c r="K48" s="509">
        <f>IF(L48=0,0,M48/L48)</f>
        <v>0</v>
      </c>
      <c r="L48" s="527">
        <f>SUM(L49:L50)</f>
        <v>0</v>
      </c>
      <c r="M48" s="509">
        <f>SUM(M49:M50)</f>
        <v>0</v>
      </c>
      <c r="N48" s="509">
        <f>IF(O48=0,0,P48/O48)</f>
        <v>0</v>
      </c>
      <c r="O48" s="527">
        <f>SUM(O49:O50)</f>
        <v>0</v>
      </c>
      <c r="P48" s="509">
        <f>SUM(P49:P50)</f>
        <v>0</v>
      </c>
      <c r="Q48" s="509">
        <f>IF(R48=0,0,S48/R48)</f>
        <v>0</v>
      </c>
      <c r="R48" s="527">
        <f>SUM(R49:R50)</f>
        <v>0</v>
      </c>
      <c r="S48" s="509">
        <f>SUM(S49:S50)</f>
        <v>0</v>
      </c>
      <c r="T48" s="509">
        <f>IF(U48=0,0,V48/U48)</f>
        <v>0</v>
      </c>
      <c r="U48" s="527">
        <f>SUM(U49:U50)</f>
        <v>0</v>
      </c>
      <c r="V48" s="509">
        <f>SUM(V49:V50)</f>
        <v>0</v>
      </c>
      <c r="W48" s="509">
        <f>IF(X48=0,0,Y48/X48)</f>
        <v>0</v>
      </c>
      <c r="X48" s="527">
        <f t="shared" ref="X48:AD48" si="14">SUM(X49:X50)</f>
        <v>0</v>
      </c>
      <c r="Y48" s="509">
        <f t="shared" si="14"/>
        <v>0</v>
      </c>
      <c r="Z48" s="509">
        <f t="shared" si="14"/>
        <v>0</v>
      </c>
      <c r="AA48" s="527">
        <f t="shared" si="14"/>
        <v>0</v>
      </c>
      <c r="AB48" s="527">
        <f t="shared" si="14"/>
        <v>0</v>
      </c>
      <c r="AC48" s="527">
        <f t="shared" si="14"/>
        <v>0</v>
      </c>
      <c r="AD48" s="527">
        <f t="shared" si="14"/>
        <v>0</v>
      </c>
      <c r="AE48" s="509">
        <f>IFERROR(AF48/C48,0)</f>
        <v>0</v>
      </c>
      <c r="AF48" s="509">
        <f>SUM(AF49:AF50)</f>
        <v>0</v>
      </c>
      <c r="AG48" s="527">
        <f>SUM(AG49:AG50)</f>
        <v>0</v>
      </c>
      <c r="AH48" s="527">
        <f>SUM(AH49:AH50)</f>
        <v>0</v>
      </c>
      <c r="AI48" s="527">
        <f>SUM(AI49:AI50)</f>
        <v>0</v>
      </c>
      <c r="AJ48" s="511"/>
      <c r="AK48" s="511"/>
      <c r="CI48" s="66" t="s">
        <v>509</v>
      </c>
    </row>
    <row r="49" spans="1:87" ht="0" hidden="1" customHeight="1" outlineLevel="1">
      <c r="A49" s="513" t="s">
        <v>483</v>
      </c>
      <c r="B49" s="367" t="s">
        <v>492</v>
      </c>
      <c r="C49" s="510"/>
      <c r="D49" s="510"/>
      <c r="E49" s="510"/>
      <c r="F49" s="510"/>
      <c r="G49" s="510"/>
      <c r="H49" s="510"/>
      <c r="I49" s="509">
        <f>C49+H49</f>
        <v>0</v>
      </c>
      <c r="J49" s="528"/>
      <c r="K49" s="510"/>
      <c r="L49" s="528"/>
      <c r="M49" s="509">
        <f>K49*L49</f>
        <v>0</v>
      </c>
      <c r="N49" s="510"/>
      <c r="O49" s="528"/>
      <c r="P49" s="509">
        <f>N49*O49</f>
        <v>0</v>
      </c>
      <c r="Q49" s="510"/>
      <c r="R49" s="528"/>
      <c r="S49" s="509">
        <f>Q49*R49</f>
        <v>0</v>
      </c>
      <c r="T49" s="510"/>
      <c r="U49" s="528"/>
      <c r="V49" s="509">
        <f>T49*U49</f>
        <v>0</v>
      </c>
      <c r="W49" s="510"/>
      <c r="X49" s="528"/>
      <c r="Y49" s="509">
        <f>W49*X49</f>
        <v>0</v>
      </c>
      <c r="Z49" s="510"/>
      <c r="AA49" s="528"/>
      <c r="AB49" s="528"/>
      <c r="AC49" s="528"/>
      <c r="AD49" s="528"/>
      <c r="AE49" s="510"/>
      <c r="AF49" s="509">
        <f>C49*AE49</f>
        <v>0</v>
      </c>
      <c r="AG49" s="528"/>
      <c r="AH49" s="528"/>
      <c r="AI49" s="528"/>
      <c r="AJ49" s="511"/>
      <c r="AK49" s="511"/>
      <c r="CI49" s="66" t="s">
        <v>510</v>
      </c>
    </row>
    <row r="50" spans="1:87" ht="0" hidden="1" customHeight="1" outlineLevel="1">
      <c r="A50" s="513" t="s">
        <v>483</v>
      </c>
      <c r="B50" s="367" t="s">
        <v>494</v>
      </c>
      <c r="C50" s="510"/>
      <c r="D50" s="510"/>
      <c r="E50" s="510"/>
      <c r="F50" s="510"/>
      <c r="G50" s="510"/>
      <c r="H50" s="510"/>
      <c r="I50" s="509">
        <f>C50+H50</f>
        <v>0</v>
      </c>
      <c r="J50" s="528"/>
      <c r="K50" s="510"/>
      <c r="L50" s="528"/>
      <c r="M50" s="509">
        <f>K50*L50</f>
        <v>0</v>
      </c>
      <c r="N50" s="510"/>
      <c r="O50" s="528"/>
      <c r="P50" s="509">
        <f>N50*O50</f>
        <v>0</v>
      </c>
      <c r="Q50" s="510"/>
      <c r="R50" s="528"/>
      <c r="S50" s="509">
        <f>Q50*R50</f>
        <v>0</v>
      </c>
      <c r="T50" s="510"/>
      <c r="U50" s="528"/>
      <c r="V50" s="509">
        <f>T50*U50</f>
        <v>0</v>
      </c>
      <c r="W50" s="510"/>
      <c r="X50" s="528"/>
      <c r="Y50" s="509">
        <f>W50*X50</f>
        <v>0</v>
      </c>
      <c r="Z50" s="510"/>
      <c r="AA50" s="528"/>
      <c r="AB50" s="528"/>
      <c r="AC50" s="528"/>
      <c r="AD50" s="528"/>
      <c r="AE50" s="510"/>
      <c r="AF50" s="509">
        <f>C50*AE50</f>
        <v>0</v>
      </c>
      <c r="AG50" s="528"/>
      <c r="AH50" s="528"/>
      <c r="AI50" s="528"/>
      <c r="AJ50" s="511"/>
      <c r="AK50" s="511"/>
      <c r="CI50" s="66" t="s">
        <v>511</v>
      </c>
    </row>
    <row r="51" spans="1:87" ht="0" hidden="1" customHeight="1" outlineLevel="1">
      <c r="A51" s="508" t="s">
        <v>480</v>
      </c>
      <c r="B51" s="508" t="s">
        <v>512</v>
      </c>
      <c r="C51" s="509">
        <f t="shared" ref="C51:J51" si="15">SUM(C52:C53)</f>
        <v>0</v>
      </c>
      <c r="D51" s="509">
        <f t="shared" si="15"/>
        <v>0</v>
      </c>
      <c r="E51" s="509">
        <f t="shared" si="15"/>
        <v>0</v>
      </c>
      <c r="F51" s="509">
        <f t="shared" si="15"/>
        <v>0</v>
      </c>
      <c r="G51" s="509">
        <f t="shared" si="15"/>
        <v>0</v>
      </c>
      <c r="H51" s="509">
        <f t="shared" si="15"/>
        <v>0</v>
      </c>
      <c r="I51" s="509">
        <f t="shared" si="15"/>
        <v>0</v>
      </c>
      <c r="J51" s="527">
        <f t="shared" si="15"/>
        <v>0</v>
      </c>
      <c r="K51" s="509">
        <f>IF(L51=0,0,M51/L51)</f>
        <v>0</v>
      </c>
      <c r="L51" s="527">
        <f>SUM(L52:L53)</f>
        <v>0</v>
      </c>
      <c r="M51" s="509">
        <f>SUM(M52:M53)</f>
        <v>0</v>
      </c>
      <c r="N51" s="509">
        <f>IF(O51=0,0,P51/O51)</f>
        <v>0</v>
      </c>
      <c r="O51" s="527">
        <f>SUM(O52:O53)</f>
        <v>0</v>
      </c>
      <c r="P51" s="509">
        <f>SUM(P52:P53)</f>
        <v>0</v>
      </c>
      <c r="Q51" s="509">
        <f>IF(R51=0,0,S51/R51)</f>
        <v>0</v>
      </c>
      <c r="R51" s="527">
        <f>SUM(R52:R53)</f>
        <v>0</v>
      </c>
      <c r="S51" s="509">
        <f>SUM(S52:S53)</f>
        <v>0</v>
      </c>
      <c r="T51" s="509">
        <f>IF(U51=0,0,V51/U51)</f>
        <v>0</v>
      </c>
      <c r="U51" s="527">
        <f>SUM(U52:U53)</f>
        <v>0</v>
      </c>
      <c r="V51" s="509">
        <f>SUM(V52:V53)</f>
        <v>0</v>
      </c>
      <c r="W51" s="509">
        <f>IF(X51=0,0,Y51/X51)</f>
        <v>0</v>
      </c>
      <c r="X51" s="527">
        <f t="shared" ref="X51:AD51" si="16">SUM(X52:X53)</f>
        <v>0</v>
      </c>
      <c r="Y51" s="509">
        <f t="shared" si="16"/>
        <v>0</v>
      </c>
      <c r="Z51" s="509">
        <f t="shared" si="16"/>
        <v>0</v>
      </c>
      <c r="AA51" s="527">
        <f t="shared" si="16"/>
        <v>0</v>
      </c>
      <c r="AB51" s="527">
        <f t="shared" si="16"/>
        <v>0</v>
      </c>
      <c r="AC51" s="527">
        <f t="shared" si="16"/>
        <v>0</v>
      </c>
      <c r="AD51" s="527">
        <f t="shared" si="16"/>
        <v>0</v>
      </c>
      <c r="AE51" s="509">
        <f>IFERROR(AF51/C51,0)</f>
        <v>0</v>
      </c>
      <c r="AF51" s="509">
        <f>SUM(AF52:AF53)</f>
        <v>0</v>
      </c>
      <c r="AG51" s="527">
        <f>SUM(AG52:AG53)</f>
        <v>0</v>
      </c>
      <c r="AH51" s="527">
        <f>SUM(AH52:AH53)</f>
        <v>0</v>
      </c>
      <c r="AI51" s="527">
        <f>SUM(AI52:AI53)</f>
        <v>0</v>
      </c>
      <c r="AJ51" s="511"/>
      <c r="AK51" s="511"/>
      <c r="CI51" s="66" t="s">
        <v>513</v>
      </c>
    </row>
    <row r="52" spans="1:87" ht="0" hidden="1" customHeight="1" outlineLevel="1">
      <c r="A52" s="513" t="s">
        <v>483</v>
      </c>
      <c r="B52" s="367" t="s">
        <v>492</v>
      </c>
      <c r="C52" s="510"/>
      <c r="D52" s="510"/>
      <c r="E52" s="510"/>
      <c r="F52" s="510"/>
      <c r="G52" s="510"/>
      <c r="H52" s="510"/>
      <c r="I52" s="509">
        <f>C52+H52</f>
        <v>0</v>
      </c>
      <c r="J52" s="528"/>
      <c r="K52" s="510"/>
      <c r="L52" s="528"/>
      <c r="M52" s="509">
        <f>K52*L52</f>
        <v>0</v>
      </c>
      <c r="N52" s="510"/>
      <c r="O52" s="528"/>
      <c r="P52" s="509">
        <f>N52*O52</f>
        <v>0</v>
      </c>
      <c r="Q52" s="510"/>
      <c r="R52" s="528"/>
      <c r="S52" s="509">
        <f>Q52*R52</f>
        <v>0</v>
      </c>
      <c r="T52" s="510"/>
      <c r="U52" s="528"/>
      <c r="V52" s="509">
        <f>T52*U52</f>
        <v>0</v>
      </c>
      <c r="W52" s="510"/>
      <c r="X52" s="528"/>
      <c r="Y52" s="509">
        <f>W52*X52</f>
        <v>0</v>
      </c>
      <c r="Z52" s="510"/>
      <c r="AA52" s="528"/>
      <c r="AB52" s="528"/>
      <c r="AC52" s="528"/>
      <c r="AD52" s="528"/>
      <c r="AE52" s="510"/>
      <c r="AF52" s="509">
        <f>C52*AE52</f>
        <v>0</v>
      </c>
      <c r="AG52" s="528"/>
      <c r="AH52" s="528"/>
      <c r="AI52" s="528"/>
      <c r="AJ52" s="511"/>
      <c r="AK52" s="511"/>
      <c r="CI52" s="66" t="s">
        <v>514</v>
      </c>
    </row>
    <row r="53" spans="1:87" ht="0" hidden="1" customHeight="1" outlineLevel="1">
      <c r="A53" s="513" t="s">
        <v>483</v>
      </c>
      <c r="B53" s="367" t="s">
        <v>494</v>
      </c>
      <c r="C53" s="510"/>
      <c r="D53" s="510"/>
      <c r="E53" s="510"/>
      <c r="F53" s="510"/>
      <c r="G53" s="510"/>
      <c r="H53" s="510"/>
      <c r="I53" s="509">
        <f>C53+H53</f>
        <v>0</v>
      </c>
      <c r="J53" s="528"/>
      <c r="K53" s="510"/>
      <c r="L53" s="528"/>
      <c r="M53" s="509">
        <f>K53*L53</f>
        <v>0</v>
      </c>
      <c r="N53" s="510"/>
      <c r="O53" s="528"/>
      <c r="P53" s="509">
        <f>N53*O53</f>
        <v>0</v>
      </c>
      <c r="Q53" s="510"/>
      <c r="R53" s="528"/>
      <c r="S53" s="509">
        <f>Q53*R53</f>
        <v>0</v>
      </c>
      <c r="T53" s="510"/>
      <c r="U53" s="528"/>
      <c r="V53" s="509">
        <f>T53*U53</f>
        <v>0</v>
      </c>
      <c r="W53" s="510"/>
      <c r="X53" s="528"/>
      <c r="Y53" s="509">
        <f>W53*X53</f>
        <v>0</v>
      </c>
      <c r="Z53" s="510"/>
      <c r="AA53" s="528"/>
      <c r="AB53" s="528"/>
      <c r="AC53" s="528"/>
      <c r="AD53" s="528"/>
      <c r="AE53" s="510"/>
      <c r="AF53" s="509">
        <f>C53*AE53</f>
        <v>0</v>
      </c>
      <c r="AG53" s="528"/>
      <c r="AH53" s="528"/>
      <c r="AI53" s="528"/>
      <c r="AJ53" s="511"/>
      <c r="AK53" s="511"/>
      <c r="CI53" s="66" t="s">
        <v>515</v>
      </c>
    </row>
    <row r="54" spans="1:87" ht="0" hidden="1" customHeight="1" outlineLevel="1">
      <c r="A54" s="508" t="s">
        <v>480</v>
      </c>
      <c r="B54" s="508" t="s">
        <v>516</v>
      </c>
      <c r="C54" s="509">
        <f t="shared" ref="C54:J54" si="17">SUM(C55:C56)</f>
        <v>0</v>
      </c>
      <c r="D54" s="509">
        <f t="shared" si="17"/>
        <v>0</v>
      </c>
      <c r="E54" s="509">
        <f t="shared" si="17"/>
        <v>0</v>
      </c>
      <c r="F54" s="509">
        <f t="shared" si="17"/>
        <v>0</v>
      </c>
      <c r="G54" s="509">
        <f t="shared" si="17"/>
        <v>0</v>
      </c>
      <c r="H54" s="509">
        <f t="shared" si="17"/>
        <v>0</v>
      </c>
      <c r="I54" s="509">
        <f t="shared" si="17"/>
        <v>0</v>
      </c>
      <c r="J54" s="527">
        <f t="shared" si="17"/>
        <v>0</v>
      </c>
      <c r="K54" s="509">
        <f>IF(L54=0,0,M54/L54)</f>
        <v>0</v>
      </c>
      <c r="L54" s="527">
        <f>SUM(L55:L56)</f>
        <v>0</v>
      </c>
      <c r="M54" s="509">
        <f>SUM(M55:M56)</f>
        <v>0</v>
      </c>
      <c r="N54" s="509">
        <f>IF(O54=0,0,P54/O54)</f>
        <v>0</v>
      </c>
      <c r="O54" s="527">
        <f>SUM(O55:O56)</f>
        <v>0</v>
      </c>
      <c r="P54" s="509">
        <f>SUM(P55:P56)</f>
        <v>0</v>
      </c>
      <c r="Q54" s="509">
        <f>IF(R54=0,0,S54/R54)</f>
        <v>0</v>
      </c>
      <c r="R54" s="527">
        <f>SUM(R55:R56)</f>
        <v>0</v>
      </c>
      <c r="S54" s="509">
        <f>SUM(S55:S56)</f>
        <v>0</v>
      </c>
      <c r="T54" s="509">
        <f>IF(U54=0,0,V54/U54)</f>
        <v>0</v>
      </c>
      <c r="U54" s="527">
        <f>SUM(U55:U56)</f>
        <v>0</v>
      </c>
      <c r="V54" s="509">
        <f>SUM(V55:V56)</f>
        <v>0</v>
      </c>
      <c r="W54" s="509">
        <f>IF(X54=0,0,Y54/X54)</f>
        <v>0</v>
      </c>
      <c r="X54" s="527">
        <f t="shared" ref="X54:AD54" si="18">SUM(X55:X56)</f>
        <v>0</v>
      </c>
      <c r="Y54" s="509">
        <f t="shared" si="18"/>
        <v>0</v>
      </c>
      <c r="Z54" s="509">
        <f t="shared" si="18"/>
        <v>0</v>
      </c>
      <c r="AA54" s="527">
        <f t="shared" si="18"/>
        <v>0</v>
      </c>
      <c r="AB54" s="527">
        <f t="shared" si="18"/>
        <v>0</v>
      </c>
      <c r="AC54" s="527">
        <f t="shared" si="18"/>
        <v>0</v>
      </c>
      <c r="AD54" s="527">
        <f t="shared" si="18"/>
        <v>0</v>
      </c>
      <c r="AE54" s="509">
        <f>IFERROR(AF54/C54,0)</f>
        <v>0</v>
      </c>
      <c r="AF54" s="509">
        <f>SUM(AF55:AF56)</f>
        <v>0</v>
      </c>
      <c r="AG54" s="527">
        <f>SUM(AG55:AG56)</f>
        <v>0</v>
      </c>
      <c r="AH54" s="527">
        <f>SUM(AH55:AH56)</f>
        <v>0</v>
      </c>
      <c r="AI54" s="527">
        <f>SUM(AI55:AI56)</f>
        <v>0</v>
      </c>
      <c r="AJ54" s="511"/>
      <c r="AK54" s="511"/>
      <c r="CI54" s="66" t="s">
        <v>517</v>
      </c>
    </row>
    <row r="55" spans="1:87" ht="0" hidden="1" customHeight="1" outlineLevel="1">
      <c r="A55" s="513" t="s">
        <v>483</v>
      </c>
      <c r="B55" s="367" t="s">
        <v>492</v>
      </c>
      <c r="C55" s="510"/>
      <c r="D55" s="510"/>
      <c r="E55" s="510"/>
      <c r="F55" s="510"/>
      <c r="G55" s="510"/>
      <c r="H55" s="510"/>
      <c r="I55" s="509">
        <f>C55+H55</f>
        <v>0</v>
      </c>
      <c r="J55" s="528"/>
      <c r="K55" s="510"/>
      <c r="L55" s="528"/>
      <c r="M55" s="509">
        <f>K55*L55</f>
        <v>0</v>
      </c>
      <c r="N55" s="510"/>
      <c r="O55" s="528"/>
      <c r="P55" s="509">
        <f>N55*O55</f>
        <v>0</v>
      </c>
      <c r="Q55" s="510"/>
      <c r="R55" s="528"/>
      <c r="S55" s="509">
        <f>Q55*R55</f>
        <v>0</v>
      </c>
      <c r="T55" s="510"/>
      <c r="U55" s="528"/>
      <c r="V55" s="509">
        <f>T55*U55</f>
        <v>0</v>
      </c>
      <c r="W55" s="510"/>
      <c r="X55" s="528"/>
      <c r="Y55" s="509">
        <f>W55*X55</f>
        <v>0</v>
      </c>
      <c r="Z55" s="510"/>
      <c r="AA55" s="528"/>
      <c r="AB55" s="528"/>
      <c r="AC55" s="528"/>
      <c r="AD55" s="528"/>
      <c r="AE55" s="510"/>
      <c r="AF55" s="509">
        <f>C55*AE55</f>
        <v>0</v>
      </c>
      <c r="AG55" s="528"/>
      <c r="AH55" s="528"/>
      <c r="AI55" s="528"/>
      <c r="AJ55" s="511"/>
      <c r="AK55" s="511"/>
      <c r="CI55" s="66" t="s">
        <v>518</v>
      </c>
    </row>
    <row r="56" spans="1:87" ht="0" hidden="1" customHeight="1" outlineLevel="1">
      <c r="A56" s="513" t="s">
        <v>483</v>
      </c>
      <c r="B56" s="367" t="s">
        <v>494</v>
      </c>
      <c r="C56" s="510"/>
      <c r="D56" s="510"/>
      <c r="E56" s="510"/>
      <c r="F56" s="510"/>
      <c r="G56" s="510"/>
      <c r="H56" s="510"/>
      <c r="I56" s="509">
        <f>C56+H56</f>
        <v>0</v>
      </c>
      <c r="J56" s="528"/>
      <c r="K56" s="510"/>
      <c r="L56" s="528"/>
      <c r="M56" s="509">
        <f>K56*L56</f>
        <v>0</v>
      </c>
      <c r="N56" s="510"/>
      <c r="O56" s="528"/>
      <c r="P56" s="509">
        <f>N56*O56</f>
        <v>0</v>
      </c>
      <c r="Q56" s="510"/>
      <c r="R56" s="528"/>
      <c r="S56" s="509">
        <f>Q56*R56</f>
        <v>0</v>
      </c>
      <c r="T56" s="510"/>
      <c r="U56" s="528"/>
      <c r="V56" s="509">
        <f>T56*U56</f>
        <v>0</v>
      </c>
      <c r="W56" s="510"/>
      <c r="X56" s="528"/>
      <c r="Y56" s="509">
        <f>W56*X56</f>
        <v>0</v>
      </c>
      <c r="Z56" s="510"/>
      <c r="AA56" s="528"/>
      <c r="AB56" s="528"/>
      <c r="AC56" s="528"/>
      <c r="AD56" s="528"/>
      <c r="AE56" s="510"/>
      <c r="AF56" s="509">
        <f>C56*AE56</f>
        <v>0</v>
      </c>
      <c r="AG56" s="528"/>
      <c r="AH56" s="528"/>
      <c r="AI56" s="528"/>
      <c r="AJ56" s="511"/>
      <c r="AK56" s="511"/>
      <c r="CI56" s="66" t="s">
        <v>519</v>
      </c>
    </row>
    <row r="57" spans="1:87" ht="0" hidden="1" customHeight="1" outlineLevel="1">
      <c r="A57" s="508" t="s">
        <v>480</v>
      </c>
      <c r="B57" s="508" t="s">
        <v>520</v>
      </c>
      <c r="C57" s="509">
        <f t="shared" ref="C57:J57" si="19">SUM(C58:C59)</f>
        <v>0</v>
      </c>
      <c r="D57" s="509">
        <f t="shared" si="19"/>
        <v>0</v>
      </c>
      <c r="E57" s="509">
        <f t="shared" si="19"/>
        <v>0</v>
      </c>
      <c r="F57" s="509">
        <f t="shared" si="19"/>
        <v>0</v>
      </c>
      <c r="G57" s="509">
        <f t="shared" si="19"/>
        <v>0</v>
      </c>
      <c r="H57" s="509">
        <f t="shared" si="19"/>
        <v>0</v>
      </c>
      <c r="I57" s="509">
        <f t="shared" si="19"/>
        <v>0</v>
      </c>
      <c r="J57" s="527">
        <f t="shared" si="19"/>
        <v>0</v>
      </c>
      <c r="K57" s="509">
        <f>IF(L57=0,0,M57/L57)</f>
        <v>0</v>
      </c>
      <c r="L57" s="527">
        <f>SUM(L58:L59)</f>
        <v>0</v>
      </c>
      <c r="M57" s="509">
        <f>SUM(M58:M59)</f>
        <v>0</v>
      </c>
      <c r="N57" s="509">
        <f>IF(O57=0,0,P57/O57)</f>
        <v>0</v>
      </c>
      <c r="O57" s="527">
        <f>SUM(O58:O59)</f>
        <v>0</v>
      </c>
      <c r="P57" s="509">
        <f>SUM(P58:P59)</f>
        <v>0</v>
      </c>
      <c r="Q57" s="509">
        <f>IF(R57=0,0,S57/R57)</f>
        <v>0</v>
      </c>
      <c r="R57" s="527">
        <f>SUM(R58:R59)</f>
        <v>0</v>
      </c>
      <c r="S57" s="509">
        <f>SUM(S58:S59)</f>
        <v>0</v>
      </c>
      <c r="T57" s="509">
        <f>IF(U57=0,0,V57/U57)</f>
        <v>0</v>
      </c>
      <c r="U57" s="527">
        <f>SUM(U58:U59)</f>
        <v>0</v>
      </c>
      <c r="V57" s="509">
        <f>SUM(V58:V59)</f>
        <v>0</v>
      </c>
      <c r="W57" s="509">
        <f>IF(X57=0,0,Y57/X57)</f>
        <v>0</v>
      </c>
      <c r="X57" s="527">
        <f t="shared" ref="X57:AD57" si="20">SUM(X58:X59)</f>
        <v>0</v>
      </c>
      <c r="Y57" s="509">
        <f t="shared" si="20"/>
        <v>0</v>
      </c>
      <c r="Z57" s="509">
        <f t="shared" si="20"/>
        <v>0</v>
      </c>
      <c r="AA57" s="527">
        <f t="shared" si="20"/>
        <v>0</v>
      </c>
      <c r="AB57" s="527">
        <f t="shared" si="20"/>
        <v>0</v>
      </c>
      <c r="AC57" s="527">
        <f t="shared" si="20"/>
        <v>0</v>
      </c>
      <c r="AD57" s="527">
        <f t="shared" si="20"/>
        <v>0</v>
      </c>
      <c r="AE57" s="509">
        <f>IFERROR(AF57/C57,0)</f>
        <v>0</v>
      </c>
      <c r="AF57" s="509">
        <f>SUM(AF58:AF59)</f>
        <v>0</v>
      </c>
      <c r="AG57" s="527">
        <f>SUM(AG58:AG59)</f>
        <v>0</v>
      </c>
      <c r="AH57" s="527">
        <f>SUM(AH58:AH59)</f>
        <v>0</v>
      </c>
      <c r="AI57" s="527">
        <f>SUM(AI58:AI59)</f>
        <v>0</v>
      </c>
      <c r="AJ57" s="511"/>
      <c r="AK57" s="511"/>
      <c r="CI57" s="66" t="s">
        <v>521</v>
      </c>
    </row>
    <row r="58" spans="1:87" ht="0" hidden="1" customHeight="1" outlineLevel="1">
      <c r="A58" s="513" t="s">
        <v>483</v>
      </c>
      <c r="B58" s="367" t="s">
        <v>492</v>
      </c>
      <c r="C58" s="510"/>
      <c r="D58" s="510"/>
      <c r="E58" s="510"/>
      <c r="F58" s="510"/>
      <c r="G58" s="510"/>
      <c r="H58" s="510"/>
      <c r="I58" s="509">
        <f>C58+H58</f>
        <v>0</v>
      </c>
      <c r="J58" s="528"/>
      <c r="K58" s="510"/>
      <c r="L58" s="528"/>
      <c r="M58" s="509">
        <f>K58*L58</f>
        <v>0</v>
      </c>
      <c r="N58" s="510"/>
      <c r="O58" s="528"/>
      <c r="P58" s="509">
        <f>N58*O58</f>
        <v>0</v>
      </c>
      <c r="Q58" s="510"/>
      <c r="R58" s="528"/>
      <c r="S58" s="509">
        <f>Q58*R58</f>
        <v>0</v>
      </c>
      <c r="T58" s="510"/>
      <c r="U58" s="528"/>
      <c r="V58" s="509">
        <f>T58*U58</f>
        <v>0</v>
      </c>
      <c r="W58" s="510"/>
      <c r="X58" s="528"/>
      <c r="Y58" s="509">
        <f>W58*X58</f>
        <v>0</v>
      </c>
      <c r="Z58" s="510"/>
      <c r="AA58" s="528"/>
      <c r="AB58" s="528"/>
      <c r="AC58" s="528"/>
      <c r="AD58" s="528"/>
      <c r="AE58" s="510"/>
      <c r="AF58" s="509">
        <f>C58*AE58</f>
        <v>0</v>
      </c>
      <c r="AG58" s="528"/>
      <c r="AH58" s="528"/>
      <c r="AI58" s="528"/>
      <c r="AJ58" s="511"/>
      <c r="AK58" s="511"/>
      <c r="CI58" s="66" t="s">
        <v>522</v>
      </c>
    </row>
    <row r="59" spans="1:87" ht="0" hidden="1" customHeight="1" outlineLevel="1">
      <c r="A59" s="513" t="s">
        <v>483</v>
      </c>
      <c r="B59" s="367" t="s">
        <v>494</v>
      </c>
      <c r="C59" s="510"/>
      <c r="D59" s="510"/>
      <c r="E59" s="510"/>
      <c r="F59" s="510"/>
      <c r="G59" s="510"/>
      <c r="H59" s="510"/>
      <c r="I59" s="509">
        <f>C59+H59</f>
        <v>0</v>
      </c>
      <c r="J59" s="528"/>
      <c r="K59" s="510"/>
      <c r="L59" s="528"/>
      <c r="M59" s="509">
        <f>K59*L59</f>
        <v>0</v>
      </c>
      <c r="N59" s="510"/>
      <c r="O59" s="528"/>
      <c r="P59" s="509">
        <f>N59*O59</f>
        <v>0</v>
      </c>
      <c r="Q59" s="510"/>
      <c r="R59" s="528"/>
      <c r="S59" s="509">
        <f>Q59*R59</f>
        <v>0</v>
      </c>
      <c r="T59" s="510"/>
      <c r="U59" s="528"/>
      <c r="V59" s="509">
        <f>T59*U59</f>
        <v>0</v>
      </c>
      <c r="W59" s="510"/>
      <c r="X59" s="528"/>
      <c r="Y59" s="509">
        <f>W59*X59</f>
        <v>0</v>
      </c>
      <c r="Z59" s="510"/>
      <c r="AA59" s="528"/>
      <c r="AB59" s="528"/>
      <c r="AC59" s="528"/>
      <c r="AD59" s="528"/>
      <c r="AE59" s="510"/>
      <c r="AF59" s="509">
        <f>C59*AE59</f>
        <v>0</v>
      </c>
      <c r="AG59" s="528"/>
      <c r="AH59" s="528"/>
      <c r="AI59" s="528"/>
      <c r="AJ59" s="511"/>
      <c r="AK59" s="511"/>
      <c r="CI59" s="66" t="s">
        <v>523</v>
      </c>
    </row>
    <row r="60" spans="1:87" ht="0" hidden="1" customHeight="1" outlineLevel="1">
      <c r="A60" s="508" t="s">
        <v>480</v>
      </c>
      <c r="B60" s="508" t="s">
        <v>524</v>
      </c>
      <c r="C60" s="509">
        <f t="shared" ref="C60:J60" si="21">SUM(C61:C62)</f>
        <v>0</v>
      </c>
      <c r="D60" s="509">
        <f t="shared" si="21"/>
        <v>0</v>
      </c>
      <c r="E60" s="509">
        <f t="shared" si="21"/>
        <v>0</v>
      </c>
      <c r="F60" s="509">
        <f t="shared" si="21"/>
        <v>0</v>
      </c>
      <c r="G60" s="509">
        <f t="shared" si="21"/>
        <v>0</v>
      </c>
      <c r="H60" s="509">
        <f t="shared" si="21"/>
        <v>0</v>
      </c>
      <c r="I60" s="509">
        <f t="shared" si="21"/>
        <v>0</v>
      </c>
      <c r="J60" s="527">
        <f t="shared" si="21"/>
        <v>0</v>
      </c>
      <c r="K60" s="509">
        <f>IF(L60=0,0,M60/L60)</f>
        <v>0</v>
      </c>
      <c r="L60" s="527">
        <f>SUM(L61:L62)</f>
        <v>0</v>
      </c>
      <c r="M60" s="509">
        <f>SUM(M61:M62)</f>
        <v>0</v>
      </c>
      <c r="N60" s="509">
        <f>IF(O60=0,0,P60/O60)</f>
        <v>0</v>
      </c>
      <c r="O60" s="527">
        <f>SUM(O61:O62)</f>
        <v>0</v>
      </c>
      <c r="P60" s="509">
        <f>SUM(P61:P62)</f>
        <v>0</v>
      </c>
      <c r="Q60" s="509">
        <f>IF(R60=0,0,S60/R60)</f>
        <v>0</v>
      </c>
      <c r="R60" s="527">
        <f>SUM(R61:R62)</f>
        <v>0</v>
      </c>
      <c r="S60" s="509">
        <f>SUM(S61:S62)</f>
        <v>0</v>
      </c>
      <c r="T60" s="509">
        <f>IF(U60=0,0,V60/U60)</f>
        <v>0</v>
      </c>
      <c r="U60" s="527">
        <f>SUM(U61:U62)</f>
        <v>0</v>
      </c>
      <c r="V60" s="509">
        <f>SUM(V61:V62)</f>
        <v>0</v>
      </c>
      <c r="W60" s="509">
        <f>IF(X60=0,0,Y60/X60)</f>
        <v>0</v>
      </c>
      <c r="X60" s="527">
        <f t="shared" ref="X60:AD60" si="22">SUM(X61:X62)</f>
        <v>0</v>
      </c>
      <c r="Y60" s="509">
        <f t="shared" si="22"/>
        <v>0</v>
      </c>
      <c r="Z60" s="509">
        <f t="shared" si="22"/>
        <v>0</v>
      </c>
      <c r="AA60" s="527">
        <f t="shared" si="22"/>
        <v>0</v>
      </c>
      <c r="AB60" s="527">
        <f t="shared" si="22"/>
        <v>0</v>
      </c>
      <c r="AC60" s="527">
        <f t="shared" si="22"/>
        <v>0</v>
      </c>
      <c r="AD60" s="527">
        <f t="shared" si="22"/>
        <v>0</v>
      </c>
      <c r="AE60" s="509">
        <f>IFERROR(AF60/C60,0)</f>
        <v>0</v>
      </c>
      <c r="AF60" s="509">
        <f>SUM(AF61:AF62)</f>
        <v>0</v>
      </c>
      <c r="AG60" s="527">
        <f>SUM(AG61:AG62)</f>
        <v>0</v>
      </c>
      <c r="AH60" s="527">
        <f>SUM(AH61:AH62)</f>
        <v>0</v>
      </c>
      <c r="AI60" s="527">
        <f>SUM(AI61:AI62)</f>
        <v>0</v>
      </c>
      <c r="AJ60" s="511"/>
      <c r="AK60" s="511"/>
      <c r="CI60" s="66" t="s">
        <v>525</v>
      </c>
    </row>
    <row r="61" spans="1:87" ht="0" hidden="1" customHeight="1" outlineLevel="1">
      <c r="A61" s="513" t="s">
        <v>483</v>
      </c>
      <c r="B61" s="367" t="s">
        <v>492</v>
      </c>
      <c r="C61" s="510"/>
      <c r="D61" s="510"/>
      <c r="E61" s="510"/>
      <c r="F61" s="510"/>
      <c r="G61" s="510"/>
      <c r="H61" s="510"/>
      <c r="I61" s="509">
        <f>C61+H61</f>
        <v>0</v>
      </c>
      <c r="J61" s="528"/>
      <c r="K61" s="510"/>
      <c r="L61" s="528"/>
      <c r="M61" s="509">
        <f>K61*L61</f>
        <v>0</v>
      </c>
      <c r="N61" s="510"/>
      <c r="O61" s="528"/>
      <c r="P61" s="509">
        <f>N61*O61</f>
        <v>0</v>
      </c>
      <c r="Q61" s="510"/>
      <c r="R61" s="528"/>
      <c r="S61" s="509">
        <f>Q61*R61</f>
        <v>0</v>
      </c>
      <c r="T61" s="510"/>
      <c r="U61" s="528"/>
      <c r="V61" s="509">
        <f>T61*U61</f>
        <v>0</v>
      </c>
      <c r="W61" s="510"/>
      <c r="X61" s="528"/>
      <c r="Y61" s="509">
        <f>W61*X61</f>
        <v>0</v>
      </c>
      <c r="Z61" s="510"/>
      <c r="AA61" s="528"/>
      <c r="AB61" s="528"/>
      <c r="AC61" s="528"/>
      <c r="AD61" s="528"/>
      <c r="AE61" s="510"/>
      <c r="AF61" s="509">
        <f>C61*AE61</f>
        <v>0</v>
      </c>
      <c r="AG61" s="528"/>
      <c r="AH61" s="528"/>
      <c r="AI61" s="528"/>
      <c r="AJ61" s="511"/>
      <c r="AK61" s="511"/>
      <c r="CI61" s="66" t="s">
        <v>526</v>
      </c>
    </row>
    <row r="62" spans="1:87" ht="0" hidden="1" customHeight="1" outlineLevel="1">
      <c r="A62" s="513" t="s">
        <v>483</v>
      </c>
      <c r="B62" s="367" t="s">
        <v>494</v>
      </c>
      <c r="C62" s="510"/>
      <c r="D62" s="510"/>
      <c r="E62" s="510"/>
      <c r="F62" s="510"/>
      <c r="G62" s="510"/>
      <c r="H62" s="510"/>
      <c r="I62" s="509">
        <f>C62+H62</f>
        <v>0</v>
      </c>
      <c r="J62" s="528"/>
      <c r="K62" s="510"/>
      <c r="L62" s="528"/>
      <c r="M62" s="509">
        <f>K62*L62</f>
        <v>0</v>
      </c>
      <c r="N62" s="510"/>
      <c r="O62" s="528"/>
      <c r="P62" s="509">
        <f>N62*O62</f>
        <v>0</v>
      </c>
      <c r="Q62" s="510"/>
      <c r="R62" s="528"/>
      <c r="S62" s="509">
        <f>Q62*R62</f>
        <v>0</v>
      </c>
      <c r="T62" s="510"/>
      <c r="U62" s="528"/>
      <c r="V62" s="509">
        <f>T62*U62</f>
        <v>0</v>
      </c>
      <c r="W62" s="510"/>
      <c r="X62" s="528"/>
      <c r="Y62" s="509">
        <f>W62*X62</f>
        <v>0</v>
      </c>
      <c r="Z62" s="510"/>
      <c r="AA62" s="528"/>
      <c r="AB62" s="528"/>
      <c r="AC62" s="528"/>
      <c r="AD62" s="528"/>
      <c r="AE62" s="510"/>
      <c r="AF62" s="509">
        <f>C62*AE62</f>
        <v>0</v>
      </c>
      <c r="AG62" s="528"/>
      <c r="AH62" s="528"/>
      <c r="AI62" s="528"/>
      <c r="AJ62" s="511"/>
      <c r="AK62" s="511"/>
      <c r="CI62" s="66" t="s">
        <v>527</v>
      </c>
    </row>
    <row r="63" spans="1:87" ht="0" hidden="1" customHeight="1" outlineLevel="1">
      <c r="A63" s="508" t="s">
        <v>480</v>
      </c>
      <c r="B63" s="514" t="s">
        <v>528</v>
      </c>
      <c r="C63" s="509">
        <f>SUM(C64:C65)</f>
        <v>0</v>
      </c>
      <c r="D63" s="509">
        <f>SUM(D64:D65)</f>
        <v>0</v>
      </c>
      <c r="E63" s="509">
        <f>SUM(E64:E65)</f>
        <v>0</v>
      </c>
      <c r="F63" s="511"/>
      <c r="G63" s="511"/>
      <c r="H63" s="509">
        <f>SUM(H64:H65)</f>
        <v>0</v>
      </c>
      <c r="I63" s="509">
        <f>SUM(I64:I65)</f>
        <v>0</v>
      </c>
      <c r="J63" s="527">
        <f>SUM(J64:J65)</f>
        <v>0</v>
      </c>
      <c r="K63" s="509">
        <f>IF(L63=0,0,M63/L63)</f>
        <v>0</v>
      </c>
      <c r="L63" s="527">
        <f>SUM(L64:L65)</f>
        <v>0</v>
      </c>
      <c r="M63" s="509">
        <f>SUM(M64:M65)</f>
        <v>0</v>
      </c>
      <c r="N63" s="509">
        <f>IF(O63=0,0,P63/O63)</f>
        <v>0</v>
      </c>
      <c r="O63" s="527">
        <f>SUM(O64:O65)</f>
        <v>0</v>
      </c>
      <c r="P63" s="509">
        <f>SUM(P64:P65)</f>
        <v>0</v>
      </c>
      <c r="Q63" s="509">
        <f>IF(R63=0,0,S63/R63)</f>
        <v>0</v>
      </c>
      <c r="R63" s="527">
        <f>SUM(R64:R65)</f>
        <v>0</v>
      </c>
      <c r="S63" s="509">
        <f>SUM(S64:S65)</f>
        <v>0</v>
      </c>
      <c r="T63" s="509">
        <f>IF(U63=0,0,V63/U63)</f>
        <v>0</v>
      </c>
      <c r="U63" s="527">
        <f>SUM(U64:U65)</f>
        <v>0</v>
      </c>
      <c r="V63" s="509">
        <f>SUM(V64:V65)</f>
        <v>0</v>
      </c>
      <c r="W63" s="509">
        <f>IF(X63=0,0,Y63/X63)</f>
        <v>0</v>
      </c>
      <c r="X63" s="527">
        <f t="shared" ref="X63:AD63" si="23">SUM(X64:X65)</f>
        <v>0</v>
      </c>
      <c r="Y63" s="509">
        <f t="shared" si="23"/>
        <v>0</v>
      </c>
      <c r="Z63" s="509">
        <f t="shared" si="23"/>
        <v>0</v>
      </c>
      <c r="AA63" s="527">
        <f t="shared" si="23"/>
        <v>0</v>
      </c>
      <c r="AB63" s="527">
        <f t="shared" si="23"/>
        <v>0</v>
      </c>
      <c r="AC63" s="527">
        <f t="shared" si="23"/>
        <v>0</v>
      </c>
      <c r="AD63" s="527">
        <f t="shared" si="23"/>
        <v>0</v>
      </c>
      <c r="AE63" s="509">
        <f>IFERROR(AF63/C63,0)</f>
        <v>0</v>
      </c>
      <c r="AF63" s="509">
        <f>SUM(AF64:AF65)</f>
        <v>0</v>
      </c>
      <c r="AG63" s="527">
        <f>SUM(AG64:AG65)</f>
        <v>0</v>
      </c>
      <c r="AH63" s="527">
        <f>SUM(AH64:AH65)</f>
        <v>0</v>
      </c>
      <c r="AI63" s="527">
        <f>SUM(AI64:AI65)</f>
        <v>0</v>
      </c>
      <c r="AJ63" s="511"/>
      <c r="AK63" s="511"/>
      <c r="CI63" s="66" t="s">
        <v>529</v>
      </c>
    </row>
    <row r="64" spans="1:87" ht="0" hidden="1" customHeight="1" outlineLevel="1">
      <c r="A64" s="513" t="s">
        <v>483</v>
      </c>
      <c r="B64" s="367" t="s">
        <v>492</v>
      </c>
      <c r="C64" s="510"/>
      <c r="D64" s="510"/>
      <c r="E64" s="510"/>
      <c r="F64" s="511"/>
      <c r="G64" s="511"/>
      <c r="H64" s="510"/>
      <c r="I64" s="509">
        <f>C64+H64</f>
        <v>0</v>
      </c>
      <c r="J64" s="528"/>
      <c r="K64" s="510"/>
      <c r="L64" s="528"/>
      <c r="M64" s="509">
        <f>K64*L64</f>
        <v>0</v>
      </c>
      <c r="N64" s="510"/>
      <c r="O64" s="528"/>
      <c r="P64" s="509">
        <f>N64*O64</f>
        <v>0</v>
      </c>
      <c r="Q64" s="510"/>
      <c r="R64" s="528"/>
      <c r="S64" s="509">
        <f>Q64*R64</f>
        <v>0</v>
      </c>
      <c r="T64" s="510"/>
      <c r="U64" s="528"/>
      <c r="V64" s="509">
        <f>T64*U64</f>
        <v>0</v>
      </c>
      <c r="W64" s="510"/>
      <c r="X64" s="528"/>
      <c r="Y64" s="509">
        <f>W64*X64</f>
        <v>0</v>
      </c>
      <c r="Z64" s="510"/>
      <c r="AA64" s="528"/>
      <c r="AB64" s="528"/>
      <c r="AC64" s="528"/>
      <c r="AD64" s="528"/>
      <c r="AE64" s="510"/>
      <c r="AF64" s="509">
        <f>C64*AE64</f>
        <v>0</v>
      </c>
      <c r="AG64" s="528"/>
      <c r="AH64" s="528"/>
      <c r="AI64" s="528"/>
      <c r="AJ64" s="511"/>
      <c r="AK64" s="511"/>
      <c r="CI64" s="66" t="s">
        <v>530</v>
      </c>
    </row>
    <row r="65" spans="1:87" ht="0" hidden="1" customHeight="1" outlineLevel="1">
      <c r="A65" s="513" t="s">
        <v>483</v>
      </c>
      <c r="B65" s="367" t="s">
        <v>494</v>
      </c>
      <c r="C65" s="510"/>
      <c r="D65" s="510"/>
      <c r="E65" s="510"/>
      <c r="F65" s="511"/>
      <c r="G65" s="511"/>
      <c r="H65" s="510"/>
      <c r="I65" s="509">
        <f>C65+H65</f>
        <v>0</v>
      </c>
      <c r="J65" s="528"/>
      <c r="K65" s="510"/>
      <c r="L65" s="528"/>
      <c r="M65" s="509">
        <f>K65*L65</f>
        <v>0</v>
      </c>
      <c r="N65" s="510"/>
      <c r="O65" s="528"/>
      <c r="P65" s="509">
        <f>N65*O65</f>
        <v>0</v>
      </c>
      <c r="Q65" s="510"/>
      <c r="R65" s="528"/>
      <c r="S65" s="509">
        <f>Q65*R65</f>
        <v>0</v>
      </c>
      <c r="T65" s="510"/>
      <c r="U65" s="528"/>
      <c r="V65" s="509">
        <f>T65*U65</f>
        <v>0</v>
      </c>
      <c r="W65" s="510"/>
      <c r="X65" s="528"/>
      <c r="Y65" s="509">
        <f>W65*X65</f>
        <v>0</v>
      </c>
      <c r="Z65" s="510"/>
      <c r="AA65" s="528"/>
      <c r="AB65" s="528"/>
      <c r="AC65" s="528"/>
      <c r="AD65" s="528"/>
      <c r="AE65" s="510"/>
      <c r="AF65" s="509">
        <f>C65*AE65</f>
        <v>0</v>
      </c>
      <c r="AG65" s="528"/>
      <c r="AH65" s="528"/>
      <c r="AI65" s="528"/>
      <c r="AJ65" s="511"/>
      <c r="AK65" s="511"/>
      <c r="CI65" s="66" t="s">
        <v>531</v>
      </c>
    </row>
    <row r="66" spans="1:87" ht="16.5" customHeight="1" outlineLevel="1">
      <c r="A66" s="508" t="s">
        <v>480</v>
      </c>
      <c r="B66" s="514" t="s">
        <v>532</v>
      </c>
      <c r="C66" s="509">
        <f>SUM(C67:C68)</f>
        <v>815</v>
      </c>
      <c r="D66" s="509">
        <f>SUM(D67:D68)</f>
        <v>370</v>
      </c>
      <c r="E66" s="509">
        <f>SUM(E67:E68)</f>
        <v>0</v>
      </c>
      <c r="F66" s="511"/>
      <c r="G66" s="511"/>
      <c r="H66" s="509"/>
      <c r="I66" s="509">
        <f>SUM(I67:I68)</f>
        <v>815</v>
      </c>
      <c r="J66" s="527">
        <f>SUM(J67:J68)</f>
        <v>1</v>
      </c>
      <c r="K66" s="509">
        <f>IF(L66=0,0,M66/L66)</f>
        <v>0</v>
      </c>
      <c r="L66" s="527">
        <f>SUM(L67:L68)</f>
        <v>0</v>
      </c>
      <c r="M66" s="509">
        <f>SUM(M67:M68)</f>
        <v>0</v>
      </c>
      <c r="N66" s="509">
        <f>IF(O66=0,0,P66/O66)</f>
        <v>0</v>
      </c>
      <c r="O66" s="527">
        <f>SUM(O67:O68)</f>
        <v>0</v>
      </c>
      <c r="P66" s="509">
        <f>SUM(P67:P68)</f>
        <v>0</v>
      </c>
      <c r="Q66" s="509">
        <f>IF(R66=0,0,S66/R66)</f>
        <v>0</v>
      </c>
      <c r="R66" s="527">
        <f>SUM(R67:R68)</f>
        <v>0</v>
      </c>
      <c r="S66" s="509">
        <f>SUM(S67:S68)</f>
        <v>0</v>
      </c>
      <c r="T66" s="509">
        <f>IF(U66=0,0,V66/U66)</f>
        <v>0</v>
      </c>
      <c r="U66" s="527">
        <f>SUM(U67:U68)</f>
        <v>0</v>
      </c>
      <c r="V66" s="509">
        <f>SUM(V67:V68)</f>
        <v>0</v>
      </c>
      <c r="W66" s="509">
        <f>IF(X66=0,0,Y66/X66)</f>
        <v>0</v>
      </c>
      <c r="X66" s="527">
        <f t="shared" ref="X66:AD66" si="24">SUM(X67:X68)</f>
        <v>0</v>
      </c>
      <c r="Y66" s="509">
        <f t="shared" si="24"/>
        <v>0</v>
      </c>
      <c r="Z66" s="509">
        <f t="shared" si="24"/>
        <v>0</v>
      </c>
      <c r="AA66" s="527">
        <f t="shared" si="24"/>
        <v>2</v>
      </c>
      <c r="AB66" s="527">
        <f t="shared" si="24"/>
        <v>0</v>
      </c>
      <c r="AC66" s="527">
        <f t="shared" si="24"/>
        <v>1</v>
      </c>
      <c r="AD66" s="527">
        <f t="shared" si="24"/>
        <v>0</v>
      </c>
      <c r="AE66" s="509">
        <f>IFERROR(AF66/C66,0)</f>
        <v>1.4</v>
      </c>
      <c r="AF66" s="509">
        <f>SUM(AF67:AF68)</f>
        <v>1141</v>
      </c>
      <c r="AG66" s="527">
        <f>SUM(AG67:AG68)</f>
        <v>1</v>
      </c>
      <c r="AH66" s="527">
        <f>SUM(AH67:AH68)</f>
        <v>0</v>
      </c>
      <c r="AI66" s="527">
        <f>SUM(AI67:AI68)</f>
        <v>0</v>
      </c>
      <c r="AJ66" s="511"/>
      <c r="AK66" s="511"/>
      <c r="CI66" s="66" t="s">
        <v>533</v>
      </c>
    </row>
    <row r="67" spans="1:87" ht="16.5" customHeight="1" outlineLevel="1">
      <c r="A67" s="513" t="s">
        <v>483</v>
      </c>
      <c r="B67" s="367" t="s">
        <v>7616</v>
      </c>
      <c r="C67" s="510">
        <f>总指标!E15+SUM(总指标!K9:K12)</f>
        <v>815</v>
      </c>
      <c r="D67" s="510">
        <f>总指标!E15</f>
        <v>370</v>
      </c>
      <c r="E67" s="510">
        <v>0</v>
      </c>
      <c r="F67" s="511"/>
      <c r="G67" s="511"/>
      <c r="H67" s="509"/>
      <c r="I67" s="509">
        <f>C67+H67</f>
        <v>815</v>
      </c>
      <c r="J67" s="528">
        <v>1</v>
      </c>
      <c r="K67" s="510"/>
      <c r="L67" s="528"/>
      <c r="M67" s="509">
        <f>K67*L67</f>
        <v>0</v>
      </c>
      <c r="N67" s="510"/>
      <c r="O67" s="528"/>
      <c r="P67" s="509">
        <f>N67*O67</f>
        <v>0</v>
      </c>
      <c r="Q67" s="510"/>
      <c r="R67" s="528"/>
      <c r="S67" s="509">
        <f>Q67*R67</f>
        <v>0</v>
      </c>
      <c r="T67" s="510"/>
      <c r="U67" s="528"/>
      <c r="V67" s="509">
        <f>T67*U67</f>
        <v>0</v>
      </c>
      <c r="W67" s="510"/>
      <c r="X67" s="528"/>
      <c r="Y67" s="509">
        <f>W67*X67</f>
        <v>0</v>
      </c>
      <c r="Z67" s="510"/>
      <c r="AA67" s="528">
        <v>2</v>
      </c>
      <c r="AB67" s="528"/>
      <c r="AC67" s="528">
        <v>1</v>
      </c>
      <c r="AD67" s="528"/>
      <c r="AE67" s="510">
        <v>1.4</v>
      </c>
      <c r="AF67" s="509">
        <f>C67*AE67</f>
        <v>1141</v>
      </c>
      <c r="AG67" s="528">
        <v>1</v>
      </c>
      <c r="AH67" s="528"/>
      <c r="AI67" s="528"/>
      <c r="AJ67" s="511"/>
      <c r="AK67" s="511"/>
      <c r="CI67" s="66" t="s">
        <v>534</v>
      </c>
    </row>
    <row r="68" spans="1:87" ht="16.5" customHeight="1" outlineLevel="1">
      <c r="A68" s="513" t="s">
        <v>483</v>
      </c>
      <c r="B68" s="367"/>
      <c r="C68" s="510"/>
      <c r="D68" s="510"/>
      <c r="E68" s="510"/>
      <c r="F68" s="511"/>
      <c r="G68" s="511"/>
      <c r="H68" s="509"/>
      <c r="I68" s="509">
        <f>C68+H68</f>
        <v>0</v>
      </c>
      <c r="J68" s="528"/>
      <c r="K68" s="510"/>
      <c r="L68" s="528"/>
      <c r="M68" s="509">
        <f>K68*L68</f>
        <v>0</v>
      </c>
      <c r="N68" s="510"/>
      <c r="O68" s="528"/>
      <c r="P68" s="509">
        <f>N68*O68</f>
        <v>0</v>
      </c>
      <c r="Q68" s="510"/>
      <c r="R68" s="528"/>
      <c r="S68" s="509">
        <f>Q68*R68</f>
        <v>0</v>
      </c>
      <c r="T68" s="510"/>
      <c r="U68" s="528"/>
      <c r="V68" s="509">
        <f>T68*U68</f>
        <v>0</v>
      </c>
      <c r="W68" s="510"/>
      <c r="X68" s="528"/>
      <c r="Y68" s="509">
        <f>W68*X68</f>
        <v>0</v>
      </c>
      <c r="Z68" s="510"/>
      <c r="AA68" s="528"/>
      <c r="AB68" s="528"/>
      <c r="AC68" s="528"/>
      <c r="AD68" s="528"/>
      <c r="AE68" s="510"/>
      <c r="AF68" s="509">
        <f>C68*AE68</f>
        <v>0</v>
      </c>
      <c r="AG68" s="528"/>
      <c r="AH68" s="528"/>
      <c r="AI68" s="528"/>
      <c r="AJ68" s="511"/>
      <c r="AK68" s="511"/>
      <c r="CI68" s="66" t="s">
        <v>535</v>
      </c>
    </row>
    <row r="69" spans="1:87" ht="16.5" customHeight="1" outlineLevel="1">
      <c r="A69" s="508"/>
      <c r="B69" s="514" t="s">
        <v>536</v>
      </c>
      <c r="C69" s="509">
        <f>C66+C63+C60+C57+C54+C51+C48+C45+C42+C39+C36+C32</f>
        <v>74626.7546</v>
      </c>
      <c r="D69" s="509">
        <f>D66+D63+D60+D57+D54+D51+D48+D45+D42+D39+D36+D32</f>
        <v>46561.064599999998</v>
      </c>
      <c r="E69" s="509">
        <f>E66+E63+E60+E57+E54+E51+E48+E45+E42+E39+E36+E32</f>
        <v>46191.064599999998</v>
      </c>
      <c r="F69" s="509">
        <f>F60+F57+F54+F51+F48+F45+F42+F39+F36</f>
        <v>46191.064599999998</v>
      </c>
      <c r="G69" s="509">
        <f>G60+G57+G54+G51+G48+G45+G42+G39+G36+G32</f>
        <v>46191.064599999998</v>
      </c>
      <c r="H69" s="509">
        <f>H63+H60+H57+H54+H51+H48+H45+H42+H39+H36+H32</f>
        <v>0</v>
      </c>
      <c r="I69" s="509">
        <f>I66+I63+I60+I57+I54+I51+I48+I45+I42+I39+I36+I32</f>
        <v>74626.7546</v>
      </c>
      <c r="J69" s="527">
        <f>J66+J63+J60+J57+J54+J51+J48+J45+J42+J39+J36+J32</f>
        <v>16</v>
      </c>
      <c r="K69" s="509"/>
      <c r="L69" s="527">
        <f>L66+L63+L60+L57+L54+L51+L48+L45+L42+L39+L36+L32</f>
        <v>135</v>
      </c>
      <c r="M69" s="509">
        <f>M66+M63+M60+M57+M54+M51+M48+M45+M42+M39+M36+M32</f>
        <v>2095.1999999999998</v>
      </c>
      <c r="N69" s="509"/>
      <c r="O69" s="527">
        <f>O66+O63+O60+O57+O54+O51+O48+O45+O42+O39+O36+O32</f>
        <v>15</v>
      </c>
      <c r="P69" s="509">
        <f>P66+P63+P60+P57+P54+P51+P48+P45+P42+P39+P36+P32</f>
        <v>825</v>
      </c>
      <c r="Q69" s="509"/>
      <c r="R69" s="527">
        <f>R66+R63+R60+R57+R54+R51+R48+R45+R42+R39+R36+R32</f>
        <v>0</v>
      </c>
      <c r="S69" s="509">
        <f>S66+S63+S60+S57+S54+S51+S48+S45+S42+S39+S36+S32</f>
        <v>0</v>
      </c>
      <c r="T69" s="509"/>
      <c r="U69" s="527">
        <f>U66+U63+U60+U57+U54+U51+U48+U45+U42+U39+U36+U32</f>
        <v>15</v>
      </c>
      <c r="V69" s="509">
        <f>V66+V63+V60+V57+V54+V51+V48+V45+V42+V39+V36+V32</f>
        <v>900</v>
      </c>
      <c r="W69" s="509"/>
      <c r="X69" s="527">
        <f>X66+X63+X60+X57+X54+X51+X48+X45+X42+X39+X36+X32</f>
        <v>15</v>
      </c>
      <c r="Y69" s="509">
        <f>Y66+Y63+Y60+Y57+Y54+Y51+Y48+Y45+Y42+Y39+Y36+Y32</f>
        <v>1125</v>
      </c>
      <c r="Z69" s="509">
        <f>Z66+Z63+Z60+Z57+Z54+Z51+Z48+Z45+Z42+Z39+Z36+Z32</f>
        <v>4318.7700000000004</v>
      </c>
      <c r="AA69" s="527">
        <f>AA66+AA63+AA60+AA57+AA54+AA51+AA48+AA45+AA42+AA39+AA36+AA32</f>
        <v>212</v>
      </c>
      <c r="AB69" s="527"/>
      <c r="AC69" s="527">
        <f>AC66+AC63+AC60+AC57+AC54+AC51+AC48+AC45+AC42+AC39+AC36+AC32</f>
        <v>301</v>
      </c>
      <c r="AD69" s="527">
        <f>AD66+AD63+AD60+AD57+AD54+AD51+AD48+AD45+AD42+AD39+AD36+AD32</f>
        <v>900</v>
      </c>
      <c r="AE69" s="509">
        <f>IFERROR(AF69/(C69-C32),0)</f>
        <v>1.2030932823157585</v>
      </c>
      <c r="AF69" s="509">
        <f t="shared" ref="AF69:AK69" si="25">AF66+AF63+AF60+AF57+AF54+AF51+AF48+AF45+AF42+AF39+AF36+AF32</f>
        <v>63396.801520000001</v>
      </c>
      <c r="AG69" s="527">
        <f t="shared" si="25"/>
        <v>9</v>
      </c>
      <c r="AH69" s="527">
        <f t="shared" si="25"/>
        <v>0</v>
      </c>
      <c r="AI69" s="527">
        <f t="shared" si="25"/>
        <v>522.5</v>
      </c>
      <c r="AJ69" s="527">
        <f t="shared" si="25"/>
        <v>156.75</v>
      </c>
      <c r="AK69" s="509">
        <f t="shared" si="25"/>
        <v>2</v>
      </c>
      <c r="CI69" s="66" t="s">
        <v>537</v>
      </c>
    </row>
    <row r="70" spans="1:87" s="398" customFormat="1" ht="25.5" customHeight="1">
      <c r="A70" s="1426" t="s">
        <v>538</v>
      </c>
      <c r="B70" s="1426"/>
      <c r="C70" s="554"/>
      <c r="D70" s="554"/>
      <c r="E70" s="554"/>
      <c r="F70" s="554"/>
      <c r="G70" s="554"/>
      <c r="H70" s="555"/>
      <c r="I70" s="554"/>
      <c r="J70" s="554"/>
      <c r="K70" s="505"/>
      <c r="L70" s="505"/>
      <c r="M70" s="505"/>
      <c r="N70" s="505"/>
      <c r="O70" s="505"/>
      <c r="P70" s="505"/>
      <c r="Q70" s="570"/>
      <c r="R70" s="571"/>
      <c r="S70" s="554"/>
      <c r="T70" s="554"/>
      <c r="U70" s="554"/>
      <c r="V70" s="570"/>
      <c r="W70" s="570"/>
      <c r="X70" s="570"/>
      <c r="Y70" s="570"/>
      <c r="Z70" s="546"/>
      <c r="AB70" s="574"/>
      <c r="CG70" s="481"/>
      <c r="CI70" s="481" t="s">
        <v>539</v>
      </c>
    </row>
    <row r="71" spans="1:87" s="398" customFormat="1" ht="40.5" customHeight="1" outlineLevel="1">
      <c r="A71" s="507" t="s">
        <v>71</v>
      </c>
      <c r="B71" s="507" t="s">
        <v>447</v>
      </c>
      <c r="C71" s="507" t="s">
        <v>540</v>
      </c>
      <c r="D71" s="507" t="s">
        <v>541</v>
      </c>
      <c r="E71" s="507" t="s">
        <v>542</v>
      </c>
      <c r="F71" s="507" t="s">
        <v>543</v>
      </c>
      <c r="G71" s="507" t="s">
        <v>544</v>
      </c>
      <c r="H71" s="507" t="s">
        <v>545</v>
      </c>
      <c r="I71" s="507" t="s">
        <v>117</v>
      </c>
      <c r="J71" s="507" t="s">
        <v>122</v>
      </c>
      <c r="K71" s="507" t="s">
        <v>127</v>
      </c>
      <c r="L71" s="507" t="s">
        <v>546</v>
      </c>
      <c r="M71" s="507" t="s">
        <v>547</v>
      </c>
      <c r="N71" s="507" t="s">
        <v>548</v>
      </c>
      <c r="O71" s="507" t="s">
        <v>135</v>
      </c>
      <c r="P71" s="507" t="s">
        <v>549</v>
      </c>
      <c r="Q71" s="507" t="s">
        <v>550</v>
      </c>
      <c r="R71" s="507" t="s">
        <v>551</v>
      </c>
      <c r="S71" s="572" t="s">
        <v>552</v>
      </c>
      <c r="T71" s="572" t="s">
        <v>553</v>
      </c>
      <c r="U71" s="572" t="s">
        <v>554</v>
      </c>
      <c r="V71" s="572" t="s">
        <v>555</v>
      </c>
      <c r="W71" s="572" t="s">
        <v>556</v>
      </c>
      <c r="X71" s="573" t="s">
        <v>557</v>
      </c>
      <c r="Y71" s="573" t="s">
        <v>558</v>
      </c>
      <c r="Z71" s="573" t="s">
        <v>559</v>
      </c>
      <c r="AA71" s="573" t="s">
        <v>560</v>
      </c>
      <c r="AB71" s="573" t="s">
        <v>561</v>
      </c>
      <c r="AC71" s="573" t="s">
        <v>562</v>
      </c>
      <c r="AD71" s="575" t="s">
        <v>563</v>
      </c>
      <c r="AE71" s="575" t="s">
        <v>564</v>
      </c>
      <c r="AF71" s="576" t="s">
        <v>565</v>
      </c>
      <c r="AG71" s="576" t="s">
        <v>566</v>
      </c>
      <c r="AH71" s="576" t="s">
        <v>567</v>
      </c>
      <c r="AI71" s="576" t="s">
        <v>568</v>
      </c>
      <c r="AJ71" s="575" t="s">
        <v>569</v>
      </c>
      <c r="AK71" s="575" t="s">
        <v>570</v>
      </c>
      <c r="AL71" s="575" t="s">
        <v>571</v>
      </c>
      <c r="AM71" s="575" t="s">
        <v>572</v>
      </c>
      <c r="AN71" s="575" t="s">
        <v>573</v>
      </c>
      <c r="AO71" s="575" t="s">
        <v>574</v>
      </c>
      <c r="AP71" s="575" t="s">
        <v>575</v>
      </c>
      <c r="AQ71" s="577" t="s">
        <v>576</v>
      </c>
      <c r="AR71" s="577" t="s">
        <v>577</v>
      </c>
      <c r="AS71" s="577" t="s">
        <v>578</v>
      </c>
      <c r="AT71" s="577" t="s">
        <v>579</v>
      </c>
      <c r="AU71" s="577" t="s">
        <v>580</v>
      </c>
      <c r="AV71" s="578" t="s">
        <v>581</v>
      </c>
      <c r="AW71" s="578" t="s">
        <v>582</v>
      </c>
      <c r="AX71" s="578" t="s">
        <v>583</v>
      </c>
      <c r="AY71" s="578" t="s">
        <v>584</v>
      </c>
      <c r="AZ71" s="578" t="s">
        <v>585</v>
      </c>
      <c r="BA71" s="578" t="s">
        <v>586</v>
      </c>
      <c r="BB71" s="578" t="s">
        <v>587</v>
      </c>
      <c r="BC71" s="579" t="s">
        <v>588</v>
      </c>
      <c r="BD71" s="579" t="s">
        <v>589</v>
      </c>
      <c r="BE71" s="580" t="s">
        <v>590</v>
      </c>
      <c r="BF71" s="580" t="s">
        <v>591</v>
      </c>
      <c r="BG71" s="580" t="s">
        <v>592</v>
      </c>
      <c r="BH71" s="580" t="s">
        <v>593</v>
      </c>
      <c r="BI71" s="580" t="s">
        <v>594</v>
      </c>
      <c r="BJ71" s="580" t="s">
        <v>595</v>
      </c>
      <c r="BK71" s="580" t="s">
        <v>596</v>
      </c>
      <c r="BL71" s="580" t="s">
        <v>597</v>
      </c>
      <c r="BM71" s="572" t="s">
        <v>598</v>
      </c>
      <c r="BN71" s="572" t="s">
        <v>599</v>
      </c>
      <c r="BO71" s="572" t="s">
        <v>600</v>
      </c>
      <c r="BP71" s="572" t="s">
        <v>601</v>
      </c>
      <c r="BQ71" s="572" t="s">
        <v>602</v>
      </c>
      <c r="BR71" s="572" t="s">
        <v>603</v>
      </c>
      <c r="BS71" s="572" t="s">
        <v>604</v>
      </c>
      <c r="BT71" s="572" t="s">
        <v>605</v>
      </c>
      <c r="BU71" s="572" t="s">
        <v>606</v>
      </c>
      <c r="BV71" s="572" t="s">
        <v>607</v>
      </c>
      <c r="BW71" s="573" t="s">
        <v>608</v>
      </c>
      <c r="BX71" s="573" t="s">
        <v>609</v>
      </c>
      <c r="BY71" s="573" t="s">
        <v>610</v>
      </c>
      <c r="BZ71" s="573" t="s">
        <v>611</v>
      </c>
      <c r="CA71" s="573" t="s">
        <v>612</v>
      </c>
      <c r="CB71" s="573" t="s">
        <v>613</v>
      </c>
      <c r="CC71" s="573" t="s">
        <v>475</v>
      </c>
      <c r="CD71" s="507" t="s">
        <v>399</v>
      </c>
      <c r="CE71" s="507" t="s">
        <v>614</v>
      </c>
      <c r="CF71" s="507" t="s">
        <v>615</v>
      </c>
      <c r="CG71" s="507" t="s">
        <v>416</v>
      </c>
      <c r="CH71" s="507" t="s">
        <v>422</v>
      </c>
      <c r="CI71" s="481" t="s">
        <v>616</v>
      </c>
    </row>
    <row r="72" spans="1:87" s="398" customFormat="1" ht="0" hidden="1" customHeight="1" outlineLevel="1">
      <c r="A72" s="556" t="s">
        <v>480</v>
      </c>
      <c r="B72" s="557" t="s">
        <v>617</v>
      </c>
      <c r="C72" s="558">
        <f>SUM(C73:C74)</f>
        <v>0</v>
      </c>
      <c r="D72" s="511"/>
      <c r="E72" s="558">
        <f>SUM(E73:E74)</f>
        <v>0</v>
      </c>
      <c r="F72" s="558">
        <f>SUM(F73:F74)</f>
        <v>0</v>
      </c>
      <c r="G72" s="558">
        <f>SUM(G73:G74)</f>
        <v>0</v>
      </c>
      <c r="H72" s="511"/>
      <c r="I72" s="511"/>
      <c r="J72" s="511"/>
      <c r="K72" s="511"/>
      <c r="L72" s="511"/>
      <c r="M72" s="511"/>
      <c r="N72" s="511"/>
      <c r="O72" s="511"/>
      <c r="P72" s="511"/>
      <c r="Q72" s="558">
        <f>IFERROR(SUMPRODUCT(Q73:Q74,$C73:$C74)/$C72,0)</f>
        <v>0</v>
      </c>
      <c r="R72" s="511"/>
      <c r="S72" s="558">
        <f>SUM(S73:S74)</f>
        <v>0</v>
      </c>
      <c r="T72" s="511"/>
      <c r="U72" s="511"/>
      <c r="V72" s="511"/>
      <c r="W72" s="511"/>
      <c r="X72" s="511"/>
      <c r="Y72" s="511"/>
      <c r="Z72" s="511"/>
      <c r="AA72" s="511"/>
      <c r="AB72" s="511"/>
      <c r="AC72" s="511"/>
      <c r="AD72" s="511"/>
      <c r="AE72" s="511"/>
      <c r="AF72" s="511"/>
      <c r="AG72" s="511"/>
      <c r="AH72" s="511"/>
      <c r="AI72" s="511"/>
      <c r="AJ72" s="511"/>
      <c r="AK72" s="511"/>
      <c r="AL72" s="511"/>
      <c r="AM72" s="511"/>
      <c r="AN72" s="511"/>
      <c r="AO72" s="558">
        <f>SUM(AO73:AO74)</f>
        <v>0</v>
      </c>
      <c r="AP72" s="558">
        <f>SUM(AP73:AP74)</f>
        <v>0</v>
      </c>
      <c r="AQ72" s="558">
        <f>SUM(AQ73:AQ74)</f>
        <v>0</v>
      </c>
      <c r="AR72" s="511"/>
      <c r="AS72" s="511"/>
      <c r="AT72" s="511"/>
      <c r="AU72" s="558">
        <f>SUM(AU73:AU74)</f>
        <v>0</v>
      </c>
      <c r="AV72" s="511"/>
      <c r="AW72" s="511"/>
      <c r="AX72" s="511"/>
      <c r="AY72" s="511"/>
      <c r="AZ72" s="511"/>
      <c r="BA72" s="511"/>
      <c r="BB72" s="511"/>
      <c r="BC72" s="511"/>
      <c r="BD72" s="511"/>
      <c r="BE72" s="511"/>
      <c r="BF72" s="511"/>
      <c r="BG72" s="511"/>
      <c r="BH72" s="511"/>
      <c r="BI72" s="511"/>
      <c r="BJ72" s="511"/>
      <c r="BK72" s="511"/>
      <c r="BL72" s="511"/>
      <c r="BM72" s="511"/>
      <c r="BN72" s="511"/>
      <c r="BO72" s="511"/>
      <c r="BP72" s="511"/>
      <c r="BQ72" s="511"/>
      <c r="BR72" s="511"/>
      <c r="BS72" s="511"/>
      <c r="BT72" s="511"/>
      <c r="BU72" s="511"/>
      <c r="BV72" s="583"/>
      <c r="BW72" s="511"/>
      <c r="BX72" s="511"/>
      <c r="BY72" s="511"/>
      <c r="BZ72" s="511"/>
      <c r="CA72" s="511"/>
      <c r="CB72" s="511"/>
      <c r="CC72" s="511"/>
      <c r="CD72" s="581">
        <f>SUM(CD73:CD74)</f>
        <v>0</v>
      </c>
      <c r="CE72" s="581">
        <f>SUM(CE73:CE74)</f>
        <v>0</v>
      </c>
      <c r="CF72" s="581">
        <f>SUM(CF73:CF74)</f>
        <v>0</v>
      </c>
      <c r="CG72" s="581">
        <f>SUM(CG73:CG74)</f>
        <v>0</v>
      </c>
      <c r="CH72" s="581">
        <f>SUM(CH73:CH74)</f>
        <v>0</v>
      </c>
      <c r="CI72" s="584" t="s">
        <v>618</v>
      </c>
    </row>
    <row r="73" spans="1:87" s="398" customFormat="1" ht="0" hidden="1" customHeight="1" outlineLevel="1">
      <c r="A73" s="559" t="s">
        <v>483</v>
      </c>
      <c r="B73" s="560" t="s">
        <v>223</v>
      </c>
      <c r="C73" s="558">
        <f>D73+E73</f>
        <v>0</v>
      </c>
      <c r="D73" s="511"/>
      <c r="E73" s="561"/>
      <c r="F73" s="561"/>
      <c r="G73" s="561"/>
      <c r="H73" s="511"/>
      <c r="I73" s="511"/>
      <c r="J73" s="511"/>
      <c r="K73" s="511"/>
      <c r="L73" s="511"/>
      <c r="M73" s="511"/>
      <c r="N73" s="511"/>
      <c r="O73" s="511"/>
      <c r="P73" s="511"/>
      <c r="Q73" s="561"/>
      <c r="R73" s="511"/>
      <c r="S73" s="561"/>
      <c r="T73" s="511"/>
      <c r="U73" s="511"/>
      <c r="V73" s="511"/>
      <c r="W73" s="511"/>
      <c r="X73" s="511"/>
      <c r="Y73" s="511"/>
      <c r="Z73" s="511"/>
      <c r="AA73" s="511"/>
      <c r="AB73" s="511"/>
      <c r="AC73" s="511"/>
      <c r="AD73" s="511"/>
      <c r="AE73" s="511"/>
      <c r="AF73" s="511"/>
      <c r="AG73" s="511"/>
      <c r="AH73" s="511"/>
      <c r="AI73" s="511"/>
      <c r="AJ73" s="511"/>
      <c r="AK73" s="511"/>
      <c r="AL73" s="511"/>
      <c r="AM73" s="511"/>
      <c r="AN73" s="511"/>
      <c r="AO73" s="561"/>
      <c r="AP73" s="558">
        <f>SUM(AD73:AO73)</f>
        <v>0</v>
      </c>
      <c r="AQ73" s="561"/>
      <c r="AR73" s="511"/>
      <c r="AS73" s="511"/>
      <c r="AT73" s="511"/>
      <c r="AU73" s="558">
        <f>SUM(AQ73)</f>
        <v>0</v>
      </c>
      <c r="AV73" s="511"/>
      <c r="AW73" s="511"/>
      <c r="AX73" s="511"/>
      <c r="AY73" s="511"/>
      <c r="AZ73" s="511"/>
      <c r="BA73" s="511"/>
      <c r="BB73" s="511"/>
      <c r="BC73" s="511"/>
      <c r="BD73" s="511"/>
      <c r="BE73" s="511"/>
      <c r="BF73" s="511"/>
      <c r="BG73" s="511"/>
      <c r="BH73" s="511"/>
      <c r="BI73" s="511"/>
      <c r="BJ73" s="511"/>
      <c r="BK73" s="511"/>
      <c r="BL73" s="511"/>
      <c r="BM73" s="511"/>
      <c r="BN73" s="511"/>
      <c r="BO73" s="511"/>
      <c r="BP73" s="511"/>
      <c r="BQ73" s="511"/>
      <c r="BR73" s="511"/>
      <c r="BS73" s="511"/>
      <c r="BT73" s="511"/>
      <c r="BU73" s="511"/>
      <c r="BV73" s="583"/>
      <c r="BW73" s="511"/>
      <c r="BX73" s="511"/>
      <c r="BY73" s="511"/>
      <c r="BZ73" s="511"/>
      <c r="CA73" s="511"/>
      <c r="CB73" s="511"/>
      <c r="CC73" s="511"/>
      <c r="CD73" s="582"/>
      <c r="CE73" s="582"/>
      <c r="CF73" s="582"/>
      <c r="CG73" s="581">
        <f>SUM(CE73:CF73)</f>
        <v>0</v>
      </c>
      <c r="CH73" s="582"/>
      <c r="CI73" s="584" t="s">
        <v>619</v>
      </c>
    </row>
    <row r="74" spans="1:87" s="398" customFormat="1" ht="0" hidden="1" customHeight="1" outlineLevel="1">
      <c r="A74" s="559" t="s">
        <v>483</v>
      </c>
      <c r="B74" s="562"/>
      <c r="C74" s="558">
        <f>D74+E74</f>
        <v>0</v>
      </c>
      <c r="D74" s="511"/>
      <c r="E74" s="561"/>
      <c r="F74" s="561"/>
      <c r="G74" s="561"/>
      <c r="H74" s="511"/>
      <c r="I74" s="511"/>
      <c r="J74" s="511"/>
      <c r="K74" s="511"/>
      <c r="L74" s="511"/>
      <c r="M74" s="511"/>
      <c r="N74" s="511"/>
      <c r="O74" s="511"/>
      <c r="P74" s="511"/>
      <c r="Q74" s="561"/>
      <c r="R74" s="511"/>
      <c r="S74" s="561"/>
      <c r="T74" s="511"/>
      <c r="U74" s="511"/>
      <c r="V74" s="511"/>
      <c r="W74" s="511"/>
      <c r="X74" s="511"/>
      <c r="Y74" s="511"/>
      <c r="Z74" s="511"/>
      <c r="AA74" s="511"/>
      <c r="AB74" s="511"/>
      <c r="AC74" s="511"/>
      <c r="AD74" s="511"/>
      <c r="AE74" s="511"/>
      <c r="AF74" s="511"/>
      <c r="AG74" s="511"/>
      <c r="AH74" s="511"/>
      <c r="AI74" s="511"/>
      <c r="AJ74" s="511"/>
      <c r="AK74" s="511"/>
      <c r="AL74" s="511"/>
      <c r="AM74" s="511"/>
      <c r="AN74" s="511"/>
      <c r="AO74" s="561"/>
      <c r="AP74" s="558">
        <f>SUM(AD74:AO74)</f>
        <v>0</v>
      </c>
      <c r="AQ74" s="561"/>
      <c r="AR74" s="511"/>
      <c r="AS74" s="511"/>
      <c r="AT74" s="511"/>
      <c r="AU74" s="558">
        <f>SUM(AQ74)</f>
        <v>0</v>
      </c>
      <c r="AV74" s="511"/>
      <c r="AW74" s="511"/>
      <c r="AX74" s="511"/>
      <c r="AY74" s="511"/>
      <c r="AZ74" s="511"/>
      <c r="BA74" s="511"/>
      <c r="BB74" s="511"/>
      <c r="BC74" s="511"/>
      <c r="BD74" s="511"/>
      <c r="BE74" s="511"/>
      <c r="BF74" s="511"/>
      <c r="BG74" s="511"/>
      <c r="BH74" s="511"/>
      <c r="BI74" s="511"/>
      <c r="BJ74" s="511"/>
      <c r="BK74" s="511"/>
      <c r="BL74" s="511"/>
      <c r="BM74" s="511"/>
      <c r="BN74" s="511"/>
      <c r="BO74" s="511"/>
      <c r="BP74" s="511"/>
      <c r="BQ74" s="511"/>
      <c r="BR74" s="511"/>
      <c r="BS74" s="511"/>
      <c r="BT74" s="511"/>
      <c r="BU74" s="511"/>
      <c r="BV74" s="583"/>
      <c r="BW74" s="511"/>
      <c r="BX74" s="511"/>
      <c r="BY74" s="511"/>
      <c r="BZ74" s="511"/>
      <c r="CA74" s="511"/>
      <c r="CB74" s="511"/>
      <c r="CC74" s="511"/>
      <c r="CD74" s="582"/>
      <c r="CE74" s="582"/>
      <c r="CF74" s="582"/>
      <c r="CG74" s="581">
        <f>SUM(CE74:CF74)</f>
        <v>0</v>
      </c>
      <c r="CH74" s="582"/>
      <c r="CI74" s="584" t="s">
        <v>620</v>
      </c>
    </row>
    <row r="75" spans="1:87" s="398" customFormat="1" ht="0" hidden="1" customHeight="1" outlineLevel="1">
      <c r="A75" s="556" t="s">
        <v>480</v>
      </c>
      <c r="B75" s="563" t="s">
        <v>621</v>
      </c>
      <c r="C75" s="558">
        <f t="shared" ref="C75:H75" si="26">SUM(C76:C77)</f>
        <v>0</v>
      </c>
      <c r="D75" s="558">
        <f t="shared" si="26"/>
        <v>0</v>
      </c>
      <c r="E75" s="558">
        <f t="shared" si="26"/>
        <v>0</v>
      </c>
      <c r="F75" s="558">
        <f t="shared" si="26"/>
        <v>0</v>
      </c>
      <c r="G75" s="558">
        <f t="shared" si="26"/>
        <v>0</v>
      </c>
      <c r="H75" s="558">
        <f t="shared" si="26"/>
        <v>0</v>
      </c>
      <c r="I75" s="568">
        <f>IFERROR(H75/C75,0)</f>
        <v>0</v>
      </c>
      <c r="J75" s="568">
        <f>SUM(J76:J77)</f>
        <v>0</v>
      </c>
      <c r="K75" s="568">
        <f>IFERROR(SUMPRODUCT(K76:K77,C76:C77)/C75,0)</f>
        <v>0</v>
      </c>
      <c r="L75" s="558">
        <f>SUM(L76:L77)</f>
        <v>0</v>
      </c>
      <c r="M75" s="511"/>
      <c r="N75" s="511"/>
      <c r="O75" s="511"/>
      <c r="P75" s="511"/>
      <c r="Q75" s="558">
        <f>IFERROR(SUMPRODUCT(Q76:Q77,$C76:$C77)/$C75,0)</f>
        <v>0</v>
      </c>
      <c r="R75" s="558">
        <f>IFERROR(SUMPRODUCT(R76:R77,$C76:$C77)/$C75,0)</f>
        <v>0</v>
      </c>
      <c r="S75" s="558">
        <f>SUM(S76:S77)</f>
        <v>0</v>
      </c>
      <c r="T75" s="558">
        <f>SUM(T76:T77)</f>
        <v>0</v>
      </c>
      <c r="U75" s="511"/>
      <c r="V75" s="511"/>
      <c r="W75" s="558">
        <f>SUM(W76:W77)</f>
        <v>0</v>
      </c>
      <c r="X75" s="511"/>
      <c r="Y75" s="511"/>
      <c r="Z75" s="511"/>
      <c r="AA75" s="511"/>
      <c r="AB75" s="511"/>
      <c r="AC75" s="511"/>
      <c r="AD75" s="558">
        <f>SUM(AD76:AD77)</f>
        <v>0</v>
      </c>
      <c r="AE75" s="511"/>
      <c r="AF75" s="511"/>
      <c r="AG75" s="558">
        <f>SUM(AG76:AG77)</f>
        <v>0</v>
      </c>
      <c r="AH75" s="511"/>
      <c r="AI75" s="511"/>
      <c r="AJ75" s="511"/>
      <c r="AK75" s="511"/>
      <c r="AL75" s="511"/>
      <c r="AM75" s="511"/>
      <c r="AN75" s="511"/>
      <c r="AO75" s="558">
        <f>SUM(AO76:AO77)</f>
        <v>0</v>
      </c>
      <c r="AP75" s="558">
        <f>SUM(AP76:AP77)</f>
        <v>0</v>
      </c>
      <c r="AQ75" s="558">
        <f>SUM(AQ76:AQ77)</f>
        <v>0</v>
      </c>
      <c r="AR75" s="511"/>
      <c r="AS75" s="511"/>
      <c r="AT75" s="511"/>
      <c r="AU75" s="558">
        <f t="shared" ref="AU75:BF75" si="27">SUM(AU76:AU77)</f>
        <v>0</v>
      </c>
      <c r="AV75" s="558">
        <f t="shared" si="27"/>
        <v>0</v>
      </c>
      <c r="AW75" s="558">
        <f t="shared" si="27"/>
        <v>0</v>
      </c>
      <c r="AX75" s="558">
        <f t="shared" si="27"/>
        <v>0</v>
      </c>
      <c r="AY75" s="558">
        <f t="shared" si="27"/>
        <v>0</v>
      </c>
      <c r="AZ75" s="558">
        <f t="shared" si="27"/>
        <v>0</v>
      </c>
      <c r="BA75" s="558">
        <f t="shared" si="27"/>
        <v>0</v>
      </c>
      <c r="BB75" s="558">
        <f t="shared" si="27"/>
        <v>0</v>
      </c>
      <c r="BC75" s="558">
        <f t="shared" si="27"/>
        <v>0</v>
      </c>
      <c r="BD75" s="558">
        <f t="shared" si="27"/>
        <v>0</v>
      </c>
      <c r="BE75" s="558">
        <f t="shared" si="27"/>
        <v>0</v>
      </c>
      <c r="BF75" s="558">
        <f t="shared" si="27"/>
        <v>0</v>
      </c>
      <c r="BG75" s="511"/>
      <c r="BH75" s="511"/>
      <c r="BI75" s="511"/>
      <c r="BJ75" s="511"/>
      <c r="BK75" s="511"/>
      <c r="BL75" s="558">
        <f>SUM(BL76:BL77)</f>
        <v>0</v>
      </c>
      <c r="BM75" s="511"/>
      <c r="BN75" s="511"/>
      <c r="BO75" s="511"/>
      <c r="BP75" s="511"/>
      <c r="BQ75" s="511"/>
      <c r="BR75" s="511"/>
      <c r="BS75" s="511"/>
      <c r="BT75" s="511"/>
      <c r="BU75" s="511"/>
      <c r="BV75" s="583"/>
      <c r="BW75" s="581">
        <f t="shared" ref="BW75:CB75" si="28">SUM(BW76:BW77)</f>
        <v>0</v>
      </c>
      <c r="BX75" s="581">
        <f t="shared" si="28"/>
        <v>0</v>
      </c>
      <c r="BY75" s="581">
        <f t="shared" si="28"/>
        <v>0</v>
      </c>
      <c r="BZ75" s="581">
        <f t="shared" si="28"/>
        <v>0</v>
      </c>
      <c r="CA75" s="581">
        <f t="shared" si="28"/>
        <v>0</v>
      </c>
      <c r="CB75" s="581">
        <f t="shared" si="28"/>
        <v>0</v>
      </c>
      <c r="CC75" s="558">
        <f t="shared" ref="CC75:CC96" si="29">IFERROR(CB75/D75,0)</f>
        <v>0</v>
      </c>
      <c r="CD75" s="583"/>
      <c r="CE75" s="583"/>
      <c r="CF75" s="583"/>
      <c r="CG75" s="583"/>
      <c r="CH75" s="583"/>
      <c r="CI75" s="584" t="s">
        <v>622</v>
      </c>
    </row>
    <row r="76" spans="1:87" s="398" customFormat="1" ht="0" hidden="1" customHeight="1" outlineLevel="1">
      <c r="A76" s="559" t="s">
        <v>483</v>
      </c>
      <c r="B76" s="562" t="s">
        <v>81</v>
      </c>
      <c r="C76" s="558">
        <f>D76+E76</f>
        <v>0</v>
      </c>
      <c r="D76" s="561"/>
      <c r="E76" s="561"/>
      <c r="F76" s="561"/>
      <c r="G76" s="561"/>
      <c r="H76" s="561"/>
      <c r="I76" s="568">
        <f>IFERROR(H76/C76,0)</f>
        <v>0</v>
      </c>
      <c r="J76" s="569"/>
      <c r="K76" s="569"/>
      <c r="L76" s="561"/>
      <c r="M76" s="511"/>
      <c r="N76" s="511"/>
      <c r="O76" s="511"/>
      <c r="P76" s="511"/>
      <c r="Q76" s="561"/>
      <c r="R76" s="561"/>
      <c r="S76" s="561"/>
      <c r="T76" s="561"/>
      <c r="U76" s="511"/>
      <c r="V76" s="511"/>
      <c r="W76" s="561"/>
      <c r="X76" s="511"/>
      <c r="Y76" s="511"/>
      <c r="Z76" s="511"/>
      <c r="AA76" s="511"/>
      <c r="AB76" s="511"/>
      <c r="AC76" s="511"/>
      <c r="AD76" s="561"/>
      <c r="AE76" s="511"/>
      <c r="AF76" s="511"/>
      <c r="AG76" s="561"/>
      <c r="AH76" s="511"/>
      <c r="AI76" s="511"/>
      <c r="AJ76" s="511"/>
      <c r="AK76" s="511"/>
      <c r="AL76" s="511"/>
      <c r="AM76" s="511"/>
      <c r="AN76" s="511"/>
      <c r="AO76" s="561"/>
      <c r="AP76" s="558">
        <f>SUM(AD76:AO76)</f>
        <v>0</v>
      </c>
      <c r="AQ76" s="561"/>
      <c r="AR76" s="511"/>
      <c r="AS76" s="511"/>
      <c r="AT76" s="511"/>
      <c r="AU76" s="558">
        <f>SUM(AQ76)</f>
        <v>0</v>
      </c>
      <c r="AV76" s="558">
        <f>SUM(AX76:AZ76)</f>
        <v>0</v>
      </c>
      <c r="AW76" s="561"/>
      <c r="AX76" s="561"/>
      <c r="AY76" s="561"/>
      <c r="AZ76" s="561"/>
      <c r="BA76" s="561"/>
      <c r="BB76" s="561"/>
      <c r="BC76" s="561"/>
      <c r="BD76" s="561"/>
      <c r="BE76" s="561"/>
      <c r="BF76" s="561"/>
      <c r="BG76" s="511"/>
      <c r="BH76" s="511"/>
      <c r="BI76" s="511"/>
      <c r="BJ76" s="511"/>
      <c r="BK76" s="511"/>
      <c r="BL76" s="558">
        <f>SUM(BE76:BK76)</f>
        <v>0</v>
      </c>
      <c r="BM76" s="511"/>
      <c r="BN76" s="511"/>
      <c r="BO76" s="511"/>
      <c r="BP76" s="511"/>
      <c r="BQ76" s="511"/>
      <c r="BR76" s="511"/>
      <c r="BS76" s="511"/>
      <c r="BT76" s="511"/>
      <c r="BU76" s="511"/>
      <c r="BV76" s="583"/>
      <c r="BW76" s="582"/>
      <c r="BX76" s="582"/>
      <c r="BY76" s="582"/>
      <c r="BZ76" s="582"/>
      <c r="CA76" s="582"/>
      <c r="CB76" s="581">
        <f>SUM(BW76:CA76)</f>
        <v>0</v>
      </c>
      <c r="CC76" s="558">
        <f t="shared" si="29"/>
        <v>0</v>
      </c>
      <c r="CD76" s="583"/>
      <c r="CE76" s="583"/>
      <c r="CF76" s="583"/>
      <c r="CG76" s="583"/>
      <c r="CH76" s="583"/>
      <c r="CI76" s="584" t="s">
        <v>623</v>
      </c>
    </row>
    <row r="77" spans="1:87" s="398" customFormat="1" ht="0" hidden="1" customHeight="1" outlineLevel="1">
      <c r="A77" s="559" t="s">
        <v>483</v>
      </c>
      <c r="B77" s="562"/>
      <c r="C77" s="558">
        <f>D77+E77</f>
        <v>0</v>
      </c>
      <c r="D77" s="561"/>
      <c r="E77" s="561"/>
      <c r="F77" s="561"/>
      <c r="G77" s="561"/>
      <c r="H77" s="561"/>
      <c r="I77" s="568">
        <f>IFERROR(H77/C77,0)</f>
        <v>0</v>
      </c>
      <c r="J77" s="569"/>
      <c r="K77" s="569"/>
      <c r="L77" s="561"/>
      <c r="M77" s="511"/>
      <c r="N77" s="511"/>
      <c r="O77" s="511"/>
      <c r="P77" s="511"/>
      <c r="Q77" s="561"/>
      <c r="R77" s="561"/>
      <c r="S77" s="561"/>
      <c r="T77" s="561"/>
      <c r="U77" s="511"/>
      <c r="V77" s="511"/>
      <c r="W77" s="561"/>
      <c r="X77" s="511"/>
      <c r="Y77" s="511"/>
      <c r="Z77" s="511"/>
      <c r="AA77" s="511"/>
      <c r="AB77" s="511"/>
      <c r="AC77" s="511"/>
      <c r="AD77" s="561"/>
      <c r="AE77" s="511"/>
      <c r="AF77" s="511"/>
      <c r="AG77" s="561"/>
      <c r="AH77" s="511"/>
      <c r="AI77" s="511"/>
      <c r="AJ77" s="511"/>
      <c r="AK77" s="511"/>
      <c r="AL77" s="511"/>
      <c r="AM77" s="511"/>
      <c r="AN77" s="511"/>
      <c r="AO77" s="561"/>
      <c r="AP77" s="558">
        <f>SUM(AD77:AO77)</f>
        <v>0</v>
      </c>
      <c r="AQ77" s="561"/>
      <c r="AR77" s="511"/>
      <c r="AS77" s="511"/>
      <c r="AT77" s="511"/>
      <c r="AU77" s="558">
        <f>SUM(AQ77)</f>
        <v>0</v>
      </c>
      <c r="AV77" s="558">
        <f>SUM(AX77:AZ77)</f>
        <v>0</v>
      </c>
      <c r="AW77" s="561"/>
      <c r="AX77" s="561"/>
      <c r="AY77" s="561"/>
      <c r="AZ77" s="561"/>
      <c r="BA77" s="561"/>
      <c r="BB77" s="561"/>
      <c r="BC77" s="561"/>
      <c r="BD77" s="561"/>
      <c r="BE77" s="561"/>
      <c r="BF77" s="561"/>
      <c r="BG77" s="511"/>
      <c r="BH77" s="511"/>
      <c r="BI77" s="511"/>
      <c r="BJ77" s="511"/>
      <c r="BK77" s="511"/>
      <c r="BL77" s="558">
        <f>SUM(BE77:BK77)</f>
        <v>0</v>
      </c>
      <c r="BM77" s="511"/>
      <c r="BN77" s="511"/>
      <c r="BO77" s="511"/>
      <c r="BP77" s="511"/>
      <c r="BQ77" s="511"/>
      <c r="BR77" s="511"/>
      <c r="BS77" s="511"/>
      <c r="BT77" s="511"/>
      <c r="BU77" s="511"/>
      <c r="BV77" s="583"/>
      <c r="BW77" s="582"/>
      <c r="BX77" s="582"/>
      <c r="BY77" s="582"/>
      <c r="BZ77" s="582"/>
      <c r="CA77" s="582"/>
      <c r="CB77" s="581">
        <f>SUM(BW77:CA77)</f>
        <v>0</v>
      </c>
      <c r="CC77" s="558">
        <f t="shared" si="29"/>
        <v>0</v>
      </c>
      <c r="CD77" s="583"/>
      <c r="CE77" s="583"/>
      <c r="CF77" s="583"/>
      <c r="CG77" s="583"/>
      <c r="CH77" s="583"/>
      <c r="CI77" s="584" t="s">
        <v>624</v>
      </c>
    </row>
    <row r="78" spans="1:87" s="398" customFormat="1" ht="0" hidden="1" customHeight="1" outlineLevel="1">
      <c r="A78" s="556" t="s">
        <v>480</v>
      </c>
      <c r="B78" s="557" t="s">
        <v>625</v>
      </c>
      <c r="C78" s="558">
        <f>SUM(C79:C80)</f>
        <v>0</v>
      </c>
      <c r="D78" s="558">
        <f>SUM(D79:D80)</f>
        <v>0</v>
      </c>
      <c r="E78" s="511"/>
      <c r="F78" s="558">
        <f>SUM(F79:F80)</f>
        <v>0</v>
      </c>
      <c r="G78" s="558">
        <f>SUM(G79:G80)</f>
        <v>0</v>
      </c>
      <c r="H78" s="558">
        <f>SUM(H79:H80)</f>
        <v>0</v>
      </c>
      <c r="I78" s="511"/>
      <c r="J78" s="511"/>
      <c r="K78" s="511"/>
      <c r="L78" s="511"/>
      <c r="M78" s="558">
        <f>SUM(M79:M80)</f>
        <v>0</v>
      </c>
      <c r="N78" s="558">
        <f>SUM(N79:N80)</f>
        <v>0</v>
      </c>
      <c r="O78" s="558">
        <f>IFERROR(H78/(C78-N78),0)</f>
        <v>0</v>
      </c>
      <c r="P78" s="558">
        <f>SUM(P79:P80)</f>
        <v>0</v>
      </c>
      <c r="Q78" s="558">
        <f>IFERROR(SUMPRODUCT(Q79:Q80,$C79:$C80)/$C78,0)</f>
        <v>0</v>
      </c>
      <c r="R78" s="558">
        <f>IFERROR(SUMPRODUCT(R79:R80,$C79:$C80)/$C78,0)</f>
        <v>0</v>
      </c>
      <c r="S78" s="558">
        <f t="shared" ref="S78:AC78" si="30">SUM(S79:S80)</f>
        <v>0</v>
      </c>
      <c r="T78" s="558">
        <f t="shared" si="30"/>
        <v>0</v>
      </c>
      <c r="U78" s="558">
        <f t="shared" si="30"/>
        <v>0</v>
      </c>
      <c r="V78" s="558">
        <f t="shared" si="30"/>
        <v>0</v>
      </c>
      <c r="W78" s="558">
        <f t="shared" si="30"/>
        <v>0</v>
      </c>
      <c r="X78" s="558">
        <f t="shared" si="30"/>
        <v>0</v>
      </c>
      <c r="Y78" s="558">
        <f t="shared" si="30"/>
        <v>0</v>
      </c>
      <c r="Z78" s="558">
        <f t="shared" si="30"/>
        <v>0</v>
      </c>
      <c r="AA78" s="558">
        <f t="shared" si="30"/>
        <v>0</v>
      </c>
      <c r="AB78" s="558">
        <f t="shared" si="30"/>
        <v>0</v>
      </c>
      <c r="AC78" s="558">
        <f t="shared" si="30"/>
        <v>0</v>
      </c>
      <c r="AD78" s="511"/>
      <c r="AE78" s="558">
        <f>SUM(AE79:AE80)</f>
        <v>0</v>
      </c>
      <c r="AF78" s="558">
        <f>SUM(AF79:AF80)</f>
        <v>0</v>
      </c>
      <c r="AG78" s="558">
        <f>SUM(AG79:AG80)</f>
        <v>0</v>
      </c>
      <c r="AH78" s="558">
        <f>SUM(AH79:AH80)</f>
        <v>0</v>
      </c>
      <c r="AI78" s="511"/>
      <c r="AJ78" s="511"/>
      <c r="AK78" s="511"/>
      <c r="AL78" s="511"/>
      <c r="AM78" s="511"/>
      <c r="AN78" s="511"/>
      <c r="AO78" s="558">
        <f t="shared" ref="AO78:AX78" si="31">SUM(AO79:AO80)</f>
        <v>0</v>
      </c>
      <c r="AP78" s="558">
        <f t="shared" si="31"/>
        <v>0</v>
      </c>
      <c r="AQ78" s="558">
        <f t="shared" si="31"/>
        <v>0</v>
      </c>
      <c r="AR78" s="558">
        <f t="shared" si="31"/>
        <v>0</v>
      </c>
      <c r="AS78" s="558">
        <f t="shared" si="31"/>
        <v>0</v>
      </c>
      <c r="AT78" s="558">
        <f t="shared" si="31"/>
        <v>0</v>
      </c>
      <c r="AU78" s="558">
        <f t="shared" si="31"/>
        <v>0</v>
      </c>
      <c r="AV78" s="558">
        <f t="shared" si="31"/>
        <v>0</v>
      </c>
      <c r="AW78" s="558">
        <f t="shared" si="31"/>
        <v>0</v>
      </c>
      <c r="AX78" s="558">
        <f t="shared" si="31"/>
        <v>0</v>
      </c>
      <c r="AY78" s="511"/>
      <c r="AZ78" s="511"/>
      <c r="BA78" s="558">
        <f>SUM(BA79:BA80)</f>
        <v>0</v>
      </c>
      <c r="BB78" s="511"/>
      <c r="BC78" s="558">
        <f>SUM(BC79:BC80)</f>
        <v>0</v>
      </c>
      <c r="BD78" s="558">
        <f>SUM(BD79:BD80)</f>
        <v>0</v>
      </c>
      <c r="BE78" s="511"/>
      <c r="BF78" s="511"/>
      <c r="BG78" s="558">
        <f t="shared" ref="BG78:BL78" si="32">SUM(BG79:BG80)</f>
        <v>0</v>
      </c>
      <c r="BH78" s="558">
        <f t="shared" si="32"/>
        <v>0</v>
      </c>
      <c r="BI78" s="558">
        <f t="shared" si="32"/>
        <v>0</v>
      </c>
      <c r="BJ78" s="558">
        <f t="shared" si="32"/>
        <v>0</v>
      </c>
      <c r="BK78" s="558">
        <f t="shared" si="32"/>
        <v>0</v>
      </c>
      <c r="BL78" s="558">
        <f t="shared" si="32"/>
        <v>0</v>
      </c>
      <c r="BM78" s="511"/>
      <c r="BN78" s="511"/>
      <c r="BO78" s="511"/>
      <c r="BP78" s="511"/>
      <c r="BQ78" s="511"/>
      <c r="BR78" s="511"/>
      <c r="BS78" s="511"/>
      <c r="BT78" s="511"/>
      <c r="BU78" s="511"/>
      <c r="BV78" s="583"/>
      <c r="BW78" s="581">
        <f t="shared" ref="BW78:CB78" si="33">SUM(BW79:BW80)</f>
        <v>0</v>
      </c>
      <c r="BX78" s="581">
        <f t="shared" si="33"/>
        <v>0</v>
      </c>
      <c r="BY78" s="581">
        <f t="shared" si="33"/>
        <v>0</v>
      </c>
      <c r="BZ78" s="581">
        <f t="shared" si="33"/>
        <v>0</v>
      </c>
      <c r="CA78" s="581">
        <f t="shared" si="33"/>
        <v>0</v>
      </c>
      <c r="CB78" s="581">
        <f t="shared" si="33"/>
        <v>0</v>
      </c>
      <c r="CC78" s="558">
        <f t="shared" si="29"/>
        <v>0</v>
      </c>
      <c r="CD78" s="583"/>
      <c r="CE78" s="583"/>
      <c r="CF78" s="583"/>
      <c r="CG78" s="583"/>
      <c r="CH78" s="583"/>
      <c r="CI78" s="584" t="s">
        <v>626</v>
      </c>
    </row>
    <row r="79" spans="1:87" s="398" customFormat="1" ht="0" hidden="1" customHeight="1" outlineLevel="1">
      <c r="A79" s="559" t="s">
        <v>483</v>
      </c>
      <c r="B79" s="562" t="s">
        <v>111</v>
      </c>
      <c r="C79" s="558">
        <f>D79+E79</f>
        <v>0</v>
      </c>
      <c r="D79" s="561"/>
      <c r="E79" s="511"/>
      <c r="F79" s="561"/>
      <c r="G79" s="561"/>
      <c r="H79" s="561"/>
      <c r="I79" s="511"/>
      <c r="J79" s="511"/>
      <c r="K79" s="511"/>
      <c r="L79" s="511"/>
      <c r="M79" s="561"/>
      <c r="N79" s="561"/>
      <c r="O79" s="558">
        <f>IFERROR(H79/(C79-N79),0)</f>
        <v>0</v>
      </c>
      <c r="P79" s="561"/>
      <c r="Q79" s="561"/>
      <c r="R79" s="561"/>
      <c r="S79" s="561"/>
      <c r="T79" s="561"/>
      <c r="U79" s="561"/>
      <c r="V79" s="561"/>
      <c r="W79" s="561"/>
      <c r="X79" s="561"/>
      <c r="Y79" s="561"/>
      <c r="Z79" s="561"/>
      <c r="AA79" s="561"/>
      <c r="AB79" s="558">
        <f>Y79+AA79</f>
        <v>0</v>
      </c>
      <c r="AC79" s="558">
        <f>X79*Y79+Z79*AA79</f>
        <v>0</v>
      </c>
      <c r="AD79" s="511"/>
      <c r="AE79" s="561"/>
      <c r="AF79" s="561"/>
      <c r="AG79" s="561"/>
      <c r="AH79" s="561"/>
      <c r="AI79" s="511"/>
      <c r="AJ79" s="511"/>
      <c r="AK79" s="511"/>
      <c r="AL79" s="511"/>
      <c r="AM79" s="511"/>
      <c r="AN79" s="511"/>
      <c r="AO79" s="561"/>
      <c r="AP79" s="558">
        <f>SUM(AD79:AO79)</f>
        <v>0</v>
      </c>
      <c r="AQ79" s="561"/>
      <c r="AR79" s="561"/>
      <c r="AS79" s="561"/>
      <c r="AT79" s="561"/>
      <c r="AU79" s="558">
        <f>SUM(AQ79:AS79)</f>
        <v>0</v>
      </c>
      <c r="AV79" s="558">
        <f>SUM(AX79:AZ79)</f>
        <v>0</v>
      </c>
      <c r="AW79" s="561"/>
      <c r="AX79" s="561"/>
      <c r="AY79" s="511"/>
      <c r="AZ79" s="511"/>
      <c r="BA79" s="561"/>
      <c r="BB79" s="511"/>
      <c r="BC79" s="561"/>
      <c r="BD79" s="561"/>
      <c r="BE79" s="511"/>
      <c r="BF79" s="511"/>
      <c r="BG79" s="561"/>
      <c r="BH79" s="561"/>
      <c r="BI79" s="561"/>
      <c r="BJ79" s="561"/>
      <c r="BK79" s="561"/>
      <c r="BL79" s="558">
        <f>SUM(BE79:BK79)</f>
        <v>0</v>
      </c>
      <c r="BM79" s="511"/>
      <c r="BN79" s="511"/>
      <c r="BO79" s="511"/>
      <c r="BP79" s="511"/>
      <c r="BQ79" s="511"/>
      <c r="BR79" s="511"/>
      <c r="BS79" s="511"/>
      <c r="BT79" s="511"/>
      <c r="BU79" s="511"/>
      <c r="BV79" s="583"/>
      <c r="BW79" s="582"/>
      <c r="BX79" s="582"/>
      <c r="BY79" s="582"/>
      <c r="BZ79" s="582"/>
      <c r="CA79" s="582"/>
      <c r="CB79" s="581">
        <f>SUM(BW79:CA79)</f>
        <v>0</v>
      </c>
      <c r="CC79" s="558">
        <f t="shared" si="29"/>
        <v>0</v>
      </c>
      <c r="CD79" s="583"/>
      <c r="CE79" s="583"/>
      <c r="CF79" s="583"/>
      <c r="CG79" s="583"/>
      <c r="CH79" s="583"/>
      <c r="CI79" s="584" t="s">
        <v>627</v>
      </c>
    </row>
    <row r="80" spans="1:87" s="398" customFormat="1" ht="0" hidden="1" customHeight="1" outlineLevel="1">
      <c r="A80" s="559" t="s">
        <v>483</v>
      </c>
      <c r="B80" s="562"/>
      <c r="C80" s="558">
        <f>D80+E80</f>
        <v>0</v>
      </c>
      <c r="D80" s="561"/>
      <c r="E80" s="511"/>
      <c r="F80" s="561"/>
      <c r="G80" s="561"/>
      <c r="H80" s="561"/>
      <c r="I80" s="511"/>
      <c r="J80" s="511"/>
      <c r="K80" s="511"/>
      <c r="L80" s="511"/>
      <c r="M80" s="561"/>
      <c r="N80" s="561"/>
      <c r="O80" s="558">
        <f>IFERROR(H80/(C80-N80),0)</f>
        <v>0</v>
      </c>
      <c r="P80" s="561"/>
      <c r="Q80" s="561"/>
      <c r="R80" s="561"/>
      <c r="S80" s="561"/>
      <c r="T80" s="561"/>
      <c r="U80" s="561"/>
      <c r="V80" s="561"/>
      <c r="W80" s="561"/>
      <c r="X80" s="561"/>
      <c r="Y80" s="561"/>
      <c r="Z80" s="561"/>
      <c r="AA80" s="561"/>
      <c r="AB80" s="558">
        <f>Y80+AA80</f>
        <v>0</v>
      </c>
      <c r="AC80" s="558">
        <f>X80*Y80+Z80*AA80</f>
        <v>0</v>
      </c>
      <c r="AD80" s="511"/>
      <c r="AE80" s="561"/>
      <c r="AF80" s="561"/>
      <c r="AG80" s="561"/>
      <c r="AH80" s="561"/>
      <c r="AI80" s="511"/>
      <c r="AJ80" s="511"/>
      <c r="AK80" s="511"/>
      <c r="AL80" s="511"/>
      <c r="AM80" s="511"/>
      <c r="AN80" s="511"/>
      <c r="AO80" s="561"/>
      <c r="AP80" s="558">
        <f>SUM(AD80:AO80)</f>
        <v>0</v>
      </c>
      <c r="AQ80" s="561"/>
      <c r="AR80" s="561"/>
      <c r="AS80" s="561"/>
      <c r="AT80" s="561"/>
      <c r="AU80" s="558">
        <f>SUM(AQ80:AS80)</f>
        <v>0</v>
      </c>
      <c r="AV80" s="558">
        <f>SUM(AX80:AZ80)</f>
        <v>0</v>
      </c>
      <c r="AW80" s="561"/>
      <c r="AX80" s="561"/>
      <c r="AY80" s="511"/>
      <c r="AZ80" s="511"/>
      <c r="BA80" s="561"/>
      <c r="BB80" s="511"/>
      <c r="BC80" s="561"/>
      <c r="BD80" s="561"/>
      <c r="BE80" s="511"/>
      <c r="BF80" s="511"/>
      <c r="BG80" s="561"/>
      <c r="BH80" s="561"/>
      <c r="BI80" s="561"/>
      <c r="BJ80" s="561"/>
      <c r="BK80" s="561"/>
      <c r="BL80" s="558">
        <f>SUM(BE80:BK80)</f>
        <v>0</v>
      </c>
      <c r="BM80" s="511"/>
      <c r="BN80" s="511"/>
      <c r="BO80" s="511"/>
      <c r="BP80" s="511"/>
      <c r="BQ80" s="511"/>
      <c r="BR80" s="511"/>
      <c r="BS80" s="511"/>
      <c r="BT80" s="511"/>
      <c r="BU80" s="511"/>
      <c r="BV80" s="583"/>
      <c r="BW80" s="582"/>
      <c r="BX80" s="582"/>
      <c r="BY80" s="582"/>
      <c r="BZ80" s="582"/>
      <c r="CA80" s="582"/>
      <c r="CB80" s="581">
        <f>SUM(BW80:CA80)</f>
        <v>0</v>
      </c>
      <c r="CC80" s="558">
        <f t="shared" si="29"/>
        <v>0</v>
      </c>
      <c r="CD80" s="583"/>
      <c r="CE80" s="583"/>
      <c r="CF80" s="583"/>
      <c r="CG80" s="583"/>
      <c r="CH80" s="583"/>
      <c r="CI80" s="584" t="s">
        <v>628</v>
      </c>
    </row>
    <row r="81" spans="1:87" s="398" customFormat="1" ht="0" hidden="1" customHeight="1" outlineLevel="1">
      <c r="A81" s="556" t="s">
        <v>480</v>
      </c>
      <c r="B81" s="557" t="s">
        <v>629</v>
      </c>
      <c r="C81" s="558">
        <f>SUM(C82:C83)</f>
        <v>0</v>
      </c>
      <c r="D81" s="558">
        <f>SUM(D82:D83)</f>
        <v>0</v>
      </c>
      <c r="E81" s="511"/>
      <c r="F81" s="558">
        <f>SUM(F82:F83)</f>
        <v>0</v>
      </c>
      <c r="G81" s="558">
        <f>SUM(G82:G83)</f>
        <v>0</v>
      </c>
      <c r="H81" s="511"/>
      <c r="I81" s="511"/>
      <c r="J81" s="511"/>
      <c r="K81" s="511"/>
      <c r="L81" s="511"/>
      <c r="M81" s="511"/>
      <c r="N81" s="511"/>
      <c r="O81" s="511"/>
      <c r="P81" s="511"/>
      <c r="Q81" s="558">
        <f>IFERROR(SUMPRODUCT(Q82:Q83,$C82:$C83)/$C81,0)</f>
        <v>0</v>
      </c>
      <c r="R81" s="558">
        <f>IFERROR(SUMPRODUCT(R82:R83,$C82:$C83)/$C81,0)</f>
        <v>0</v>
      </c>
      <c r="S81" s="558">
        <f t="shared" ref="S81:AC81" si="34">SUM(S82:S83)</f>
        <v>0</v>
      </c>
      <c r="T81" s="558">
        <f t="shared" si="34"/>
        <v>0</v>
      </c>
      <c r="U81" s="558">
        <f t="shared" si="34"/>
        <v>0</v>
      </c>
      <c r="V81" s="558">
        <f t="shared" si="34"/>
        <v>0</v>
      </c>
      <c r="W81" s="558">
        <f t="shared" si="34"/>
        <v>0</v>
      </c>
      <c r="X81" s="558">
        <f t="shared" si="34"/>
        <v>0</v>
      </c>
      <c r="Y81" s="558">
        <f t="shared" si="34"/>
        <v>0</v>
      </c>
      <c r="Z81" s="558">
        <f t="shared" si="34"/>
        <v>0</v>
      </c>
      <c r="AA81" s="558">
        <f t="shared" si="34"/>
        <v>0</v>
      </c>
      <c r="AB81" s="558">
        <f t="shared" si="34"/>
        <v>0</v>
      </c>
      <c r="AC81" s="558">
        <f t="shared" si="34"/>
        <v>0</v>
      </c>
      <c r="AD81" s="511"/>
      <c r="AE81" s="558">
        <f t="shared" ref="AE81:AX81" si="35">SUM(AE82:AE83)</f>
        <v>0</v>
      </c>
      <c r="AF81" s="558">
        <f t="shared" si="35"/>
        <v>0</v>
      </c>
      <c r="AG81" s="558">
        <f t="shared" si="35"/>
        <v>0</v>
      </c>
      <c r="AH81" s="558">
        <f t="shared" si="35"/>
        <v>0</v>
      </c>
      <c r="AI81" s="558">
        <f t="shared" si="35"/>
        <v>0</v>
      </c>
      <c r="AJ81" s="558">
        <f t="shared" si="35"/>
        <v>0</v>
      </c>
      <c r="AK81" s="558">
        <f t="shared" si="35"/>
        <v>0</v>
      </c>
      <c r="AL81" s="558">
        <f t="shared" si="35"/>
        <v>0</v>
      </c>
      <c r="AM81" s="558">
        <f t="shared" si="35"/>
        <v>0</v>
      </c>
      <c r="AN81" s="558">
        <f t="shared" si="35"/>
        <v>0</v>
      </c>
      <c r="AO81" s="558">
        <f t="shared" si="35"/>
        <v>0</v>
      </c>
      <c r="AP81" s="558">
        <f t="shared" si="35"/>
        <v>0</v>
      </c>
      <c r="AQ81" s="558">
        <f t="shared" si="35"/>
        <v>0</v>
      </c>
      <c r="AR81" s="558">
        <f t="shared" si="35"/>
        <v>0</v>
      </c>
      <c r="AS81" s="558">
        <f t="shared" si="35"/>
        <v>0</v>
      </c>
      <c r="AT81" s="558">
        <f t="shared" si="35"/>
        <v>0</v>
      </c>
      <c r="AU81" s="558">
        <f t="shared" si="35"/>
        <v>0</v>
      </c>
      <c r="AV81" s="558">
        <f t="shared" si="35"/>
        <v>0</v>
      </c>
      <c r="AW81" s="558">
        <f t="shared" si="35"/>
        <v>0</v>
      </c>
      <c r="AX81" s="558">
        <f t="shared" si="35"/>
        <v>0</v>
      </c>
      <c r="AY81" s="511"/>
      <c r="AZ81" s="511"/>
      <c r="BA81" s="558">
        <f>SUM(BA82:BA83)</f>
        <v>0</v>
      </c>
      <c r="BB81" s="511"/>
      <c r="BC81" s="511"/>
      <c r="BD81" s="511"/>
      <c r="BE81" s="511"/>
      <c r="BF81" s="511"/>
      <c r="BG81" s="511"/>
      <c r="BH81" s="511"/>
      <c r="BI81" s="511"/>
      <c r="BJ81" s="511"/>
      <c r="BK81" s="511"/>
      <c r="BL81" s="558">
        <f>SUM(BL82:BL83)</f>
        <v>0</v>
      </c>
      <c r="BM81" s="558">
        <f>IFERROR(SUMPRODUCT(BN82:BN83,BM82:BM83)/BN81,0)</f>
        <v>0</v>
      </c>
      <c r="BN81" s="581">
        <f>SUM(BN82:BN83)</f>
        <v>0</v>
      </c>
      <c r="BO81" s="558">
        <f>IFERROR(SUMPRODUCT(BP82:BP83,BO82:BO83)/BP81,0)</f>
        <v>0</v>
      </c>
      <c r="BP81" s="581">
        <f>SUM(BP82:BP83)</f>
        <v>0</v>
      </c>
      <c r="BQ81" s="558">
        <f>IFERROR(SUMPRODUCT(BR82:BR83,BQ82:BQ83)/BR81,0)</f>
        <v>0</v>
      </c>
      <c r="BR81" s="581">
        <f>SUM(BR82:BR83)</f>
        <v>0</v>
      </c>
      <c r="BS81" s="558">
        <f>IFERROR(SUMPRODUCT(BT82:BT83,BS82:BS83)/BT81,0)</f>
        <v>0</v>
      </c>
      <c r="BT81" s="581">
        <f t="shared" ref="BT81:CB81" si="36">SUM(BT82:BT83)</f>
        <v>0</v>
      </c>
      <c r="BU81" s="581">
        <f t="shared" si="36"/>
        <v>0</v>
      </c>
      <c r="BV81" s="581">
        <f t="shared" si="36"/>
        <v>0</v>
      </c>
      <c r="BW81" s="581">
        <f t="shared" si="36"/>
        <v>0</v>
      </c>
      <c r="BX81" s="581">
        <f t="shared" si="36"/>
        <v>0</v>
      </c>
      <c r="BY81" s="581">
        <f t="shared" si="36"/>
        <v>0</v>
      </c>
      <c r="BZ81" s="581">
        <f t="shared" si="36"/>
        <v>0</v>
      </c>
      <c r="CA81" s="581">
        <f t="shared" si="36"/>
        <v>0</v>
      </c>
      <c r="CB81" s="581">
        <f t="shared" si="36"/>
        <v>0</v>
      </c>
      <c r="CC81" s="558">
        <f t="shared" si="29"/>
        <v>0</v>
      </c>
      <c r="CD81" s="583"/>
      <c r="CE81" s="583"/>
      <c r="CF81" s="583"/>
      <c r="CG81" s="583"/>
      <c r="CH81" s="583"/>
      <c r="CI81" s="584" t="s">
        <v>630</v>
      </c>
    </row>
    <row r="82" spans="1:87" s="398" customFormat="1" ht="0" hidden="1" customHeight="1" outlineLevel="1">
      <c r="A82" s="559" t="s">
        <v>483</v>
      </c>
      <c r="B82" s="564" t="s">
        <v>115</v>
      </c>
      <c r="C82" s="558">
        <f>D82+E82</f>
        <v>0</v>
      </c>
      <c r="D82" s="565"/>
      <c r="E82" s="511"/>
      <c r="F82" s="561"/>
      <c r="G82" s="561"/>
      <c r="H82" s="511"/>
      <c r="I82" s="511"/>
      <c r="J82" s="511"/>
      <c r="K82" s="511"/>
      <c r="L82" s="511"/>
      <c r="M82" s="511"/>
      <c r="N82" s="511"/>
      <c r="O82" s="511"/>
      <c r="P82" s="511"/>
      <c r="Q82" s="561"/>
      <c r="R82" s="561"/>
      <c r="S82" s="561"/>
      <c r="T82" s="561"/>
      <c r="U82" s="561"/>
      <c r="V82" s="561"/>
      <c r="W82" s="561"/>
      <c r="X82" s="561"/>
      <c r="Y82" s="561"/>
      <c r="Z82" s="561"/>
      <c r="AA82" s="561"/>
      <c r="AB82" s="558">
        <f>Y82+AA82</f>
        <v>0</v>
      </c>
      <c r="AC82" s="558">
        <f>X82*Y82+Z82*AA82</f>
        <v>0</v>
      </c>
      <c r="AD82" s="511"/>
      <c r="AE82" s="561"/>
      <c r="AF82" s="561"/>
      <c r="AG82" s="561"/>
      <c r="AH82" s="561"/>
      <c r="AI82" s="561"/>
      <c r="AJ82" s="561"/>
      <c r="AK82" s="561"/>
      <c r="AL82" s="561"/>
      <c r="AM82" s="561"/>
      <c r="AN82" s="561"/>
      <c r="AO82" s="561"/>
      <c r="AP82" s="558">
        <f>SUM(AD82:AO82)</f>
        <v>0</v>
      </c>
      <c r="AQ82" s="561"/>
      <c r="AR82" s="561"/>
      <c r="AS82" s="561"/>
      <c r="AT82" s="561"/>
      <c r="AU82" s="558">
        <f>SUM(AQ82:AS82)</f>
        <v>0</v>
      </c>
      <c r="AV82" s="558">
        <f>SUM(AX82:AZ82)</f>
        <v>0</v>
      </c>
      <c r="AW82" s="561"/>
      <c r="AX82" s="561"/>
      <c r="AY82" s="511"/>
      <c r="AZ82" s="511"/>
      <c r="BA82" s="561"/>
      <c r="BB82" s="511"/>
      <c r="BC82" s="511"/>
      <c r="BD82" s="511"/>
      <c r="BE82" s="511"/>
      <c r="BF82" s="511"/>
      <c r="BG82" s="511"/>
      <c r="BH82" s="511"/>
      <c r="BI82" s="511"/>
      <c r="BJ82" s="511"/>
      <c r="BK82" s="511"/>
      <c r="BL82" s="558">
        <f>SUM(BE82:BK82)</f>
        <v>0</v>
      </c>
      <c r="BM82" s="561"/>
      <c r="BN82" s="582"/>
      <c r="BO82" s="561"/>
      <c r="BP82" s="582"/>
      <c r="BQ82" s="561"/>
      <c r="BR82" s="582"/>
      <c r="BS82" s="561"/>
      <c r="BT82" s="561"/>
      <c r="BU82" s="581">
        <f>BN82+BP82+BR82+BT82</f>
        <v>0</v>
      </c>
      <c r="BV82" s="581">
        <f>BM82*BN82+BO82*BP82+BQ82*BR82+BS82*BT82</f>
        <v>0</v>
      </c>
      <c r="BW82" s="582"/>
      <c r="BX82" s="582"/>
      <c r="BY82" s="582"/>
      <c r="BZ82" s="582"/>
      <c r="CA82" s="582"/>
      <c r="CB82" s="581">
        <f>SUM(BW82:CA82)</f>
        <v>0</v>
      </c>
      <c r="CC82" s="558">
        <f t="shared" si="29"/>
        <v>0</v>
      </c>
      <c r="CD82" s="583"/>
      <c r="CE82" s="583"/>
      <c r="CF82" s="583"/>
      <c r="CG82" s="583"/>
      <c r="CH82" s="583"/>
      <c r="CI82" s="584" t="s">
        <v>631</v>
      </c>
    </row>
    <row r="83" spans="1:87" s="398" customFormat="1" ht="0" hidden="1" customHeight="1" outlineLevel="1">
      <c r="A83" s="559" t="s">
        <v>483</v>
      </c>
      <c r="B83" s="564"/>
      <c r="C83" s="558">
        <f>D83+E83</f>
        <v>0</v>
      </c>
      <c r="D83" s="565"/>
      <c r="E83" s="511"/>
      <c r="F83" s="561"/>
      <c r="G83" s="561"/>
      <c r="H83" s="511"/>
      <c r="I83" s="511"/>
      <c r="J83" s="511"/>
      <c r="K83" s="511"/>
      <c r="L83" s="511"/>
      <c r="M83" s="511"/>
      <c r="N83" s="511"/>
      <c r="O83" s="511"/>
      <c r="P83" s="511"/>
      <c r="Q83" s="561"/>
      <c r="R83" s="561"/>
      <c r="S83" s="561"/>
      <c r="T83" s="561"/>
      <c r="U83" s="561"/>
      <c r="V83" s="561"/>
      <c r="W83" s="561"/>
      <c r="X83" s="561"/>
      <c r="Y83" s="561"/>
      <c r="Z83" s="561"/>
      <c r="AA83" s="561"/>
      <c r="AB83" s="558">
        <f>Y83+AA83</f>
        <v>0</v>
      </c>
      <c r="AC83" s="558">
        <f>X83*Y83+Z83*AA83</f>
        <v>0</v>
      </c>
      <c r="AD83" s="511"/>
      <c r="AE83" s="561"/>
      <c r="AF83" s="561"/>
      <c r="AG83" s="561"/>
      <c r="AH83" s="561"/>
      <c r="AI83" s="561"/>
      <c r="AJ83" s="561"/>
      <c r="AK83" s="561"/>
      <c r="AL83" s="561"/>
      <c r="AM83" s="561"/>
      <c r="AN83" s="561"/>
      <c r="AO83" s="561"/>
      <c r="AP83" s="558">
        <f>SUM(AD83:AO83)</f>
        <v>0</v>
      </c>
      <c r="AQ83" s="561"/>
      <c r="AR83" s="561"/>
      <c r="AS83" s="561"/>
      <c r="AT83" s="561"/>
      <c r="AU83" s="558">
        <f>SUM(AQ83:AS83)</f>
        <v>0</v>
      </c>
      <c r="AV83" s="558">
        <f>SUM(AX83:AZ83)</f>
        <v>0</v>
      </c>
      <c r="AW83" s="561"/>
      <c r="AX83" s="561"/>
      <c r="AY83" s="511"/>
      <c r="AZ83" s="511"/>
      <c r="BA83" s="561"/>
      <c r="BB83" s="511"/>
      <c r="BC83" s="511"/>
      <c r="BD83" s="511"/>
      <c r="BE83" s="511"/>
      <c r="BF83" s="511"/>
      <c r="BG83" s="511"/>
      <c r="BH83" s="511"/>
      <c r="BI83" s="511"/>
      <c r="BJ83" s="511"/>
      <c r="BK83" s="511"/>
      <c r="BL83" s="558">
        <f>SUM(BE83:BK83)</f>
        <v>0</v>
      </c>
      <c r="BM83" s="561"/>
      <c r="BN83" s="561"/>
      <c r="BO83" s="561"/>
      <c r="BP83" s="561"/>
      <c r="BQ83" s="561"/>
      <c r="BR83" s="561"/>
      <c r="BS83" s="561"/>
      <c r="BT83" s="561"/>
      <c r="BU83" s="581">
        <f>BN83+BP83+BR83+BT83</f>
        <v>0</v>
      </c>
      <c r="BV83" s="581">
        <f>BM83*BN83+BO83*BP83+BQ83*BR83+BS83*BT83</f>
        <v>0</v>
      </c>
      <c r="BW83" s="582"/>
      <c r="BX83" s="582"/>
      <c r="BY83" s="582"/>
      <c r="BZ83" s="582"/>
      <c r="CA83" s="582"/>
      <c r="CB83" s="581">
        <f>SUM(BW83:CA83)</f>
        <v>0</v>
      </c>
      <c r="CC83" s="558">
        <f t="shared" si="29"/>
        <v>0</v>
      </c>
      <c r="CD83" s="583"/>
      <c r="CE83" s="583"/>
      <c r="CF83" s="583"/>
      <c r="CG83" s="583"/>
      <c r="CH83" s="583"/>
      <c r="CI83" s="584" t="s">
        <v>632</v>
      </c>
    </row>
    <row r="84" spans="1:87" s="398" customFormat="1" ht="0" hidden="1" customHeight="1" outlineLevel="1">
      <c r="A84" s="556" t="s">
        <v>480</v>
      </c>
      <c r="B84" s="566" t="s">
        <v>633</v>
      </c>
      <c r="C84" s="558">
        <f t="shared" ref="C84:H84" si="37">SUM(C85:C86)</f>
        <v>0</v>
      </c>
      <c r="D84" s="558">
        <f t="shared" si="37"/>
        <v>0</v>
      </c>
      <c r="E84" s="558">
        <f t="shared" si="37"/>
        <v>0</v>
      </c>
      <c r="F84" s="558">
        <f t="shared" si="37"/>
        <v>0</v>
      </c>
      <c r="G84" s="558">
        <f t="shared" si="37"/>
        <v>0</v>
      </c>
      <c r="H84" s="558">
        <f t="shared" si="37"/>
        <v>0</v>
      </c>
      <c r="I84" s="568">
        <f t="shared" ref="I84:I92" si="38">IFERROR(H84/C84,0)</f>
        <v>0</v>
      </c>
      <c r="J84" s="568">
        <f>SUM(J85:J86)</f>
        <v>0</v>
      </c>
      <c r="K84" s="568">
        <f>IFERROR(SUMPRODUCT(K85:K86,C85:C86)/C84,0)</f>
        <v>0</v>
      </c>
      <c r="L84" s="558">
        <f>SUM(L85:L86)</f>
        <v>0</v>
      </c>
      <c r="M84" s="511"/>
      <c r="N84" s="511"/>
      <c r="O84" s="558">
        <f t="shared" ref="O84:O92" si="39">IFERROR(H84/(C84-N84),0)</f>
        <v>0</v>
      </c>
      <c r="P84" s="558">
        <f>SUM(P85:P86)</f>
        <v>0</v>
      </c>
      <c r="Q84" s="558">
        <f>IFERROR(SUMPRODUCT(Q85:Q86,$C85:$C86)/$C84,0)</f>
        <v>0</v>
      </c>
      <c r="R84" s="558">
        <f>IFERROR(SUMPRODUCT(R85:R86,$C85:$C86)/$C84,0)</f>
        <v>0</v>
      </c>
      <c r="S84" s="558">
        <f>SUM(S85:S86)</f>
        <v>0</v>
      </c>
      <c r="T84" s="558">
        <f>SUM(T85:T86)</f>
        <v>0</v>
      </c>
      <c r="U84" s="511"/>
      <c r="V84" s="511"/>
      <c r="W84" s="558">
        <f t="shared" ref="W84:AD84" si="40">SUM(W85:W86)</f>
        <v>0</v>
      </c>
      <c r="X84" s="558">
        <f t="shared" si="40"/>
        <v>0</v>
      </c>
      <c r="Y84" s="558">
        <f t="shared" si="40"/>
        <v>0</v>
      </c>
      <c r="Z84" s="558">
        <f t="shared" si="40"/>
        <v>0</v>
      </c>
      <c r="AA84" s="558">
        <f t="shared" si="40"/>
        <v>0</v>
      </c>
      <c r="AB84" s="558">
        <f t="shared" si="40"/>
        <v>0</v>
      </c>
      <c r="AC84" s="558">
        <f t="shared" si="40"/>
        <v>0</v>
      </c>
      <c r="AD84" s="558">
        <f t="shared" si="40"/>
        <v>0</v>
      </c>
      <c r="AE84" s="511"/>
      <c r="AF84" s="511"/>
      <c r="AG84" s="558">
        <f>SUM(AG85:AG86)</f>
        <v>0</v>
      </c>
      <c r="AH84" s="511"/>
      <c r="AI84" s="511"/>
      <c r="AJ84" s="511"/>
      <c r="AK84" s="511"/>
      <c r="AL84" s="511"/>
      <c r="AM84" s="511"/>
      <c r="AN84" s="511"/>
      <c r="AO84" s="558">
        <f>SUM(AO85:AO86)</f>
        <v>0</v>
      </c>
      <c r="AP84" s="558">
        <f>SUM(AP85:AP86)</f>
        <v>0</v>
      </c>
      <c r="AQ84" s="558">
        <f>SUM(AQ85:AQ86)</f>
        <v>0</v>
      </c>
      <c r="AR84" s="511"/>
      <c r="AS84" s="511"/>
      <c r="AT84" s="511"/>
      <c r="AU84" s="558">
        <f t="shared" ref="AU84:BF84" si="41">SUM(AU85:AU86)</f>
        <v>0</v>
      </c>
      <c r="AV84" s="558">
        <f t="shared" si="41"/>
        <v>0</v>
      </c>
      <c r="AW84" s="558">
        <f t="shared" si="41"/>
        <v>0</v>
      </c>
      <c r="AX84" s="558">
        <f t="shared" si="41"/>
        <v>0</v>
      </c>
      <c r="AY84" s="558">
        <f t="shared" si="41"/>
        <v>0</v>
      </c>
      <c r="AZ84" s="558">
        <f t="shared" si="41"/>
        <v>0</v>
      </c>
      <c r="BA84" s="558">
        <f t="shared" si="41"/>
        <v>0</v>
      </c>
      <c r="BB84" s="558">
        <f t="shared" si="41"/>
        <v>0</v>
      </c>
      <c r="BC84" s="558">
        <f t="shared" si="41"/>
        <v>0</v>
      </c>
      <c r="BD84" s="558">
        <f t="shared" si="41"/>
        <v>0</v>
      </c>
      <c r="BE84" s="558">
        <f t="shared" si="41"/>
        <v>0</v>
      </c>
      <c r="BF84" s="558">
        <f t="shared" si="41"/>
        <v>0</v>
      </c>
      <c r="BG84" s="511"/>
      <c r="BH84" s="511"/>
      <c r="BI84" s="511"/>
      <c r="BJ84" s="511"/>
      <c r="BK84" s="511"/>
      <c r="BL84" s="558">
        <f>SUM(BL85:BL86)</f>
        <v>0</v>
      </c>
      <c r="BM84" s="511"/>
      <c r="BN84" s="511"/>
      <c r="BO84" s="511"/>
      <c r="BP84" s="511"/>
      <c r="BQ84" s="511"/>
      <c r="BR84" s="511"/>
      <c r="BS84" s="511"/>
      <c r="BT84" s="511"/>
      <c r="BU84" s="583"/>
      <c r="BV84" s="583"/>
      <c r="BW84" s="581">
        <f t="shared" ref="BW84:CB84" si="42">SUM(BW85:BW86)</f>
        <v>0</v>
      </c>
      <c r="BX84" s="581">
        <f t="shared" si="42"/>
        <v>0</v>
      </c>
      <c r="BY84" s="581">
        <f t="shared" si="42"/>
        <v>0</v>
      </c>
      <c r="BZ84" s="581">
        <f t="shared" si="42"/>
        <v>0</v>
      </c>
      <c r="CA84" s="581">
        <f t="shared" si="42"/>
        <v>0</v>
      </c>
      <c r="CB84" s="581">
        <f t="shared" si="42"/>
        <v>0</v>
      </c>
      <c r="CC84" s="558">
        <f t="shared" si="29"/>
        <v>0</v>
      </c>
      <c r="CD84" s="583"/>
      <c r="CE84" s="583"/>
      <c r="CF84" s="583"/>
      <c r="CG84" s="583"/>
      <c r="CH84" s="583"/>
      <c r="CI84" s="584" t="s">
        <v>634</v>
      </c>
    </row>
    <row r="85" spans="1:87" s="398" customFormat="1" ht="0" hidden="1" customHeight="1" outlineLevel="1">
      <c r="A85" s="559" t="s">
        <v>483</v>
      </c>
      <c r="B85" s="562"/>
      <c r="C85" s="558">
        <f>D85+E85</f>
        <v>0</v>
      </c>
      <c r="D85" s="561"/>
      <c r="E85" s="561"/>
      <c r="F85" s="561"/>
      <c r="G85" s="561"/>
      <c r="H85" s="561"/>
      <c r="I85" s="568">
        <f t="shared" si="38"/>
        <v>0</v>
      </c>
      <c r="J85" s="569"/>
      <c r="K85" s="569"/>
      <c r="L85" s="561"/>
      <c r="M85" s="511"/>
      <c r="N85" s="511"/>
      <c r="O85" s="558">
        <f t="shared" si="39"/>
        <v>0</v>
      </c>
      <c r="P85" s="561"/>
      <c r="Q85" s="561"/>
      <c r="R85" s="561"/>
      <c r="S85" s="561"/>
      <c r="T85" s="561"/>
      <c r="U85" s="511"/>
      <c r="V85" s="511"/>
      <c r="W85" s="561"/>
      <c r="X85" s="561"/>
      <c r="Y85" s="561"/>
      <c r="Z85" s="561"/>
      <c r="AA85" s="561"/>
      <c r="AB85" s="558">
        <f>Y85+AA85</f>
        <v>0</v>
      </c>
      <c r="AC85" s="558">
        <f>X85*Y85+Z85*AA85</f>
        <v>0</v>
      </c>
      <c r="AD85" s="561"/>
      <c r="AE85" s="511"/>
      <c r="AF85" s="511"/>
      <c r="AG85" s="561"/>
      <c r="AH85" s="511"/>
      <c r="AI85" s="511"/>
      <c r="AJ85" s="511"/>
      <c r="AK85" s="511"/>
      <c r="AL85" s="511"/>
      <c r="AM85" s="511"/>
      <c r="AN85" s="511"/>
      <c r="AO85" s="561"/>
      <c r="AP85" s="558">
        <f>SUM(AD85:AO85)</f>
        <v>0</v>
      </c>
      <c r="AQ85" s="561"/>
      <c r="AR85" s="511"/>
      <c r="AS85" s="511"/>
      <c r="AT85" s="511"/>
      <c r="AU85" s="558">
        <f>SUM(AQ85:AS85)</f>
        <v>0</v>
      </c>
      <c r="AV85" s="558">
        <f>SUM(AX85:AZ85)</f>
        <v>0</v>
      </c>
      <c r="AW85" s="561"/>
      <c r="AX85" s="561"/>
      <c r="AY85" s="561"/>
      <c r="AZ85" s="561"/>
      <c r="BA85" s="561"/>
      <c r="BB85" s="561"/>
      <c r="BC85" s="561"/>
      <c r="BD85" s="561"/>
      <c r="BE85" s="561"/>
      <c r="BF85" s="561"/>
      <c r="BG85" s="511"/>
      <c r="BH85" s="511"/>
      <c r="BI85" s="511"/>
      <c r="BJ85" s="511"/>
      <c r="BK85" s="511"/>
      <c r="BL85" s="558">
        <f>SUM(BE85:BK85)</f>
        <v>0</v>
      </c>
      <c r="BM85" s="511"/>
      <c r="BN85" s="511"/>
      <c r="BO85" s="511"/>
      <c r="BP85" s="511"/>
      <c r="BQ85" s="511"/>
      <c r="BR85" s="511"/>
      <c r="BS85" s="511"/>
      <c r="BT85" s="511"/>
      <c r="BU85" s="583"/>
      <c r="BV85" s="583"/>
      <c r="BW85" s="582"/>
      <c r="BX85" s="582"/>
      <c r="BY85" s="582"/>
      <c r="BZ85" s="582"/>
      <c r="CA85" s="582"/>
      <c r="CB85" s="581">
        <f>SUM(BW85:CA85)</f>
        <v>0</v>
      </c>
      <c r="CC85" s="558">
        <f t="shared" si="29"/>
        <v>0</v>
      </c>
      <c r="CD85" s="583"/>
      <c r="CE85" s="583"/>
      <c r="CF85" s="583"/>
      <c r="CG85" s="583"/>
      <c r="CH85" s="583"/>
      <c r="CI85" s="584" t="s">
        <v>635</v>
      </c>
    </row>
    <row r="86" spans="1:87" s="398" customFormat="1" ht="0" hidden="1" customHeight="1" outlineLevel="1">
      <c r="A86" s="559" t="s">
        <v>483</v>
      </c>
      <c r="B86" s="562"/>
      <c r="C86" s="558">
        <f>D86+E86</f>
        <v>0</v>
      </c>
      <c r="D86" s="561"/>
      <c r="E86" s="561"/>
      <c r="F86" s="561"/>
      <c r="G86" s="561"/>
      <c r="H86" s="561"/>
      <c r="I86" s="568">
        <f t="shared" si="38"/>
        <v>0</v>
      </c>
      <c r="J86" s="569"/>
      <c r="K86" s="569"/>
      <c r="L86" s="561"/>
      <c r="M86" s="511"/>
      <c r="N86" s="511"/>
      <c r="O86" s="558">
        <f t="shared" si="39"/>
        <v>0</v>
      </c>
      <c r="P86" s="561"/>
      <c r="Q86" s="561"/>
      <c r="R86" s="561"/>
      <c r="S86" s="561"/>
      <c r="T86" s="561"/>
      <c r="U86" s="511"/>
      <c r="V86" s="511"/>
      <c r="W86" s="561"/>
      <c r="X86" s="561"/>
      <c r="Y86" s="561"/>
      <c r="Z86" s="561"/>
      <c r="AA86" s="561"/>
      <c r="AB86" s="558">
        <f>Y86+AA86</f>
        <v>0</v>
      </c>
      <c r="AC86" s="558">
        <f>X86*Y86+Z86*AA86</f>
        <v>0</v>
      </c>
      <c r="AD86" s="561"/>
      <c r="AE86" s="511"/>
      <c r="AF86" s="511"/>
      <c r="AG86" s="561"/>
      <c r="AH86" s="511"/>
      <c r="AI86" s="511"/>
      <c r="AJ86" s="511"/>
      <c r="AK86" s="511"/>
      <c r="AL86" s="511"/>
      <c r="AM86" s="511"/>
      <c r="AN86" s="511"/>
      <c r="AO86" s="561"/>
      <c r="AP86" s="558">
        <f>SUM(AD86:AO86)</f>
        <v>0</v>
      </c>
      <c r="AQ86" s="561"/>
      <c r="AR86" s="511"/>
      <c r="AS86" s="511"/>
      <c r="AT86" s="511"/>
      <c r="AU86" s="558">
        <f>SUM(AQ86:AS86)</f>
        <v>0</v>
      </c>
      <c r="AV86" s="558">
        <f>SUM(AX86:AZ86)</f>
        <v>0</v>
      </c>
      <c r="AW86" s="561"/>
      <c r="AX86" s="561"/>
      <c r="AY86" s="561"/>
      <c r="AZ86" s="561"/>
      <c r="BA86" s="561"/>
      <c r="BB86" s="561"/>
      <c r="BC86" s="561"/>
      <c r="BD86" s="561"/>
      <c r="BE86" s="561"/>
      <c r="BF86" s="561"/>
      <c r="BG86" s="511"/>
      <c r="BH86" s="511"/>
      <c r="BI86" s="511"/>
      <c r="BJ86" s="511"/>
      <c r="BK86" s="511"/>
      <c r="BL86" s="558">
        <f>SUM(BE86:BK86)</f>
        <v>0</v>
      </c>
      <c r="BM86" s="511"/>
      <c r="BN86" s="511"/>
      <c r="BO86" s="511"/>
      <c r="BP86" s="511"/>
      <c r="BQ86" s="511"/>
      <c r="BR86" s="511"/>
      <c r="BS86" s="511"/>
      <c r="BT86" s="511"/>
      <c r="BU86" s="583"/>
      <c r="BV86" s="583"/>
      <c r="BW86" s="582"/>
      <c r="BX86" s="582"/>
      <c r="BY86" s="582"/>
      <c r="BZ86" s="582"/>
      <c r="CA86" s="582"/>
      <c r="CB86" s="581">
        <f>SUM(BW86:CA86)</f>
        <v>0</v>
      </c>
      <c r="CC86" s="558">
        <f t="shared" si="29"/>
        <v>0</v>
      </c>
      <c r="CD86" s="583"/>
      <c r="CE86" s="583"/>
      <c r="CF86" s="583"/>
      <c r="CG86" s="583"/>
      <c r="CH86" s="583"/>
      <c r="CI86" s="584" t="s">
        <v>636</v>
      </c>
    </row>
    <row r="87" spans="1:87" s="398" customFormat="1" ht="0" hidden="1" customHeight="1" outlineLevel="1">
      <c r="A87" s="556" t="s">
        <v>480</v>
      </c>
      <c r="B87" s="566" t="s">
        <v>637</v>
      </c>
      <c r="C87" s="558">
        <f>SUM(C88:C89)</f>
        <v>0</v>
      </c>
      <c r="D87" s="558">
        <f>SUM(D88:D89)</f>
        <v>0</v>
      </c>
      <c r="E87" s="511"/>
      <c r="F87" s="558">
        <f>SUM(F88:F89)</f>
        <v>0</v>
      </c>
      <c r="G87" s="558">
        <f>SUM(G88:G89)</f>
        <v>0</v>
      </c>
      <c r="H87" s="558">
        <f>SUM(H88:H89)</f>
        <v>0</v>
      </c>
      <c r="I87" s="568">
        <f t="shared" si="38"/>
        <v>0</v>
      </c>
      <c r="J87" s="511"/>
      <c r="K87" s="511"/>
      <c r="L87" s="511"/>
      <c r="M87" s="558">
        <f>SUM(M88:M89)</f>
        <v>0</v>
      </c>
      <c r="N87" s="558">
        <f>SUM(N88:N89)</f>
        <v>0</v>
      </c>
      <c r="O87" s="558">
        <f t="shared" si="39"/>
        <v>0</v>
      </c>
      <c r="P87" s="558">
        <f>SUM(P88:P89)</f>
        <v>0</v>
      </c>
      <c r="Q87" s="558">
        <f>IFERROR(SUMPRODUCT(Q88:Q89,$C88:$C89)/$C87,0)</f>
        <v>0</v>
      </c>
      <c r="R87" s="558">
        <f>IFERROR(SUMPRODUCT(R88:R89,$C88:$C89)/$C87,0)</f>
        <v>0</v>
      </c>
      <c r="S87" s="558">
        <f t="shared" ref="S87:AC87" si="43">SUM(S88:S89)</f>
        <v>0</v>
      </c>
      <c r="T87" s="558">
        <f t="shared" si="43"/>
        <v>0</v>
      </c>
      <c r="U87" s="558">
        <f t="shared" si="43"/>
        <v>0</v>
      </c>
      <c r="V87" s="558">
        <f t="shared" si="43"/>
        <v>0</v>
      </c>
      <c r="W87" s="558">
        <f t="shared" si="43"/>
        <v>0</v>
      </c>
      <c r="X87" s="558">
        <f t="shared" si="43"/>
        <v>0</v>
      </c>
      <c r="Y87" s="558">
        <f t="shared" si="43"/>
        <v>0</v>
      </c>
      <c r="Z87" s="558">
        <f t="shared" si="43"/>
        <v>0</v>
      </c>
      <c r="AA87" s="558">
        <f t="shared" si="43"/>
        <v>0</v>
      </c>
      <c r="AB87" s="558">
        <f t="shared" si="43"/>
        <v>0</v>
      </c>
      <c r="AC87" s="558">
        <f t="shared" si="43"/>
        <v>0</v>
      </c>
      <c r="AD87" s="511"/>
      <c r="AE87" s="558">
        <f>SUM(AE88:AE89)</f>
        <v>0</v>
      </c>
      <c r="AF87" s="558">
        <f>SUM(AF88:AF89)</f>
        <v>0</v>
      </c>
      <c r="AG87" s="558">
        <f>SUM(AG88:AG89)</f>
        <v>0</v>
      </c>
      <c r="AH87" s="558">
        <f>SUM(AH88:AH89)</f>
        <v>0</v>
      </c>
      <c r="AI87" s="511"/>
      <c r="AJ87" s="511"/>
      <c r="AK87" s="511"/>
      <c r="AL87" s="511"/>
      <c r="AM87" s="511"/>
      <c r="AN87" s="511"/>
      <c r="AO87" s="558">
        <f t="shared" ref="AO87:AX87" si="44">SUM(AO88:AO89)</f>
        <v>0</v>
      </c>
      <c r="AP87" s="558">
        <f t="shared" si="44"/>
        <v>0</v>
      </c>
      <c r="AQ87" s="558">
        <f t="shared" si="44"/>
        <v>0</v>
      </c>
      <c r="AR87" s="558">
        <f t="shared" si="44"/>
        <v>0</v>
      </c>
      <c r="AS87" s="558">
        <f t="shared" si="44"/>
        <v>0</v>
      </c>
      <c r="AT87" s="558">
        <f t="shared" si="44"/>
        <v>0</v>
      </c>
      <c r="AU87" s="558">
        <f t="shared" si="44"/>
        <v>0</v>
      </c>
      <c r="AV87" s="558">
        <f t="shared" si="44"/>
        <v>0</v>
      </c>
      <c r="AW87" s="558">
        <f t="shared" si="44"/>
        <v>0</v>
      </c>
      <c r="AX87" s="558">
        <f t="shared" si="44"/>
        <v>0</v>
      </c>
      <c r="AY87" s="511"/>
      <c r="AZ87" s="511"/>
      <c r="BA87" s="558">
        <f>SUM(BA88:BA89)</f>
        <v>0</v>
      </c>
      <c r="BB87" s="511"/>
      <c r="BC87" s="558">
        <f>SUM(BC88:BC89)</f>
        <v>0</v>
      </c>
      <c r="BD87" s="558">
        <f>SUM(BD88:BD89)</f>
        <v>0</v>
      </c>
      <c r="BE87" s="511"/>
      <c r="BF87" s="511"/>
      <c r="BG87" s="558">
        <f t="shared" ref="BG87:BL87" si="45">SUM(BG88:BG89)</f>
        <v>0</v>
      </c>
      <c r="BH87" s="558">
        <f t="shared" si="45"/>
        <v>0</v>
      </c>
      <c r="BI87" s="558">
        <f t="shared" si="45"/>
        <v>0</v>
      </c>
      <c r="BJ87" s="558">
        <f t="shared" si="45"/>
        <v>0</v>
      </c>
      <c r="BK87" s="558">
        <f t="shared" si="45"/>
        <v>0</v>
      </c>
      <c r="BL87" s="558">
        <f t="shared" si="45"/>
        <v>0</v>
      </c>
      <c r="BM87" s="511"/>
      <c r="BN87" s="511"/>
      <c r="BO87" s="511"/>
      <c r="BP87" s="511"/>
      <c r="BQ87" s="511"/>
      <c r="BR87" s="511"/>
      <c r="BS87" s="511"/>
      <c r="BT87" s="511"/>
      <c r="BU87" s="583"/>
      <c r="BV87" s="583"/>
      <c r="BW87" s="581">
        <f t="shared" ref="BW87:CB87" si="46">SUM(BW88:BW89)</f>
        <v>0</v>
      </c>
      <c r="BX87" s="581">
        <f t="shared" si="46"/>
        <v>0</v>
      </c>
      <c r="BY87" s="581">
        <f t="shared" si="46"/>
        <v>0</v>
      </c>
      <c r="BZ87" s="581">
        <f t="shared" si="46"/>
        <v>0</v>
      </c>
      <c r="CA87" s="581">
        <f t="shared" si="46"/>
        <v>0</v>
      </c>
      <c r="CB87" s="581">
        <f t="shared" si="46"/>
        <v>0</v>
      </c>
      <c r="CC87" s="558">
        <f t="shared" si="29"/>
        <v>0</v>
      </c>
      <c r="CD87" s="583"/>
      <c r="CE87" s="583"/>
      <c r="CF87" s="583"/>
      <c r="CG87" s="583"/>
      <c r="CH87" s="583"/>
      <c r="CI87" s="584" t="s">
        <v>638</v>
      </c>
    </row>
    <row r="88" spans="1:87" s="398" customFormat="1" ht="0" hidden="1" customHeight="1" outlineLevel="1">
      <c r="A88" s="559" t="s">
        <v>483</v>
      </c>
      <c r="B88" s="562"/>
      <c r="C88" s="558">
        <f>D88+E88</f>
        <v>0</v>
      </c>
      <c r="D88" s="561"/>
      <c r="E88" s="511"/>
      <c r="F88" s="561"/>
      <c r="G88" s="561"/>
      <c r="H88" s="561"/>
      <c r="I88" s="568">
        <f t="shared" si="38"/>
        <v>0</v>
      </c>
      <c r="J88" s="511"/>
      <c r="K88" s="511"/>
      <c r="L88" s="511"/>
      <c r="M88" s="561"/>
      <c r="N88" s="561"/>
      <c r="O88" s="558">
        <f t="shared" si="39"/>
        <v>0</v>
      </c>
      <c r="P88" s="561"/>
      <c r="Q88" s="561"/>
      <c r="R88" s="561"/>
      <c r="S88" s="561"/>
      <c r="T88" s="561"/>
      <c r="U88" s="561"/>
      <c r="V88" s="561"/>
      <c r="W88" s="561"/>
      <c r="X88" s="561"/>
      <c r="Y88" s="561"/>
      <c r="Z88" s="561"/>
      <c r="AA88" s="561"/>
      <c r="AB88" s="558">
        <f>Y88+AA88</f>
        <v>0</v>
      </c>
      <c r="AC88" s="558">
        <f>X88*Y88+Z88*AA88</f>
        <v>0</v>
      </c>
      <c r="AD88" s="511"/>
      <c r="AE88" s="561"/>
      <c r="AF88" s="561"/>
      <c r="AG88" s="561"/>
      <c r="AH88" s="561"/>
      <c r="AI88" s="511"/>
      <c r="AJ88" s="511"/>
      <c r="AK88" s="511"/>
      <c r="AL88" s="511"/>
      <c r="AM88" s="511"/>
      <c r="AN88" s="511"/>
      <c r="AO88" s="561"/>
      <c r="AP88" s="558">
        <f>SUM(AD88:AO88)</f>
        <v>0</v>
      </c>
      <c r="AQ88" s="561"/>
      <c r="AR88" s="561"/>
      <c r="AS88" s="561"/>
      <c r="AT88" s="561"/>
      <c r="AU88" s="558">
        <f>SUM(AQ88:AS88)</f>
        <v>0</v>
      </c>
      <c r="AV88" s="558">
        <f>SUM(AX88:AZ88)</f>
        <v>0</v>
      </c>
      <c r="AW88" s="561"/>
      <c r="AX88" s="561"/>
      <c r="AY88" s="511"/>
      <c r="AZ88" s="511"/>
      <c r="BA88" s="561"/>
      <c r="BB88" s="511"/>
      <c r="BC88" s="561"/>
      <c r="BD88" s="561"/>
      <c r="BE88" s="511"/>
      <c r="BF88" s="511"/>
      <c r="BG88" s="561"/>
      <c r="BH88" s="561"/>
      <c r="BI88" s="561"/>
      <c r="BJ88" s="561"/>
      <c r="BK88" s="561"/>
      <c r="BL88" s="558">
        <f>SUM(BE88:BK88)</f>
        <v>0</v>
      </c>
      <c r="BM88" s="511"/>
      <c r="BN88" s="511"/>
      <c r="BO88" s="511"/>
      <c r="BP88" s="511"/>
      <c r="BQ88" s="511"/>
      <c r="BR88" s="511"/>
      <c r="BS88" s="511"/>
      <c r="BT88" s="511"/>
      <c r="BU88" s="583"/>
      <c r="BV88" s="583"/>
      <c r="BW88" s="582"/>
      <c r="BX88" s="582"/>
      <c r="BY88" s="582"/>
      <c r="BZ88" s="582"/>
      <c r="CA88" s="582"/>
      <c r="CB88" s="581">
        <f>SUM(BW88:CA88)</f>
        <v>0</v>
      </c>
      <c r="CC88" s="558">
        <f t="shared" si="29"/>
        <v>0</v>
      </c>
      <c r="CD88" s="583"/>
      <c r="CE88" s="583"/>
      <c r="CF88" s="583"/>
      <c r="CG88" s="583"/>
      <c r="CH88" s="583"/>
      <c r="CI88" s="584" t="s">
        <v>639</v>
      </c>
    </row>
    <row r="89" spans="1:87" s="398" customFormat="1" ht="0" hidden="1" customHeight="1" outlineLevel="1">
      <c r="A89" s="559" t="s">
        <v>483</v>
      </c>
      <c r="B89" s="562"/>
      <c r="C89" s="558">
        <f>D89+E89</f>
        <v>0</v>
      </c>
      <c r="D89" s="561"/>
      <c r="E89" s="511"/>
      <c r="F89" s="561"/>
      <c r="G89" s="561"/>
      <c r="H89" s="561"/>
      <c r="I89" s="568">
        <f t="shared" si="38"/>
        <v>0</v>
      </c>
      <c r="J89" s="511"/>
      <c r="K89" s="511"/>
      <c r="L89" s="511"/>
      <c r="M89" s="561"/>
      <c r="N89" s="561"/>
      <c r="O89" s="558">
        <f t="shared" si="39"/>
        <v>0</v>
      </c>
      <c r="P89" s="561"/>
      <c r="Q89" s="561"/>
      <c r="R89" s="561"/>
      <c r="S89" s="561"/>
      <c r="T89" s="561"/>
      <c r="U89" s="561"/>
      <c r="V89" s="561"/>
      <c r="W89" s="561"/>
      <c r="X89" s="561"/>
      <c r="Y89" s="561"/>
      <c r="Z89" s="561"/>
      <c r="AA89" s="561"/>
      <c r="AB89" s="558">
        <f>Y89+AA89</f>
        <v>0</v>
      </c>
      <c r="AC89" s="558">
        <f>X89*Y89+Z89*AA89</f>
        <v>0</v>
      </c>
      <c r="AD89" s="511"/>
      <c r="AE89" s="561"/>
      <c r="AF89" s="561"/>
      <c r="AG89" s="561"/>
      <c r="AH89" s="561"/>
      <c r="AI89" s="511"/>
      <c r="AJ89" s="511"/>
      <c r="AK89" s="511"/>
      <c r="AL89" s="511"/>
      <c r="AM89" s="511"/>
      <c r="AN89" s="511"/>
      <c r="AO89" s="561"/>
      <c r="AP89" s="558">
        <f>SUM(AD89:AO89)</f>
        <v>0</v>
      </c>
      <c r="AQ89" s="561"/>
      <c r="AR89" s="561"/>
      <c r="AS89" s="561"/>
      <c r="AT89" s="561"/>
      <c r="AU89" s="558">
        <f>SUM(AQ89:AS89)</f>
        <v>0</v>
      </c>
      <c r="AV89" s="558">
        <f>SUM(AX89:AZ89)</f>
        <v>0</v>
      </c>
      <c r="AW89" s="561"/>
      <c r="AX89" s="561"/>
      <c r="AY89" s="511"/>
      <c r="AZ89" s="511"/>
      <c r="BA89" s="561"/>
      <c r="BB89" s="511"/>
      <c r="BC89" s="561"/>
      <c r="BD89" s="561"/>
      <c r="BE89" s="511"/>
      <c r="BF89" s="511"/>
      <c r="BG89" s="561"/>
      <c r="BH89" s="561"/>
      <c r="BI89" s="561"/>
      <c r="BJ89" s="561"/>
      <c r="BK89" s="561"/>
      <c r="BL89" s="558">
        <f>SUM(BE89:BK89)</f>
        <v>0</v>
      </c>
      <c r="BM89" s="511"/>
      <c r="BN89" s="511"/>
      <c r="BO89" s="511"/>
      <c r="BP89" s="511"/>
      <c r="BQ89" s="511"/>
      <c r="BR89" s="511"/>
      <c r="BS89" s="511"/>
      <c r="BT89" s="511"/>
      <c r="BU89" s="583"/>
      <c r="BV89" s="583"/>
      <c r="BW89" s="582"/>
      <c r="BX89" s="582"/>
      <c r="BY89" s="582"/>
      <c r="BZ89" s="582"/>
      <c r="CA89" s="582"/>
      <c r="CB89" s="581">
        <f>SUM(BW89:CA89)</f>
        <v>0</v>
      </c>
      <c r="CC89" s="558">
        <f t="shared" si="29"/>
        <v>0</v>
      </c>
      <c r="CD89" s="583"/>
      <c r="CE89" s="583"/>
      <c r="CF89" s="583"/>
      <c r="CG89" s="583"/>
      <c r="CH89" s="583"/>
      <c r="CI89" s="584" t="s">
        <v>640</v>
      </c>
    </row>
    <row r="90" spans="1:87" s="398" customFormat="1" ht="0" hidden="1" customHeight="1" outlineLevel="1">
      <c r="A90" s="556" t="s">
        <v>480</v>
      </c>
      <c r="B90" s="566" t="s">
        <v>641</v>
      </c>
      <c r="C90" s="558">
        <f>SUM(C91:C92)</f>
        <v>0</v>
      </c>
      <c r="D90" s="558">
        <f>SUM(D91:D92)</f>
        <v>0</v>
      </c>
      <c r="E90" s="511"/>
      <c r="F90" s="558">
        <f>SUM(F91:F92)</f>
        <v>0</v>
      </c>
      <c r="G90" s="558">
        <f>SUM(G91:G92)</f>
        <v>0</v>
      </c>
      <c r="H90" s="558">
        <f>SUM(H91:H92)</f>
        <v>0</v>
      </c>
      <c r="I90" s="568">
        <f t="shared" si="38"/>
        <v>0</v>
      </c>
      <c r="J90" s="511"/>
      <c r="K90" s="511"/>
      <c r="L90" s="511"/>
      <c r="M90" s="558">
        <f>SUM(M91:M92)</f>
        <v>0</v>
      </c>
      <c r="N90" s="558">
        <f>SUM(N91:N92)</f>
        <v>0</v>
      </c>
      <c r="O90" s="558">
        <f t="shared" si="39"/>
        <v>0</v>
      </c>
      <c r="P90" s="558">
        <f>SUM(P91:P92)</f>
        <v>0</v>
      </c>
      <c r="Q90" s="558">
        <f>IFERROR(SUMPRODUCT(Q91:Q92,$C91:$C92)/$C90,0)</f>
        <v>0</v>
      </c>
      <c r="R90" s="558">
        <f>IFERROR(SUMPRODUCT(R91:R92,$C91:$C92)/$C90,0)</f>
        <v>0</v>
      </c>
      <c r="S90" s="558">
        <f t="shared" ref="S90:AC90" si="47">SUM(S91:S92)</f>
        <v>0</v>
      </c>
      <c r="T90" s="558">
        <f t="shared" si="47"/>
        <v>0</v>
      </c>
      <c r="U90" s="558">
        <f t="shared" si="47"/>
        <v>0</v>
      </c>
      <c r="V90" s="558">
        <f t="shared" si="47"/>
        <v>0</v>
      </c>
      <c r="W90" s="558">
        <f t="shared" si="47"/>
        <v>0</v>
      </c>
      <c r="X90" s="558">
        <f t="shared" si="47"/>
        <v>0</v>
      </c>
      <c r="Y90" s="558">
        <f t="shared" si="47"/>
        <v>0</v>
      </c>
      <c r="Z90" s="558">
        <f t="shared" si="47"/>
        <v>0</v>
      </c>
      <c r="AA90" s="558">
        <f t="shared" si="47"/>
        <v>0</v>
      </c>
      <c r="AB90" s="558">
        <f t="shared" si="47"/>
        <v>0</v>
      </c>
      <c r="AC90" s="558">
        <f t="shared" si="47"/>
        <v>0</v>
      </c>
      <c r="AD90" s="511"/>
      <c r="AE90" s="558">
        <f>SUM(AE91:AE92)</f>
        <v>0</v>
      </c>
      <c r="AF90" s="558">
        <f>SUM(AF91:AF92)</f>
        <v>0</v>
      </c>
      <c r="AG90" s="558">
        <f>SUM(AG91:AG92)</f>
        <v>0</v>
      </c>
      <c r="AH90" s="558">
        <f>SUM(AH91:AH92)</f>
        <v>0</v>
      </c>
      <c r="AI90" s="511"/>
      <c r="AJ90" s="511"/>
      <c r="AK90" s="511"/>
      <c r="AL90" s="511"/>
      <c r="AM90" s="511"/>
      <c r="AN90" s="511"/>
      <c r="AO90" s="558">
        <f t="shared" ref="AO90:AX90" si="48">SUM(AO91:AO92)</f>
        <v>0</v>
      </c>
      <c r="AP90" s="558">
        <f t="shared" si="48"/>
        <v>0</v>
      </c>
      <c r="AQ90" s="558">
        <f t="shared" si="48"/>
        <v>0</v>
      </c>
      <c r="AR90" s="558">
        <f t="shared" si="48"/>
        <v>0</v>
      </c>
      <c r="AS90" s="558">
        <f t="shared" si="48"/>
        <v>0</v>
      </c>
      <c r="AT90" s="558">
        <f t="shared" si="48"/>
        <v>0</v>
      </c>
      <c r="AU90" s="558">
        <f t="shared" si="48"/>
        <v>0</v>
      </c>
      <c r="AV90" s="558">
        <f t="shared" si="48"/>
        <v>0</v>
      </c>
      <c r="AW90" s="558">
        <f t="shared" si="48"/>
        <v>0</v>
      </c>
      <c r="AX90" s="558">
        <f t="shared" si="48"/>
        <v>0</v>
      </c>
      <c r="AY90" s="511"/>
      <c r="AZ90" s="511"/>
      <c r="BA90" s="558">
        <f>SUM(BA91:BA92)</f>
        <v>0</v>
      </c>
      <c r="BB90" s="511"/>
      <c r="BC90" s="558">
        <f>SUM(BC91:BC92)</f>
        <v>0</v>
      </c>
      <c r="BD90" s="558">
        <f>SUM(BD91:BD92)</f>
        <v>0</v>
      </c>
      <c r="BE90" s="511"/>
      <c r="BF90" s="511"/>
      <c r="BG90" s="558">
        <f t="shared" ref="BG90:BL90" si="49">SUM(BG91:BG92)</f>
        <v>0</v>
      </c>
      <c r="BH90" s="558">
        <f t="shared" si="49"/>
        <v>0</v>
      </c>
      <c r="BI90" s="558">
        <f t="shared" si="49"/>
        <v>0</v>
      </c>
      <c r="BJ90" s="558">
        <f t="shared" si="49"/>
        <v>0</v>
      </c>
      <c r="BK90" s="558">
        <f t="shared" si="49"/>
        <v>0</v>
      </c>
      <c r="BL90" s="558">
        <f t="shared" si="49"/>
        <v>0</v>
      </c>
      <c r="BM90" s="511"/>
      <c r="BN90" s="511"/>
      <c r="BO90" s="511"/>
      <c r="BP90" s="511"/>
      <c r="BQ90" s="511"/>
      <c r="BR90" s="511"/>
      <c r="BS90" s="511"/>
      <c r="BT90" s="511"/>
      <c r="BU90" s="583"/>
      <c r="BV90" s="583"/>
      <c r="BW90" s="581">
        <f t="shared" ref="BW90:CB90" si="50">SUM(BW91:BW92)</f>
        <v>0</v>
      </c>
      <c r="BX90" s="581">
        <f t="shared" si="50"/>
        <v>0</v>
      </c>
      <c r="BY90" s="581">
        <f t="shared" si="50"/>
        <v>0</v>
      </c>
      <c r="BZ90" s="581">
        <f t="shared" si="50"/>
        <v>0</v>
      </c>
      <c r="CA90" s="581">
        <f t="shared" si="50"/>
        <v>0</v>
      </c>
      <c r="CB90" s="581">
        <f t="shared" si="50"/>
        <v>0</v>
      </c>
      <c r="CC90" s="558">
        <f t="shared" si="29"/>
        <v>0</v>
      </c>
      <c r="CD90" s="583"/>
      <c r="CE90" s="583"/>
      <c r="CF90" s="583"/>
      <c r="CG90" s="583"/>
      <c r="CH90" s="583"/>
      <c r="CI90" s="584" t="s">
        <v>642</v>
      </c>
    </row>
    <row r="91" spans="1:87" s="398" customFormat="1" ht="0" hidden="1" customHeight="1" outlineLevel="1">
      <c r="A91" s="559" t="s">
        <v>483</v>
      </c>
      <c r="B91" s="562"/>
      <c r="C91" s="558">
        <f>D91+E91</f>
        <v>0</v>
      </c>
      <c r="D91" s="561"/>
      <c r="E91" s="511"/>
      <c r="F91" s="561"/>
      <c r="G91" s="561"/>
      <c r="H91" s="561"/>
      <c r="I91" s="568">
        <f t="shared" si="38"/>
        <v>0</v>
      </c>
      <c r="J91" s="511"/>
      <c r="K91" s="511"/>
      <c r="L91" s="511"/>
      <c r="M91" s="561"/>
      <c r="N91" s="561"/>
      <c r="O91" s="558">
        <f t="shared" si="39"/>
        <v>0</v>
      </c>
      <c r="P91" s="561"/>
      <c r="Q91" s="561"/>
      <c r="R91" s="561"/>
      <c r="S91" s="561"/>
      <c r="T91" s="561"/>
      <c r="U91" s="561"/>
      <c r="V91" s="561"/>
      <c r="W91" s="561"/>
      <c r="X91" s="561"/>
      <c r="Y91" s="561"/>
      <c r="Z91" s="561"/>
      <c r="AA91" s="561"/>
      <c r="AB91" s="558">
        <f>Y91+AA91</f>
        <v>0</v>
      </c>
      <c r="AC91" s="558">
        <f>X91*Y91+Z91*AA91</f>
        <v>0</v>
      </c>
      <c r="AD91" s="511"/>
      <c r="AE91" s="561"/>
      <c r="AF91" s="561"/>
      <c r="AG91" s="561"/>
      <c r="AH91" s="561"/>
      <c r="AI91" s="511"/>
      <c r="AJ91" s="511"/>
      <c r="AK91" s="511"/>
      <c r="AL91" s="511"/>
      <c r="AM91" s="511"/>
      <c r="AN91" s="511"/>
      <c r="AO91" s="561"/>
      <c r="AP91" s="558">
        <f>SUM(AD91:AO91)</f>
        <v>0</v>
      </c>
      <c r="AQ91" s="561"/>
      <c r="AR91" s="561"/>
      <c r="AS91" s="561"/>
      <c r="AT91" s="561"/>
      <c r="AU91" s="558">
        <f>SUM(AQ91:AS91)</f>
        <v>0</v>
      </c>
      <c r="AV91" s="558">
        <f>SUM(AX91:AZ91)</f>
        <v>0</v>
      </c>
      <c r="AW91" s="561"/>
      <c r="AX91" s="561"/>
      <c r="AY91" s="511"/>
      <c r="AZ91" s="511"/>
      <c r="BA91" s="561"/>
      <c r="BB91" s="511"/>
      <c r="BC91" s="561"/>
      <c r="BD91" s="561"/>
      <c r="BE91" s="511"/>
      <c r="BF91" s="511"/>
      <c r="BG91" s="561"/>
      <c r="BH91" s="561"/>
      <c r="BI91" s="561"/>
      <c r="BJ91" s="561"/>
      <c r="BK91" s="561"/>
      <c r="BL91" s="558">
        <f>SUM(BE91:BK91)</f>
        <v>0</v>
      </c>
      <c r="BM91" s="511"/>
      <c r="BN91" s="511"/>
      <c r="BO91" s="511"/>
      <c r="BP91" s="511"/>
      <c r="BQ91" s="511"/>
      <c r="BR91" s="511"/>
      <c r="BS91" s="511"/>
      <c r="BT91" s="511"/>
      <c r="BU91" s="583"/>
      <c r="BV91" s="583"/>
      <c r="BW91" s="582"/>
      <c r="BX91" s="582"/>
      <c r="BY91" s="582"/>
      <c r="BZ91" s="582"/>
      <c r="CA91" s="582"/>
      <c r="CB91" s="581">
        <f>SUM(BW91:CA91)</f>
        <v>0</v>
      </c>
      <c r="CC91" s="558">
        <f t="shared" si="29"/>
        <v>0</v>
      </c>
      <c r="CD91" s="583"/>
      <c r="CE91" s="583"/>
      <c r="CF91" s="583"/>
      <c r="CG91" s="583"/>
      <c r="CH91" s="583"/>
      <c r="CI91" s="584" t="s">
        <v>643</v>
      </c>
    </row>
    <row r="92" spans="1:87" s="398" customFormat="1" ht="0" hidden="1" customHeight="1" outlineLevel="1">
      <c r="A92" s="559" t="s">
        <v>483</v>
      </c>
      <c r="B92" s="562"/>
      <c r="C92" s="558">
        <f>D92+E92</f>
        <v>0</v>
      </c>
      <c r="D92" s="561"/>
      <c r="E92" s="511"/>
      <c r="F92" s="561"/>
      <c r="G92" s="561"/>
      <c r="H92" s="561"/>
      <c r="I92" s="568">
        <f t="shared" si="38"/>
        <v>0</v>
      </c>
      <c r="J92" s="511"/>
      <c r="K92" s="511"/>
      <c r="L92" s="511"/>
      <c r="M92" s="561"/>
      <c r="N92" s="561"/>
      <c r="O92" s="558">
        <f t="shared" si="39"/>
        <v>0</v>
      </c>
      <c r="P92" s="561"/>
      <c r="Q92" s="561"/>
      <c r="R92" s="561"/>
      <c r="S92" s="561"/>
      <c r="T92" s="561"/>
      <c r="U92" s="561"/>
      <c r="V92" s="561"/>
      <c r="W92" s="561"/>
      <c r="X92" s="561"/>
      <c r="Y92" s="561"/>
      <c r="Z92" s="561"/>
      <c r="AA92" s="561"/>
      <c r="AB92" s="558">
        <f>Y92+AA92</f>
        <v>0</v>
      </c>
      <c r="AC92" s="558">
        <f>X92*Y92+Z92*AA92</f>
        <v>0</v>
      </c>
      <c r="AD92" s="511"/>
      <c r="AE92" s="561"/>
      <c r="AF92" s="561"/>
      <c r="AG92" s="561"/>
      <c r="AH92" s="561"/>
      <c r="AI92" s="511"/>
      <c r="AJ92" s="511"/>
      <c r="AK92" s="511"/>
      <c r="AL92" s="511"/>
      <c r="AM92" s="511"/>
      <c r="AN92" s="511"/>
      <c r="AO92" s="561"/>
      <c r="AP92" s="558">
        <f>SUM(AD92:AO92)</f>
        <v>0</v>
      </c>
      <c r="AQ92" s="561"/>
      <c r="AR92" s="561"/>
      <c r="AS92" s="561"/>
      <c r="AT92" s="561"/>
      <c r="AU92" s="558">
        <f>SUM(AQ92:AS92)</f>
        <v>0</v>
      </c>
      <c r="AV92" s="558">
        <f>SUM(AX92:AZ92)</f>
        <v>0</v>
      </c>
      <c r="AW92" s="561"/>
      <c r="AX92" s="561"/>
      <c r="AY92" s="511"/>
      <c r="AZ92" s="511"/>
      <c r="BA92" s="561"/>
      <c r="BB92" s="511"/>
      <c r="BC92" s="561"/>
      <c r="BD92" s="561"/>
      <c r="BE92" s="511"/>
      <c r="BF92" s="511"/>
      <c r="BG92" s="561"/>
      <c r="BH92" s="561"/>
      <c r="BI92" s="561"/>
      <c r="BJ92" s="561"/>
      <c r="BK92" s="561"/>
      <c r="BL92" s="558">
        <f>SUM(BE92:BK92)</f>
        <v>0</v>
      </c>
      <c r="BM92" s="511"/>
      <c r="BN92" s="511"/>
      <c r="BO92" s="511"/>
      <c r="BP92" s="511"/>
      <c r="BQ92" s="511"/>
      <c r="BR92" s="511"/>
      <c r="BS92" s="511"/>
      <c r="BT92" s="511"/>
      <c r="BU92" s="583"/>
      <c r="BV92" s="583"/>
      <c r="BW92" s="582"/>
      <c r="BX92" s="582"/>
      <c r="BY92" s="582"/>
      <c r="BZ92" s="582"/>
      <c r="CA92" s="582"/>
      <c r="CB92" s="581">
        <f>SUM(BW92:CA92)</f>
        <v>0</v>
      </c>
      <c r="CC92" s="558">
        <f t="shared" si="29"/>
        <v>0</v>
      </c>
      <c r="CD92" s="583"/>
      <c r="CE92" s="583"/>
      <c r="CF92" s="583"/>
      <c r="CG92" s="583"/>
      <c r="CH92" s="583"/>
      <c r="CI92" s="584" t="s">
        <v>644</v>
      </c>
    </row>
    <row r="93" spans="1:87" s="398" customFormat="1" ht="0" hidden="1" customHeight="1" outlineLevel="1">
      <c r="A93" s="556" t="s">
        <v>480</v>
      </c>
      <c r="B93" s="566" t="s">
        <v>645</v>
      </c>
      <c r="C93" s="558">
        <f>SUM(C94:C95)</f>
        <v>0</v>
      </c>
      <c r="D93" s="558">
        <f>SUM(D94:D95)</f>
        <v>0</v>
      </c>
      <c r="E93" s="511"/>
      <c r="F93" s="558">
        <f>SUM(F94:F95)</f>
        <v>0</v>
      </c>
      <c r="G93" s="558">
        <f>SUM(G94:G95)</f>
        <v>0</v>
      </c>
      <c r="H93" s="511"/>
      <c r="I93" s="511"/>
      <c r="J93" s="511"/>
      <c r="K93" s="511"/>
      <c r="L93" s="511"/>
      <c r="M93" s="511"/>
      <c r="N93" s="511"/>
      <c r="O93" s="511"/>
      <c r="P93" s="511"/>
      <c r="Q93" s="558">
        <f>IFERROR(SUMPRODUCT(Q94:Q95,$C94:$C95)/$C93,0)</f>
        <v>0</v>
      </c>
      <c r="R93" s="558">
        <f>IFERROR(SUMPRODUCT(R94:R95,$C94:$C95)/$C93,0)</f>
        <v>0</v>
      </c>
      <c r="S93" s="558">
        <f t="shared" ref="S93:AC93" si="51">SUM(S94:S95)</f>
        <v>0</v>
      </c>
      <c r="T93" s="558">
        <f t="shared" si="51"/>
        <v>0</v>
      </c>
      <c r="U93" s="558">
        <f t="shared" si="51"/>
        <v>0</v>
      </c>
      <c r="V93" s="558">
        <f t="shared" si="51"/>
        <v>0</v>
      </c>
      <c r="W93" s="558">
        <f t="shared" si="51"/>
        <v>0</v>
      </c>
      <c r="X93" s="558">
        <f t="shared" si="51"/>
        <v>0</v>
      </c>
      <c r="Y93" s="558">
        <f t="shared" si="51"/>
        <v>0</v>
      </c>
      <c r="Z93" s="558">
        <f t="shared" si="51"/>
        <v>0</v>
      </c>
      <c r="AA93" s="558">
        <f t="shared" si="51"/>
        <v>0</v>
      </c>
      <c r="AB93" s="558">
        <f t="shared" si="51"/>
        <v>0</v>
      </c>
      <c r="AC93" s="558">
        <f t="shared" si="51"/>
        <v>0</v>
      </c>
      <c r="AD93" s="511"/>
      <c r="AE93" s="558">
        <f t="shared" ref="AE93:AX93" si="52">SUM(AE94:AE95)</f>
        <v>0</v>
      </c>
      <c r="AF93" s="558">
        <f t="shared" si="52"/>
        <v>0</v>
      </c>
      <c r="AG93" s="558">
        <f t="shared" si="52"/>
        <v>0</v>
      </c>
      <c r="AH93" s="558">
        <f t="shared" si="52"/>
        <v>0</v>
      </c>
      <c r="AI93" s="558">
        <f t="shared" si="52"/>
        <v>0</v>
      </c>
      <c r="AJ93" s="558">
        <f t="shared" si="52"/>
        <v>0</v>
      </c>
      <c r="AK93" s="558">
        <f t="shared" si="52"/>
        <v>0</v>
      </c>
      <c r="AL93" s="558">
        <f t="shared" si="52"/>
        <v>0</v>
      </c>
      <c r="AM93" s="558">
        <f t="shared" si="52"/>
        <v>0</v>
      </c>
      <c r="AN93" s="558">
        <f t="shared" si="52"/>
        <v>0</v>
      </c>
      <c r="AO93" s="558">
        <f t="shared" si="52"/>
        <v>0</v>
      </c>
      <c r="AP93" s="558">
        <f t="shared" si="52"/>
        <v>0</v>
      </c>
      <c r="AQ93" s="558">
        <f t="shared" si="52"/>
        <v>0</v>
      </c>
      <c r="AR93" s="558">
        <f t="shared" si="52"/>
        <v>0</v>
      </c>
      <c r="AS93" s="558">
        <f t="shared" si="52"/>
        <v>0</v>
      </c>
      <c r="AT93" s="558">
        <f t="shared" si="52"/>
        <v>0</v>
      </c>
      <c r="AU93" s="558">
        <f t="shared" si="52"/>
        <v>0</v>
      </c>
      <c r="AV93" s="558">
        <f t="shared" si="52"/>
        <v>0</v>
      </c>
      <c r="AW93" s="558">
        <f t="shared" si="52"/>
        <v>0</v>
      </c>
      <c r="AX93" s="558">
        <f t="shared" si="52"/>
        <v>0</v>
      </c>
      <c r="AY93" s="511"/>
      <c r="AZ93" s="511"/>
      <c r="BA93" s="558">
        <f>SUM(BA94:BA95)</f>
        <v>0</v>
      </c>
      <c r="BB93" s="511"/>
      <c r="BC93" s="511"/>
      <c r="BD93" s="511"/>
      <c r="BE93" s="511"/>
      <c r="BF93" s="511"/>
      <c r="BG93" s="511"/>
      <c r="BH93" s="511"/>
      <c r="BI93" s="511"/>
      <c r="BJ93" s="511"/>
      <c r="BK93" s="511"/>
      <c r="BL93" s="558">
        <f t="shared" ref="BL93:CB93" si="53">SUM(BL94:BL95)</f>
        <v>0</v>
      </c>
      <c r="BM93" s="558">
        <f t="shared" si="53"/>
        <v>0</v>
      </c>
      <c r="BN93" s="581">
        <f t="shared" si="53"/>
        <v>0</v>
      </c>
      <c r="BO93" s="558">
        <f t="shared" si="53"/>
        <v>0</v>
      </c>
      <c r="BP93" s="581">
        <f t="shared" si="53"/>
        <v>0</v>
      </c>
      <c r="BQ93" s="558">
        <f t="shared" si="53"/>
        <v>0</v>
      </c>
      <c r="BR93" s="581">
        <f t="shared" si="53"/>
        <v>0</v>
      </c>
      <c r="BS93" s="558">
        <f t="shared" si="53"/>
        <v>0</v>
      </c>
      <c r="BT93" s="581">
        <f t="shared" si="53"/>
        <v>0</v>
      </c>
      <c r="BU93" s="581">
        <f t="shared" si="53"/>
        <v>0</v>
      </c>
      <c r="BV93" s="581">
        <f t="shared" si="53"/>
        <v>0</v>
      </c>
      <c r="BW93" s="581">
        <f t="shared" si="53"/>
        <v>0</v>
      </c>
      <c r="BX93" s="581">
        <f t="shared" si="53"/>
        <v>0</v>
      </c>
      <c r="BY93" s="581">
        <f t="shared" si="53"/>
        <v>0</v>
      </c>
      <c r="BZ93" s="581">
        <f t="shared" si="53"/>
        <v>0</v>
      </c>
      <c r="CA93" s="581">
        <f t="shared" si="53"/>
        <v>0</v>
      </c>
      <c r="CB93" s="581">
        <f t="shared" si="53"/>
        <v>0</v>
      </c>
      <c r="CC93" s="558">
        <f t="shared" si="29"/>
        <v>0</v>
      </c>
      <c r="CD93" s="583"/>
      <c r="CE93" s="583"/>
      <c r="CF93" s="583"/>
      <c r="CG93" s="583"/>
      <c r="CH93" s="583"/>
      <c r="CI93" s="584" t="s">
        <v>646</v>
      </c>
    </row>
    <row r="94" spans="1:87" s="398" customFormat="1" ht="0" hidden="1" customHeight="1" outlineLevel="1">
      <c r="A94" s="559" t="s">
        <v>483</v>
      </c>
      <c r="B94" s="562"/>
      <c r="C94" s="558">
        <f>D94+E94</f>
        <v>0</v>
      </c>
      <c r="D94" s="561"/>
      <c r="E94" s="511"/>
      <c r="F94" s="561"/>
      <c r="G94" s="561"/>
      <c r="H94" s="511"/>
      <c r="I94" s="511"/>
      <c r="J94" s="511"/>
      <c r="K94" s="511"/>
      <c r="L94" s="511"/>
      <c r="M94" s="511"/>
      <c r="N94" s="511"/>
      <c r="O94" s="511"/>
      <c r="P94" s="511"/>
      <c r="Q94" s="561"/>
      <c r="R94" s="561"/>
      <c r="S94" s="561"/>
      <c r="T94" s="561"/>
      <c r="U94" s="561"/>
      <c r="V94" s="561"/>
      <c r="W94" s="561"/>
      <c r="X94" s="561"/>
      <c r="Y94" s="561"/>
      <c r="Z94" s="561"/>
      <c r="AA94" s="561"/>
      <c r="AB94" s="558">
        <f>Y94+AA94</f>
        <v>0</v>
      </c>
      <c r="AC94" s="558">
        <f>X94*Y94+Z94*AA94</f>
        <v>0</v>
      </c>
      <c r="AD94" s="511"/>
      <c r="AE94" s="561"/>
      <c r="AF94" s="561"/>
      <c r="AG94" s="561"/>
      <c r="AH94" s="561"/>
      <c r="AI94" s="561"/>
      <c r="AJ94" s="561"/>
      <c r="AK94" s="561"/>
      <c r="AL94" s="561"/>
      <c r="AM94" s="561"/>
      <c r="AN94" s="561"/>
      <c r="AO94" s="561"/>
      <c r="AP94" s="558">
        <f>SUM(AD94:AO94)</f>
        <v>0</v>
      </c>
      <c r="AQ94" s="561"/>
      <c r="AR94" s="561"/>
      <c r="AS94" s="561"/>
      <c r="AT94" s="561"/>
      <c r="AU94" s="558">
        <f>SUM(AQ94:AS94)</f>
        <v>0</v>
      </c>
      <c r="AV94" s="558">
        <f>SUM(AX94:AZ94)</f>
        <v>0</v>
      </c>
      <c r="AW94" s="561"/>
      <c r="AX94" s="561"/>
      <c r="AY94" s="511"/>
      <c r="AZ94" s="511"/>
      <c r="BA94" s="561"/>
      <c r="BB94" s="511"/>
      <c r="BC94" s="511"/>
      <c r="BD94" s="511"/>
      <c r="BE94" s="511"/>
      <c r="BF94" s="511"/>
      <c r="BG94" s="511"/>
      <c r="BH94" s="511"/>
      <c r="BI94" s="511"/>
      <c r="BJ94" s="511"/>
      <c r="BK94" s="511"/>
      <c r="BL94" s="558">
        <f>SUM(BE94:BK94)</f>
        <v>0</v>
      </c>
      <c r="BM94" s="561"/>
      <c r="BN94" s="561"/>
      <c r="BO94" s="561"/>
      <c r="BP94" s="561"/>
      <c r="BQ94" s="561"/>
      <c r="BR94" s="561"/>
      <c r="BS94" s="561"/>
      <c r="BT94" s="561"/>
      <c r="BU94" s="581">
        <f>BN94+BP94+BR94+BT94</f>
        <v>0</v>
      </c>
      <c r="BV94" s="581">
        <f>BM94*BN94+BO94*BP94+BQ94*BR94+BS94*BT94</f>
        <v>0</v>
      </c>
      <c r="BW94" s="582"/>
      <c r="BX94" s="582"/>
      <c r="BY94" s="582"/>
      <c r="BZ94" s="582"/>
      <c r="CA94" s="582"/>
      <c r="CB94" s="581">
        <f>SUM(BW94:CA94)</f>
        <v>0</v>
      </c>
      <c r="CC94" s="558">
        <f t="shared" si="29"/>
        <v>0</v>
      </c>
      <c r="CD94" s="583"/>
      <c r="CE94" s="583"/>
      <c r="CF94" s="583"/>
      <c r="CG94" s="583"/>
      <c r="CH94" s="583"/>
      <c r="CI94" s="584" t="s">
        <v>647</v>
      </c>
    </row>
    <row r="95" spans="1:87" s="398" customFormat="1" ht="0" hidden="1" customHeight="1" outlineLevel="1">
      <c r="A95" s="559" t="s">
        <v>483</v>
      </c>
      <c r="B95" s="562"/>
      <c r="C95" s="558">
        <f>D95+E95</f>
        <v>0</v>
      </c>
      <c r="D95" s="561"/>
      <c r="E95" s="511"/>
      <c r="F95" s="561"/>
      <c r="G95" s="561"/>
      <c r="H95" s="511"/>
      <c r="I95" s="511"/>
      <c r="J95" s="511"/>
      <c r="K95" s="511"/>
      <c r="L95" s="511"/>
      <c r="M95" s="511"/>
      <c r="N95" s="511"/>
      <c r="O95" s="511"/>
      <c r="P95" s="511"/>
      <c r="Q95" s="561"/>
      <c r="R95" s="561"/>
      <c r="S95" s="561"/>
      <c r="T95" s="561"/>
      <c r="U95" s="561"/>
      <c r="V95" s="561"/>
      <c r="W95" s="561"/>
      <c r="X95" s="561"/>
      <c r="Y95" s="561"/>
      <c r="Z95" s="561"/>
      <c r="AA95" s="561"/>
      <c r="AB95" s="558">
        <f>Y95+AA95</f>
        <v>0</v>
      </c>
      <c r="AC95" s="558">
        <f>X95*Y95+Z95*AA95</f>
        <v>0</v>
      </c>
      <c r="AD95" s="511"/>
      <c r="AE95" s="561"/>
      <c r="AF95" s="561"/>
      <c r="AG95" s="561"/>
      <c r="AH95" s="561"/>
      <c r="AI95" s="561"/>
      <c r="AJ95" s="561"/>
      <c r="AK95" s="561"/>
      <c r="AL95" s="561"/>
      <c r="AM95" s="561"/>
      <c r="AN95" s="561"/>
      <c r="AO95" s="561"/>
      <c r="AP95" s="558">
        <f>SUM(AD95:AO95)</f>
        <v>0</v>
      </c>
      <c r="AQ95" s="561"/>
      <c r="AR95" s="561"/>
      <c r="AS95" s="561"/>
      <c r="AT95" s="561"/>
      <c r="AU95" s="558">
        <f>SUM(AQ95:AS95)</f>
        <v>0</v>
      </c>
      <c r="AV95" s="558">
        <f>SUM(AX95:AZ95)</f>
        <v>0</v>
      </c>
      <c r="AW95" s="561"/>
      <c r="AX95" s="561"/>
      <c r="AY95" s="511"/>
      <c r="AZ95" s="511"/>
      <c r="BA95" s="561"/>
      <c r="BB95" s="511"/>
      <c r="BC95" s="511"/>
      <c r="BD95" s="511"/>
      <c r="BE95" s="511"/>
      <c r="BF95" s="511"/>
      <c r="BG95" s="511"/>
      <c r="BH95" s="511"/>
      <c r="BI95" s="511"/>
      <c r="BJ95" s="511"/>
      <c r="BK95" s="511"/>
      <c r="BL95" s="558">
        <f>SUM(BE95:BK95)</f>
        <v>0</v>
      </c>
      <c r="BM95" s="561"/>
      <c r="BN95" s="561"/>
      <c r="BO95" s="561"/>
      <c r="BP95" s="561"/>
      <c r="BQ95" s="561"/>
      <c r="BR95" s="561"/>
      <c r="BS95" s="561"/>
      <c r="BT95" s="561"/>
      <c r="BU95" s="581">
        <f>BN95+BP95+BR95+BT95</f>
        <v>0</v>
      </c>
      <c r="BV95" s="581">
        <f>BM95*BN95+BO95*BP95+BQ95*BR95+BS95*BT95</f>
        <v>0</v>
      </c>
      <c r="BW95" s="582"/>
      <c r="BX95" s="582"/>
      <c r="BY95" s="582"/>
      <c r="BZ95" s="582"/>
      <c r="CA95" s="582"/>
      <c r="CB95" s="581">
        <f>SUM(BW95:CA95)</f>
        <v>0</v>
      </c>
      <c r="CC95" s="558">
        <f t="shared" si="29"/>
        <v>0</v>
      </c>
      <c r="CD95" s="583"/>
      <c r="CE95" s="583"/>
      <c r="CF95" s="583"/>
      <c r="CG95" s="583"/>
      <c r="CH95" s="583"/>
      <c r="CI95" s="584" t="s">
        <v>648</v>
      </c>
    </row>
    <row r="96" spans="1:87" s="398" customFormat="1" ht="17.25" customHeight="1" outlineLevel="1">
      <c r="A96" s="556"/>
      <c r="B96" s="567" t="s">
        <v>649</v>
      </c>
      <c r="C96" s="558">
        <f>C72+C75+C78+C81+C84+C87+C93+C90</f>
        <v>0</v>
      </c>
      <c r="D96" s="558">
        <f>D72+D75+D78+D81+D84+D87+D93+D90</f>
        <v>0</v>
      </c>
      <c r="E96" s="558">
        <f>E72+E75+E78+E81+E84+E87+E93+E90</f>
        <v>0</v>
      </c>
      <c r="F96" s="511"/>
      <c r="G96" s="511"/>
      <c r="H96" s="558">
        <f>H72+H75+H78+H81+H84+H87+H93+H90</f>
        <v>0</v>
      </c>
      <c r="I96" s="568">
        <f>IFERROR(H96/C96,0)</f>
        <v>0</v>
      </c>
      <c r="J96" s="558">
        <f>J72+J75+J78+J81+J84+J87+J93+J90</f>
        <v>0</v>
      </c>
      <c r="K96" s="511"/>
      <c r="L96" s="558">
        <f>L72+L75+L78+L81+L84+L87+L93+L90</f>
        <v>0</v>
      </c>
      <c r="M96" s="558">
        <f>M72+M75+M78+M81+M84+M87+M93+M90</f>
        <v>0</v>
      </c>
      <c r="N96" s="558">
        <f>N72+N75+N78+N81+N84+N87+N93+N90</f>
        <v>0</v>
      </c>
      <c r="O96" s="558">
        <f>IFERROR(H96/(C96-N96),0)</f>
        <v>0</v>
      </c>
      <c r="P96" s="558">
        <f>P72+P75+P78+P81+P84+P87+P93+P90</f>
        <v>0</v>
      </c>
      <c r="Q96" s="511"/>
      <c r="R96" s="511"/>
      <c r="S96" s="558">
        <f t="shared" ref="S96:AX96" si="54">S72+S75+S78+S81+S84+S87+S93+S90</f>
        <v>0</v>
      </c>
      <c r="T96" s="558">
        <f t="shared" si="54"/>
        <v>0</v>
      </c>
      <c r="U96" s="558">
        <f t="shared" si="54"/>
        <v>0</v>
      </c>
      <c r="V96" s="558">
        <f t="shared" si="54"/>
        <v>0</v>
      </c>
      <c r="W96" s="558">
        <f t="shared" si="54"/>
        <v>0</v>
      </c>
      <c r="X96" s="558">
        <f t="shared" si="54"/>
        <v>0</v>
      </c>
      <c r="Y96" s="558">
        <f t="shared" si="54"/>
        <v>0</v>
      </c>
      <c r="Z96" s="558">
        <f t="shared" si="54"/>
        <v>0</v>
      </c>
      <c r="AA96" s="558">
        <f t="shared" si="54"/>
        <v>0</v>
      </c>
      <c r="AB96" s="558">
        <f t="shared" si="54"/>
        <v>0</v>
      </c>
      <c r="AC96" s="558">
        <f t="shared" si="54"/>
        <v>0</v>
      </c>
      <c r="AD96" s="558">
        <f t="shared" si="54"/>
        <v>0</v>
      </c>
      <c r="AE96" s="558">
        <f t="shared" si="54"/>
        <v>0</v>
      </c>
      <c r="AF96" s="558">
        <f t="shared" si="54"/>
        <v>0</v>
      </c>
      <c r="AG96" s="558">
        <f t="shared" si="54"/>
        <v>0</v>
      </c>
      <c r="AH96" s="558">
        <f t="shared" si="54"/>
        <v>0</v>
      </c>
      <c r="AI96" s="558">
        <f t="shared" si="54"/>
        <v>0</v>
      </c>
      <c r="AJ96" s="558">
        <f t="shared" si="54"/>
        <v>0</v>
      </c>
      <c r="AK96" s="558">
        <f t="shared" si="54"/>
        <v>0</v>
      </c>
      <c r="AL96" s="558">
        <f t="shared" si="54"/>
        <v>0</v>
      </c>
      <c r="AM96" s="558">
        <f t="shared" si="54"/>
        <v>0</v>
      </c>
      <c r="AN96" s="558">
        <f t="shared" si="54"/>
        <v>0</v>
      </c>
      <c r="AO96" s="558">
        <f t="shared" si="54"/>
        <v>0</v>
      </c>
      <c r="AP96" s="558">
        <f t="shared" si="54"/>
        <v>0</v>
      </c>
      <c r="AQ96" s="558">
        <f t="shared" si="54"/>
        <v>0</v>
      </c>
      <c r="AR96" s="558">
        <f t="shared" si="54"/>
        <v>0</v>
      </c>
      <c r="AS96" s="558">
        <f t="shared" si="54"/>
        <v>0</v>
      </c>
      <c r="AT96" s="558">
        <f t="shared" si="54"/>
        <v>0</v>
      </c>
      <c r="AU96" s="558">
        <f t="shared" si="54"/>
        <v>0</v>
      </c>
      <c r="AV96" s="558">
        <f t="shared" si="54"/>
        <v>0</v>
      </c>
      <c r="AW96" s="558">
        <f t="shared" si="54"/>
        <v>0</v>
      </c>
      <c r="AX96" s="558">
        <f t="shared" si="54"/>
        <v>0</v>
      </c>
      <c r="AY96" s="558">
        <f t="shared" ref="AY96:CB96" si="55">AY72+AY75+AY78+AY81+AY84+AY87+AY93+AY90</f>
        <v>0</v>
      </c>
      <c r="AZ96" s="558">
        <f t="shared" si="55"/>
        <v>0</v>
      </c>
      <c r="BA96" s="558">
        <f t="shared" si="55"/>
        <v>0</v>
      </c>
      <c r="BB96" s="558">
        <f t="shared" si="55"/>
        <v>0</v>
      </c>
      <c r="BC96" s="558">
        <f t="shared" si="55"/>
        <v>0</v>
      </c>
      <c r="BD96" s="558">
        <f t="shared" si="55"/>
        <v>0</v>
      </c>
      <c r="BE96" s="558">
        <f t="shared" si="55"/>
        <v>0</v>
      </c>
      <c r="BF96" s="558">
        <f t="shared" si="55"/>
        <v>0</v>
      </c>
      <c r="BG96" s="558">
        <f t="shared" si="55"/>
        <v>0</v>
      </c>
      <c r="BH96" s="558">
        <f t="shared" si="55"/>
        <v>0</v>
      </c>
      <c r="BI96" s="558">
        <f t="shared" si="55"/>
        <v>0</v>
      </c>
      <c r="BJ96" s="558">
        <f t="shared" si="55"/>
        <v>0</v>
      </c>
      <c r="BK96" s="558">
        <f t="shared" si="55"/>
        <v>0</v>
      </c>
      <c r="BL96" s="558">
        <f t="shared" si="55"/>
        <v>0</v>
      </c>
      <c r="BM96" s="558">
        <f t="shared" si="55"/>
        <v>0</v>
      </c>
      <c r="BN96" s="558">
        <f t="shared" si="55"/>
        <v>0</v>
      </c>
      <c r="BO96" s="558">
        <f t="shared" si="55"/>
        <v>0</v>
      </c>
      <c r="BP96" s="558">
        <f t="shared" si="55"/>
        <v>0</v>
      </c>
      <c r="BQ96" s="558">
        <f t="shared" si="55"/>
        <v>0</v>
      </c>
      <c r="BR96" s="558">
        <f t="shared" si="55"/>
        <v>0</v>
      </c>
      <c r="BS96" s="558">
        <f t="shared" si="55"/>
        <v>0</v>
      </c>
      <c r="BT96" s="558">
        <f t="shared" si="55"/>
        <v>0</v>
      </c>
      <c r="BU96" s="581">
        <f t="shared" si="55"/>
        <v>0</v>
      </c>
      <c r="BV96" s="581">
        <f t="shared" si="55"/>
        <v>0</v>
      </c>
      <c r="BW96" s="581">
        <f t="shared" si="55"/>
        <v>0</v>
      </c>
      <c r="BX96" s="581">
        <f t="shared" si="55"/>
        <v>0</v>
      </c>
      <c r="BY96" s="581">
        <f t="shared" si="55"/>
        <v>0</v>
      </c>
      <c r="BZ96" s="581">
        <f t="shared" si="55"/>
        <v>0</v>
      </c>
      <c r="CA96" s="581">
        <f t="shared" si="55"/>
        <v>0</v>
      </c>
      <c r="CB96" s="581">
        <f t="shared" si="55"/>
        <v>0</v>
      </c>
      <c r="CC96" s="558">
        <f t="shared" si="29"/>
        <v>0</v>
      </c>
      <c r="CD96" s="581">
        <f>CD72+CD75+CD78+CD81+CD84+CD87+CD93+CD90</f>
        <v>0</v>
      </c>
      <c r="CE96" s="581">
        <f>CE72+CE75+CE78+CE81+CE84+CE87+CE93+CE90</f>
        <v>0</v>
      </c>
      <c r="CF96" s="581">
        <f>CF72+CF75+CF78+CF81+CF84+CF87+CF93+CF90</f>
        <v>0</v>
      </c>
      <c r="CG96" s="581">
        <f>CG72+CG75+CG78+CG81+CG84+CG87+CG93+CG90</f>
        <v>0</v>
      </c>
      <c r="CH96" s="581">
        <f>CH72+CH75+CH78+CH81+CH84+CH87+CH93+CH90</f>
        <v>0</v>
      </c>
      <c r="CI96" s="584" t="s">
        <v>650</v>
      </c>
    </row>
  </sheetData>
  <sheetProtection sheet="1" objects="1" formatCells="0" formatColumns="0" formatRows="0" insertColumns="0" insertHyperlinks="0" deleteColumns="0" sort="0" autoFilter="0" pivotTables="0"/>
  <mergeCells count="7">
    <mergeCell ref="V2:AA2"/>
    <mergeCell ref="AC2:AH2"/>
    <mergeCell ref="A30:B30"/>
    <mergeCell ref="A70:B70"/>
    <mergeCell ref="A2:F2"/>
    <mergeCell ref="H2:M2"/>
    <mergeCell ref="O2:T2"/>
  </mergeCells>
  <phoneticPr fontId="84" type="noConversion"/>
  <pageMargins left="0.69791666666666663" right="0.69791666666666663" top="0.75" bottom="0.75" header="0.30208333333333331" footer="0.30208333333333331"/>
  <pageSetup pageOrder="overThenDown" orientation="portrait"/>
  <headerFooter>
    <oddHeader>&amp;L&amp;C&amp;R</oddHeader>
    <oddFooter>&amp;L&amp;C&amp;R</oddFooter>
    <evenHeader>&amp;L&amp;C&amp;R</evenHeader>
    <evenFooter>&amp;L&amp;C&amp;R</even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outlinePr summaryBelow="0"/>
  </sheetPr>
  <dimension ref="A1:BN640"/>
  <sheetViews>
    <sheetView zoomScale="93" workbookViewId="0">
      <pane ySplit="1" topLeftCell="A78" activePane="bottomLeft" state="frozen"/>
      <selection pane="bottomLeft" activeCell="D95" sqref="D95:E95"/>
    </sheetView>
  </sheetViews>
  <sheetFormatPr baseColWidth="10" defaultColWidth="9.1640625" defaultRowHeight="16.5" customHeight="1" outlineLevelRow="2"/>
  <cols>
    <col min="1" max="1" width="20.6640625" style="399" customWidth="1"/>
    <col min="2" max="2" width="39.83203125" style="399" customWidth="1"/>
    <col min="3" max="3" width="13.33203125" style="399" customWidth="1"/>
    <col min="4" max="4" width="14" style="400" customWidth="1"/>
    <col min="5" max="5" width="72" style="399" customWidth="1"/>
    <col min="6" max="6" width="25.1640625" style="399" customWidth="1"/>
    <col min="7" max="7" width="23.83203125" style="399" customWidth="1"/>
    <col min="8" max="8" width="24.1640625" style="399" customWidth="1"/>
    <col min="9" max="9" width="32.33203125" style="399" customWidth="1"/>
    <col min="10" max="10" width="13" style="401" customWidth="1"/>
    <col min="11" max="11" width="30.5" style="401" hidden="1" customWidth="1"/>
  </cols>
  <sheetData>
    <row r="1" spans="1:66" s="394" customFormat="1" ht="21.75" customHeight="1">
      <c r="A1" s="402" t="s">
        <v>187</v>
      </c>
      <c r="B1" s="402" t="s">
        <v>651</v>
      </c>
      <c r="C1" s="402" t="s">
        <v>74</v>
      </c>
      <c r="D1" s="402" t="s">
        <v>652</v>
      </c>
      <c r="E1" s="403" t="s">
        <v>653</v>
      </c>
      <c r="F1" s="402" t="s">
        <v>654</v>
      </c>
      <c r="G1" s="402" t="s">
        <v>655</v>
      </c>
      <c r="H1" s="402" t="s">
        <v>656</v>
      </c>
      <c r="I1" s="402" t="s">
        <v>657</v>
      </c>
      <c r="J1" s="434"/>
      <c r="K1" s="434" t="s">
        <v>658</v>
      </c>
    </row>
    <row r="2" spans="1:66" s="395" customFormat="1" ht="21.75" customHeight="1" collapsed="1">
      <c r="A2" s="404" t="s">
        <v>659</v>
      </c>
      <c r="B2" s="404"/>
      <c r="C2" s="404"/>
      <c r="D2" s="405"/>
      <c r="E2" s="406" t="s">
        <v>660</v>
      </c>
      <c r="F2" s="404"/>
      <c r="G2" s="404"/>
      <c r="H2" s="404"/>
      <c r="I2" s="404"/>
      <c r="J2" s="434"/>
      <c r="K2" s="434" t="s">
        <v>661</v>
      </c>
    </row>
    <row r="3" spans="1:66" s="396" customFormat="1" ht="21.75" hidden="1" customHeight="1" outlineLevel="1">
      <c r="A3" s="280" t="s">
        <v>662</v>
      </c>
      <c r="B3" s="204" t="s">
        <v>663</v>
      </c>
      <c r="C3" s="407" t="s">
        <v>664</v>
      </c>
      <c r="D3" s="270"/>
      <c r="E3" s="408" t="s">
        <v>665</v>
      </c>
      <c r="F3" s="263"/>
      <c r="G3" s="210"/>
      <c r="H3" s="615"/>
      <c r="I3" s="435" t="s">
        <v>665</v>
      </c>
      <c r="J3" s="436"/>
      <c r="K3" s="436" t="s">
        <v>666</v>
      </c>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row>
    <row r="4" spans="1:66" s="396" customFormat="1" ht="21.75" hidden="1" customHeight="1" outlineLevel="1">
      <c r="A4" s="280" t="s">
        <v>667</v>
      </c>
      <c r="B4" s="204" t="s">
        <v>663</v>
      </c>
      <c r="C4" s="407" t="s">
        <v>664</v>
      </c>
      <c r="D4" s="307"/>
      <c r="E4" s="408" t="s">
        <v>668</v>
      </c>
      <c r="F4" s="263"/>
      <c r="G4" s="210"/>
      <c r="H4" s="210"/>
      <c r="I4" s="435"/>
      <c r="J4" s="436"/>
      <c r="K4" s="436" t="s">
        <v>669</v>
      </c>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row>
    <row r="5" spans="1:66" s="396" customFormat="1" ht="21.75" hidden="1" customHeight="1" outlineLevel="1">
      <c r="A5" s="280" t="s">
        <v>670</v>
      </c>
      <c r="B5" s="204" t="s">
        <v>663</v>
      </c>
      <c r="C5" s="407" t="s">
        <v>671</v>
      </c>
      <c r="D5" s="270"/>
      <c r="E5" s="408" t="s">
        <v>672</v>
      </c>
      <c r="F5" s="263"/>
      <c r="G5" s="210"/>
      <c r="H5" s="615"/>
      <c r="I5" s="435" t="s">
        <v>672</v>
      </c>
      <c r="J5" s="436"/>
      <c r="K5" s="436" t="s">
        <v>673</v>
      </c>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row>
    <row r="6" spans="1:66" s="396" customFormat="1" ht="21.75" hidden="1" customHeight="1" outlineLevel="1">
      <c r="A6" s="280" t="s">
        <v>674</v>
      </c>
      <c r="B6" s="204" t="s">
        <v>663</v>
      </c>
      <c r="C6" s="407" t="s">
        <v>675</v>
      </c>
      <c r="D6" s="307"/>
      <c r="E6" s="408" t="s">
        <v>676</v>
      </c>
      <c r="F6" s="263"/>
      <c r="G6" s="210"/>
      <c r="H6" s="210"/>
      <c r="I6" s="435"/>
      <c r="J6" s="436"/>
      <c r="K6" s="436" t="s">
        <v>677</v>
      </c>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row>
    <row r="7" spans="1:66" s="396" customFormat="1" ht="21.75" hidden="1" customHeight="1" outlineLevel="1">
      <c r="A7" s="280" t="s">
        <v>678</v>
      </c>
      <c r="B7" s="204" t="s">
        <v>663</v>
      </c>
      <c r="C7" s="407" t="s">
        <v>664</v>
      </c>
      <c r="D7" s="307"/>
      <c r="E7" s="408" t="s">
        <v>679</v>
      </c>
      <c r="F7" s="263"/>
      <c r="G7" s="210"/>
      <c r="H7" s="210"/>
      <c r="I7" s="435"/>
      <c r="J7" s="436"/>
      <c r="K7" s="436" t="s">
        <v>680</v>
      </c>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row>
    <row r="8" spans="1:66" s="397" customFormat="1" ht="21.75" hidden="1" customHeight="1" outlineLevel="1">
      <c r="A8" s="409" t="s">
        <v>681</v>
      </c>
      <c r="B8" s="204" t="s">
        <v>663</v>
      </c>
      <c r="C8" s="410" t="s">
        <v>664</v>
      </c>
      <c r="D8" s="307"/>
      <c r="E8" s="411" t="s">
        <v>682</v>
      </c>
      <c r="F8" s="412"/>
      <c r="G8" s="210"/>
      <c r="H8" s="210"/>
      <c r="I8" s="435"/>
      <c r="J8" s="436"/>
      <c r="K8" s="436" t="s">
        <v>683</v>
      </c>
      <c r="L8" s="398"/>
      <c r="M8" s="398"/>
      <c r="N8" s="398"/>
      <c r="O8" s="398"/>
      <c r="P8" s="398"/>
      <c r="Q8" s="398"/>
      <c r="R8" s="398"/>
      <c r="S8" s="398"/>
      <c r="T8" s="398"/>
      <c r="U8" s="398"/>
      <c r="V8" s="398"/>
      <c r="W8" s="398"/>
      <c r="X8" s="398"/>
      <c r="Y8" s="398"/>
      <c r="Z8" s="398"/>
      <c r="AA8" s="398"/>
      <c r="AB8" s="398"/>
      <c r="AC8" s="398"/>
      <c r="AD8" s="398"/>
      <c r="AE8" s="398"/>
      <c r="AF8" s="398"/>
      <c r="AG8" s="398"/>
      <c r="AH8" s="398"/>
      <c r="AI8" s="398"/>
      <c r="AJ8" s="398"/>
      <c r="AK8" s="398"/>
      <c r="AL8" s="398"/>
      <c r="AM8" s="398"/>
      <c r="AN8" s="398"/>
      <c r="AO8" s="398"/>
      <c r="AP8" s="398"/>
      <c r="AQ8" s="398"/>
      <c r="AR8" s="398"/>
      <c r="AS8" s="398"/>
      <c r="AT8" s="398"/>
      <c r="AU8" s="398"/>
      <c r="AV8" s="398"/>
      <c r="AW8" s="398"/>
      <c r="AX8" s="398"/>
      <c r="AY8" s="398"/>
      <c r="AZ8" s="398"/>
      <c r="BA8" s="398"/>
      <c r="BB8" s="398"/>
      <c r="BC8" s="398"/>
      <c r="BD8" s="398"/>
      <c r="BE8" s="398"/>
      <c r="BF8" s="398"/>
      <c r="BG8" s="398"/>
      <c r="BH8" s="398"/>
      <c r="BI8" s="398"/>
      <c r="BJ8" s="398"/>
      <c r="BK8" s="398"/>
      <c r="BL8" s="398"/>
      <c r="BM8" s="398"/>
      <c r="BN8" s="398"/>
    </row>
    <row r="9" spans="1:66" ht="21.75" customHeight="1">
      <c r="A9" s="413" t="s">
        <v>684</v>
      </c>
      <c r="B9" s="414"/>
      <c r="C9" s="413"/>
      <c r="D9" s="415"/>
      <c r="E9" s="416"/>
      <c r="F9" s="413"/>
      <c r="G9" s="413"/>
      <c r="H9" s="413"/>
      <c r="I9" s="413"/>
      <c r="J9" s="436"/>
      <c r="K9" s="436" t="s">
        <v>685</v>
      </c>
    </row>
    <row r="10" spans="1:66" ht="21.75" customHeight="1" outlineLevel="1">
      <c r="A10" s="417" t="s">
        <v>686</v>
      </c>
      <c r="B10" s="414"/>
      <c r="C10" s="418"/>
      <c r="D10" s="419"/>
      <c r="E10" s="420"/>
      <c r="F10" s="421"/>
      <c r="G10" s="421"/>
      <c r="H10" s="421"/>
      <c r="I10" s="421"/>
      <c r="J10" s="436"/>
      <c r="K10" s="436" t="s">
        <v>687</v>
      </c>
    </row>
    <row r="11" spans="1:66" ht="21" customHeight="1" outlineLevel="2">
      <c r="A11" s="280" t="s">
        <v>688</v>
      </c>
      <c r="B11" s="422" t="s">
        <v>689</v>
      </c>
      <c r="C11" s="407" t="s">
        <v>664</v>
      </c>
      <c r="D11" s="1036">
        <v>3.36</v>
      </c>
      <c r="E11" s="423" t="s">
        <v>7649</v>
      </c>
      <c r="F11" s="70"/>
      <c r="G11" s="210"/>
      <c r="H11" s="210"/>
      <c r="I11" s="435"/>
      <c r="J11" s="436"/>
      <c r="K11" s="436" t="s">
        <v>690</v>
      </c>
    </row>
    <row r="12" spans="1:66" ht="21" customHeight="1" outlineLevel="2">
      <c r="A12" s="280" t="s">
        <v>691</v>
      </c>
      <c r="B12" s="422" t="s">
        <v>689</v>
      </c>
      <c r="C12" s="407" t="s">
        <v>671</v>
      </c>
      <c r="D12" s="1036">
        <f>0.9*387.86+18</f>
        <v>367.07400000000001</v>
      </c>
      <c r="E12" s="423" t="s">
        <v>7650</v>
      </c>
      <c r="F12" s="70"/>
      <c r="G12" s="210"/>
      <c r="H12" s="210"/>
      <c r="I12" s="435"/>
      <c r="J12" s="436"/>
      <c r="K12" s="436" t="s">
        <v>692</v>
      </c>
    </row>
    <row r="13" spans="1:66" ht="21.75" customHeight="1" outlineLevel="1">
      <c r="A13" s="417" t="s">
        <v>481</v>
      </c>
      <c r="B13" s="414"/>
      <c r="C13" s="418"/>
      <c r="D13" s="419"/>
      <c r="E13" s="420"/>
      <c r="F13" s="421"/>
      <c r="G13" s="421"/>
      <c r="H13" s="421"/>
      <c r="I13" s="421"/>
      <c r="J13" s="436"/>
      <c r="K13" s="436" t="s">
        <v>693</v>
      </c>
    </row>
    <row r="14" spans="1:66" ht="21" customHeight="1" outlineLevel="2">
      <c r="A14" s="280" t="s">
        <v>688</v>
      </c>
      <c r="B14" s="204" t="s">
        <v>694</v>
      </c>
      <c r="C14" s="407" t="s">
        <v>695</v>
      </c>
      <c r="D14" s="616">
        <f>含量测算!O15</f>
        <v>117.94887244174295</v>
      </c>
      <c r="E14" s="617" t="s">
        <v>7897</v>
      </c>
      <c r="F14" s="426"/>
      <c r="G14" s="427"/>
      <c r="H14" s="615">
        <v>115.544</v>
      </c>
      <c r="I14" s="435" t="s">
        <v>696</v>
      </c>
      <c r="J14" s="436"/>
      <c r="K14" s="436" t="s">
        <v>697</v>
      </c>
    </row>
    <row r="15" spans="1:66" ht="21" customHeight="1" outlineLevel="2">
      <c r="A15" s="280" t="s">
        <v>691</v>
      </c>
      <c r="B15" s="204" t="s">
        <v>694</v>
      </c>
      <c r="C15" s="407" t="s">
        <v>698</v>
      </c>
      <c r="D15" s="616">
        <f>含量测算!O32</f>
        <v>1.2242690421581022</v>
      </c>
      <c r="E15" s="617" t="s">
        <v>7897</v>
      </c>
      <c r="F15" s="426"/>
      <c r="G15" s="427"/>
      <c r="H15" s="615">
        <v>1.03</v>
      </c>
      <c r="I15" s="435" t="s">
        <v>696</v>
      </c>
      <c r="J15" s="436"/>
      <c r="K15" s="436" t="s">
        <v>699</v>
      </c>
    </row>
    <row r="16" spans="1:66" ht="21" customHeight="1" outlineLevel="2">
      <c r="A16" s="280" t="s">
        <v>700</v>
      </c>
      <c r="B16" s="204" t="s">
        <v>701</v>
      </c>
      <c r="C16" s="407" t="s">
        <v>702</v>
      </c>
      <c r="D16" s="616"/>
      <c r="E16" s="617"/>
      <c r="F16" s="426"/>
      <c r="G16" s="210"/>
      <c r="H16" s="615"/>
      <c r="I16" s="435"/>
      <c r="J16" s="436"/>
      <c r="K16" s="436" t="s">
        <v>703</v>
      </c>
    </row>
    <row r="17" spans="1:66" ht="21" customHeight="1" outlineLevel="2">
      <c r="A17" s="280" t="s">
        <v>704</v>
      </c>
      <c r="B17" s="204" t="s">
        <v>705</v>
      </c>
      <c r="C17" s="407" t="s">
        <v>706</v>
      </c>
      <c r="D17" s="618">
        <f>总指标!E19/总指标!E18</f>
        <v>8.1002484050644002E-2</v>
      </c>
      <c r="E17" s="617"/>
      <c r="F17" s="426"/>
      <c r="G17" s="428"/>
      <c r="H17" s="428">
        <v>0.2482</v>
      </c>
      <c r="I17" s="435"/>
      <c r="J17" s="436"/>
      <c r="K17" s="436" t="s">
        <v>707</v>
      </c>
    </row>
    <row r="18" spans="1:66" ht="21" customHeight="1" outlineLevel="2">
      <c r="A18" s="280" t="s">
        <v>708</v>
      </c>
      <c r="B18" s="204" t="s">
        <v>416</v>
      </c>
      <c r="C18" s="407" t="s">
        <v>400</v>
      </c>
      <c r="D18" s="265">
        <f>'02 项目基础信息（输入）'!AJ32</f>
        <v>156.75</v>
      </c>
      <c r="E18" s="617" t="s">
        <v>7955</v>
      </c>
      <c r="F18" s="426"/>
      <c r="G18" s="204"/>
      <c r="H18" s="615">
        <v>711</v>
      </c>
      <c r="I18" s="435" t="s">
        <v>709</v>
      </c>
      <c r="J18" s="436"/>
      <c r="K18" s="436" t="s">
        <v>710</v>
      </c>
    </row>
    <row r="19" spans="1:66" ht="21" customHeight="1" outlineLevel="2">
      <c r="A19" s="280" t="s">
        <v>711</v>
      </c>
      <c r="B19" s="204" t="s">
        <v>712</v>
      </c>
      <c r="C19" s="407" t="s">
        <v>400</v>
      </c>
      <c r="D19" s="265">
        <f>'02 项目基础信息（输入）'!AK32</f>
        <v>2</v>
      </c>
      <c r="E19" s="617" t="s">
        <v>713</v>
      </c>
      <c r="F19" s="426"/>
      <c r="G19" s="204"/>
      <c r="H19" s="615">
        <v>2</v>
      </c>
      <c r="I19" s="435" t="s">
        <v>713</v>
      </c>
      <c r="J19" s="436"/>
      <c r="K19" s="436" t="s">
        <v>714</v>
      </c>
    </row>
    <row r="20" spans="1:66" ht="21" customHeight="1" outlineLevel="2">
      <c r="A20" s="280" t="s">
        <v>715</v>
      </c>
      <c r="B20" s="204" t="s">
        <v>716</v>
      </c>
      <c r="C20" s="407" t="s">
        <v>400</v>
      </c>
      <c r="D20" s="616" t="s">
        <v>717</v>
      </c>
      <c r="F20" s="429"/>
      <c r="G20" s="204"/>
      <c r="H20" s="615">
        <v>0</v>
      </c>
      <c r="I20" s="435"/>
      <c r="J20" s="436"/>
      <c r="K20" s="436" t="s">
        <v>718</v>
      </c>
    </row>
    <row r="21" spans="1:66" ht="89" customHeight="1" outlineLevel="2">
      <c r="A21" s="280" t="s">
        <v>719</v>
      </c>
      <c r="B21" s="204" t="s">
        <v>701</v>
      </c>
      <c r="C21" s="407" t="s">
        <v>702</v>
      </c>
      <c r="D21" s="1037">
        <f>15+(800000*2+750*3000+3000*190)/'02 项目基础信息（输入）'!C32</f>
        <v>216.5327431433272</v>
      </c>
      <c r="E21" s="1038" t="s">
        <v>8053</v>
      </c>
      <c r="F21" s="426"/>
      <c r="G21" s="210"/>
      <c r="H21" s="615">
        <v>15</v>
      </c>
      <c r="I21" s="435" t="s">
        <v>720</v>
      </c>
      <c r="J21" s="436"/>
      <c r="K21" s="436" t="s">
        <v>721</v>
      </c>
    </row>
    <row r="22" spans="1:66" s="396" customFormat="1" ht="0" hidden="1" customHeight="1" outlineLevel="1">
      <c r="A22" s="417" t="s">
        <v>496</v>
      </c>
      <c r="B22" s="414"/>
      <c r="C22" s="418"/>
      <c r="D22" s="419"/>
      <c r="E22" s="420"/>
      <c r="F22" s="421"/>
      <c r="G22" s="421"/>
      <c r="H22" s="421"/>
      <c r="I22" s="421"/>
      <c r="J22" s="436"/>
      <c r="K22" s="436" t="s">
        <v>722</v>
      </c>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row>
    <row r="23" spans="1:66" ht="0" hidden="1" customHeight="1" outlineLevel="2">
      <c r="A23" s="280" t="s">
        <v>723</v>
      </c>
      <c r="B23" s="204" t="s">
        <v>701</v>
      </c>
      <c r="C23" s="407" t="s">
        <v>702</v>
      </c>
      <c r="D23" s="214">
        <v>0</v>
      </c>
      <c r="E23" s="425" t="s">
        <v>724</v>
      </c>
      <c r="F23" s="426"/>
      <c r="G23" s="210"/>
      <c r="H23" s="210"/>
      <c r="I23" s="435"/>
      <c r="J23" s="436"/>
      <c r="K23" s="436" t="s">
        <v>725</v>
      </c>
    </row>
    <row r="24" spans="1:66" ht="0" hidden="1" customHeight="1" outlineLevel="2">
      <c r="A24" s="1427" t="s">
        <v>726</v>
      </c>
      <c r="B24" s="204" t="s">
        <v>727</v>
      </c>
      <c r="C24" s="407" t="s">
        <v>706</v>
      </c>
      <c r="D24" s="424">
        <v>0</v>
      </c>
      <c r="E24" s="425" t="s">
        <v>728</v>
      </c>
      <c r="F24" s="426"/>
      <c r="G24" s="210"/>
      <c r="H24" s="210"/>
      <c r="I24" s="435"/>
      <c r="J24" s="436"/>
      <c r="K24" s="436" t="s">
        <v>729</v>
      </c>
    </row>
    <row r="25" spans="1:66" ht="0" hidden="1" customHeight="1" outlineLevel="2">
      <c r="A25" s="1427"/>
      <c r="B25" s="204" t="s">
        <v>730</v>
      </c>
      <c r="C25" s="407" t="s">
        <v>702</v>
      </c>
      <c r="D25" s="214">
        <v>0</v>
      </c>
      <c r="E25" s="425" t="s">
        <v>731</v>
      </c>
      <c r="F25" s="426"/>
      <c r="G25" s="210"/>
      <c r="H25" s="210"/>
      <c r="I25" s="435"/>
      <c r="J25" s="436"/>
      <c r="K25" s="436" t="s">
        <v>732</v>
      </c>
    </row>
    <row r="26" spans="1:66" ht="0" hidden="1" customHeight="1" outlineLevel="2">
      <c r="A26" s="280" t="s">
        <v>700</v>
      </c>
      <c r="B26" s="204" t="s">
        <v>701</v>
      </c>
      <c r="C26" s="407" t="s">
        <v>702</v>
      </c>
      <c r="D26" s="214">
        <v>0</v>
      </c>
      <c r="E26" s="425" t="s">
        <v>733</v>
      </c>
      <c r="F26" s="426"/>
      <c r="G26" s="210"/>
      <c r="H26" s="210"/>
      <c r="I26" s="435"/>
      <c r="J26" s="436"/>
      <c r="K26" s="436" t="s">
        <v>734</v>
      </c>
    </row>
    <row r="27" spans="1:66" ht="0" hidden="1" customHeight="1" outlineLevel="2">
      <c r="A27" s="280" t="s">
        <v>735</v>
      </c>
      <c r="B27" s="204" t="s">
        <v>730</v>
      </c>
      <c r="C27" s="407" t="s">
        <v>736</v>
      </c>
      <c r="D27" s="214">
        <v>0</v>
      </c>
      <c r="E27" s="425" t="s">
        <v>737</v>
      </c>
      <c r="F27" s="426"/>
      <c r="G27" s="210"/>
      <c r="H27" s="210"/>
      <c r="I27" s="435"/>
      <c r="J27" s="436"/>
      <c r="K27" s="436" t="s">
        <v>738</v>
      </c>
    </row>
    <row r="28" spans="1:66" ht="0" hidden="1" customHeight="1" outlineLevel="2">
      <c r="A28" s="280" t="s">
        <v>719</v>
      </c>
      <c r="B28" s="204" t="s">
        <v>701</v>
      </c>
      <c r="C28" s="407" t="s">
        <v>702</v>
      </c>
      <c r="D28" s="214">
        <v>0</v>
      </c>
      <c r="E28" s="425" t="s">
        <v>739</v>
      </c>
      <c r="F28" s="426"/>
      <c r="G28" s="210"/>
      <c r="H28" s="210"/>
      <c r="I28" s="435"/>
      <c r="J28" s="436"/>
      <c r="K28" s="436" t="s">
        <v>740</v>
      </c>
    </row>
    <row r="29" spans="1:66" ht="0" hidden="1" customHeight="1" outlineLevel="2">
      <c r="A29" s="1427" t="s">
        <v>741</v>
      </c>
      <c r="B29" s="204" t="s">
        <v>742</v>
      </c>
      <c r="C29" s="407" t="s">
        <v>743</v>
      </c>
      <c r="D29" s="430">
        <f>IFERROR('02 项目基础信息（输入）'!AC39/'02 项目基础信息（输入）'!C39,0)</f>
        <v>0</v>
      </c>
      <c r="E29" s="425"/>
      <c r="F29" s="426"/>
      <c r="G29" s="431"/>
      <c r="H29" s="431"/>
      <c r="I29" s="435"/>
      <c r="J29" s="436"/>
      <c r="K29" s="436" t="s">
        <v>744</v>
      </c>
    </row>
    <row r="30" spans="1:66" ht="0" hidden="1" customHeight="1" outlineLevel="2">
      <c r="A30" s="1427"/>
      <c r="B30" s="204" t="s">
        <v>745</v>
      </c>
      <c r="C30" s="407" t="s">
        <v>746</v>
      </c>
      <c r="D30" s="214">
        <v>0</v>
      </c>
      <c r="E30" s="425" t="s">
        <v>747</v>
      </c>
      <c r="F30" s="426"/>
      <c r="G30" s="210"/>
      <c r="H30" s="210"/>
      <c r="I30" s="435"/>
      <c r="J30" s="436"/>
      <c r="K30" s="436" t="s">
        <v>748</v>
      </c>
    </row>
    <row r="31" spans="1:66" ht="0" hidden="1" customHeight="1" outlineLevel="2">
      <c r="A31" s="1427"/>
      <c r="B31" s="204" t="s">
        <v>749</v>
      </c>
      <c r="C31" s="407" t="s">
        <v>750</v>
      </c>
      <c r="D31" s="214">
        <v>0</v>
      </c>
      <c r="E31" s="425" t="s">
        <v>751</v>
      </c>
      <c r="F31" s="426"/>
      <c r="G31" s="210"/>
      <c r="H31" s="210"/>
      <c r="I31" s="435"/>
      <c r="J31" s="436"/>
      <c r="K31" s="436" t="s">
        <v>752</v>
      </c>
    </row>
    <row r="32" spans="1:66" ht="0" hidden="1" customHeight="1" outlineLevel="2">
      <c r="A32" s="1428" t="s">
        <v>753</v>
      </c>
      <c r="B32" s="204" t="s">
        <v>754</v>
      </c>
      <c r="C32" s="407" t="s">
        <v>706</v>
      </c>
      <c r="D32" s="424">
        <v>0</v>
      </c>
      <c r="E32" s="423" t="s">
        <v>755</v>
      </c>
      <c r="F32" s="70"/>
      <c r="G32" s="427"/>
      <c r="H32" s="427"/>
      <c r="I32" s="435"/>
      <c r="J32" s="436"/>
      <c r="K32" s="436" t="s">
        <v>756</v>
      </c>
    </row>
    <row r="33" spans="1:11" ht="0" hidden="1" customHeight="1" outlineLevel="2">
      <c r="A33" s="1427"/>
      <c r="B33" s="204" t="s">
        <v>730</v>
      </c>
      <c r="C33" s="407" t="s">
        <v>702</v>
      </c>
      <c r="D33" s="214">
        <v>0</v>
      </c>
      <c r="E33" s="423" t="s">
        <v>757</v>
      </c>
      <c r="F33" s="70"/>
      <c r="G33" s="210"/>
      <c r="H33" s="210"/>
      <c r="I33" s="435"/>
      <c r="J33" s="436"/>
      <c r="K33" s="436" t="s">
        <v>758</v>
      </c>
    </row>
    <row r="34" spans="1:11" ht="0" hidden="1" customHeight="1" outlineLevel="2">
      <c r="A34" s="1427" t="s">
        <v>759</v>
      </c>
      <c r="B34" s="204" t="s">
        <v>475</v>
      </c>
      <c r="C34" s="407" t="s">
        <v>706</v>
      </c>
      <c r="D34" s="430">
        <f>'02 项目基础信息（输入）'!AE39</f>
        <v>0</v>
      </c>
      <c r="E34" s="425"/>
      <c r="F34" s="426"/>
      <c r="G34" s="210"/>
      <c r="H34" s="210"/>
      <c r="I34" s="435"/>
      <c r="J34" s="436"/>
      <c r="K34" s="436" t="s">
        <v>760</v>
      </c>
    </row>
    <row r="35" spans="1:11" ht="0" hidden="1" customHeight="1" outlineLevel="2">
      <c r="A35" s="1427"/>
      <c r="B35" s="204" t="s">
        <v>761</v>
      </c>
      <c r="C35" s="407" t="s">
        <v>702</v>
      </c>
      <c r="D35" s="266">
        <f>(D36*D37+D38*D39+D40*D41+D42*D43+D44*D45)/100</f>
        <v>0</v>
      </c>
      <c r="E35" s="425"/>
      <c r="F35" s="426"/>
      <c r="G35" s="210"/>
      <c r="H35" s="210"/>
      <c r="I35" s="435"/>
      <c r="J35" s="436"/>
      <c r="K35" s="436" t="s">
        <v>762</v>
      </c>
    </row>
    <row r="36" spans="1:11" ht="0" hidden="1" customHeight="1" outlineLevel="2">
      <c r="A36" s="1427"/>
      <c r="B36" s="204" t="s">
        <v>763</v>
      </c>
      <c r="C36" s="407" t="s">
        <v>123</v>
      </c>
      <c r="D36" s="214">
        <v>0</v>
      </c>
      <c r="E36" s="425"/>
      <c r="F36" s="426"/>
      <c r="G36" s="210"/>
      <c r="H36" s="210"/>
      <c r="I36" s="435"/>
      <c r="J36" s="436"/>
      <c r="K36" s="436" t="s">
        <v>764</v>
      </c>
    </row>
    <row r="37" spans="1:11" ht="0" hidden="1" customHeight="1" outlineLevel="2">
      <c r="A37" s="1427"/>
      <c r="B37" s="204" t="s">
        <v>765</v>
      </c>
      <c r="C37" s="407" t="s">
        <v>702</v>
      </c>
      <c r="D37" s="214">
        <v>0</v>
      </c>
      <c r="E37" s="425" t="s">
        <v>766</v>
      </c>
      <c r="F37" s="426"/>
      <c r="G37" s="210"/>
      <c r="H37" s="210"/>
      <c r="I37" s="435"/>
      <c r="J37" s="436"/>
      <c r="K37" s="436" t="s">
        <v>767</v>
      </c>
    </row>
    <row r="38" spans="1:11" ht="0" hidden="1" customHeight="1" outlineLevel="2">
      <c r="A38" s="1427"/>
      <c r="B38" s="204" t="s">
        <v>768</v>
      </c>
      <c r="C38" s="407" t="s">
        <v>123</v>
      </c>
      <c r="D38" s="214">
        <v>0</v>
      </c>
      <c r="E38" s="425"/>
      <c r="F38" s="426"/>
      <c r="G38" s="210"/>
      <c r="H38" s="210"/>
      <c r="I38" s="435"/>
      <c r="J38" s="436"/>
      <c r="K38" s="436" t="s">
        <v>769</v>
      </c>
    </row>
    <row r="39" spans="1:11" ht="0" hidden="1" customHeight="1" outlineLevel="2">
      <c r="A39" s="1427"/>
      <c r="B39" s="204" t="s">
        <v>770</v>
      </c>
      <c r="C39" s="407" t="s">
        <v>702</v>
      </c>
      <c r="D39" s="214">
        <v>0</v>
      </c>
      <c r="E39" s="425" t="s">
        <v>771</v>
      </c>
      <c r="F39" s="426"/>
      <c r="G39" s="210"/>
      <c r="H39" s="210"/>
      <c r="I39" s="435"/>
      <c r="J39" s="436"/>
      <c r="K39" s="436" t="s">
        <v>772</v>
      </c>
    </row>
    <row r="40" spans="1:11" ht="0" hidden="1" customHeight="1" outlineLevel="2">
      <c r="A40" s="1427"/>
      <c r="B40" s="204" t="s">
        <v>773</v>
      </c>
      <c r="C40" s="407" t="s">
        <v>123</v>
      </c>
      <c r="D40" s="214">
        <v>0</v>
      </c>
      <c r="E40" s="425"/>
      <c r="F40" s="426"/>
      <c r="G40" s="210"/>
      <c r="H40" s="210"/>
      <c r="I40" s="435"/>
      <c r="J40" s="436"/>
      <c r="K40" s="436" t="s">
        <v>774</v>
      </c>
    </row>
    <row r="41" spans="1:11" ht="0" hidden="1" customHeight="1" outlineLevel="2">
      <c r="A41" s="1427"/>
      <c r="B41" s="204" t="s">
        <v>775</v>
      </c>
      <c r="C41" s="407" t="s">
        <v>702</v>
      </c>
      <c r="D41" s="214">
        <v>0</v>
      </c>
      <c r="E41" s="425" t="s">
        <v>776</v>
      </c>
      <c r="F41" s="426"/>
      <c r="G41" s="210"/>
      <c r="H41" s="210"/>
      <c r="I41" s="435"/>
      <c r="J41" s="436"/>
      <c r="K41" s="436" t="s">
        <v>777</v>
      </c>
    </row>
    <row r="42" spans="1:11" ht="0" hidden="1" customHeight="1" outlineLevel="2">
      <c r="A42" s="1427"/>
      <c r="B42" s="204" t="s">
        <v>778</v>
      </c>
      <c r="C42" s="407" t="s">
        <v>123</v>
      </c>
      <c r="D42" s="214">
        <v>0</v>
      </c>
      <c r="E42" s="425"/>
      <c r="F42" s="426"/>
      <c r="G42" s="210"/>
      <c r="H42" s="210"/>
      <c r="I42" s="435"/>
      <c r="J42" s="436"/>
      <c r="K42" s="436" t="s">
        <v>779</v>
      </c>
    </row>
    <row r="43" spans="1:11" ht="0" hidden="1" customHeight="1" outlineLevel="2">
      <c r="A43" s="1427"/>
      <c r="B43" s="204" t="s">
        <v>780</v>
      </c>
      <c r="C43" s="407" t="s">
        <v>702</v>
      </c>
      <c r="D43" s="214">
        <v>0</v>
      </c>
      <c r="E43" s="425" t="s">
        <v>781</v>
      </c>
      <c r="F43" s="426"/>
      <c r="G43" s="210"/>
      <c r="H43" s="210"/>
      <c r="I43" s="435"/>
      <c r="J43" s="436"/>
      <c r="K43" s="436" t="s">
        <v>782</v>
      </c>
    </row>
    <row r="44" spans="1:11" ht="0" hidden="1" customHeight="1" outlineLevel="2">
      <c r="A44" s="1427"/>
      <c r="B44" s="204" t="s">
        <v>783</v>
      </c>
      <c r="C44" s="407" t="s">
        <v>123</v>
      </c>
      <c r="D44" s="214">
        <v>0</v>
      </c>
      <c r="E44" s="425"/>
      <c r="F44" s="426"/>
      <c r="G44" s="210"/>
      <c r="H44" s="210"/>
      <c r="I44" s="435"/>
      <c r="J44" s="436"/>
      <c r="K44" s="436" t="s">
        <v>784</v>
      </c>
    </row>
    <row r="45" spans="1:11" ht="0" hidden="1" customHeight="1" outlineLevel="2">
      <c r="A45" s="1427"/>
      <c r="B45" s="204" t="s">
        <v>785</v>
      </c>
      <c r="C45" s="407" t="s">
        <v>702</v>
      </c>
      <c r="D45" s="214">
        <v>0</v>
      </c>
      <c r="E45" s="425" t="s">
        <v>781</v>
      </c>
      <c r="F45" s="426"/>
      <c r="G45" s="210"/>
      <c r="H45" s="210"/>
      <c r="I45" s="435"/>
      <c r="J45" s="436"/>
      <c r="K45" s="436" t="s">
        <v>786</v>
      </c>
    </row>
    <row r="46" spans="1:11" ht="0" hidden="1" customHeight="1" outlineLevel="2">
      <c r="A46" s="1427" t="s">
        <v>787</v>
      </c>
      <c r="B46" s="204" t="s">
        <v>788</v>
      </c>
      <c r="C46" s="407" t="s">
        <v>789</v>
      </c>
      <c r="D46" s="424">
        <v>0</v>
      </c>
      <c r="E46" s="425"/>
      <c r="F46" s="426"/>
      <c r="G46" s="210"/>
      <c r="H46" s="210"/>
      <c r="I46" s="435"/>
      <c r="J46" s="436"/>
      <c r="K46" s="436" t="s">
        <v>790</v>
      </c>
    </row>
    <row r="47" spans="1:11" ht="0" hidden="1" customHeight="1" outlineLevel="2">
      <c r="A47" s="1427"/>
      <c r="B47" s="204" t="s">
        <v>791</v>
      </c>
      <c r="C47" s="407" t="s">
        <v>792</v>
      </c>
      <c r="D47" s="214">
        <v>0</v>
      </c>
      <c r="E47" s="425" t="s">
        <v>793</v>
      </c>
      <c r="F47" s="426"/>
      <c r="G47" s="210"/>
      <c r="H47" s="210"/>
      <c r="I47" s="435"/>
      <c r="J47" s="436"/>
      <c r="K47" s="436" t="s">
        <v>794</v>
      </c>
    </row>
    <row r="48" spans="1:11" ht="0" hidden="1" customHeight="1" outlineLevel="2">
      <c r="A48" s="1427"/>
      <c r="B48" s="204" t="s">
        <v>795</v>
      </c>
      <c r="C48" s="407" t="s">
        <v>789</v>
      </c>
      <c r="D48" s="424">
        <v>0</v>
      </c>
      <c r="E48" s="425"/>
      <c r="F48" s="426"/>
      <c r="G48" s="210"/>
      <c r="H48" s="210"/>
      <c r="I48" s="435"/>
      <c r="J48" s="436"/>
      <c r="K48" s="436" t="s">
        <v>796</v>
      </c>
    </row>
    <row r="49" spans="1:11" ht="0" hidden="1" customHeight="1" outlineLevel="2">
      <c r="A49" s="1427"/>
      <c r="B49" s="204" t="s">
        <v>797</v>
      </c>
      <c r="C49" s="407" t="s">
        <v>792</v>
      </c>
      <c r="D49" s="214">
        <v>0</v>
      </c>
      <c r="E49" s="425" t="s">
        <v>793</v>
      </c>
      <c r="F49" s="426"/>
      <c r="G49" s="210"/>
      <c r="H49" s="210"/>
      <c r="I49" s="435"/>
      <c r="J49" s="436"/>
      <c r="K49" s="436" t="s">
        <v>798</v>
      </c>
    </row>
    <row r="50" spans="1:11" ht="0" hidden="1" customHeight="1" outlineLevel="2">
      <c r="A50" s="1428" t="s">
        <v>799</v>
      </c>
      <c r="B50" s="204" t="s">
        <v>800</v>
      </c>
      <c r="C50" s="407" t="s">
        <v>706</v>
      </c>
      <c r="D50" s="430">
        <f>IFERROR('02 项目基础信息（输入）'!P39/'02 项目基础信息（输入）'!C39,0)</f>
        <v>0</v>
      </c>
      <c r="E50" s="425" t="s">
        <v>801</v>
      </c>
      <c r="F50" s="426"/>
      <c r="G50" s="204"/>
      <c r="H50" s="204"/>
      <c r="I50" s="435"/>
      <c r="J50" s="436"/>
      <c r="K50" s="436" t="s">
        <v>802</v>
      </c>
    </row>
    <row r="51" spans="1:11" ht="0" hidden="1" customHeight="1" outlineLevel="2">
      <c r="A51" s="1428"/>
      <c r="B51" s="204" t="s">
        <v>803</v>
      </c>
      <c r="C51" s="407" t="s">
        <v>702</v>
      </c>
      <c r="D51" s="350">
        <v>0</v>
      </c>
      <c r="E51" s="425" t="s">
        <v>804</v>
      </c>
      <c r="F51" s="426"/>
      <c r="G51" s="204"/>
      <c r="H51" s="204"/>
      <c r="I51" s="435"/>
      <c r="J51" s="436"/>
      <c r="K51" s="436" t="s">
        <v>805</v>
      </c>
    </row>
    <row r="52" spans="1:11" ht="0" hidden="1" customHeight="1" outlineLevel="2">
      <c r="A52" s="1428"/>
      <c r="B52" s="204" t="s">
        <v>806</v>
      </c>
      <c r="C52" s="407" t="s">
        <v>706</v>
      </c>
      <c r="D52" s="430">
        <f>IFERROR('02 项目基础信息（输入）'!M39/'02 项目基础信息（输入）'!C39,0)</f>
        <v>0</v>
      </c>
      <c r="E52" s="425" t="s">
        <v>801</v>
      </c>
      <c r="F52" s="426"/>
      <c r="G52" s="432"/>
      <c r="H52" s="432"/>
      <c r="I52" s="435"/>
      <c r="J52" s="436"/>
      <c r="K52" s="436" t="s">
        <v>807</v>
      </c>
    </row>
    <row r="53" spans="1:11" ht="0" hidden="1" customHeight="1" outlineLevel="2">
      <c r="A53" s="1428"/>
      <c r="B53" s="204" t="s">
        <v>808</v>
      </c>
      <c r="C53" s="407" t="s">
        <v>702</v>
      </c>
      <c r="D53" s="350">
        <v>0</v>
      </c>
      <c r="E53" s="425" t="s">
        <v>804</v>
      </c>
      <c r="F53" s="426"/>
      <c r="G53" s="204"/>
      <c r="H53" s="204"/>
      <c r="I53" s="435"/>
      <c r="J53" s="436"/>
      <c r="K53" s="436" t="s">
        <v>809</v>
      </c>
    </row>
    <row r="54" spans="1:11" ht="0" hidden="1" customHeight="1" outlineLevel="2">
      <c r="A54" s="1428"/>
      <c r="B54" s="204" t="s">
        <v>810</v>
      </c>
      <c r="C54" s="407" t="s">
        <v>706</v>
      </c>
      <c r="D54" s="433">
        <f>IFERROR('02 项目基础信息（输入）'!S39/'02 项目基础信息（输入）'!C39,0)</f>
        <v>0</v>
      </c>
      <c r="E54" s="425" t="s">
        <v>801</v>
      </c>
      <c r="F54" s="426"/>
      <c r="G54" s="431"/>
      <c r="H54" s="431"/>
      <c r="I54" s="437" t="s">
        <v>811</v>
      </c>
      <c r="J54" s="436"/>
      <c r="K54" s="436" t="s">
        <v>812</v>
      </c>
    </row>
    <row r="55" spans="1:11" ht="0" hidden="1" customHeight="1" outlineLevel="2">
      <c r="A55" s="1428"/>
      <c r="B55" s="204" t="s">
        <v>813</v>
      </c>
      <c r="C55" s="407" t="s">
        <v>702</v>
      </c>
      <c r="D55" s="350">
        <v>0</v>
      </c>
      <c r="E55" s="425" t="s">
        <v>804</v>
      </c>
      <c r="F55" s="426"/>
      <c r="G55" s="204"/>
      <c r="H55" s="204"/>
      <c r="I55" s="435"/>
      <c r="J55" s="436"/>
      <c r="K55" s="436" t="s">
        <v>814</v>
      </c>
    </row>
    <row r="56" spans="1:11" ht="0" hidden="1" customHeight="1" outlineLevel="2">
      <c r="A56" s="1428"/>
      <c r="B56" s="204" t="s">
        <v>815</v>
      </c>
      <c r="C56" s="407" t="s">
        <v>706</v>
      </c>
      <c r="D56" s="433">
        <f>IFERROR('02 项目基础信息（输入）'!V39/'02 项目基础信息（输入）'!C39,0)</f>
        <v>0</v>
      </c>
      <c r="E56" s="425" t="s">
        <v>801</v>
      </c>
      <c r="F56" s="426"/>
      <c r="G56" s="431"/>
      <c r="H56" s="431"/>
      <c r="I56" s="435"/>
      <c r="J56" s="436"/>
      <c r="K56" s="436" t="s">
        <v>816</v>
      </c>
    </row>
    <row r="57" spans="1:11" ht="0" hidden="1" customHeight="1" outlineLevel="2">
      <c r="A57" s="1428"/>
      <c r="B57" s="204" t="s">
        <v>817</v>
      </c>
      <c r="C57" s="407" t="s">
        <v>702</v>
      </c>
      <c r="D57" s="350">
        <v>0</v>
      </c>
      <c r="E57" s="425" t="s">
        <v>804</v>
      </c>
      <c r="F57" s="426"/>
      <c r="G57" s="204"/>
      <c r="H57" s="204"/>
      <c r="I57" s="435"/>
      <c r="J57" s="436"/>
      <c r="K57" s="436" t="s">
        <v>818</v>
      </c>
    </row>
    <row r="58" spans="1:11" ht="0" hidden="1" customHeight="1" outlineLevel="2">
      <c r="A58" s="1428"/>
      <c r="B58" s="204" t="s">
        <v>819</v>
      </c>
      <c r="C58" s="407" t="s">
        <v>706</v>
      </c>
      <c r="D58" s="433">
        <f>IFERROR('02 项目基础信息（输入）'!Y39/'02 项目基础信息（输入）'!C39,0)</f>
        <v>0</v>
      </c>
      <c r="E58" s="425" t="s">
        <v>801</v>
      </c>
      <c r="F58" s="426"/>
      <c r="G58" s="204"/>
      <c r="H58" s="204"/>
      <c r="I58" s="435"/>
      <c r="J58" s="436"/>
      <c r="K58" s="436" t="s">
        <v>820</v>
      </c>
    </row>
    <row r="59" spans="1:11" ht="0" hidden="1" customHeight="1" outlineLevel="2">
      <c r="A59" s="1428"/>
      <c r="B59" s="204" t="s">
        <v>821</v>
      </c>
      <c r="C59" s="407" t="s">
        <v>702</v>
      </c>
      <c r="D59" s="350">
        <v>0</v>
      </c>
      <c r="E59" s="425" t="s">
        <v>804</v>
      </c>
      <c r="F59" s="426"/>
      <c r="G59" s="204"/>
      <c r="H59" s="204"/>
      <c r="I59" s="435"/>
      <c r="J59" s="436"/>
      <c r="K59" s="436" t="s">
        <v>822</v>
      </c>
    </row>
    <row r="60" spans="1:11" ht="0" hidden="1" customHeight="1" outlineLevel="2">
      <c r="A60" s="1428"/>
      <c r="B60" s="204" t="s">
        <v>823</v>
      </c>
      <c r="C60" s="407" t="s">
        <v>706</v>
      </c>
      <c r="D60" s="433">
        <f>IFERROR('02 项目基础信息（输入）'!Z39/'02 项目基础信息（输入）'!C39,0)</f>
        <v>0</v>
      </c>
      <c r="E60" s="425" t="s">
        <v>824</v>
      </c>
      <c r="F60" s="426"/>
      <c r="G60" s="204"/>
      <c r="H60" s="204"/>
      <c r="I60" s="435"/>
      <c r="J60" s="436"/>
      <c r="K60" s="436" t="s">
        <v>825</v>
      </c>
    </row>
    <row r="61" spans="1:11" ht="0" hidden="1" customHeight="1" outlineLevel="2">
      <c r="A61" s="1428"/>
      <c r="B61" s="204" t="s">
        <v>826</v>
      </c>
      <c r="C61" s="407" t="s">
        <v>702</v>
      </c>
      <c r="D61" s="350">
        <v>0</v>
      </c>
      <c r="E61" s="425" t="s">
        <v>804</v>
      </c>
      <c r="F61" s="426"/>
      <c r="G61" s="204"/>
      <c r="H61" s="204"/>
      <c r="I61" s="435"/>
      <c r="J61" s="436"/>
      <c r="K61" s="436" t="s">
        <v>827</v>
      </c>
    </row>
    <row r="62" spans="1:11" ht="0" hidden="1" customHeight="1" outlineLevel="2">
      <c r="A62" s="1428"/>
      <c r="B62" s="204" t="s">
        <v>828</v>
      </c>
      <c r="C62" s="407" t="s">
        <v>706</v>
      </c>
      <c r="D62" s="424">
        <v>0</v>
      </c>
      <c r="E62" s="425" t="s">
        <v>829</v>
      </c>
      <c r="F62" s="426"/>
      <c r="G62" s="431"/>
      <c r="H62" s="431"/>
      <c r="I62" s="435"/>
      <c r="J62" s="436"/>
      <c r="K62" s="436" t="s">
        <v>830</v>
      </c>
    </row>
    <row r="63" spans="1:11" ht="0" hidden="1" customHeight="1" outlineLevel="2">
      <c r="A63" s="1428"/>
      <c r="B63" s="204" t="s">
        <v>831</v>
      </c>
      <c r="C63" s="407" t="s">
        <v>702</v>
      </c>
      <c r="D63" s="350">
        <v>0</v>
      </c>
      <c r="E63" s="425" t="s">
        <v>804</v>
      </c>
      <c r="F63" s="426"/>
      <c r="G63" s="204"/>
      <c r="H63" s="204"/>
      <c r="I63" s="435"/>
      <c r="J63" s="436"/>
      <c r="K63" s="436" t="s">
        <v>832</v>
      </c>
    </row>
    <row r="64" spans="1:11" ht="0" hidden="1" customHeight="1" outlineLevel="2">
      <c r="A64" s="280" t="s">
        <v>833</v>
      </c>
      <c r="B64" s="204" t="s">
        <v>834</v>
      </c>
      <c r="C64" s="407" t="s">
        <v>736</v>
      </c>
      <c r="D64" s="350">
        <v>0</v>
      </c>
      <c r="E64" s="425"/>
      <c r="F64" s="426"/>
      <c r="G64" s="204"/>
      <c r="H64" s="204"/>
      <c r="I64" s="435"/>
      <c r="J64" s="436"/>
      <c r="K64" s="436" t="s">
        <v>835</v>
      </c>
    </row>
    <row r="65" spans="1:66" ht="0" hidden="1" customHeight="1" outlineLevel="2">
      <c r="A65" s="1427" t="s">
        <v>836</v>
      </c>
      <c r="B65" s="204" t="s">
        <v>837</v>
      </c>
      <c r="C65" s="407" t="s">
        <v>838</v>
      </c>
      <c r="D65" s="438">
        <f>IFERROR('02 项目基础信息（输入）'!C39/'02 项目基础信息（输入）'!J39,0)</f>
        <v>0</v>
      </c>
      <c r="E65" s="425"/>
      <c r="F65" s="426"/>
      <c r="G65" s="439"/>
      <c r="H65" s="439"/>
      <c r="I65" s="435"/>
      <c r="J65" s="436"/>
      <c r="K65" s="436" t="s">
        <v>839</v>
      </c>
    </row>
    <row r="66" spans="1:66" ht="0" hidden="1" customHeight="1" outlineLevel="2">
      <c r="A66" s="1427"/>
      <c r="B66" s="204" t="s">
        <v>840</v>
      </c>
      <c r="C66" s="407" t="s">
        <v>841</v>
      </c>
      <c r="D66" s="350">
        <v>0</v>
      </c>
      <c r="E66" s="425" t="s">
        <v>842</v>
      </c>
      <c r="F66" s="426"/>
      <c r="G66" s="204"/>
      <c r="H66" s="204"/>
      <c r="I66" s="435"/>
      <c r="J66" s="436"/>
      <c r="K66" s="436" t="s">
        <v>843</v>
      </c>
    </row>
    <row r="67" spans="1:66" ht="0" hidden="1" customHeight="1" outlineLevel="2">
      <c r="A67" s="1427"/>
      <c r="B67" s="204" t="s">
        <v>844</v>
      </c>
      <c r="C67" s="407" t="s">
        <v>841</v>
      </c>
      <c r="D67" s="350">
        <v>0</v>
      </c>
      <c r="E67" s="423" t="s">
        <v>845</v>
      </c>
      <c r="F67" s="70"/>
      <c r="G67" s="204"/>
      <c r="H67" s="204"/>
      <c r="I67" s="435"/>
      <c r="J67" s="436"/>
      <c r="K67" s="436" t="s">
        <v>846</v>
      </c>
    </row>
    <row r="68" spans="1:66" s="396" customFormat="1" ht="21.75" customHeight="1" outlineLevel="1">
      <c r="A68" s="417" t="s">
        <v>500</v>
      </c>
      <c r="B68" s="414"/>
      <c r="C68" s="418"/>
      <c r="D68" s="419"/>
      <c r="E68" s="420"/>
      <c r="F68" s="421"/>
      <c r="G68" s="421"/>
      <c r="H68" s="421"/>
      <c r="I68" s="421"/>
      <c r="J68" s="436"/>
      <c r="K68" s="436" t="s">
        <v>847</v>
      </c>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row>
    <row r="69" spans="1:66" ht="21" customHeight="1" outlineLevel="2">
      <c r="A69" s="280" t="s">
        <v>723</v>
      </c>
      <c r="B69" s="204" t="s">
        <v>701</v>
      </c>
      <c r="C69" s="407" t="s">
        <v>702</v>
      </c>
      <c r="D69" s="270">
        <f>'PC 增量测算'!G49</f>
        <v>152.91588843828026</v>
      </c>
      <c r="E69" s="1328" t="s">
        <v>7932</v>
      </c>
      <c r="F69" s="426"/>
      <c r="G69" s="210"/>
      <c r="H69" s="615">
        <v>94.5</v>
      </c>
      <c r="I69" s="435" t="s">
        <v>848</v>
      </c>
      <c r="J69" s="436"/>
      <c r="K69" s="436" t="s">
        <v>849</v>
      </c>
    </row>
    <row r="70" spans="1:66" ht="21" customHeight="1" outlineLevel="2">
      <c r="A70" s="1427" t="s">
        <v>726</v>
      </c>
      <c r="B70" s="204" t="s">
        <v>727</v>
      </c>
      <c r="C70" s="407" t="s">
        <v>706</v>
      </c>
      <c r="D70" s="616">
        <v>0.94</v>
      </c>
      <c r="E70" s="617" t="s">
        <v>850</v>
      </c>
      <c r="F70" s="426"/>
      <c r="G70" s="210"/>
      <c r="H70" s="615">
        <v>1.03</v>
      </c>
      <c r="I70" s="435" t="s">
        <v>850</v>
      </c>
      <c r="J70" s="436"/>
      <c r="K70" s="436" t="s">
        <v>851</v>
      </c>
    </row>
    <row r="71" spans="1:66" ht="21" customHeight="1" outlineLevel="2">
      <c r="A71" s="1427"/>
      <c r="B71" s="204" t="s">
        <v>730</v>
      </c>
      <c r="C71" s="407" t="s">
        <v>702</v>
      </c>
      <c r="D71" s="616" t="s">
        <v>7720</v>
      </c>
      <c r="E71" s="617" t="s">
        <v>7721</v>
      </c>
      <c r="F71" s="426"/>
      <c r="G71" s="210"/>
      <c r="H71" s="615">
        <v>90.51</v>
      </c>
      <c r="I71" s="435" t="s">
        <v>731</v>
      </c>
      <c r="J71" s="436"/>
      <c r="K71" s="436" t="s">
        <v>852</v>
      </c>
    </row>
    <row r="72" spans="1:66" ht="26" customHeight="1" outlineLevel="2">
      <c r="A72" s="280" t="s">
        <v>700</v>
      </c>
      <c r="B72" s="204" t="s">
        <v>701</v>
      </c>
      <c r="C72" s="407" t="s">
        <v>702</v>
      </c>
      <c r="D72" s="1037">
        <f>7500*总指标!L26/'02 项目基础信息（输入）'!C42</f>
        <v>43.369452068376482</v>
      </c>
      <c r="E72" s="1038" t="s">
        <v>8064</v>
      </c>
      <c r="F72" s="426"/>
      <c r="G72" s="210"/>
      <c r="H72" s="615"/>
      <c r="I72" s="435"/>
      <c r="J72" s="436"/>
      <c r="K72" s="436" t="s">
        <v>853</v>
      </c>
    </row>
    <row r="73" spans="1:66" ht="38" customHeight="1" outlineLevel="2">
      <c r="A73" s="280" t="s">
        <v>735</v>
      </c>
      <c r="B73" s="204" t="s">
        <v>730</v>
      </c>
      <c r="C73" s="407" t="s">
        <v>736</v>
      </c>
      <c r="D73" s="616">
        <f>太阳能!K39*0.6</f>
        <v>5477.666400000001</v>
      </c>
      <c r="E73" s="619" t="s">
        <v>8081</v>
      </c>
      <c r="F73" s="426"/>
      <c r="G73" s="210"/>
      <c r="H73" s="615">
        <v>2375.8000000000002</v>
      </c>
      <c r="I73" s="435" t="s">
        <v>854</v>
      </c>
      <c r="J73" s="436"/>
      <c r="K73" s="436" t="s">
        <v>855</v>
      </c>
    </row>
    <row r="74" spans="1:66" ht="21" customHeight="1" outlineLevel="2">
      <c r="A74" s="280" t="s">
        <v>719</v>
      </c>
      <c r="B74" s="204" t="s">
        <v>701</v>
      </c>
      <c r="C74" s="407" t="s">
        <v>702</v>
      </c>
      <c r="D74" s="616">
        <v>12</v>
      </c>
      <c r="E74" s="1243" t="s">
        <v>7722</v>
      </c>
      <c r="F74" s="426"/>
      <c r="G74" s="210"/>
      <c r="H74" s="615"/>
      <c r="I74" s="435"/>
      <c r="J74" s="436"/>
      <c r="K74" s="436" t="s">
        <v>856</v>
      </c>
    </row>
    <row r="75" spans="1:66" ht="21" customHeight="1" outlineLevel="2">
      <c r="A75" s="1427" t="s">
        <v>741</v>
      </c>
      <c r="B75" s="204" t="s">
        <v>742</v>
      </c>
      <c r="C75" s="407" t="s">
        <v>743</v>
      </c>
      <c r="D75" s="265">
        <f>IFERROR('02 项目基础信息（输入）'!AC42/'02 项目基础信息（输入）'!C42,0)</f>
        <v>5.7825936091168645E-3</v>
      </c>
      <c r="E75" s="617"/>
      <c r="F75" s="426"/>
      <c r="G75" s="431"/>
      <c r="H75" s="615">
        <v>8.0837498256350008E-3</v>
      </c>
      <c r="I75" s="435"/>
      <c r="J75" s="436"/>
      <c r="K75" s="436" t="s">
        <v>857</v>
      </c>
    </row>
    <row r="76" spans="1:66" ht="40" customHeight="1" outlineLevel="2">
      <c r="A76" s="1427"/>
      <c r="B76" s="204" t="s">
        <v>745</v>
      </c>
      <c r="C76" s="407" t="s">
        <v>746</v>
      </c>
      <c r="D76" s="616">
        <f>11431+121+800+600</f>
        <v>12952</v>
      </c>
      <c r="E76" s="619" t="s">
        <v>7681</v>
      </c>
      <c r="F76" s="426"/>
      <c r="G76" s="210"/>
      <c r="H76" s="615">
        <v>4700</v>
      </c>
      <c r="I76" s="435" t="s">
        <v>858</v>
      </c>
      <c r="J76" s="436"/>
      <c r="K76" s="436" t="s">
        <v>859</v>
      </c>
    </row>
    <row r="77" spans="1:66" ht="21" customHeight="1" outlineLevel="2">
      <c r="A77" s="1427"/>
      <c r="B77" s="204" t="s">
        <v>749</v>
      </c>
      <c r="C77" s="407" t="s">
        <v>750</v>
      </c>
      <c r="D77" s="616">
        <v>2622</v>
      </c>
      <c r="E77" s="617" t="s">
        <v>7682</v>
      </c>
      <c r="F77" s="356" t="s">
        <v>8054</v>
      </c>
      <c r="G77" s="210"/>
      <c r="H77" s="615">
        <v>1308.7</v>
      </c>
      <c r="I77" s="435" t="s">
        <v>860</v>
      </c>
      <c r="J77" s="436"/>
      <c r="K77" s="436" t="s">
        <v>861</v>
      </c>
    </row>
    <row r="78" spans="1:66" ht="22" customHeight="1" outlineLevel="2">
      <c r="A78" s="1428" t="s">
        <v>753</v>
      </c>
      <c r="B78" s="204" t="s">
        <v>754</v>
      </c>
      <c r="C78" s="407" t="s">
        <v>706</v>
      </c>
      <c r="D78" s="1037">
        <f>门窗栏杆!E11+门窗栏杆!I11</f>
        <v>0.35338393310914679</v>
      </c>
      <c r="E78" s="1038" t="s">
        <v>7954</v>
      </c>
      <c r="F78" s="1345">
        <f>门窗栏杆!E17</f>
        <v>114.46889809475221</v>
      </c>
      <c r="G78" s="427"/>
      <c r="H78" s="615">
        <v>0.22</v>
      </c>
      <c r="I78" s="435" t="s">
        <v>862</v>
      </c>
      <c r="J78" s="436"/>
      <c r="K78" s="436" t="s">
        <v>863</v>
      </c>
    </row>
    <row r="79" spans="1:66" ht="33" customHeight="1" outlineLevel="2">
      <c r="A79" s="1427"/>
      <c r="B79" s="204" t="s">
        <v>730</v>
      </c>
      <c r="C79" s="407" t="s">
        <v>702</v>
      </c>
      <c r="D79" s="1037">
        <f>门窗栏杆!E13</f>
        <v>804.90367633021515</v>
      </c>
      <c r="E79" s="1038" t="s">
        <v>7957</v>
      </c>
      <c r="F79" s="1240" t="s">
        <v>8058</v>
      </c>
      <c r="G79" s="210"/>
      <c r="H79" s="615">
        <v>924.3</v>
      </c>
      <c r="I79" s="435" t="s">
        <v>864</v>
      </c>
      <c r="J79" s="436"/>
      <c r="K79" s="436" t="s">
        <v>865</v>
      </c>
    </row>
    <row r="80" spans="1:66" ht="21" customHeight="1" outlineLevel="2">
      <c r="A80" s="1427" t="s">
        <v>759</v>
      </c>
      <c r="B80" s="204" t="s">
        <v>475</v>
      </c>
      <c r="C80" s="407" t="s">
        <v>706</v>
      </c>
      <c r="D80" s="265">
        <f>'02 项目基础信息（输入）'!AE42</f>
        <v>1.2</v>
      </c>
      <c r="E80" s="617">
        <f>D81*D80</f>
        <v>814.34831999999994</v>
      </c>
      <c r="F80" s="1241">
        <v>1050</v>
      </c>
      <c r="G80" s="210"/>
      <c r="H80" s="615">
        <v>1.52</v>
      </c>
      <c r="I80" s="435" t="s">
        <v>866</v>
      </c>
      <c r="J80" s="436"/>
      <c r="K80" s="436" t="s">
        <v>867</v>
      </c>
    </row>
    <row r="81" spans="1:11" ht="21" customHeight="1" outlineLevel="2">
      <c r="A81" s="1427"/>
      <c r="B81" s="204" t="s">
        <v>761</v>
      </c>
      <c r="C81" s="407" t="s">
        <v>702</v>
      </c>
      <c r="D81" s="265">
        <f>(D82*D83+D84*D85+D86*D87+D88*D89+D90*D91)/100</f>
        <v>678.62360000000001</v>
      </c>
      <c r="E81" s="617"/>
      <c r="F81" s="309" t="s">
        <v>8062</v>
      </c>
      <c r="G81" s="210"/>
      <c r="H81" s="615">
        <v>337.37740000000002</v>
      </c>
      <c r="I81" s="435" t="s">
        <v>868</v>
      </c>
      <c r="J81" s="436"/>
      <c r="K81" s="436" t="s">
        <v>869</v>
      </c>
    </row>
    <row r="82" spans="1:11" ht="21" customHeight="1" outlineLevel="2">
      <c r="A82" s="1427"/>
      <c r="B82" s="204" t="s">
        <v>763</v>
      </c>
      <c r="C82" s="407" t="s">
        <v>123</v>
      </c>
      <c r="D82" s="616">
        <v>15</v>
      </c>
      <c r="E82" s="617" t="s">
        <v>8031</v>
      </c>
      <c r="F82" s="1242">
        <f>'05 成本测算明细'!O725+'05 成本测算明细'!O736+'05 成本测算明细'!O753+'05 成本测算明细'!O780</f>
        <v>1163.9599999999998</v>
      </c>
      <c r="G82" s="210"/>
      <c r="H82" s="615">
        <v>1</v>
      </c>
      <c r="I82" s="435"/>
      <c r="J82" s="436"/>
      <c r="K82" s="436" t="s">
        <v>871</v>
      </c>
    </row>
    <row r="83" spans="1:11" ht="21" customHeight="1" outlineLevel="2">
      <c r="A83" s="1427"/>
      <c r="B83" s="204" t="s">
        <v>765</v>
      </c>
      <c r="C83" s="407" t="s">
        <v>702</v>
      </c>
      <c r="D83" s="616">
        <v>900</v>
      </c>
      <c r="E83" s="617" t="s">
        <v>7934</v>
      </c>
      <c r="F83" s="426"/>
      <c r="G83" s="210"/>
      <c r="H83" s="615">
        <v>746.38</v>
      </c>
      <c r="I83" s="435" t="s">
        <v>766</v>
      </c>
      <c r="J83" s="436"/>
      <c r="K83" s="436" t="s">
        <v>872</v>
      </c>
    </row>
    <row r="84" spans="1:11" ht="21" customHeight="1" outlineLevel="2">
      <c r="A84" s="1427"/>
      <c r="B84" s="204" t="s">
        <v>768</v>
      </c>
      <c r="C84" s="407" t="s">
        <v>123</v>
      </c>
      <c r="D84" s="616">
        <v>5</v>
      </c>
      <c r="E84" s="617" t="s">
        <v>7966</v>
      </c>
      <c r="F84" s="1346"/>
      <c r="G84" s="210"/>
      <c r="H84" s="615">
        <v>24</v>
      </c>
      <c r="I84" s="435"/>
      <c r="J84" s="436"/>
      <c r="K84" s="436" t="s">
        <v>873</v>
      </c>
    </row>
    <row r="85" spans="1:11" ht="21" customHeight="1" outlineLevel="2">
      <c r="A85" s="1427"/>
      <c r="B85" s="204" t="s">
        <v>770</v>
      </c>
      <c r="C85" s="407" t="s">
        <v>702</v>
      </c>
      <c r="D85" s="616">
        <v>750</v>
      </c>
      <c r="E85" s="617" t="s">
        <v>7965</v>
      </c>
      <c r="F85" s="426"/>
      <c r="G85" s="210"/>
      <c r="H85" s="615">
        <v>211.54</v>
      </c>
      <c r="I85" s="435" t="s">
        <v>874</v>
      </c>
      <c r="J85" s="436"/>
      <c r="K85" s="436" t="s">
        <v>875</v>
      </c>
    </row>
    <row r="86" spans="1:11" ht="21" customHeight="1" outlineLevel="2">
      <c r="A86" s="1427"/>
      <c r="B86" s="204" t="s">
        <v>773</v>
      </c>
      <c r="C86" s="407" t="s">
        <v>123</v>
      </c>
      <c r="D86" s="616">
        <v>76</v>
      </c>
      <c r="E86" s="617"/>
      <c r="F86" s="426"/>
      <c r="G86" s="210"/>
      <c r="H86" s="615">
        <v>40</v>
      </c>
      <c r="I86" s="435"/>
      <c r="J86" s="436"/>
      <c r="K86" s="436" t="s">
        <v>876</v>
      </c>
    </row>
    <row r="87" spans="1:11" ht="21" customHeight="1" outlineLevel="2">
      <c r="A87" s="1427"/>
      <c r="B87" s="204" t="s">
        <v>775</v>
      </c>
      <c r="C87" s="407" t="s">
        <v>702</v>
      </c>
      <c r="D87" s="616" t="s">
        <v>877</v>
      </c>
      <c r="E87" s="617" t="s">
        <v>776</v>
      </c>
      <c r="F87" s="426"/>
      <c r="G87" s="210"/>
      <c r="H87" s="615">
        <v>664.11</v>
      </c>
      <c r="I87" s="435" t="s">
        <v>776</v>
      </c>
      <c r="J87" s="436"/>
      <c r="K87" s="436" t="s">
        <v>878</v>
      </c>
    </row>
    <row r="88" spans="1:11" ht="21" customHeight="1" outlineLevel="2">
      <c r="A88" s="1427"/>
      <c r="B88" s="204" t="s">
        <v>778</v>
      </c>
      <c r="C88" s="407" t="s">
        <v>123</v>
      </c>
      <c r="D88" s="616">
        <v>4</v>
      </c>
      <c r="E88" s="617" t="s">
        <v>8048</v>
      </c>
      <c r="F88" s="426"/>
      <c r="G88" s="210"/>
      <c r="H88" s="615">
        <v>30</v>
      </c>
      <c r="I88" s="435"/>
      <c r="J88" s="436"/>
      <c r="K88" s="436" t="s">
        <v>879</v>
      </c>
    </row>
    <row r="89" spans="1:11" ht="21" customHeight="1" outlineLevel="2">
      <c r="A89" s="1427"/>
      <c r="B89" s="204" t="s">
        <v>780</v>
      </c>
      <c r="C89" s="407" t="s">
        <v>702</v>
      </c>
      <c r="D89" s="616">
        <v>35</v>
      </c>
      <c r="E89" s="617" t="s">
        <v>781</v>
      </c>
      <c r="F89" s="426"/>
      <c r="G89" s="210"/>
      <c r="H89" s="615">
        <v>35</v>
      </c>
      <c r="I89" s="435" t="s">
        <v>781</v>
      </c>
      <c r="J89" s="436"/>
      <c r="K89" s="436" t="s">
        <v>880</v>
      </c>
    </row>
    <row r="90" spans="1:11" ht="21" customHeight="1" outlineLevel="2">
      <c r="A90" s="1427"/>
      <c r="B90" s="204" t="s">
        <v>783</v>
      </c>
      <c r="C90" s="407" t="s">
        <v>123</v>
      </c>
      <c r="D90" s="616">
        <v>0</v>
      </c>
      <c r="E90" s="617"/>
      <c r="F90" s="426"/>
      <c r="G90" s="210"/>
      <c r="H90" s="615">
        <v>5</v>
      </c>
      <c r="I90" s="435"/>
      <c r="J90" s="436"/>
      <c r="K90" s="436" t="s">
        <v>881</v>
      </c>
    </row>
    <row r="91" spans="1:11" ht="21" customHeight="1" outlineLevel="2">
      <c r="A91" s="1427"/>
      <c r="B91" s="204" t="s">
        <v>785</v>
      </c>
      <c r="C91" s="407" t="s">
        <v>702</v>
      </c>
      <c r="D91" s="616" t="s">
        <v>882</v>
      </c>
      <c r="E91" s="617" t="s">
        <v>781</v>
      </c>
      <c r="F91" s="426"/>
      <c r="G91" s="210"/>
      <c r="H91" s="615">
        <v>60</v>
      </c>
      <c r="I91" s="435" t="s">
        <v>781</v>
      </c>
      <c r="J91" s="436"/>
      <c r="K91" s="436" t="s">
        <v>883</v>
      </c>
    </row>
    <row r="92" spans="1:11" ht="21" customHeight="1" outlineLevel="2">
      <c r="A92" s="1427" t="s">
        <v>787</v>
      </c>
      <c r="B92" s="204" t="s">
        <v>788</v>
      </c>
      <c r="C92" s="407" t="s">
        <v>789</v>
      </c>
      <c r="D92" s="616">
        <f>门窗栏杆!X8</f>
        <v>8.5666666666666664</v>
      </c>
      <c r="E92" s="617" t="s">
        <v>7683</v>
      </c>
      <c r="F92" s="426"/>
      <c r="G92" s="210"/>
      <c r="H92" s="615">
        <v>8.2129999999999992</v>
      </c>
      <c r="I92" s="435"/>
      <c r="J92" s="436"/>
      <c r="K92" s="436" t="s">
        <v>884</v>
      </c>
    </row>
    <row r="93" spans="1:11" ht="23" customHeight="1" outlineLevel="2">
      <c r="A93" s="1427"/>
      <c r="B93" s="204" t="s">
        <v>791</v>
      </c>
      <c r="C93" s="407" t="s">
        <v>792</v>
      </c>
      <c r="D93" s="616">
        <f>H93</f>
        <v>664.87</v>
      </c>
      <c r="E93" s="617" t="s">
        <v>7956</v>
      </c>
      <c r="F93" s="426"/>
      <c r="G93" s="210"/>
      <c r="H93" s="615">
        <v>664.87</v>
      </c>
      <c r="I93" s="435" t="s">
        <v>793</v>
      </c>
      <c r="J93" s="436"/>
      <c r="K93" s="436" t="s">
        <v>885</v>
      </c>
    </row>
    <row r="94" spans="1:11" ht="21" customHeight="1" outlineLevel="2">
      <c r="A94" s="1427"/>
      <c r="B94" s="204" t="s">
        <v>795</v>
      </c>
      <c r="C94" s="407" t="s">
        <v>789</v>
      </c>
      <c r="D94" s="616">
        <f>门窗栏杆!V8</f>
        <v>1.8</v>
      </c>
      <c r="E94" s="617"/>
      <c r="F94" s="426"/>
      <c r="G94" s="210"/>
      <c r="H94" s="615">
        <v>7.891</v>
      </c>
      <c r="I94" s="435"/>
      <c r="J94" s="436"/>
      <c r="K94" s="436" t="s">
        <v>886</v>
      </c>
    </row>
    <row r="95" spans="1:11" ht="21" customHeight="1" outlineLevel="2">
      <c r="A95" s="1427"/>
      <c r="B95" s="204" t="s">
        <v>797</v>
      </c>
      <c r="C95" s="407" t="s">
        <v>792</v>
      </c>
      <c r="D95" s="616">
        <v>121.6</v>
      </c>
      <c r="E95" s="617" t="s">
        <v>793</v>
      </c>
      <c r="F95" s="426"/>
      <c r="G95" s="210"/>
      <c r="H95" s="615">
        <v>121.6</v>
      </c>
      <c r="I95" s="435" t="s">
        <v>793</v>
      </c>
      <c r="J95" s="436"/>
      <c r="K95" s="436" t="s">
        <v>887</v>
      </c>
    </row>
    <row r="96" spans="1:11" ht="21" customHeight="1" outlineLevel="2">
      <c r="A96" s="1428" t="s">
        <v>799</v>
      </c>
      <c r="B96" s="204" t="s">
        <v>800</v>
      </c>
      <c r="C96" s="407" t="s">
        <v>706</v>
      </c>
      <c r="D96" s="265">
        <f>IFERROR('02 项目基础信息（输入）'!P42/'02 项目基础信息（输入）'!C42,0)</f>
        <v>1.5902132425071377E-2</v>
      </c>
      <c r="E96" s="617"/>
      <c r="F96" s="426"/>
      <c r="G96" s="204"/>
      <c r="H96" s="615">
        <v>1.5242087213318E-2</v>
      </c>
      <c r="I96" s="435"/>
      <c r="J96" s="436"/>
      <c r="K96" s="436" t="s">
        <v>888</v>
      </c>
    </row>
    <row r="97" spans="1:11" ht="21" customHeight="1" outlineLevel="2">
      <c r="A97" s="1428"/>
      <c r="B97" s="204" t="s">
        <v>803</v>
      </c>
      <c r="C97" s="407" t="s">
        <v>702</v>
      </c>
      <c r="D97" s="1037">
        <v>5000</v>
      </c>
      <c r="E97" s="1038" t="s">
        <v>8050</v>
      </c>
      <c r="F97" s="426"/>
      <c r="G97" s="204"/>
      <c r="H97" s="615">
        <v>3350</v>
      </c>
      <c r="I97" s="435" t="s">
        <v>889</v>
      </c>
      <c r="J97" s="436"/>
      <c r="K97" s="436" t="s">
        <v>890</v>
      </c>
    </row>
    <row r="98" spans="1:11" ht="21" customHeight="1" outlineLevel="2">
      <c r="A98" s="1428"/>
      <c r="B98" s="204" t="s">
        <v>806</v>
      </c>
      <c r="C98" s="407" t="s">
        <v>706</v>
      </c>
      <c r="D98" s="265">
        <f>IFERROR('02 项目基础信息（输入）'!M42/'02 项目基础信息（输入）'!C42,0)</f>
        <v>4.0385633766072182E-2</v>
      </c>
      <c r="E98" s="617"/>
      <c r="F98" s="426"/>
      <c r="G98" s="432"/>
      <c r="H98" s="615">
        <v>4.8992423185663998E-2</v>
      </c>
      <c r="I98" s="435"/>
      <c r="J98" s="436"/>
      <c r="K98" s="436" t="s">
        <v>891</v>
      </c>
    </row>
    <row r="99" spans="1:11" ht="21" customHeight="1" outlineLevel="2">
      <c r="A99" s="1428"/>
      <c r="B99" s="204" t="s">
        <v>808</v>
      </c>
      <c r="C99" s="407" t="s">
        <v>702</v>
      </c>
      <c r="D99" s="1037">
        <v>1900</v>
      </c>
      <c r="E99" s="1038" t="s">
        <v>8051</v>
      </c>
      <c r="F99" s="426"/>
      <c r="G99" s="204"/>
      <c r="H99" s="615">
        <v>1380</v>
      </c>
      <c r="I99" s="435" t="s">
        <v>892</v>
      </c>
      <c r="J99" s="436"/>
      <c r="K99" s="436" t="s">
        <v>893</v>
      </c>
    </row>
    <row r="100" spans="1:11" ht="21" customHeight="1" outlineLevel="2">
      <c r="A100" s="1428"/>
      <c r="B100" s="204" t="s">
        <v>810</v>
      </c>
      <c r="C100" s="407" t="s">
        <v>706</v>
      </c>
      <c r="D100" s="265">
        <f>IFERROR('02 项目基础信息（输入）'!S42/'02 项目基础信息（输入）'!C42,0)</f>
        <v>0</v>
      </c>
      <c r="E100" s="617"/>
      <c r="F100" s="426"/>
      <c r="G100" s="431"/>
      <c r="H100" s="615">
        <v>0</v>
      </c>
      <c r="I100" s="437" t="s">
        <v>801</v>
      </c>
      <c r="J100" s="436"/>
      <c r="K100" s="436" t="s">
        <v>894</v>
      </c>
    </row>
    <row r="101" spans="1:11" ht="21" customHeight="1" outlineLevel="2">
      <c r="A101" s="1428"/>
      <c r="B101" s="204" t="s">
        <v>813</v>
      </c>
      <c r="C101" s="407" t="s">
        <v>702</v>
      </c>
      <c r="D101" s="616"/>
      <c r="E101" s="617"/>
      <c r="F101" s="426"/>
      <c r="G101" s="204"/>
      <c r="H101" s="615">
        <v>0</v>
      </c>
      <c r="I101" s="435" t="s">
        <v>804</v>
      </c>
      <c r="J101" s="436"/>
      <c r="K101" s="436" t="s">
        <v>895</v>
      </c>
    </row>
    <row r="102" spans="1:11" ht="21" customHeight="1" outlineLevel="2">
      <c r="A102" s="1428"/>
      <c r="B102" s="204" t="s">
        <v>815</v>
      </c>
      <c r="C102" s="407" t="s">
        <v>706</v>
      </c>
      <c r="D102" s="265">
        <f>IFERROR('02 项目基础信息（输入）'!V42/'02 项目基础信息（输入）'!C42,0)</f>
        <v>1.7347780827350594E-2</v>
      </c>
      <c r="E102" s="617"/>
      <c r="F102" s="426"/>
      <c r="G102" s="431"/>
      <c r="H102" s="615">
        <v>1.3064646182844E-2</v>
      </c>
      <c r="I102" s="435" t="s">
        <v>801</v>
      </c>
      <c r="J102" s="436"/>
      <c r="K102" s="436" t="s">
        <v>896</v>
      </c>
    </row>
    <row r="103" spans="1:11" ht="21" customHeight="1" outlineLevel="2">
      <c r="A103" s="1428"/>
      <c r="B103" s="204" t="s">
        <v>817</v>
      </c>
      <c r="C103" s="407" t="s">
        <v>702</v>
      </c>
      <c r="D103" s="1037">
        <v>4000</v>
      </c>
      <c r="E103" s="1038" t="s">
        <v>8052</v>
      </c>
      <c r="F103" s="426"/>
      <c r="G103" s="204"/>
      <c r="H103" s="615">
        <v>2700</v>
      </c>
      <c r="I103" s="435" t="s">
        <v>897</v>
      </c>
      <c r="J103" s="436"/>
      <c r="K103" s="436" t="s">
        <v>898</v>
      </c>
    </row>
    <row r="104" spans="1:11" ht="21" customHeight="1" outlineLevel="2">
      <c r="A104" s="1428"/>
      <c r="B104" s="204" t="s">
        <v>819</v>
      </c>
      <c r="C104" s="407" t="s">
        <v>706</v>
      </c>
      <c r="D104" s="265">
        <f>IFERROR('02 项目基础信息（输入）'!Y42/'02 项目基础信息（输入）'!C42,0)</f>
        <v>2.1684726034188244E-2</v>
      </c>
      <c r="E104" s="617" t="s">
        <v>801</v>
      </c>
      <c r="F104" s="426"/>
      <c r="G104" s="204"/>
      <c r="H104" s="615">
        <v>6.5323230914219998E-3</v>
      </c>
      <c r="I104" s="435" t="s">
        <v>801</v>
      </c>
      <c r="J104" s="436"/>
      <c r="K104" s="436" t="s">
        <v>899</v>
      </c>
    </row>
    <row r="105" spans="1:11" ht="21" customHeight="1" outlineLevel="2">
      <c r="A105" s="1428"/>
      <c r="B105" s="204" t="s">
        <v>821</v>
      </c>
      <c r="C105" s="407" t="s">
        <v>702</v>
      </c>
      <c r="D105" s="1037">
        <v>2400</v>
      </c>
      <c r="E105" s="1039" t="s">
        <v>7617</v>
      </c>
      <c r="F105" s="426"/>
      <c r="G105" s="204"/>
      <c r="H105" s="615">
        <v>830</v>
      </c>
      <c r="I105" s="435" t="s">
        <v>900</v>
      </c>
      <c r="J105" s="436"/>
      <c r="K105" s="436" t="s">
        <v>901</v>
      </c>
    </row>
    <row r="106" spans="1:11" ht="21" customHeight="1" outlineLevel="2">
      <c r="A106" s="1428"/>
      <c r="B106" s="204" t="s">
        <v>823</v>
      </c>
      <c r="C106" s="407" t="s">
        <v>706</v>
      </c>
      <c r="D106" s="265">
        <f>IFERROR('02 项目基础信息（输入）'!Z42/'02 项目基础信息（输入）'!C42,0)</f>
        <v>8.324563933748548E-2</v>
      </c>
      <c r="E106" s="617" t="s">
        <v>824</v>
      </c>
      <c r="F106" s="426"/>
      <c r="G106" s="204"/>
      <c r="H106" s="615">
        <v>0</v>
      </c>
      <c r="I106" s="435" t="s">
        <v>824</v>
      </c>
      <c r="J106" s="436"/>
      <c r="K106" s="436" t="s">
        <v>902</v>
      </c>
    </row>
    <row r="107" spans="1:11" ht="38" customHeight="1" outlineLevel="2">
      <c r="A107" s="1428"/>
      <c r="B107" s="204" t="s">
        <v>826</v>
      </c>
      <c r="C107" s="407" t="s">
        <v>702</v>
      </c>
      <c r="D107" s="1037">
        <v>2650</v>
      </c>
      <c r="E107" s="1038" t="s">
        <v>8069</v>
      </c>
      <c r="F107" s="426"/>
      <c r="G107" s="204"/>
      <c r="H107" s="615"/>
      <c r="I107" s="435" t="s">
        <v>903</v>
      </c>
      <c r="J107" s="436"/>
      <c r="K107" s="436" t="s">
        <v>904</v>
      </c>
    </row>
    <row r="108" spans="1:11" ht="21" customHeight="1" outlineLevel="2">
      <c r="A108" s="1428"/>
      <c r="B108" s="204" t="s">
        <v>828</v>
      </c>
      <c r="C108" s="407" t="s">
        <v>706</v>
      </c>
      <c r="D108" s="616">
        <f>10*11*15/'02 项目基础信息（输入）'!C42</f>
        <v>3.1804264850142754E-2</v>
      </c>
      <c r="E108" s="617" t="s">
        <v>7619</v>
      </c>
      <c r="F108" s="426"/>
      <c r="G108" s="431"/>
      <c r="H108" s="615">
        <v>0.01</v>
      </c>
      <c r="I108" s="435" t="s">
        <v>905</v>
      </c>
      <c r="J108" s="436"/>
      <c r="K108" s="436" t="s">
        <v>906</v>
      </c>
    </row>
    <row r="109" spans="1:11" ht="21" customHeight="1" outlineLevel="2">
      <c r="A109" s="1428"/>
      <c r="B109" s="204" t="s">
        <v>831</v>
      </c>
      <c r="C109" s="407" t="s">
        <v>702</v>
      </c>
      <c r="D109" s="285">
        <v>800</v>
      </c>
      <c r="E109" s="425" t="s">
        <v>7618</v>
      </c>
      <c r="F109" s="426"/>
      <c r="G109" s="204"/>
      <c r="H109" s="615"/>
      <c r="I109" s="435" t="s">
        <v>907</v>
      </c>
      <c r="J109" s="436"/>
      <c r="K109" s="436" t="s">
        <v>908</v>
      </c>
    </row>
    <row r="110" spans="1:11" ht="21" customHeight="1" outlineLevel="2">
      <c r="A110" s="280" t="s">
        <v>833</v>
      </c>
      <c r="B110" s="204" t="s">
        <v>834</v>
      </c>
      <c r="C110" s="407" t="s">
        <v>736</v>
      </c>
      <c r="D110" s="616">
        <v>5400</v>
      </c>
      <c r="E110" s="617" t="s">
        <v>8076</v>
      </c>
      <c r="F110" s="426"/>
      <c r="G110" s="204"/>
      <c r="H110" s="615">
        <v>4303</v>
      </c>
      <c r="I110" s="435" t="s">
        <v>909</v>
      </c>
      <c r="J110" s="436"/>
      <c r="K110" s="436" t="s">
        <v>910</v>
      </c>
    </row>
    <row r="111" spans="1:11" ht="21" customHeight="1" outlineLevel="2">
      <c r="A111" s="1427" t="s">
        <v>836</v>
      </c>
      <c r="B111" s="204" t="s">
        <v>837</v>
      </c>
      <c r="C111" s="407" t="s">
        <v>838</v>
      </c>
      <c r="D111" s="265">
        <f>IFERROR('02 项目基础信息（输入）'!C42/'02 项目基础信息（输入）'!J42,0)</f>
        <v>3458.6556399999999</v>
      </c>
      <c r="E111" s="617"/>
      <c r="F111" s="426"/>
      <c r="G111" s="439"/>
      <c r="H111" s="615">
        <v>2296.2734375</v>
      </c>
      <c r="I111" s="435"/>
      <c r="J111" s="436"/>
      <c r="K111" s="436" t="s">
        <v>911</v>
      </c>
    </row>
    <row r="112" spans="1:11" ht="21" customHeight="1" outlineLevel="2">
      <c r="A112" s="1427"/>
      <c r="B112" s="204" t="s">
        <v>840</v>
      </c>
      <c r="C112" s="407" t="s">
        <v>841</v>
      </c>
      <c r="D112" s="270">
        <f>电梯!Q4</f>
        <v>197743.84000000003</v>
      </c>
      <c r="E112" s="1328" t="s">
        <v>7960</v>
      </c>
      <c r="F112" s="426"/>
      <c r="G112" s="204"/>
      <c r="H112" s="615">
        <v>144521.37</v>
      </c>
      <c r="I112" s="435" t="s">
        <v>912</v>
      </c>
      <c r="J112" s="436"/>
      <c r="K112" s="436" t="s">
        <v>913</v>
      </c>
    </row>
    <row r="113" spans="1:66" ht="33" customHeight="1" outlineLevel="2">
      <c r="A113" s="1427"/>
      <c r="B113" s="204" t="s">
        <v>844</v>
      </c>
      <c r="C113" s="407" t="s">
        <v>841</v>
      </c>
      <c r="D113" s="270">
        <f>电梯!R4</f>
        <v>37806</v>
      </c>
      <c r="E113" s="1329" t="s">
        <v>7961</v>
      </c>
      <c r="F113" s="70"/>
      <c r="G113" s="204"/>
      <c r="H113" s="615">
        <v>40063.4</v>
      </c>
      <c r="I113" s="435" t="s">
        <v>914</v>
      </c>
      <c r="J113" s="436"/>
      <c r="K113" s="436" t="s">
        <v>915</v>
      </c>
    </row>
    <row r="114" spans="1:66" s="396" customFormat="1" ht="0" hidden="1" customHeight="1" outlineLevel="1">
      <c r="A114" s="417" t="s">
        <v>504</v>
      </c>
      <c r="B114" s="414"/>
      <c r="C114" s="418"/>
      <c r="D114" s="419"/>
      <c r="E114" s="420"/>
      <c r="F114" s="421"/>
      <c r="G114" s="421"/>
      <c r="H114" s="421"/>
      <c r="I114" s="421"/>
      <c r="J114" s="436"/>
      <c r="K114" s="436" t="s">
        <v>916</v>
      </c>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row>
    <row r="115" spans="1:66" ht="0" hidden="1" customHeight="1" outlineLevel="2">
      <c r="A115" s="280" t="s">
        <v>723</v>
      </c>
      <c r="B115" s="204" t="s">
        <v>701</v>
      </c>
      <c r="C115" s="407" t="s">
        <v>702</v>
      </c>
      <c r="D115" s="214">
        <v>0</v>
      </c>
      <c r="E115" s="425" t="s">
        <v>724</v>
      </c>
      <c r="F115" s="426"/>
      <c r="G115" s="210"/>
      <c r="H115" s="210"/>
      <c r="I115" s="435"/>
      <c r="J115" s="436"/>
      <c r="K115" s="436" t="s">
        <v>917</v>
      </c>
    </row>
    <row r="116" spans="1:66" ht="0" hidden="1" customHeight="1" outlineLevel="2">
      <c r="A116" s="1427" t="s">
        <v>726</v>
      </c>
      <c r="B116" s="204" t="s">
        <v>727</v>
      </c>
      <c r="C116" s="407" t="s">
        <v>706</v>
      </c>
      <c r="D116" s="424">
        <v>0</v>
      </c>
      <c r="E116" s="425" t="s">
        <v>728</v>
      </c>
      <c r="F116" s="426"/>
      <c r="G116" s="210"/>
      <c r="H116" s="210"/>
      <c r="I116" s="435"/>
      <c r="J116" s="436"/>
      <c r="K116" s="436" t="s">
        <v>918</v>
      </c>
    </row>
    <row r="117" spans="1:66" ht="0" hidden="1" customHeight="1" outlineLevel="2">
      <c r="A117" s="1427"/>
      <c r="B117" s="204" t="s">
        <v>730</v>
      </c>
      <c r="C117" s="407" t="s">
        <v>702</v>
      </c>
      <c r="D117" s="214">
        <v>0</v>
      </c>
      <c r="E117" s="425" t="s">
        <v>731</v>
      </c>
      <c r="F117" s="426"/>
      <c r="G117" s="210"/>
      <c r="H117" s="210"/>
      <c r="I117" s="435"/>
      <c r="J117" s="436"/>
      <c r="K117" s="436" t="s">
        <v>919</v>
      </c>
    </row>
    <row r="118" spans="1:66" ht="0" hidden="1" customHeight="1" outlineLevel="2">
      <c r="A118" s="280" t="s">
        <v>700</v>
      </c>
      <c r="B118" s="204" t="s">
        <v>701</v>
      </c>
      <c r="C118" s="407" t="s">
        <v>702</v>
      </c>
      <c r="D118" s="214">
        <v>0</v>
      </c>
      <c r="E118" s="425" t="s">
        <v>733</v>
      </c>
      <c r="F118" s="426"/>
      <c r="G118" s="210"/>
      <c r="H118" s="210"/>
      <c r="I118" s="435"/>
      <c r="J118" s="436"/>
      <c r="K118" s="436" t="s">
        <v>920</v>
      </c>
    </row>
    <row r="119" spans="1:66" ht="0" hidden="1" customHeight="1" outlineLevel="2">
      <c r="A119" s="280" t="s">
        <v>735</v>
      </c>
      <c r="B119" s="204" t="s">
        <v>730</v>
      </c>
      <c r="C119" s="407" t="s">
        <v>736</v>
      </c>
      <c r="D119" s="214">
        <v>0</v>
      </c>
      <c r="E119" s="425" t="s">
        <v>737</v>
      </c>
      <c r="F119" s="426"/>
      <c r="G119" s="210"/>
      <c r="H119" s="210"/>
      <c r="I119" s="435"/>
      <c r="J119" s="436"/>
      <c r="K119" s="436" t="s">
        <v>921</v>
      </c>
    </row>
    <row r="120" spans="1:66" ht="0" hidden="1" customHeight="1" outlineLevel="2">
      <c r="A120" s="280" t="s">
        <v>719</v>
      </c>
      <c r="B120" s="204" t="s">
        <v>701</v>
      </c>
      <c r="C120" s="407" t="s">
        <v>702</v>
      </c>
      <c r="D120" s="214">
        <v>0</v>
      </c>
      <c r="E120" s="425" t="s">
        <v>739</v>
      </c>
      <c r="F120" s="426"/>
      <c r="G120" s="210"/>
      <c r="H120" s="210"/>
      <c r="I120" s="435"/>
      <c r="J120" s="436"/>
      <c r="K120" s="436" t="s">
        <v>922</v>
      </c>
    </row>
    <row r="121" spans="1:66" ht="0" hidden="1" customHeight="1" outlineLevel="2">
      <c r="A121" s="1427" t="s">
        <v>741</v>
      </c>
      <c r="B121" s="204" t="s">
        <v>742</v>
      </c>
      <c r="C121" s="407" t="s">
        <v>743</v>
      </c>
      <c r="D121" s="430">
        <f>IFERROR('02 项目基础信息（输入）'!AC45/'02 项目基础信息（输入）'!C45,0)</f>
        <v>0</v>
      </c>
      <c r="E121" s="425"/>
      <c r="F121" s="426"/>
      <c r="G121" s="431"/>
      <c r="H121" s="431"/>
      <c r="I121" s="435"/>
      <c r="J121" s="436"/>
      <c r="K121" s="436" t="s">
        <v>923</v>
      </c>
    </row>
    <row r="122" spans="1:66" ht="0" hidden="1" customHeight="1" outlineLevel="2">
      <c r="A122" s="1427"/>
      <c r="B122" s="204" t="s">
        <v>745</v>
      </c>
      <c r="C122" s="407" t="s">
        <v>746</v>
      </c>
      <c r="D122" s="214">
        <v>0</v>
      </c>
      <c r="E122" s="425" t="s">
        <v>747</v>
      </c>
      <c r="F122" s="426"/>
      <c r="G122" s="210"/>
      <c r="H122" s="210"/>
      <c r="I122" s="435"/>
      <c r="J122" s="436"/>
      <c r="K122" s="436" t="s">
        <v>924</v>
      </c>
    </row>
    <row r="123" spans="1:66" ht="0" hidden="1" customHeight="1" outlineLevel="2">
      <c r="A123" s="1427"/>
      <c r="B123" s="204" t="s">
        <v>749</v>
      </c>
      <c r="C123" s="407" t="s">
        <v>750</v>
      </c>
      <c r="D123" s="214">
        <v>0</v>
      </c>
      <c r="E123" s="425" t="s">
        <v>751</v>
      </c>
      <c r="F123" s="426"/>
      <c r="G123" s="210"/>
      <c r="H123" s="210"/>
      <c r="I123" s="435"/>
      <c r="J123" s="436"/>
      <c r="K123" s="436" t="s">
        <v>925</v>
      </c>
    </row>
    <row r="124" spans="1:66" ht="0" hidden="1" customHeight="1" outlineLevel="2">
      <c r="A124" s="1428" t="s">
        <v>753</v>
      </c>
      <c r="B124" s="204" t="s">
        <v>754</v>
      </c>
      <c r="C124" s="407" t="s">
        <v>706</v>
      </c>
      <c r="D124" s="424">
        <v>0</v>
      </c>
      <c r="E124" s="423" t="s">
        <v>755</v>
      </c>
      <c r="F124" s="70"/>
      <c r="G124" s="427"/>
      <c r="H124" s="427"/>
      <c r="I124" s="435"/>
      <c r="J124" s="436"/>
      <c r="K124" s="436" t="s">
        <v>926</v>
      </c>
    </row>
    <row r="125" spans="1:66" ht="0" hidden="1" customHeight="1" outlineLevel="2">
      <c r="A125" s="1427"/>
      <c r="B125" s="204" t="s">
        <v>730</v>
      </c>
      <c r="C125" s="407" t="s">
        <v>702</v>
      </c>
      <c r="D125" s="214">
        <v>0</v>
      </c>
      <c r="E125" s="423" t="s">
        <v>757</v>
      </c>
      <c r="F125" s="70"/>
      <c r="G125" s="210"/>
      <c r="H125" s="210"/>
      <c r="I125" s="435"/>
      <c r="J125" s="436"/>
      <c r="K125" s="436" t="s">
        <v>927</v>
      </c>
    </row>
    <row r="126" spans="1:66" ht="0" hidden="1" customHeight="1" outlineLevel="2">
      <c r="A126" s="1427" t="s">
        <v>759</v>
      </c>
      <c r="B126" s="204" t="s">
        <v>475</v>
      </c>
      <c r="C126" s="407" t="s">
        <v>706</v>
      </c>
      <c r="D126" s="430">
        <f>'02 项目基础信息（输入）'!AE45</f>
        <v>0</v>
      </c>
      <c r="E126" s="425"/>
      <c r="F126" s="426"/>
      <c r="G126" s="210"/>
      <c r="H126" s="210"/>
      <c r="I126" s="435"/>
      <c r="J126" s="436"/>
      <c r="K126" s="436" t="s">
        <v>928</v>
      </c>
    </row>
    <row r="127" spans="1:66" ht="0" hidden="1" customHeight="1" outlineLevel="2">
      <c r="A127" s="1427"/>
      <c r="B127" s="204" t="s">
        <v>761</v>
      </c>
      <c r="C127" s="407" t="s">
        <v>702</v>
      </c>
      <c r="D127" s="266">
        <f>(D128*D129+D130*D131+D132*D133+D134*D135+D136*D137)/100</f>
        <v>0</v>
      </c>
      <c r="E127" s="425"/>
      <c r="F127" s="426"/>
      <c r="G127" s="210"/>
      <c r="H127" s="210"/>
      <c r="I127" s="435"/>
      <c r="J127" s="436"/>
      <c r="K127" s="436" t="s">
        <v>929</v>
      </c>
    </row>
    <row r="128" spans="1:66" ht="0" hidden="1" customHeight="1" outlineLevel="2">
      <c r="A128" s="1427"/>
      <c r="B128" s="204" t="s">
        <v>763</v>
      </c>
      <c r="C128" s="407" t="s">
        <v>123</v>
      </c>
      <c r="D128" s="214">
        <v>0</v>
      </c>
      <c r="E128" s="425"/>
      <c r="F128" s="426"/>
      <c r="G128" s="210"/>
      <c r="H128" s="210"/>
      <c r="I128" s="435"/>
      <c r="J128" s="436"/>
      <c r="K128" s="436" t="s">
        <v>930</v>
      </c>
    </row>
    <row r="129" spans="1:11" ht="0" hidden="1" customHeight="1" outlineLevel="2">
      <c r="A129" s="1427"/>
      <c r="B129" s="204" t="s">
        <v>765</v>
      </c>
      <c r="C129" s="407" t="s">
        <v>702</v>
      </c>
      <c r="D129" s="214">
        <v>0</v>
      </c>
      <c r="E129" s="425" t="s">
        <v>766</v>
      </c>
      <c r="F129" s="426"/>
      <c r="G129" s="210"/>
      <c r="H129" s="210"/>
      <c r="I129" s="435"/>
      <c r="J129" s="436"/>
      <c r="K129" s="436" t="s">
        <v>931</v>
      </c>
    </row>
    <row r="130" spans="1:11" ht="0" hidden="1" customHeight="1" outlineLevel="2">
      <c r="A130" s="1427"/>
      <c r="B130" s="204" t="s">
        <v>768</v>
      </c>
      <c r="C130" s="407" t="s">
        <v>123</v>
      </c>
      <c r="D130" s="214">
        <v>0</v>
      </c>
      <c r="E130" s="425"/>
      <c r="F130" s="426"/>
      <c r="G130" s="210"/>
      <c r="H130" s="210"/>
      <c r="I130" s="435"/>
      <c r="J130" s="436"/>
      <c r="K130" s="436" t="s">
        <v>932</v>
      </c>
    </row>
    <row r="131" spans="1:11" ht="0" hidden="1" customHeight="1" outlineLevel="2">
      <c r="A131" s="1427"/>
      <c r="B131" s="204" t="s">
        <v>770</v>
      </c>
      <c r="C131" s="407" t="s">
        <v>702</v>
      </c>
      <c r="D131" s="214">
        <v>0</v>
      </c>
      <c r="E131" s="425" t="s">
        <v>771</v>
      </c>
      <c r="F131" s="426"/>
      <c r="G131" s="210"/>
      <c r="H131" s="210"/>
      <c r="I131" s="435"/>
      <c r="J131" s="436"/>
      <c r="K131" s="436" t="s">
        <v>933</v>
      </c>
    </row>
    <row r="132" spans="1:11" ht="0" hidden="1" customHeight="1" outlineLevel="2">
      <c r="A132" s="1427"/>
      <c r="B132" s="204" t="s">
        <v>773</v>
      </c>
      <c r="C132" s="407" t="s">
        <v>123</v>
      </c>
      <c r="D132" s="214">
        <v>0</v>
      </c>
      <c r="E132" s="425"/>
      <c r="F132" s="426"/>
      <c r="G132" s="210"/>
      <c r="H132" s="210"/>
      <c r="I132" s="435"/>
      <c r="J132" s="436"/>
      <c r="K132" s="436" t="s">
        <v>934</v>
      </c>
    </row>
    <row r="133" spans="1:11" ht="0" hidden="1" customHeight="1" outlineLevel="2">
      <c r="A133" s="1427"/>
      <c r="B133" s="204" t="s">
        <v>775</v>
      </c>
      <c r="C133" s="407" t="s">
        <v>702</v>
      </c>
      <c r="D133" s="214">
        <v>0</v>
      </c>
      <c r="E133" s="425" t="s">
        <v>776</v>
      </c>
      <c r="F133" s="426"/>
      <c r="G133" s="210"/>
      <c r="H133" s="210"/>
      <c r="I133" s="435"/>
      <c r="J133" s="436"/>
      <c r="K133" s="436" t="s">
        <v>935</v>
      </c>
    </row>
    <row r="134" spans="1:11" ht="0" hidden="1" customHeight="1" outlineLevel="2">
      <c r="A134" s="1427"/>
      <c r="B134" s="204" t="s">
        <v>778</v>
      </c>
      <c r="C134" s="407" t="s">
        <v>123</v>
      </c>
      <c r="D134" s="214">
        <v>0</v>
      </c>
      <c r="E134" s="425"/>
      <c r="F134" s="426"/>
      <c r="G134" s="210"/>
      <c r="H134" s="210"/>
      <c r="I134" s="435"/>
      <c r="J134" s="436"/>
      <c r="K134" s="436" t="s">
        <v>936</v>
      </c>
    </row>
    <row r="135" spans="1:11" ht="0" hidden="1" customHeight="1" outlineLevel="2">
      <c r="A135" s="1427"/>
      <c r="B135" s="204" t="s">
        <v>780</v>
      </c>
      <c r="C135" s="407" t="s">
        <v>702</v>
      </c>
      <c r="D135" s="214">
        <v>0</v>
      </c>
      <c r="E135" s="425" t="s">
        <v>781</v>
      </c>
      <c r="F135" s="426"/>
      <c r="G135" s="210"/>
      <c r="H135" s="210"/>
      <c r="I135" s="435"/>
      <c r="J135" s="436"/>
      <c r="K135" s="436" t="s">
        <v>937</v>
      </c>
    </row>
    <row r="136" spans="1:11" ht="0" hidden="1" customHeight="1" outlineLevel="2">
      <c r="A136" s="1427"/>
      <c r="B136" s="204" t="s">
        <v>783</v>
      </c>
      <c r="C136" s="407" t="s">
        <v>123</v>
      </c>
      <c r="D136" s="214">
        <v>0</v>
      </c>
      <c r="E136" s="425"/>
      <c r="F136" s="426"/>
      <c r="G136" s="210"/>
      <c r="H136" s="210"/>
      <c r="I136" s="435"/>
      <c r="J136" s="436"/>
      <c r="K136" s="436" t="s">
        <v>938</v>
      </c>
    </row>
    <row r="137" spans="1:11" ht="0" hidden="1" customHeight="1" outlineLevel="2">
      <c r="A137" s="1427"/>
      <c r="B137" s="204" t="s">
        <v>785</v>
      </c>
      <c r="C137" s="407" t="s">
        <v>702</v>
      </c>
      <c r="D137" s="214">
        <v>0</v>
      </c>
      <c r="E137" s="425" t="s">
        <v>781</v>
      </c>
      <c r="F137" s="426"/>
      <c r="G137" s="210"/>
      <c r="H137" s="210"/>
      <c r="I137" s="435"/>
      <c r="J137" s="436"/>
      <c r="K137" s="436" t="s">
        <v>939</v>
      </c>
    </row>
    <row r="138" spans="1:11" ht="0" hidden="1" customHeight="1" outlineLevel="2">
      <c r="A138" s="1427" t="s">
        <v>787</v>
      </c>
      <c r="B138" s="204" t="s">
        <v>788</v>
      </c>
      <c r="C138" s="407" t="s">
        <v>789</v>
      </c>
      <c r="D138" s="424">
        <v>0</v>
      </c>
      <c r="E138" s="425"/>
      <c r="F138" s="426"/>
      <c r="G138" s="210"/>
      <c r="H138" s="210"/>
      <c r="I138" s="435"/>
      <c r="J138" s="436"/>
      <c r="K138" s="436" t="s">
        <v>940</v>
      </c>
    </row>
    <row r="139" spans="1:11" ht="0" hidden="1" customHeight="1" outlineLevel="2">
      <c r="A139" s="1427"/>
      <c r="B139" s="204" t="s">
        <v>791</v>
      </c>
      <c r="C139" s="407" t="s">
        <v>792</v>
      </c>
      <c r="D139" s="214">
        <v>0</v>
      </c>
      <c r="E139" s="425" t="s">
        <v>793</v>
      </c>
      <c r="F139" s="426"/>
      <c r="G139" s="210"/>
      <c r="H139" s="210"/>
      <c r="I139" s="435"/>
      <c r="J139" s="436"/>
      <c r="K139" s="436" t="s">
        <v>941</v>
      </c>
    </row>
    <row r="140" spans="1:11" ht="0" hidden="1" customHeight="1" outlineLevel="2">
      <c r="A140" s="1427"/>
      <c r="B140" s="204" t="s">
        <v>795</v>
      </c>
      <c r="C140" s="407" t="s">
        <v>789</v>
      </c>
      <c r="D140" s="424">
        <v>0</v>
      </c>
      <c r="E140" s="425"/>
      <c r="F140" s="426"/>
      <c r="G140" s="210"/>
      <c r="H140" s="210"/>
      <c r="I140" s="435"/>
      <c r="J140" s="436"/>
      <c r="K140" s="436" t="s">
        <v>942</v>
      </c>
    </row>
    <row r="141" spans="1:11" ht="0" hidden="1" customHeight="1" outlineLevel="2">
      <c r="A141" s="1427"/>
      <c r="B141" s="204" t="s">
        <v>797</v>
      </c>
      <c r="C141" s="407" t="s">
        <v>792</v>
      </c>
      <c r="D141" s="214">
        <v>0</v>
      </c>
      <c r="E141" s="425" t="s">
        <v>793</v>
      </c>
      <c r="F141" s="426"/>
      <c r="G141" s="210"/>
      <c r="H141" s="210"/>
      <c r="I141" s="435"/>
      <c r="J141" s="436"/>
      <c r="K141" s="436" t="s">
        <v>943</v>
      </c>
    </row>
    <row r="142" spans="1:11" ht="0" hidden="1" customHeight="1" outlineLevel="2">
      <c r="A142" s="1428" t="s">
        <v>799</v>
      </c>
      <c r="B142" s="204" t="s">
        <v>800</v>
      </c>
      <c r="C142" s="407" t="s">
        <v>706</v>
      </c>
      <c r="D142" s="430">
        <f>IFERROR('02 项目基础信息（输入）'!P45/'02 项目基础信息（输入）'!C45,0)</f>
        <v>0</v>
      </c>
      <c r="E142" s="425"/>
      <c r="F142" s="426"/>
      <c r="G142" s="204"/>
      <c r="H142" s="204"/>
      <c r="I142" s="435"/>
      <c r="J142" s="436"/>
      <c r="K142" s="436" t="s">
        <v>944</v>
      </c>
    </row>
    <row r="143" spans="1:11" ht="0" hidden="1" customHeight="1" outlineLevel="2">
      <c r="A143" s="1428"/>
      <c r="B143" s="204" t="s">
        <v>803</v>
      </c>
      <c r="C143" s="407" t="s">
        <v>702</v>
      </c>
      <c r="D143" s="350">
        <v>0</v>
      </c>
      <c r="E143" s="425" t="s">
        <v>804</v>
      </c>
      <c r="F143" s="426"/>
      <c r="G143" s="204"/>
      <c r="H143" s="204"/>
      <c r="I143" s="435"/>
      <c r="J143" s="436"/>
      <c r="K143" s="436" t="s">
        <v>945</v>
      </c>
    </row>
    <row r="144" spans="1:11" ht="0" hidden="1" customHeight="1" outlineLevel="2">
      <c r="A144" s="1428"/>
      <c r="B144" s="204" t="s">
        <v>806</v>
      </c>
      <c r="C144" s="407" t="s">
        <v>706</v>
      </c>
      <c r="D144" s="430">
        <f>IFERROR('02 项目基础信息（输入）'!M45/'02 项目基础信息（输入）'!C45,0)</f>
        <v>0</v>
      </c>
      <c r="E144" s="425"/>
      <c r="F144" s="426"/>
      <c r="G144" s="432"/>
      <c r="H144" s="432"/>
      <c r="I144" s="435"/>
      <c r="J144" s="436"/>
      <c r="K144" s="436" t="s">
        <v>946</v>
      </c>
    </row>
    <row r="145" spans="1:11" ht="0" hidden="1" customHeight="1" outlineLevel="2">
      <c r="A145" s="1428"/>
      <c r="B145" s="204" t="s">
        <v>808</v>
      </c>
      <c r="C145" s="407" t="s">
        <v>702</v>
      </c>
      <c r="D145" s="350">
        <v>0</v>
      </c>
      <c r="E145" s="425" t="s">
        <v>804</v>
      </c>
      <c r="F145" s="426"/>
      <c r="G145" s="204"/>
      <c r="H145" s="204"/>
      <c r="I145" s="435"/>
      <c r="J145" s="436"/>
      <c r="K145" s="436" t="s">
        <v>947</v>
      </c>
    </row>
    <row r="146" spans="1:11" ht="0" hidden="1" customHeight="1" outlineLevel="2">
      <c r="A146" s="1428"/>
      <c r="B146" s="204" t="s">
        <v>810</v>
      </c>
      <c r="C146" s="407" t="s">
        <v>706</v>
      </c>
      <c r="D146" s="430">
        <f>IFERROR('02 项目基础信息（输入）'!S45/'02 项目基础信息（输入）'!C45,0)</f>
        <v>0</v>
      </c>
      <c r="E146" s="425" t="s">
        <v>801</v>
      </c>
      <c r="F146" s="426"/>
      <c r="G146" s="431"/>
      <c r="H146" s="431"/>
      <c r="I146" s="437" t="s">
        <v>811</v>
      </c>
      <c r="J146" s="436"/>
      <c r="K146" s="436" t="s">
        <v>948</v>
      </c>
    </row>
    <row r="147" spans="1:11" ht="0" hidden="1" customHeight="1" outlineLevel="2">
      <c r="A147" s="1428"/>
      <c r="B147" s="204" t="s">
        <v>813</v>
      </c>
      <c r="C147" s="407" t="s">
        <v>702</v>
      </c>
      <c r="D147" s="350">
        <v>0</v>
      </c>
      <c r="E147" s="425" t="s">
        <v>804</v>
      </c>
      <c r="F147" s="426"/>
      <c r="G147" s="204"/>
      <c r="H147" s="204"/>
      <c r="I147" s="435"/>
      <c r="J147" s="436"/>
      <c r="K147" s="436" t="s">
        <v>949</v>
      </c>
    </row>
    <row r="148" spans="1:11" ht="0" hidden="1" customHeight="1" outlineLevel="2">
      <c r="A148" s="1428"/>
      <c r="B148" s="204" t="s">
        <v>815</v>
      </c>
      <c r="C148" s="407" t="s">
        <v>706</v>
      </c>
      <c r="D148" s="430">
        <f>IFERROR('02 项目基础信息（输入）'!V45/'02 项目基础信息（输入）'!C45,0)</f>
        <v>0</v>
      </c>
      <c r="E148" s="425" t="s">
        <v>801</v>
      </c>
      <c r="F148" s="426"/>
      <c r="G148" s="431"/>
      <c r="H148" s="431"/>
      <c r="I148" s="435"/>
      <c r="J148" s="436"/>
      <c r="K148" s="436" t="s">
        <v>950</v>
      </c>
    </row>
    <row r="149" spans="1:11" ht="0" hidden="1" customHeight="1" outlineLevel="2">
      <c r="A149" s="1428"/>
      <c r="B149" s="204" t="s">
        <v>817</v>
      </c>
      <c r="C149" s="407" t="s">
        <v>702</v>
      </c>
      <c r="D149" s="350">
        <v>0</v>
      </c>
      <c r="E149" s="425" t="s">
        <v>804</v>
      </c>
      <c r="F149" s="426"/>
      <c r="G149" s="204"/>
      <c r="H149" s="204"/>
      <c r="I149" s="435"/>
      <c r="J149" s="436"/>
      <c r="K149" s="436" t="s">
        <v>951</v>
      </c>
    </row>
    <row r="150" spans="1:11" ht="0" hidden="1" customHeight="1" outlineLevel="2">
      <c r="A150" s="1428"/>
      <c r="B150" s="204" t="s">
        <v>819</v>
      </c>
      <c r="C150" s="407" t="s">
        <v>706</v>
      </c>
      <c r="D150" s="430">
        <f>IFERROR('02 项目基础信息（输入）'!Y45/'02 项目基础信息（输入）'!C45,0)</f>
        <v>0</v>
      </c>
      <c r="E150" s="425" t="s">
        <v>801</v>
      </c>
      <c r="F150" s="426"/>
      <c r="G150" s="204"/>
      <c r="H150" s="204"/>
      <c r="I150" s="435"/>
      <c r="J150" s="436"/>
      <c r="K150" s="436" t="s">
        <v>952</v>
      </c>
    </row>
    <row r="151" spans="1:11" ht="0" hidden="1" customHeight="1" outlineLevel="2">
      <c r="A151" s="1428"/>
      <c r="B151" s="204" t="s">
        <v>821</v>
      </c>
      <c r="C151" s="407" t="s">
        <v>702</v>
      </c>
      <c r="D151" s="350">
        <v>0</v>
      </c>
      <c r="E151" s="425" t="s">
        <v>804</v>
      </c>
      <c r="F151" s="426"/>
      <c r="G151" s="204"/>
      <c r="H151" s="204"/>
      <c r="I151" s="435"/>
      <c r="J151" s="436"/>
      <c r="K151" s="436" t="s">
        <v>953</v>
      </c>
    </row>
    <row r="152" spans="1:11" ht="0" hidden="1" customHeight="1" outlineLevel="2">
      <c r="A152" s="1428"/>
      <c r="B152" s="204" t="s">
        <v>823</v>
      </c>
      <c r="C152" s="407" t="s">
        <v>706</v>
      </c>
      <c r="D152" s="430">
        <f>IFERROR('02 项目基础信息（输入）'!Z45/'02 项目基础信息（输入）'!C45,0)</f>
        <v>0</v>
      </c>
      <c r="E152" s="425" t="s">
        <v>824</v>
      </c>
      <c r="F152" s="426"/>
      <c r="G152" s="204"/>
      <c r="H152" s="204"/>
      <c r="I152" s="435"/>
      <c r="J152" s="436"/>
      <c r="K152" s="436" t="s">
        <v>954</v>
      </c>
    </row>
    <row r="153" spans="1:11" ht="0" hidden="1" customHeight="1" outlineLevel="2">
      <c r="A153" s="1428"/>
      <c r="B153" s="204" t="s">
        <v>826</v>
      </c>
      <c r="C153" s="407" t="s">
        <v>702</v>
      </c>
      <c r="D153" s="350">
        <v>0</v>
      </c>
      <c r="E153" s="425" t="s">
        <v>804</v>
      </c>
      <c r="F153" s="426"/>
      <c r="G153" s="204"/>
      <c r="H153" s="204"/>
      <c r="I153" s="435"/>
      <c r="J153" s="436"/>
      <c r="K153" s="436" t="s">
        <v>955</v>
      </c>
    </row>
    <row r="154" spans="1:11" ht="0" hidden="1" customHeight="1" outlineLevel="2">
      <c r="A154" s="1428"/>
      <c r="B154" s="204" t="s">
        <v>828</v>
      </c>
      <c r="C154" s="407" t="s">
        <v>706</v>
      </c>
      <c r="D154" s="424">
        <v>0</v>
      </c>
      <c r="E154" s="425" t="s">
        <v>829</v>
      </c>
      <c r="F154" s="426"/>
      <c r="G154" s="431"/>
      <c r="H154" s="431"/>
      <c r="I154" s="435"/>
      <c r="J154" s="436"/>
      <c r="K154" s="436" t="s">
        <v>956</v>
      </c>
    </row>
    <row r="155" spans="1:11" ht="0" hidden="1" customHeight="1" outlineLevel="2">
      <c r="A155" s="1428"/>
      <c r="B155" s="204" t="s">
        <v>831</v>
      </c>
      <c r="C155" s="407" t="s">
        <v>702</v>
      </c>
      <c r="D155" s="350">
        <v>0</v>
      </c>
      <c r="E155" s="425" t="s">
        <v>804</v>
      </c>
      <c r="F155" s="426"/>
      <c r="G155" s="204"/>
      <c r="H155" s="204"/>
      <c r="I155" s="435"/>
      <c r="J155" s="436"/>
      <c r="K155" s="436" t="s">
        <v>957</v>
      </c>
    </row>
    <row r="156" spans="1:11" ht="0" hidden="1" customHeight="1" outlineLevel="2">
      <c r="A156" s="280" t="s">
        <v>833</v>
      </c>
      <c r="B156" s="204" t="s">
        <v>834</v>
      </c>
      <c r="C156" s="407" t="s">
        <v>736</v>
      </c>
      <c r="D156" s="350">
        <v>0</v>
      </c>
      <c r="E156" s="425"/>
      <c r="F156" s="426"/>
      <c r="G156" s="204"/>
      <c r="H156" s="204"/>
      <c r="I156" s="435"/>
      <c r="J156" s="436"/>
      <c r="K156" s="436" t="s">
        <v>958</v>
      </c>
    </row>
    <row r="157" spans="1:11" ht="0" hidden="1" customHeight="1" outlineLevel="2">
      <c r="A157" s="1427" t="s">
        <v>836</v>
      </c>
      <c r="B157" s="204" t="s">
        <v>837</v>
      </c>
      <c r="C157" s="407" t="s">
        <v>838</v>
      </c>
      <c r="D157" s="438">
        <f>IFERROR('02 项目基础信息（输入）'!C45/'02 项目基础信息（输入）'!J45,0)</f>
        <v>0</v>
      </c>
      <c r="E157" s="425"/>
      <c r="F157" s="426"/>
      <c r="G157" s="439"/>
      <c r="H157" s="439"/>
      <c r="I157" s="435"/>
      <c r="J157" s="436"/>
      <c r="K157" s="436" t="s">
        <v>959</v>
      </c>
    </row>
    <row r="158" spans="1:11" ht="0" hidden="1" customHeight="1" outlineLevel="2">
      <c r="A158" s="1427"/>
      <c r="B158" s="204" t="s">
        <v>840</v>
      </c>
      <c r="C158" s="407" t="s">
        <v>841</v>
      </c>
      <c r="D158" s="350">
        <v>0</v>
      </c>
      <c r="E158" s="425" t="s">
        <v>842</v>
      </c>
      <c r="F158" s="426"/>
      <c r="G158" s="204"/>
      <c r="H158" s="204"/>
      <c r="I158" s="435"/>
      <c r="J158" s="436"/>
      <c r="K158" s="436" t="s">
        <v>960</v>
      </c>
    </row>
    <row r="159" spans="1:11" ht="0" hidden="1" customHeight="1" outlineLevel="2">
      <c r="A159" s="1427"/>
      <c r="B159" s="204" t="s">
        <v>844</v>
      </c>
      <c r="C159" s="407" t="s">
        <v>841</v>
      </c>
      <c r="D159" s="350">
        <v>0</v>
      </c>
      <c r="E159" s="423" t="s">
        <v>845</v>
      </c>
      <c r="F159" s="70"/>
      <c r="G159" s="204"/>
      <c r="H159" s="204"/>
      <c r="I159" s="435"/>
      <c r="J159" s="436"/>
      <c r="K159" s="436" t="s">
        <v>961</v>
      </c>
    </row>
    <row r="160" spans="1:11" ht="21.75" customHeight="1" collapsed="1">
      <c r="A160" s="404" t="s">
        <v>962</v>
      </c>
      <c r="B160" s="440"/>
      <c r="C160" s="404"/>
      <c r="D160" s="441"/>
      <c r="E160" s="442"/>
      <c r="F160" s="404"/>
      <c r="G160" s="404"/>
      <c r="H160" s="404"/>
      <c r="I160" s="404"/>
      <c r="J160" s="436"/>
      <c r="K160" s="436" t="s">
        <v>963</v>
      </c>
    </row>
    <row r="161" spans="1:66" ht="0" hidden="1" customHeight="1" outlineLevel="1">
      <c r="A161" s="443" t="s">
        <v>964</v>
      </c>
      <c r="B161" s="440"/>
      <c r="C161" s="444"/>
      <c r="D161" s="445"/>
      <c r="E161" s="446"/>
      <c r="F161" s="447"/>
      <c r="G161" s="447"/>
      <c r="H161" s="447"/>
      <c r="I161" s="447"/>
      <c r="J161" s="436"/>
      <c r="K161" s="436" t="s">
        <v>965</v>
      </c>
    </row>
    <row r="162" spans="1:66" s="396" customFormat="1" ht="0" hidden="1" customHeight="1" outlineLevel="2">
      <c r="A162" s="1429" t="s">
        <v>688</v>
      </c>
      <c r="B162" s="204" t="s">
        <v>694</v>
      </c>
      <c r="C162" s="407" t="s">
        <v>966</v>
      </c>
      <c r="D162" s="307"/>
      <c r="E162" s="448" t="s">
        <v>967</v>
      </c>
      <c r="F162" s="449"/>
      <c r="G162" s="449"/>
      <c r="H162" s="450"/>
      <c r="I162" s="449"/>
      <c r="J162" s="436"/>
      <c r="K162" s="436" t="s">
        <v>968</v>
      </c>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row>
    <row r="163" spans="1:66" s="396" customFormat="1" ht="0" hidden="1" customHeight="1" outlineLevel="2">
      <c r="A163" s="1430"/>
      <c r="B163" s="204" t="s">
        <v>969</v>
      </c>
      <c r="C163" s="407" t="s">
        <v>664</v>
      </c>
      <c r="D163" s="307"/>
      <c r="E163" s="448"/>
      <c r="F163" s="449"/>
      <c r="G163" s="449"/>
      <c r="H163" s="450"/>
      <c r="I163" s="449"/>
      <c r="J163" s="436"/>
      <c r="K163" s="436" t="s">
        <v>970</v>
      </c>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row>
    <row r="164" spans="1:66" s="396" customFormat="1" ht="0" hidden="1" customHeight="1" outlineLevel="2">
      <c r="A164" s="1431"/>
      <c r="B164" s="204" t="s">
        <v>971</v>
      </c>
      <c r="C164" s="407" t="s">
        <v>664</v>
      </c>
      <c r="D164" s="307"/>
      <c r="E164" s="448"/>
      <c r="F164" s="449"/>
      <c r="G164" s="449"/>
      <c r="H164" s="450"/>
      <c r="I164" s="449"/>
      <c r="J164" s="436"/>
      <c r="K164" s="436" t="s">
        <v>972</v>
      </c>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row>
    <row r="165" spans="1:66" s="396" customFormat="1" ht="0" hidden="1" customHeight="1" outlineLevel="2">
      <c r="A165" s="1429" t="s">
        <v>973</v>
      </c>
      <c r="B165" s="280" t="s">
        <v>694</v>
      </c>
      <c r="C165" s="280" t="s">
        <v>298</v>
      </c>
      <c r="D165" s="307"/>
      <c r="E165" s="448" t="s">
        <v>967</v>
      </c>
      <c r="F165" s="449"/>
      <c r="G165" s="449"/>
      <c r="H165" s="450"/>
      <c r="I165" s="449"/>
      <c r="J165" s="436"/>
      <c r="K165" s="436" t="s">
        <v>974</v>
      </c>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row>
    <row r="166" spans="1:66" s="396" customFormat="1" ht="0" hidden="1" customHeight="1" outlineLevel="2">
      <c r="A166" s="1431"/>
      <c r="B166" s="280" t="s">
        <v>730</v>
      </c>
      <c r="C166" s="280" t="s">
        <v>675</v>
      </c>
      <c r="D166" s="307"/>
      <c r="E166" s="448"/>
      <c r="F166" s="449"/>
      <c r="G166" s="449"/>
      <c r="H166" s="450"/>
      <c r="I166" s="449"/>
      <c r="J166" s="436"/>
      <c r="K166" s="436" t="s">
        <v>975</v>
      </c>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row>
    <row r="167" spans="1:66" s="396" customFormat="1" ht="0" hidden="1" customHeight="1" outlineLevel="2">
      <c r="A167" s="1429" t="s">
        <v>691</v>
      </c>
      <c r="B167" s="204" t="s">
        <v>694</v>
      </c>
      <c r="C167" s="407" t="s">
        <v>976</v>
      </c>
      <c r="D167" s="307"/>
      <c r="E167" s="448" t="s">
        <v>967</v>
      </c>
      <c r="F167" s="449"/>
      <c r="G167" s="449"/>
      <c r="H167" s="450"/>
      <c r="I167" s="449"/>
      <c r="J167" s="436"/>
      <c r="K167" s="436" t="s">
        <v>977</v>
      </c>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row>
    <row r="168" spans="1:66" s="396" customFormat="1" ht="0" hidden="1" customHeight="1" outlineLevel="2">
      <c r="A168" s="1430"/>
      <c r="B168" s="204" t="s">
        <v>978</v>
      </c>
      <c r="C168" s="407" t="s">
        <v>979</v>
      </c>
      <c r="D168" s="307"/>
      <c r="E168" s="448"/>
      <c r="F168" s="449"/>
      <c r="G168" s="449"/>
      <c r="H168" s="450"/>
      <c r="I168" s="449"/>
      <c r="J168" s="436"/>
      <c r="K168" s="436" t="s">
        <v>980</v>
      </c>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row>
    <row r="169" spans="1:66" s="396" customFormat="1" ht="0" hidden="1" customHeight="1" outlineLevel="2">
      <c r="A169" s="1431"/>
      <c r="B169" s="204" t="s">
        <v>981</v>
      </c>
      <c r="C169" s="407" t="s">
        <v>979</v>
      </c>
      <c r="D169" s="307"/>
      <c r="E169" s="448"/>
      <c r="F169" s="449"/>
      <c r="G169" s="449"/>
      <c r="H169" s="450"/>
      <c r="I169" s="449"/>
      <c r="J169" s="436"/>
      <c r="K169" s="436" t="s">
        <v>982</v>
      </c>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row>
    <row r="170" spans="1:66" s="396" customFormat="1" ht="0" hidden="1" customHeight="1" outlineLevel="2">
      <c r="A170" s="1429" t="s">
        <v>983</v>
      </c>
      <c r="B170" s="204" t="s">
        <v>984</v>
      </c>
      <c r="C170" s="407" t="s">
        <v>966</v>
      </c>
      <c r="D170" s="307"/>
      <c r="E170" s="448" t="s">
        <v>985</v>
      </c>
      <c r="F170" s="449"/>
      <c r="G170" s="449"/>
      <c r="H170" s="450"/>
      <c r="I170" s="449"/>
      <c r="J170" s="436"/>
      <c r="K170" s="436" t="s">
        <v>986</v>
      </c>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row>
    <row r="171" spans="1:66" s="396" customFormat="1" ht="0" hidden="1" customHeight="1" outlineLevel="2">
      <c r="A171" s="1430"/>
      <c r="B171" s="204" t="s">
        <v>987</v>
      </c>
      <c r="C171" s="407" t="s">
        <v>664</v>
      </c>
      <c r="D171" s="307"/>
      <c r="E171" s="448"/>
      <c r="F171" s="449"/>
      <c r="G171" s="449"/>
      <c r="H171" s="450"/>
      <c r="I171" s="449"/>
      <c r="J171" s="436"/>
      <c r="K171" s="436" t="s">
        <v>988</v>
      </c>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row>
    <row r="172" spans="1:66" s="396" customFormat="1" ht="0" hidden="1" customHeight="1" outlineLevel="2">
      <c r="A172" s="1431"/>
      <c r="B172" s="204" t="s">
        <v>989</v>
      </c>
      <c r="C172" s="407" t="s">
        <v>664</v>
      </c>
      <c r="D172" s="307"/>
      <c r="E172" s="448"/>
      <c r="F172" s="449"/>
      <c r="G172" s="449"/>
      <c r="H172" s="450"/>
      <c r="I172" s="449"/>
      <c r="J172" s="436"/>
      <c r="K172" s="436" t="s">
        <v>990</v>
      </c>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row>
    <row r="173" spans="1:66" s="396" customFormat="1" ht="0" hidden="1" customHeight="1" outlineLevel="2">
      <c r="A173" s="280" t="s">
        <v>704</v>
      </c>
      <c r="B173" s="204" t="s">
        <v>705</v>
      </c>
      <c r="C173" s="407" t="s">
        <v>298</v>
      </c>
      <c r="D173" s="451"/>
      <c r="E173" s="448"/>
      <c r="F173" s="452"/>
      <c r="G173" s="452"/>
      <c r="H173" s="453"/>
      <c r="I173" s="452"/>
      <c r="J173" s="436"/>
      <c r="K173" s="436" t="s">
        <v>991</v>
      </c>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row>
    <row r="174" spans="1:66" s="397" customFormat="1" ht="0" hidden="1" customHeight="1" outlineLevel="2">
      <c r="A174" s="280" t="s">
        <v>711</v>
      </c>
      <c r="B174" s="204" t="s">
        <v>992</v>
      </c>
      <c r="C174" s="407" t="s">
        <v>400</v>
      </c>
      <c r="D174" s="454"/>
      <c r="E174" s="455"/>
      <c r="F174" s="456"/>
      <c r="G174" s="456"/>
      <c r="H174" s="457"/>
      <c r="I174" s="456"/>
      <c r="J174" s="436"/>
      <c r="K174" s="436" t="s">
        <v>993</v>
      </c>
      <c r="L174" s="398"/>
      <c r="M174" s="398"/>
      <c r="N174" s="398"/>
      <c r="O174" s="398"/>
      <c r="P174" s="398"/>
      <c r="Q174" s="398"/>
      <c r="R174" s="398"/>
      <c r="S174" s="398"/>
      <c r="T174" s="398"/>
      <c r="U174" s="398"/>
      <c r="V174" s="398"/>
      <c r="W174" s="398"/>
      <c r="X174" s="398"/>
      <c r="Y174" s="398"/>
      <c r="Z174" s="398"/>
      <c r="AA174" s="398"/>
      <c r="AB174" s="398"/>
      <c r="AC174" s="398"/>
      <c r="AD174" s="398"/>
      <c r="AE174" s="398"/>
      <c r="AF174" s="398"/>
      <c r="AG174" s="398"/>
      <c r="AH174" s="398"/>
      <c r="AI174" s="398"/>
      <c r="AJ174" s="398"/>
      <c r="AK174" s="398"/>
      <c r="AL174" s="398"/>
      <c r="AM174" s="398"/>
      <c r="AN174" s="398"/>
      <c r="AO174" s="398"/>
      <c r="AP174" s="398"/>
      <c r="AQ174" s="398"/>
      <c r="AR174" s="398"/>
      <c r="AS174" s="398"/>
      <c r="AT174" s="398"/>
      <c r="AU174" s="398"/>
      <c r="AV174" s="398"/>
      <c r="AW174" s="398"/>
      <c r="AX174" s="398"/>
      <c r="AY174" s="398"/>
      <c r="AZ174" s="398"/>
      <c r="BA174" s="398"/>
      <c r="BB174" s="398"/>
      <c r="BC174" s="398"/>
      <c r="BD174" s="398"/>
      <c r="BE174" s="398"/>
      <c r="BF174" s="398"/>
      <c r="BG174" s="398"/>
      <c r="BH174" s="398"/>
      <c r="BI174" s="398"/>
      <c r="BJ174" s="398"/>
      <c r="BK174" s="398"/>
      <c r="BL174" s="398"/>
      <c r="BM174" s="398"/>
      <c r="BN174" s="398"/>
    </row>
    <row r="175" spans="1:66" s="397" customFormat="1" ht="0" hidden="1" customHeight="1" outlineLevel="2">
      <c r="A175" s="280" t="s">
        <v>994</v>
      </c>
      <c r="B175" s="204" t="s">
        <v>995</v>
      </c>
      <c r="C175" s="407" t="s">
        <v>400</v>
      </c>
      <c r="D175" s="454"/>
      <c r="E175" s="455"/>
      <c r="F175" s="456"/>
      <c r="G175" s="456"/>
      <c r="H175" s="457"/>
      <c r="I175" s="456"/>
      <c r="J175" s="436"/>
      <c r="K175" s="436" t="s">
        <v>996</v>
      </c>
      <c r="L175" s="398"/>
      <c r="M175" s="398"/>
      <c r="N175" s="398"/>
      <c r="O175" s="398"/>
      <c r="P175" s="398"/>
      <c r="Q175" s="398"/>
      <c r="R175" s="398"/>
      <c r="S175" s="398"/>
      <c r="T175" s="398"/>
      <c r="U175" s="398"/>
      <c r="V175" s="398"/>
      <c r="W175" s="398"/>
      <c r="X175" s="398"/>
      <c r="Y175" s="398"/>
      <c r="Z175" s="398"/>
      <c r="AA175" s="398"/>
      <c r="AB175" s="398"/>
      <c r="AC175" s="398"/>
      <c r="AD175" s="398"/>
      <c r="AE175" s="398"/>
      <c r="AF175" s="398"/>
      <c r="AG175" s="398"/>
      <c r="AH175" s="398"/>
      <c r="AI175" s="398"/>
      <c r="AJ175" s="398"/>
      <c r="AK175" s="398"/>
      <c r="AL175" s="398"/>
      <c r="AM175" s="398"/>
      <c r="AN175" s="398"/>
      <c r="AO175" s="398"/>
      <c r="AP175" s="398"/>
      <c r="AQ175" s="398"/>
      <c r="AR175" s="398"/>
      <c r="AS175" s="398"/>
      <c r="AT175" s="398"/>
      <c r="AU175" s="398"/>
      <c r="AV175" s="398"/>
      <c r="AW175" s="398"/>
      <c r="AX175" s="398"/>
      <c r="AY175" s="398"/>
      <c r="AZ175" s="398"/>
      <c r="BA175" s="398"/>
      <c r="BB175" s="398"/>
      <c r="BC175" s="398"/>
      <c r="BD175" s="398"/>
      <c r="BE175" s="398"/>
      <c r="BF175" s="398"/>
      <c r="BG175" s="398"/>
      <c r="BH175" s="398"/>
      <c r="BI175" s="398"/>
      <c r="BJ175" s="398"/>
      <c r="BK175" s="398"/>
      <c r="BL175" s="398"/>
      <c r="BM175" s="398"/>
      <c r="BN175" s="398"/>
    </row>
    <row r="176" spans="1:66" s="397" customFormat="1" ht="0" hidden="1" customHeight="1" outlineLevel="2">
      <c r="A176" s="280" t="s">
        <v>997</v>
      </c>
      <c r="B176" s="204" t="s">
        <v>998</v>
      </c>
      <c r="C176" s="407" t="s">
        <v>999</v>
      </c>
      <c r="D176" s="307"/>
      <c r="E176" s="455"/>
      <c r="F176" s="456"/>
      <c r="G176" s="456"/>
      <c r="H176" s="457"/>
      <c r="I176" s="456"/>
      <c r="J176" s="436"/>
      <c r="K176" s="436" t="s">
        <v>1000</v>
      </c>
      <c r="L176" s="398"/>
      <c r="M176" s="398"/>
      <c r="N176" s="398"/>
      <c r="O176" s="398"/>
      <c r="P176" s="398"/>
      <c r="Q176" s="398"/>
      <c r="R176" s="398"/>
      <c r="S176" s="398"/>
      <c r="T176" s="398"/>
      <c r="U176" s="398"/>
      <c r="V176" s="398"/>
      <c r="W176" s="398"/>
      <c r="X176" s="398"/>
      <c r="Y176" s="398"/>
      <c r="Z176" s="398"/>
      <c r="AA176" s="398"/>
      <c r="AB176" s="398"/>
      <c r="AC176" s="398"/>
      <c r="AD176" s="398"/>
      <c r="AE176" s="398"/>
      <c r="AF176" s="398"/>
      <c r="AG176" s="398"/>
      <c r="AH176" s="398"/>
      <c r="AI176" s="398"/>
      <c r="AJ176" s="398"/>
      <c r="AK176" s="398"/>
      <c r="AL176" s="398"/>
      <c r="AM176" s="398"/>
      <c r="AN176" s="398"/>
      <c r="AO176" s="398"/>
      <c r="AP176" s="398"/>
      <c r="AQ176" s="398"/>
      <c r="AR176" s="398"/>
      <c r="AS176" s="398"/>
      <c r="AT176" s="398"/>
      <c r="AU176" s="398"/>
      <c r="AV176" s="398"/>
      <c r="AW176" s="398"/>
      <c r="AX176" s="398"/>
      <c r="AY176" s="398"/>
      <c r="AZ176" s="398"/>
      <c r="BA176" s="398"/>
      <c r="BB176" s="398"/>
      <c r="BC176" s="398"/>
      <c r="BD176" s="398"/>
      <c r="BE176" s="398"/>
      <c r="BF176" s="398"/>
      <c r="BG176" s="398"/>
      <c r="BH176" s="398"/>
      <c r="BI176" s="398"/>
      <c r="BJ176" s="398"/>
      <c r="BK176" s="398"/>
      <c r="BL176" s="398"/>
      <c r="BM176" s="398"/>
      <c r="BN176" s="398"/>
    </row>
    <row r="177" spans="1:66" s="396" customFormat="1" ht="0" hidden="1" customHeight="1" outlineLevel="2">
      <c r="A177" s="280" t="s">
        <v>719</v>
      </c>
      <c r="B177" s="204" t="s">
        <v>701</v>
      </c>
      <c r="C177" s="407" t="s">
        <v>675</v>
      </c>
      <c r="D177" s="307"/>
      <c r="E177" s="448" t="s">
        <v>1001</v>
      </c>
      <c r="F177" s="263"/>
      <c r="G177" s="263"/>
      <c r="H177" s="205"/>
      <c r="I177" s="263"/>
      <c r="J177" s="436"/>
      <c r="K177" s="436" t="s">
        <v>1002</v>
      </c>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row>
    <row r="178" spans="1:66" ht="0" hidden="1" customHeight="1" outlineLevel="1">
      <c r="A178" s="443" t="s">
        <v>621</v>
      </c>
      <c r="B178" s="440"/>
      <c r="C178" s="444"/>
      <c r="D178" s="445"/>
      <c r="E178" s="458"/>
      <c r="F178" s="447"/>
      <c r="G178" s="447"/>
      <c r="H178" s="447"/>
      <c r="I178" s="447"/>
      <c r="J178" s="436"/>
      <c r="K178" s="436" t="s">
        <v>1003</v>
      </c>
    </row>
    <row r="179" spans="1:66" s="396" customFormat="1" ht="0" hidden="1" customHeight="1" outlineLevel="2">
      <c r="A179" s="1429" t="s">
        <v>688</v>
      </c>
      <c r="B179" s="204" t="s">
        <v>1004</v>
      </c>
      <c r="C179" s="407" t="s">
        <v>966</v>
      </c>
      <c r="D179" s="307"/>
      <c r="E179" s="448" t="s">
        <v>967</v>
      </c>
      <c r="F179" s="449"/>
      <c r="G179" s="449"/>
      <c r="H179" s="449"/>
      <c r="I179" s="449"/>
      <c r="J179" s="436"/>
      <c r="K179" s="436" t="s">
        <v>1005</v>
      </c>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row>
    <row r="180" spans="1:66" s="396" customFormat="1" ht="0" hidden="1" customHeight="1" outlineLevel="2">
      <c r="A180" s="1430"/>
      <c r="B180" s="204" t="s">
        <v>1006</v>
      </c>
      <c r="C180" s="407" t="s">
        <v>966</v>
      </c>
      <c r="D180" s="307"/>
      <c r="E180" s="448" t="s">
        <v>1007</v>
      </c>
      <c r="F180" s="449"/>
      <c r="G180" s="449"/>
      <c r="H180" s="449"/>
      <c r="I180" s="449"/>
      <c r="J180" s="436"/>
      <c r="K180" s="436" t="s">
        <v>1008</v>
      </c>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row>
    <row r="181" spans="1:66" s="396" customFormat="1" ht="0" hidden="1" customHeight="1" outlineLevel="2">
      <c r="A181" s="1430"/>
      <c r="B181" s="204" t="s">
        <v>969</v>
      </c>
      <c r="C181" s="407" t="s">
        <v>664</v>
      </c>
      <c r="D181" s="307"/>
      <c r="E181" s="448"/>
      <c r="F181" s="449"/>
      <c r="G181" s="449"/>
      <c r="H181" s="449"/>
      <c r="I181" s="449"/>
      <c r="J181" s="436"/>
      <c r="K181" s="436" t="s">
        <v>1009</v>
      </c>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row>
    <row r="182" spans="1:66" s="396" customFormat="1" ht="0" hidden="1" customHeight="1" outlineLevel="2">
      <c r="A182" s="1431"/>
      <c r="B182" s="204" t="s">
        <v>971</v>
      </c>
      <c r="C182" s="407" t="s">
        <v>664</v>
      </c>
      <c r="D182" s="307"/>
      <c r="E182" s="448"/>
      <c r="F182" s="449"/>
      <c r="G182" s="449"/>
      <c r="H182" s="449"/>
      <c r="I182" s="449"/>
      <c r="J182" s="436"/>
      <c r="K182" s="436" t="s">
        <v>1010</v>
      </c>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row>
    <row r="183" spans="1:66" s="396" customFormat="1" ht="0" hidden="1" customHeight="1" outlineLevel="2">
      <c r="A183" s="1429" t="s">
        <v>973</v>
      </c>
      <c r="B183" s="204" t="s">
        <v>694</v>
      </c>
      <c r="C183" s="407" t="s">
        <v>298</v>
      </c>
      <c r="D183" s="307"/>
      <c r="E183" s="448" t="s">
        <v>1011</v>
      </c>
      <c r="F183" s="449"/>
      <c r="G183" s="449"/>
      <c r="H183" s="449"/>
      <c r="I183" s="449"/>
      <c r="J183" s="436"/>
      <c r="K183" s="436" t="s">
        <v>1012</v>
      </c>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row>
    <row r="184" spans="1:66" s="396" customFormat="1" ht="0" hidden="1" customHeight="1" outlineLevel="2">
      <c r="A184" s="1430"/>
      <c r="B184" s="280" t="s">
        <v>730</v>
      </c>
      <c r="C184" s="280" t="s">
        <v>675</v>
      </c>
      <c r="D184" s="307"/>
      <c r="E184" s="448"/>
      <c r="F184" s="449"/>
      <c r="G184" s="449"/>
      <c r="H184" s="449"/>
      <c r="I184" s="449"/>
      <c r="J184" s="436"/>
      <c r="K184" s="436" t="s">
        <v>1013</v>
      </c>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row>
    <row r="185" spans="1:66" s="396" customFormat="1" ht="0" hidden="1" customHeight="1" outlineLevel="2">
      <c r="A185" s="1429" t="s">
        <v>691</v>
      </c>
      <c r="B185" s="204" t="s">
        <v>1014</v>
      </c>
      <c r="C185" s="407" t="s">
        <v>976</v>
      </c>
      <c r="D185" s="307"/>
      <c r="E185" s="448"/>
      <c r="F185" s="449"/>
      <c r="G185" s="449"/>
      <c r="H185" s="449"/>
      <c r="I185" s="449"/>
      <c r="J185" s="436"/>
      <c r="K185" s="436" t="s">
        <v>1015</v>
      </c>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row>
    <row r="186" spans="1:66" s="396" customFormat="1" ht="0" hidden="1" customHeight="1" outlineLevel="2">
      <c r="A186" s="1430"/>
      <c r="B186" s="204" t="s">
        <v>1016</v>
      </c>
      <c r="C186" s="407" t="s">
        <v>976</v>
      </c>
      <c r="D186" s="307"/>
      <c r="E186" s="448" t="s">
        <v>1007</v>
      </c>
      <c r="F186" s="449"/>
      <c r="G186" s="449"/>
      <c r="H186" s="449"/>
      <c r="I186" s="449"/>
      <c r="J186" s="436"/>
      <c r="K186" s="436" t="s">
        <v>1017</v>
      </c>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row>
    <row r="187" spans="1:66" s="396" customFormat="1" ht="0" hidden="1" customHeight="1" outlineLevel="2">
      <c r="A187" s="1430"/>
      <c r="B187" s="204" t="s">
        <v>978</v>
      </c>
      <c r="C187" s="407" t="s">
        <v>979</v>
      </c>
      <c r="D187" s="307"/>
      <c r="E187" s="448"/>
      <c r="F187" s="449"/>
      <c r="G187" s="449"/>
      <c r="H187" s="449"/>
      <c r="I187" s="449"/>
      <c r="J187" s="436"/>
      <c r="K187" s="436" t="s">
        <v>1018</v>
      </c>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row>
    <row r="188" spans="1:66" s="396" customFormat="1" ht="0" hidden="1" customHeight="1" outlineLevel="2">
      <c r="A188" s="1430"/>
      <c r="B188" s="204" t="s">
        <v>981</v>
      </c>
      <c r="C188" s="407" t="s">
        <v>979</v>
      </c>
      <c r="D188" s="307"/>
      <c r="E188" s="448"/>
      <c r="F188" s="449"/>
      <c r="G188" s="449"/>
      <c r="H188" s="449"/>
      <c r="I188" s="449"/>
      <c r="J188" s="436"/>
      <c r="K188" s="436" t="s">
        <v>1019</v>
      </c>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row>
    <row r="189" spans="1:66" s="396" customFormat="1" ht="0" hidden="1" customHeight="1" outlineLevel="2">
      <c r="A189" s="1429" t="s">
        <v>983</v>
      </c>
      <c r="B189" s="204" t="s">
        <v>1020</v>
      </c>
      <c r="C189" s="407" t="s">
        <v>966</v>
      </c>
      <c r="D189" s="307"/>
      <c r="E189" s="448" t="s">
        <v>1021</v>
      </c>
      <c r="F189" s="263"/>
      <c r="G189" s="263"/>
      <c r="H189" s="263"/>
      <c r="I189" s="263"/>
      <c r="J189" s="436"/>
      <c r="K189" s="436" t="s">
        <v>1022</v>
      </c>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row>
    <row r="190" spans="1:66" s="396" customFormat="1" ht="0" hidden="1" customHeight="1" outlineLevel="2">
      <c r="A190" s="1430"/>
      <c r="B190" s="204" t="s">
        <v>1023</v>
      </c>
      <c r="C190" s="407" t="s">
        <v>966</v>
      </c>
      <c r="D190" s="307"/>
      <c r="E190" s="448" t="s">
        <v>1024</v>
      </c>
      <c r="F190" s="263"/>
      <c r="G190" s="263"/>
      <c r="H190" s="263"/>
      <c r="I190" s="263"/>
      <c r="J190" s="436"/>
      <c r="K190" s="436" t="s">
        <v>1025</v>
      </c>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row>
    <row r="191" spans="1:66" s="396" customFormat="1" ht="0" hidden="1" customHeight="1" outlineLevel="2">
      <c r="A191" s="1430"/>
      <c r="B191" s="204" t="s">
        <v>987</v>
      </c>
      <c r="C191" s="407" t="s">
        <v>664</v>
      </c>
      <c r="D191" s="307"/>
      <c r="E191" s="448"/>
      <c r="F191" s="263"/>
      <c r="G191" s="263"/>
      <c r="H191" s="263"/>
      <c r="I191" s="263"/>
      <c r="J191" s="436"/>
      <c r="K191" s="436" t="s">
        <v>1026</v>
      </c>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row>
    <row r="192" spans="1:66" s="396" customFormat="1" ht="0" hidden="1" customHeight="1" outlineLevel="2">
      <c r="A192" s="1431"/>
      <c r="B192" s="204" t="s">
        <v>989</v>
      </c>
      <c r="C192" s="407" t="s">
        <v>664</v>
      </c>
      <c r="D192" s="307"/>
      <c r="E192" s="448"/>
      <c r="F192" s="263"/>
      <c r="G192" s="263"/>
      <c r="H192" s="263"/>
      <c r="I192" s="263"/>
      <c r="J192" s="436"/>
      <c r="K192" s="436" t="s">
        <v>1027</v>
      </c>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row>
    <row r="193" spans="1:66" s="396" customFormat="1" ht="0" hidden="1" customHeight="1" outlineLevel="2">
      <c r="A193" s="1429" t="s">
        <v>759</v>
      </c>
      <c r="B193" s="204" t="s">
        <v>475</v>
      </c>
      <c r="C193" s="407" t="s">
        <v>298</v>
      </c>
      <c r="D193" s="265">
        <f>'02 项目基础信息（输入）'!CC75</f>
        <v>0</v>
      </c>
      <c r="E193" s="448"/>
      <c r="F193" s="263"/>
      <c r="G193" s="263"/>
      <c r="H193" s="263"/>
      <c r="I193" s="263"/>
      <c r="J193" s="436"/>
      <c r="K193" s="436" t="s">
        <v>1028</v>
      </c>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row>
    <row r="194" spans="1:66" s="396" customFormat="1" ht="0" hidden="1" customHeight="1" outlineLevel="2">
      <c r="A194" s="1430"/>
      <c r="B194" s="204" t="s">
        <v>1029</v>
      </c>
      <c r="C194" s="407" t="s">
        <v>298</v>
      </c>
      <c r="D194" s="459">
        <f>IFERROR('02 项目基础信息（输入）'!BW75/'02 项目基础信息（输入）'!D75,0)</f>
        <v>0</v>
      </c>
      <c r="E194" s="448" t="s">
        <v>1030</v>
      </c>
      <c r="F194" s="263"/>
      <c r="G194" s="263"/>
      <c r="H194" s="263"/>
      <c r="I194" s="263"/>
      <c r="J194" s="436"/>
      <c r="K194" s="436" t="s">
        <v>1031</v>
      </c>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row>
    <row r="195" spans="1:66" s="396" customFormat="1" ht="0" hidden="1" customHeight="1" outlineLevel="2">
      <c r="A195" s="1430"/>
      <c r="B195" s="204" t="s">
        <v>1032</v>
      </c>
      <c r="C195" s="407" t="s">
        <v>675</v>
      </c>
      <c r="D195" s="307"/>
      <c r="E195" s="448"/>
      <c r="F195" s="263"/>
      <c r="G195" s="263"/>
      <c r="H195" s="263"/>
      <c r="I195" s="263"/>
      <c r="J195" s="436"/>
      <c r="K195" s="436" t="s">
        <v>1033</v>
      </c>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row>
    <row r="196" spans="1:66" s="396" customFormat="1" ht="0" hidden="1" customHeight="1" outlineLevel="2">
      <c r="A196" s="1430"/>
      <c r="B196" s="204" t="s">
        <v>1034</v>
      </c>
      <c r="C196" s="407" t="s">
        <v>298</v>
      </c>
      <c r="D196" s="459">
        <f>IFERROR('02 项目基础信息（输入）'!BX75/'02 项目基础信息（输入）'!D75,0)</f>
        <v>0</v>
      </c>
      <c r="E196" s="448" t="s">
        <v>1035</v>
      </c>
      <c r="F196" s="263"/>
      <c r="G196" s="263"/>
      <c r="H196" s="263"/>
      <c r="I196" s="263"/>
      <c r="J196" s="436"/>
      <c r="K196" s="436" t="s">
        <v>1036</v>
      </c>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row>
    <row r="197" spans="1:66" s="396" customFormat="1" ht="0" hidden="1" customHeight="1" outlineLevel="2">
      <c r="A197" s="1430"/>
      <c r="B197" s="204" t="s">
        <v>1037</v>
      </c>
      <c r="C197" s="407" t="s">
        <v>675</v>
      </c>
      <c r="D197" s="307"/>
      <c r="E197" s="448"/>
      <c r="F197" s="263"/>
      <c r="G197" s="263"/>
      <c r="H197" s="263"/>
      <c r="I197" s="263"/>
      <c r="J197" s="436"/>
      <c r="K197" s="436" t="s">
        <v>1038</v>
      </c>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row>
    <row r="198" spans="1:66" s="396" customFormat="1" ht="0" hidden="1" customHeight="1" outlineLevel="2">
      <c r="A198" s="1430"/>
      <c r="B198" s="204" t="s">
        <v>1039</v>
      </c>
      <c r="C198" s="407" t="s">
        <v>675</v>
      </c>
      <c r="D198" s="307"/>
      <c r="E198" s="448"/>
      <c r="F198" s="263"/>
      <c r="G198" s="263"/>
      <c r="H198" s="263"/>
      <c r="I198" s="263"/>
      <c r="J198" s="436"/>
      <c r="K198" s="436" t="s">
        <v>1040</v>
      </c>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row>
    <row r="199" spans="1:66" s="396" customFormat="1" ht="0" hidden="1" customHeight="1" outlineLevel="2">
      <c r="A199" s="1430"/>
      <c r="B199" s="204" t="s">
        <v>1041</v>
      </c>
      <c r="C199" s="407" t="s">
        <v>298</v>
      </c>
      <c r="D199" s="459">
        <f>IFERROR('02 项目基础信息（输入）'!BY75/'02 项目基础信息（输入）'!D75,0)</f>
        <v>0</v>
      </c>
      <c r="E199" s="448" t="s">
        <v>1042</v>
      </c>
      <c r="F199" s="263"/>
      <c r="G199" s="263"/>
      <c r="H199" s="263"/>
      <c r="I199" s="263"/>
      <c r="J199" s="436"/>
      <c r="K199" s="436" t="s">
        <v>1043</v>
      </c>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row>
    <row r="200" spans="1:66" s="396" customFormat="1" ht="0" hidden="1" customHeight="1" outlineLevel="2">
      <c r="A200" s="1430"/>
      <c r="B200" s="204" t="s">
        <v>1044</v>
      </c>
      <c r="C200" s="407" t="s">
        <v>675</v>
      </c>
      <c r="D200" s="307"/>
      <c r="E200" s="448"/>
      <c r="F200" s="263"/>
      <c r="G200" s="263"/>
      <c r="H200" s="263"/>
      <c r="I200" s="263"/>
      <c r="J200" s="436"/>
      <c r="K200" s="436" t="s">
        <v>1045</v>
      </c>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row>
    <row r="201" spans="1:66" s="396" customFormat="1" ht="0" hidden="1" customHeight="1" outlineLevel="2">
      <c r="A201" s="1430"/>
      <c r="B201" s="204" t="s">
        <v>1046</v>
      </c>
      <c r="C201" s="407" t="s">
        <v>298</v>
      </c>
      <c r="D201" s="307"/>
      <c r="E201" s="448"/>
      <c r="F201" s="263"/>
      <c r="G201" s="263"/>
      <c r="H201" s="263"/>
      <c r="I201" s="263"/>
      <c r="J201" s="436"/>
      <c r="K201" s="436" t="s">
        <v>1047</v>
      </c>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row>
    <row r="202" spans="1:66" s="396" customFormat="1" ht="0" hidden="1" customHeight="1" outlineLevel="2">
      <c r="A202" s="1431"/>
      <c r="B202" s="204" t="s">
        <v>1048</v>
      </c>
      <c r="C202" s="407" t="s">
        <v>675</v>
      </c>
      <c r="D202" s="307"/>
      <c r="E202" s="448"/>
      <c r="F202" s="263"/>
      <c r="G202" s="263"/>
      <c r="H202" s="263"/>
      <c r="I202" s="263"/>
      <c r="J202" s="436"/>
      <c r="K202" s="436" t="s">
        <v>1049</v>
      </c>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row>
    <row r="203" spans="1:66" s="396" customFormat="1" ht="0" hidden="1" customHeight="1" outlineLevel="2">
      <c r="A203" s="1429" t="s">
        <v>1050</v>
      </c>
      <c r="B203" s="204" t="s">
        <v>1051</v>
      </c>
      <c r="C203" s="407" t="s">
        <v>1052</v>
      </c>
      <c r="D203" s="307"/>
      <c r="E203" s="448" t="s">
        <v>1053</v>
      </c>
      <c r="F203" s="460"/>
      <c r="G203" s="460"/>
      <c r="H203" s="460"/>
      <c r="I203" s="460"/>
      <c r="J203" s="436"/>
      <c r="K203" s="436" t="s">
        <v>1054</v>
      </c>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row>
    <row r="204" spans="1:66" s="396" customFormat="1" ht="0" hidden="1" customHeight="1" outlineLevel="2">
      <c r="A204" s="1431"/>
      <c r="B204" s="204" t="s">
        <v>730</v>
      </c>
      <c r="C204" s="407" t="s">
        <v>746</v>
      </c>
      <c r="D204" s="307"/>
      <c r="E204" s="448"/>
      <c r="F204" s="460"/>
      <c r="G204" s="460"/>
      <c r="H204" s="460"/>
      <c r="I204" s="460"/>
      <c r="J204" s="436"/>
      <c r="K204" s="436" t="s">
        <v>1055</v>
      </c>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row>
    <row r="205" spans="1:66" s="396" customFormat="1" ht="0" hidden="1" customHeight="1" outlineLevel="2">
      <c r="A205" s="1432" t="s">
        <v>189</v>
      </c>
      <c r="B205" s="204" t="s">
        <v>1056</v>
      </c>
      <c r="C205" s="407" t="s">
        <v>123</v>
      </c>
      <c r="D205" s="461">
        <f>D206+D208</f>
        <v>0</v>
      </c>
      <c r="E205" s="448"/>
      <c r="F205" s="460"/>
      <c r="G205" s="460"/>
      <c r="H205" s="460"/>
      <c r="I205" s="460"/>
      <c r="J205" s="436"/>
      <c r="K205" s="436" t="s">
        <v>1057</v>
      </c>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row>
    <row r="206" spans="1:66" s="396" customFormat="1" ht="0" hidden="1" customHeight="1" outlineLevel="2">
      <c r="A206" s="1433"/>
      <c r="B206" s="204" t="s">
        <v>1058</v>
      </c>
      <c r="C206" s="407" t="s">
        <v>123</v>
      </c>
      <c r="D206" s="461">
        <f>IFERROR('02 项目基础信息（输入）'!AD75*100/'02 项目基础信息（输入）'!C75,0)</f>
        <v>0</v>
      </c>
      <c r="E206" s="448"/>
      <c r="F206" s="354"/>
      <c r="G206" s="354"/>
      <c r="H206" s="354"/>
      <c r="I206" s="354"/>
      <c r="J206" s="436"/>
      <c r="K206" s="436" t="s">
        <v>1059</v>
      </c>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row>
    <row r="207" spans="1:66" s="396" customFormat="1" ht="0" hidden="1" customHeight="1" outlineLevel="2">
      <c r="A207" s="1433"/>
      <c r="B207" s="204" t="s">
        <v>1060</v>
      </c>
      <c r="C207" s="407" t="s">
        <v>675</v>
      </c>
      <c r="D207" s="307"/>
      <c r="E207" s="448" t="s">
        <v>1061</v>
      </c>
      <c r="F207" s="354"/>
      <c r="G207" s="354"/>
      <c r="H207" s="354"/>
      <c r="I207" s="354"/>
      <c r="J207" s="436"/>
      <c r="K207" s="436" t="s">
        <v>1062</v>
      </c>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row>
    <row r="208" spans="1:66" s="396" customFormat="1" ht="0" hidden="1" customHeight="1" outlineLevel="2">
      <c r="A208" s="1433"/>
      <c r="B208" s="204" t="s">
        <v>1063</v>
      </c>
      <c r="C208" s="407" t="s">
        <v>123</v>
      </c>
      <c r="D208" s="461">
        <f>IFERROR('02 项目基础信息（输入）'!AG75*100/'02 项目基础信息（输入）'!C75,0)</f>
        <v>0</v>
      </c>
      <c r="E208" s="448"/>
      <c r="F208" s="354"/>
      <c r="G208" s="354"/>
      <c r="H208" s="354"/>
      <c r="I208" s="354"/>
      <c r="J208" s="436"/>
      <c r="K208" s="436" t="s">
        <v>1064</v>
      </c>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row>
    <row r="209" spans="1:66" s="396" customFormat="1" ht="0" hidden="1" customHeight="1" outlineLevel="2">
      <c r="A209" s="1433"/>
      <c r="B209" s="204" t="s">
        <v>1065</v>
      </c>
      <c r="C209" s="407" t="s">
        <v>675</v>
      </c>
      <c r="D209" s="307"/>
      <c r="E209" s="448" t="s">
        <v>1061</v>
      </c>
      <c r="F209" s="354"/>
      <c r="G209" s="354"/>
      <c r="H209" s="354"/>
      <c r="I209" s="354"/>
      <c r="J209" s="436"/>
      <c r="K209" s="436" t="s">
        <v>1066</v>
      </c>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row>
    <row r="210" spans="1:66" s="396" customFormat="1" ht="0" hidden="1" customHeight="1" outlineLevel="2">
      <c r="A210" s="1433"/>
      <c r="B210" s="204" t="s">
        <v>1067</v>
      </c>
      <c r="C210" s="407" t="s">
        <v>123</v>
      </c>
      <c r="D210" s="461">
        <f>IFERROR('02 项目基础信息（输入）'!AU75*100/'02 项目基础信息（输入）'!C75,0)</f>
        <v>0</v>
      </c>
      <c r="E210" s="448"/>
      <c r="F210" s="354"/>
      <c r="G210" s="354"/>
      <c r="H210" s="354"/>
      <c r="I210" s="354"/>
      <c r="J210" s="436"/>
      <c r="K210" s="436" t="s">
        <v>1068</v>
      </c>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row>
    <row r="211" spans="1:66" s="396" customFormat="1" ht="0" hidden="1" customHeight="1" outlineLevel="2">
      <c r="A211" s="1433"/>
      <c r="B211" s="204" t="s">
        <v>1069</v>
      </c>
      <c r="C211" s="407" t="s">
        <v>675</v>
      </c>
      <c r="D211" s="307"/>
      <c r="E211" s="448"/>
      <c r="F211" s="354"/>
      <c r="G211" s="354"/>
      <c r="H211" s="354"/>
      <c r="I211" s="354"/>
      <c r="J211" s="436"/>
      <c r="K211" s="436" t="s">
        <v>1070</v>
      </c>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row>
    <row r="212" spans="1:66" s="396" customFormat="1" ht="0" hidden="1" customHeight="1" outlineLevel="2">
      <c r="A212" s="1429" t="s">
        <v>997</v>
      </c>
      <c r="B212" s="204" t="s">
        <v>1071</v>
      </c>
      <c r="C212" s="407" t="s">
        <v>999</v>
      </c>
      <c r="D212" s="307"/>
      <c r="E212" s="455"/>
      <c r="F212" s="354"/>
      <c r="G212" s="354"/>
      <c r="H212" s="354"/>
      <c r="I212" s="354"/>
      <c r="J212" s="436"/>
      <c r="K212" s="436" t="s">
        <v>1072</v>
      </c>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row>
    <row r="213" spans="1:66" s="396" customFormat="1" ht="0" hidden="1" customHeight="1" outlineLevel="2">
      <c r="A213" s="1431"/>
      <c r="B213" s="204" t="s">
        <v>1073</v>
      </c>
      <c r="C213" s="407" t="s">
        <v>1074</v>
      </c>
      <c r="D213" s="268">
        <f>'02 项目基础信息（输入）'!Q75</f>
        <v>0</v>
      </c>
      <c r="E213" s="455"/>
      <c r="F213" s="354"/>
      <c r="G213" s="354"/>
      <c r="H213" s="354"/>
      <c r="I213" s="354"/>
      <c r="J213" s="436"/>
      <c r="K213" s="436" t="s">
        <v>1075</v>
      </c>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row>
    <row r="214" spans="1:66" s="397" customFormat="1" ht="0" hidden="1" customHeight="1" outlineLevel="2">
      <c r="A214" s="1434" t="s">
        <v>1076</v>
      </c>
      <c r="B214" s="463" t="s">
        <v>1077</v>
      </c>
      <c r="C214" s="410" t="s">
        <v>1078</v>
      </c>
      <c r="D214" s="307"/>
      <c r="E214" s="455"/>
      <c r="F214" s="464"/>
      <c r="G214" s="464"/>
      <c r="H214" s="464"/>
      <c r="I214" s="1446" t="s">
        <v>1079</v>
      </c>
      <c r="J214" s="436"/>
      <c r="K214" s="436" t="s">
        <v>1080</v>
      </c>
      <c r="L214" s="398"/>
      <c r="M214" s="398"/>
      <c r="N214" s="398"/>
      <c r="O214" s="398"/>
      <c r="P214" s="398"/>
      <c r="Q214" s="398"/>
      <c r="R214" s="398"/>
      <c r="S214" s="398"/>
      <c r="T214" s="398"/>
      <c r="U214" s="398"/>
      <c r="V214" s="398"/>
      <c r="W214" s="398"/>
      <c r="X214" s="398"/>
      <c r="Y214" s="398"/>
      <c r="Z214" s="398"/>
      <c r="AA214" s="398"/>
      <c r="AB214" s="398"/>
      <c r="AC214" s="398"/>
      <c r="AD214" s="398"/>
      <c r="AE214" s="398"/>
      <c r="AF214" s="398"/>
      <c r="AG214" s="398"/>
      <c r="AH214" s="398"/>
      <c r="AI214" s="398"/>
      <c r="AJ214" s="398"/>
      <c r="AK214" s="398"/>
      <c r="AL214" s="398"/>
      <c r="AM214" s="398"/>
      <c r="AN214" s="398"/>
      <c r="AO214" s="398"/>
      <c r="AP214" s="398"/>
      <c r="AQ214" s="398"/>
      <c r="AR214" s="398"/>
      <c r="AS214" s="398"/>
      <c r="AT214" s="398"/>
      <c r="AU214" s="398"/>
      <c r="AV214" s="398"/>
      <c r="AW214" s="398"/>
      <c r="AX214" s="398"/>
      <c r="AY214" s="398"/>
      <c r="AZ214" s="398"/>
      <c r="BA214" s="398"/>
      <c r="BB214" s="398"/>
      <c r="BC214" s="398"/>
      <c r="BD214" s="398"/>
      <c r="BE214" s="398"/>
      <c r="BF214" s="398"/>
      <c r="BG214" s="398"/>
      <c r="BH214" s="398"/>
      <c r="BI214" s="398"/>
      <c r="BJ214" s="398"/>
      <c r="BK214" s="398"/>
      <c r="BL214" s="398"/>
      <c r="BM214" s="398"/>
      <c r="BN214" s="398"/>
    </row>
    <row r="215" spans="1:66" s="397" customFormat="1" ht="0" hidden="1" customHeight="1" outlineLevel="2">
      <c r="A215" s="1435"/>
      <c r="B215" s="463" t="s">
        <v>1081</v>
      </c>
      <c r="C215" s="410" t="s">
        <v>1082</v>
      </c>
      <c r="D215" s="311">
        <f>'02 项目基础信息（输入）'!AX75</f>
        <v>0</v>
      </c>
      <c r="E215" s="1440" t="s">
        <v>1083</v>
      </c>
      <c r="F215" s="1443"/>
      <c r="G215" s="1445" t="s">
        <v>1084</v>
      </c>
      <c r="H215" s="465"/>
      <c r="I215" s="1446"/>
      <c r="J215" s="436"/>
      <c r="K215" s="436" t="s">
        <v>1085</v>
      </c>
      <c r="L215" s="398"/>
      <c r="M215" s="398"/>
      <c r="N215" s="398"/>
      <c r="O215" s="398"/>
      <c r="P215" s="398"/>
      <c r="Q215" s="398"/>
      <c r="R215" s="398"/>
      <c r="S215" s="398"/>
      <c r="T215" s="398"/>
      <c r="U215" s="398"/>
      <c r="V215" s="398"/>
      <c r="W215" s="398"/>
      <c r="X215" s="398"/>
      <c r="Y215" s="398"/>
      <c r="Z215" s="398"/>
      <c r="AA215" s="398"/>
      <c r="AB215" s="398"/>
      <c r="AC215" s="398"/>
      <c r="AD215" s="398"/>
      <c r="AE215" s="398"/>
      <c r="AF215" s="398"/>
      <c r="AG215" s="398"/>
      <c r="AH215" s="398"/>
      <c r="AI215" s="398"/>
      <c r="AJ215" s="398"/>
      <c r="AK215" s="398"/>
      <c r="AL215" s="398"/>
      <c r="AM215" s="398"/>
      <c r="AN215" s="398"/>
      <c r="AO215" s="398"/>
      <c r="AP215" s="398"/>
      <c r="AQ215" s="398"/>
      <c r="AR215" s="398"/>
      <c r="AS215" s="398"/>
      <c r="AT215" s="398"/>
      <c r="AU215" s="398"/>
      <c r="AV215" s="398"/>
      <c r="AW215" s="398"/>
      <c r="AX215" s="398"/>
      <c r="AY215" s="398"/>
      <c r="AZ215" s="398"/>
      <c r="BA215" s="398"/>
      <c r="BB215" s="398"/>
      <c r="BC215" s="398"/>
      <c r="BD215" s="398"/>
      <c r="BE215" s="398"/>
      <c r="BF215" s="398"/>
      <c r="BG215" s="398"/>
      <c r="BH215" s="398"/>
      <c r="BI215" s="398"/>
      <c r="BJ215" s="398"/>
      <c r="BK215" s="398"/>
      <c r="BL215" s="398"/>
      <c r="BM215" s="398"/>
      <c r="BN215" s="398"/>
    </row>
    <row r="216" spans="1:66" s="397" customFormat="1" ht="0" hidden="1" customHeight="1" outlineLevel="2">
      <c r="A216" s="1435"/>
      <c r="B216" s="463" t="s">
        <v>1086</v>
      </c>
      <c r="C216" s="410" t="s">
        <v>1087</v>
      </c>
      <c r="D216" s="307"/>
      <c r="E216" s="1441"/>
      <c r="F216" s="1443"/>
      <c r="G216" s="1445"/>
      <c r="H216" s="465"/>
      <c r="I216" s="1446"/>
      <c r="J216" s="436"/>
      <c r="K216" s="436" t="s">
        <v>1088</v>
      </c>
      <c r="L216" s="398"/>
      <c r="M216" s="398"/>
      <c r="N216" s="398"/>
      <c r="O216" s="398"/>
      <c r="P216" s="398"/>
      <c r="Q216" s="398"/>
      <c r="R216" s="398"/>
      <c r="S216" s="398"/>
      <c r="T216" s="398"/>
      <c r="U216" s="398"/>
      <c r="V216" s="398"/>
      <c r="W216" s="398"/>
      <c r="X216" s="398"/>
      <c r="Y216" s="398"/>
      <c r="Z216" s="398"/>
      <c r="AA216" s="398"/>
      <c r="AB216" s="398"/>
      <c r="AC216" s="398"/>
      <c r="AD216" s="398"/>
      <c r="AE216" s="398"/>
      <c r="AF216" s="398"/>
      <c r="AG216" s="398"/>
      <c r="AH216" s="398"/>
      <c r="AI216" s="398"/>
      <c r="AJ216" s="398"/>
      <c r="AK216" s="398"/>
      <c r="AL216" s="398"/>
      <c r="AM216" s="398"/>
      <c r="AN216" s="398"/>
      <c r="AO216" s="398"/>
      <c r="AP216" s="398"/>
      <c r="AQ216" s="398"/>
      <c r="AR216" s="398"/>
      <c r="AS216" s="398"/>
      <c r="AT216" s="398"/>
      <c r="AU216" s="398"/>
      <c r="AV216" s="398"/>
      <c r="AW216" s="398"/>
      <c r="AX216" s="398"/>
      <c r="AY216" s="398"/>
      <c r="AZ216" s="398"/>
      <c r="BA216" s="398"/>
      <c r="BB216" s="398"/>
      <c r="BC216" s="398"/>
      <c r="BD216" s="398"/>
      <c r="BE216" s="398"/>
      <c r="BF216" s="398"/>
      <c r="BG216" s="398"/>
      <c r="BH216" s="398"/>
      <c r="BI216" s="398"/>
      <c r="BJ216" s="398"/>
      <c r="BK216" s="398"/>
      <c r="BL216" s="398"/>
      <c r="BM216" s="398"/>
      <c r="BN216" s="398"/>
    </row>
    <row r="217" spans="1:66" s="397" customFormat="1" ht="0" hidden="1" customHeight="1" outlineLevel="2">
      <c r="A217" s="1435"/>
      <c r="B217" s="463" t="s">
        <v>1089</v>
      </c>
      <c r="C217" s="410" t="s">
        <v>1087</v>
      </c>
      <c r="D217" s="307"/>
      <c r="E217" s="1442"/>
      <c r="F217" s="1443"/>
      <c r="G217" s="1445"/>
      <c r="H217" s="465"/>
      <c r="I217" s="1446"/>
      <c r="J217" s="436"/>
      <c r="K217" s="436" t="s">
        <v>1090</v>
      </c>
      <c r="L217" s="398"/>
      <c r="M217" s="398"/>
      <c r="N217" s="398"/>
      <c r="O217" s="398"/>
      <c r="P217" s="398"/>
      <c r="Q217" s="398"/>
      <c r="R217" s="398"/>
      <c r="S217" s="398"/>
      <c r="T217" s="398"/>
      <c r="U217" s="398"/>
      <c r="V217" s="398"/>
      <c r="W217" s="398"/>
      <c r="X217" s="398"/>
      <c r="Y217" s="398"/>
      <c r="Z217" s="398"/>
      <c r="AA217" s="398"/>
      <c r="AB217" s="398"/>
      <c r="AC217" s="398"/>
      <c r="AD217" s="398"/>
      <c r="AE217" s="398"/>
      <c r="AF217" s="398"/>
      <c r="AG217" s="398"/>
      <c r="AH217" s="398"/>
      <c r="AI217" s="398"/>
      <c r="AJ217" s="398"/>
      <c r="AK217" s="398"/>
      <c r="AL217" s="398"/>
      <c r="AM217" s="398"/>
      <c r="AN217" s="398"/>
      <c r="AO217" s="398"/>
      <c r="AP217" s="398"/>
      <c r="AQ217" s="398"/>
      <c r="AR217" s="398"/>
      <c r="AS217" s="398"/>
      <c r="AT217" s="398"/>
      <c r="AU217" s="398"/>
      <c r="AV217" s="398"/>
      <c r="AW217" s="398"/>
      <c r="AX217" s="398"/>
      <c r="AY217" s="398"/>
      <c r="AZ217" s="398"/>
      <c r="BA217" s="398"/>
      <c r="BB217" s="398"/>
      <c r="BC217" s="398"/>
      <c r="BD217" s="398"/>
      <c r="BE217" s="398"/>
      <c r="BF217" s="398"/>
      <c r="BG217" s="398"/>
      <c r="BH217" s="398"/>
      <c r="BI217" s="398"/>
      <c r="BJ217" s="398"/>
      <c r="BK217" s="398"/>
      <c r="BL217" s="398"/>
      <c r="BM217" s="398"/>
      <c r="BN217" s="398"/>
    </row>
    <row r="218" spans="1:66" s="397" customFormat="1" ht="0" hidden="1" customHeight="1" outlineLevel="2">
      <c r="A218" s="1435"/>
      <c r="B218" s="463" t="s">
        <v>1091</v>
      </c>
      <c r="C218" s="410" t="s">
        <v>1082</v>
      </c>
      <c r="D218" s="466">
        <f>'02 项目基础信息（输入）'!AY75</f>
        <v>0</v>
      </c>
      <c r="E218" s="1440" t="s">
        <v>1092</v>
      </c>
      <c r="F218" s="1443"/>
      <c r="G218" s="1445" t="s">
        <v>1093</v>
      </c>
      <c r="H218" s="465"/>
      <c r="I218" s="470"/>
      <c r="J218" s="436"/>
      <c r="K218" s="436" t="s">
        <v>1094</v>
      </c>
      <c r="L218" s="398"/>
      <c r="M218" s="398"/>
      <c r="N218" s="398"/>
      <c r="O218" s="398"/>
      <c r="P218" s="398"/>
      <c r="Q218" s="398"/>
      <c r="R218" s="398"/>
      <c r="S218" s="398"/>
      <c r="T218" s="398"/>
      <c r="U218" s="398"/>
      <c r="V218" s="398"/>
      <c r="W218" s="398"/>
      <c r="X218" s="398"/>
      <c r="Y218" s="398"/>
      <c r="Z218" s="398"/>
      <c r="AA218" s="398"/>
      <c r="AB218" s="398"/>
      <c r="AC218" s="398"/>
      <c r="AD218" s="398"/>
      <c r="AE218" s="398"/>
      <c r="AF218" s="398"/>
      <c r="AG218" s="398"/>
      <c r="AH218" s="398"/>
      <c r="AI218" s="398"/>
      <c r="AJ218" s="398"/>
      <c r="AK218" s="398"/>
      <c r="AL218" s="398"/>
      <c r="AM218" s="398"/>
      <c r="AN218" s="398"/>
      <c r="AO218" s="398"/>
      <c r="AP218" s="398"/>
      <c r="AQ218" s="398"/>
      <c r="AR218" s="398"/>
      <c r="AS218" s="398"/>
      <c r="AT218" s="398"/>
      <c r="AU218" s="398"/>
      <c r="AV218" s="398"/>
      <c r="AW218" s="398"/>
      <c r="AX218" s="398"/>
      <c r="AY218" s="398"/>
      <c r="AZ218" s="398"/>
      <c r="BA218" s="398"/>
      <c r="BB218" s="398"/>
      <c r="BC218" s="398"/>
      <c r="BD218" s="398"/>
      <c r="BE218" s="398"/>
      <c r="BF218" s="398"/>
      <c r="BG218" s="398"/>
      <c r="BH218" s="398"/>
      <c r="BI218" s="398"/>
      <c r="BJ218" s="398"/>
      <c r="BK218" s="398"/>
      <c r="BL218" s="398"/>
      <c r="BM218" s="398"/>
      <c r="BN218" s="398"/>
    </row>
    <row r="219" spans="1:66" s="397" customFormat="1" ht="0" hidden="1" customHeight="1" outlineLevel="2">
      <c r="A219" s="1435"/>
      <c r="B219" s="463" t="s">
        <v>1095</v>
      </c>
      <c r="C219" s="410" t="s">
        <v>1087</v>
      </c>
      <c r="D219" s="307"/>
      <c r="E219" s="1441"/>
      <c r="F219" s="1443"/>
      <c r="G219" s="1445"/>
      <c r="H219" s="465"/>
      <c r="I219" s="470"/>
      <c r="J219" s="436"/>
      <c r="K219" s="436" t="s">
        <v>1096</v>
      </c>
      <c r="L219" s="398"/>
      <c r="M219" s="398"/>
      <c r="N219" s="398"/>
      <c r="O219" s="398"/>
      <c r="P219" s="398"/>
      <c r="Q219" s="398"/>
      <c r="R219" s="398"/>
      <c r="S219" s="398"/>
      <c r="T219" s="398"/>
      <c r="U219" s="398"/>
      <c r="V219" s="398"/>
      <c r="W219" s="398"/>
      <c r="X219" s="398"/>
      <c r="Y219" s="398"/>
      <c r="Z219" s="398"/>
      <c r="AA219" s="398"/>
      <c r="AB219" s="398"/>
      <c r="AC219" s="398"/>
      <c r="AD219" s="398"/>
      <c r="AE219" s="398"/>
      <c r="AF219" s="398"/>
      <c r="AG219" s="398"/>
      <c r="AH219" s="398"/>
      <c r="AI219" s="398"/>
      <c r="AJ219" s="398"/>
      <c r="AK219" s="398"/>
      <c r="AL219" s="398"/>
      <c r="AM219" s="398"/>
      <c r="AN219" s="398"/>
      <c r="AO219" s="398"/>
      <c r="AP219" s="398"/>
      <c r="AQ219" s="398"/>
      <c r="AR219" s="398"/>
      <c r="AS219" s="398"/>
      <c r="AT219" s="398"/>
      <c r="AU219" s="398"/>
      <c r="AV219" s="398"/>
      <c r="AW219" s="398"/>
      <c r="AX219" s="398"/>
      <c r="AY219" s="398"/>
      <c r="AZ219" s="398"/>
      <c r="BA219" s="398"/>
      <c r="BB219" s="398"/>
      <c r="BC219" s="398"/>
      <c r="BD219" s="398"/>
      <c r="BE219" s="398"/>
      <c r="BF219" s="398"/>
      <c r="BG219" s="398"/>
      <c r="BH219" s="398"/>
      <c r="BI219" s="398"/>
      <c r="BJ219" s="398"/>
      <c r="BK219" s="398"/>
      <c r="BL219" s="398"/>
      <c r="BM219" s="398"/>
      <c r="BN219" s="398"/>
    </row>
    <row r="220" spans="1:66" s="397" customFormat="1" ht="0" hidden="1" customHeight="1" outlineLevel="2">
      <c r="A220" s="1435"/>
      <c r="B220" s="463" t="s">
        <v>1097</v>
      </c>
      <c r="C220" s="410" t="s">
        <v>1087</v>
      </c>
      <c r="D220" s="307"/>
      <c r="E220" s="1442"/>
      <c r="F220" s="1443"/>
      <c r="G220" s="1445"/>
      <c r="H220" s="465"/>
      <c r="I220" s="470"/>
      <c r="J220" s="436"/>
      <c r="K220" s="436" t="s">
        <v>1098</v>
      </c>
      <c r="L220" s="398"/>
      <c r="M220" s="398"/>
      <c r="N220" s="398"/>
      <c r="O220" s="398"/>
      <c r="P220" s="398"/>
      <c r="Q220" s="398"/>
      <c r="R220" s="398"/>
      <c r="S220" s="398"/>
      <c r="T220" s="398"/>
      <c r="U220" s="398"/>
      <c r="V220" s="398"/>
      <c r="W220" s="398"/>
      <c r="X220" s="398"/>
      <c r="Y220" s="398"/>
      <c r="Z220" s="398"/>
      <c r="AA220" s="398"/>
      <c r="AB220" s="398"/>
      <c r="AC220" s="398"/>
      <c r="AD220" s="398"/>
      <c r="AE220" s="398"/>
      <c r="AF220" s="398"/>
      <c r="AG220" s="398"/>
      <c r="AH220" s="398"/>
      <c r="AI220" s="398"/>
      <c r="AJ220" s="398"/>
      <c r="AK220" s="398"/>
      <c r="AL220" s="398"/>
      <c r="AM220" s="398"/>
      <c r="AN220" s="398"/>
      <c r="AO220" s="398"/>
      <c r="AP220" s="398"/>
      <c r="AQ220" s="398"/>
      <c r="AR220" s="398"/>
      <c r="AS220" s="398"/>
      <c r="AT220" s="398"/>
      <c r="AU220" s="398"/>
      <c r="AV220" s="398"/>
      <c r="AW220" s="398"/>
      <c r="AX220" s="398"/>
      <c r="AY220" s="398"/>
      <c r="AZ220" s="398"/>
      <c r="BA220" s="398"/>
      <c r="BB220" s="398"/>
      <c r="BC220" s="398"/>
      <c r="BD220" s="398"/>
      <c r="BE220" s="398"/>
      <c r="BF220" s="398"/>
      <c r="BG220" s="398"/>
      <c r="BH220" s="398"/>
      <c r="BI220" s="398"/>
      <c r="BJ220" s="398"/>
      <c r="BK220" s="398"/>
      <c r="BL220" s="398"/>
      <c r="BM220" s="398"/>
      <c r="BN220" s="398"/>
    </row>
    <row r="221" spans="1:66" s="397" customFormat="1" ht="0" hidden="1" customHeight="1" outlineLevel="2">
      <c r="A221" s="1435"/>
      <c r="B221" s="463" t="s">
        <v>1099</v>
      </c>
      <c r="C221" s="410" t="s">
        <v>1082</v>
      </c>
      <c r="D221" s="466">
        <f>'02 项目基础信息（输入）'!AZ75</f>
        <v>0</v>
      </c>
      <c r="E221" s="1440" t="s">
        <v>1100</v>
      </c>
      <c r="F221" s="1443"/>
      <c r="G221" s="1445" t="s">
        <v>1101</v>
      </c>
      <c r="H221" s="465"/>
      <c r="I221" s="470"/>
      <c r="J221" s="436"/>
      <c r="K221" s="436" t="s">
        <v>1102</v>
      </c>
      <c r="L221" s="398"/>
      <c r="M221" s="398"/>
      <c r="N221" s="398"/>
      <c r="O221" s="398"/>
      <c r="P221" s="398"/>
      <c r="Q221" s="398"/>
      <c r="R221" s="398"/>
      <c r="S221" s="398"/>
      <c r="T221" s="398"/>
      <c r="U221" s="398"/>
      <c r="V221" s="398"/>
      <c r="W221" s="398"/>
      <c r="X221" s="398"/>
      <c r="Y221" s="398"/>
      <c r="Z221" s="398"/>
      <c r="AA221" s="398"/>
      <c r="AB221" s="398"/>
      <c r="AC221" s="398"/>
      <c r="AD221" s="398"/>
      <c r="AE221" s="398"/>
      <c r="AF221" s="398"/>
      <c r="AG221" s="398"/>
      <c r="AH221" s="398"/>
      <c r="AI221" s="398"/>
      <c r="AJ221" s="398"/>
      <c r="AK221" s="398"/>
      <c r="AL221" s="398"/>
      <c r="AM221" s="398"/>
      <c r="AN221" s="398"/>
      <c r="AO221" s="398"/>
      <c r="AP221" s="398"/>
      <c r="AQ221" s="398"/>
      <c r="AR221" s="398"/>
      <c r="AS221" s="398"/>
      <c r="AT221" s="398"/>
      <c r="AU221" s="398"/>
      <c r="AV221" s="398"/>
      <c r="AW221" s="398"/>
      <c r="AX221" s="398"/>
      <c r="AY221" s="398"/>
      <c r="AZ221" s="398"/>
      <c r="BA221" s="398"/>
      <c r="BB221" s="398"/>
      <c r="BC221" s="398"/>
      <c r="BD221" s="398"/>
      <c r="BE221" s="398"/>
      <c r="BF221" s="398"/>
      <c r="BG221" s="398"/>
      <c r="BH221" s="398"/>
      <c r="BI221" s="398"/>
      <c r="BJ221" s="398"/>
      <c r="BK221" s="398"/>
      <c r="BL221" s="398"/>
      <c r="BM221" s="398"/>
      <c r="BN221" s="398"/>
    </row>
    <row r="222" spans="1:66" s="397" customFormat="1" ht="0" hidden="1" customHeight="1" outlineLevel="2">
      <c r="A222" s="1435"/>
      <c r="B222" s="463" t="s">
        <v>1103</v>
      </c>
      <c r="C222" s="410" t="s">
        <v>1087</v>
      </c>
      <c r="D222" s="307"/>
      <c r="E222" s="1441"/>
      <c r="F222" s="1443"/>
      <c r="G222" s="1445"/>
      <c r="H222" s="465"/>
      <c r="I222" s="470"/>
      <c r="J222" s="436"/>
      <c r="K222" s="436" t="s">
        <v>1104</v>
      </c>
      <c r="L222" s="398"/>
      <c r="M222" s="398"/>
      <c r="N222" s="398"/>
      <c r="O222" s="398"/>
      <c r="P222" s="398"/>
      <c r="Q222" s="398"/>
      <c r="R222" s="398"/>
      <c r="S222" s="398"/>
      <c r="T222" s="398"/>
      <c r="U222" s="398"/>
      <c r="V222" s="398"/>
      <c r="W222" s="398"/>
      <c r="X222" s="398"/>
      <c r="Y222" s="398"/>
      <c r="Z222" s="398"/>
      <c r="AA222" s="398"/>
      <c r="AB222" s="398"/>
      <c r="AC222" s="398"/>
      <c r="AD222" s="398"/>
      <c r="AE222" s="398"/>
      <c r="AF222" s="398"/>
      <c r="AG222" s="398"/>
      <c r="AH222" s="398"/>
      <c r="AI222" s="398"/>
      <c r="AJ222" s="398"/>
      <c r="AK222" s="398"/>
      <c r="AL222" s="398"/>
      <c r="AM222" s="398"/>
      <c r="AN222" s="398"/>
      <c r="AO222" s="398"/>
      <c r="AP222" s="398"/>
      <c r="AQ222" s="398"/>
      <c r="AR222" s="398"/>
      <c r="AS222" s="398"/>
      <c r="AT222" s="398"/>
      <c r="AU222" s="398"/>
      <c r="AV222" s="398"/>
      <c r="AW222" s="398"/>
      <c r="AX222" s="398"/>
      <c r="AY222" s="398"/>
      <c r="AZ222" s="398"/>
      <c r="BA222" s="398"/>
      <c r="BB222" s="398"/>
      <c r="BC222" s="398"/>
      <c r="BD222" s="398"/>
      <c r="BE222" s="398"/>
      <c r="BF222" s="398"/>
      <c r="BG222" s="398"/>
      <c r="BH222" s="398"/>
      <c r="BI222" s="398"/>
      <c r="BJ222" s="398"/>
      <c r="BK222" s="398"/>
      <c r="BL222" s="398"/>
      <c r="BM222" s="398"/>
      <c r="BN222" s="398"/>
    </row>
    <row r="223" spans="1:66" s="397" customFormat="1" ht="0" hidden="1" customHeight="1" outlineLevel="2">
      <c r="A223" s="1435"/>
      <c r="B223" s="463" t="s">
        <v>1105</v>
      </c>
      <c r="C223" s="410" t="s">
        <v>1087</v>
      </c>
      <c r="D223" s="307"/>
      <c r="E223" s="1442"/>
      <c r="F223" s="1443"/>
      <c r="G223" s="1445"/>
      <c r="H223" s="467"/>
      <c r="I223" s="470"/>
      <c r="J223" s="436"/>
      <c r="K223" s="436" t="s">
        <v>1106</v>
      </c>
      <c r="L223" s="398"/>
      <c r="M223" s="398"/>
      <c r="N223" s="398"/>
      <c r="O223" s="398"/>
      <c r="P223" s="398"/>
      <c r="Q223" s="398"/>
      <c r="R223" s="398"/>
      <c r="S223" s="398"/>
      <c r="T223" s="398"/>
      <c r="U223" s="398"/>
      <c r="V223" s="398"/>
      <c r="W223" s="398"/>
      <c r="X223" s="398"/>
      <c r="Y223" s="398"/>
      <c r="Z223" s="398"/>
      <c r="AA223" s="398"/>
      <c r="AB223" s="398"/>
      <c r="AC223" s="398"/>
      <c r="AD223" s="398"/>
      <c r="AE223" s="398"/>
      <c r="AF223" s="398"/>
      <c r="AG223" s="398"/>
      <c r="AH223" s="398"/>
      <c r="AI223" s="398"/>
      <c r="AJ223" s="398"/>
      <c r="AK223" s="398"/>
      <c r="AL223" s="398"/>
      <c r="AM223" s="398"/>
      <c r="AN223" s="398"/>
      <c r="AO223" s="398"/>
      <c r="AP223" s="398"/>
      <c r="AQ223" s="398"/>
      <c r="AR223" s="398"/>
      <c r="AS223" s="398"/>
      <c r="AT223" s="398"/>
      <c r="AU223" s="398"/>
      <c r="AV223" s="398"/>
      <c r="AW223" s="398"/>
      <c r="AX223" s="398"/>
      <c r="AY223" s="398"/>
      <c r="AZ223" s="398"/>
      <c r="BA223" s="398"/>
      <c r="BB223" s="398"/>
      <c r="BC223" s="398"/>
      <c r="BD223" s="398"/>
      <c r="BE223" s="398"/>
      <c r="BF223" s="398"/>
      <c r="BG223" s="398"/>
      <c r="BH223" s="398"/>
      <c r="BI223" s="398"/>
      <c r="BJ223" s="398"/>
      <c r="BK223" s="398"/>
      <c r="BL223" s="398"/>
      <c r="BM223" s="398"/>
      <c r="BN223" s="398"/>
    </row>
    <row r="224" spans="1:66" s="398" customFormat="1" ht="0" hidden="1" customHeight="1" outlineLevel="2">
      <c r="A224" s="1436" t="s">
        <v>1107</v>
      </c>
      <c r="B224" s="457" t="s">
        <v>1108</v>
      </c>
      <c r="C224" s="469" t="s">
        <v>93</v>
      </c>
      <c r="D224" s="307"/>
      <c r="E224" s="1440" t="s">
        <v>1109</v>
      </c>
      <c r="F224" s="1444" t="s">
        <v>1110</v>
      </c>
      <c r="G224" s="456"/>
      <c r="H224" s="456"/>
      <c r="I224" s="1447" t="s">
        <v>1111</v>
      </c>
      <c r="J224" s="436"/>
      <c r="K224" s="436" t="s">
        <v>1112</v>
      </c>
    </row>
    <row r="225" spans="1:66" s="398" customFormat="1" ht="0" hidden="1" customHeight="1" outlineLevel="2">
      <c r="A225" s="1436"/>
      <c r="B225" s="457" t="s">
        <v>1113</v>
      </c>
      <c r="C225" s="469" t="s">
        <v>675</v>
      </c>
      <c r="D225" s="307"/>
      <c r="E225" s="1442"/>
      <c r="F225" s="1444"/>
      <c r="G225" s="456"/>
      <c r="H225" s="456"/>
      <c r="I225" s="1447"/>
      <c r="J225" s="436"/>
      <c r="K225" s="436" t="s">
        <v>1114</v>
      </c>
    </row>
    <row r="226" spans="1:66" s="398" customFormat="1" ht="0" hidden="1" customHeight="1" outlineLevel="2">
      <c r="A226" s="1436"/>
      <c r="B226" s="457" t="s">
        <v>1115</v>
      </c>
      <c r="C226" s="469" t="s">
        <v>93</v>
      </c>
      <c r="D226" s="307"/>
      <c r="E226" s="1440" t="s">
        <v>1116</v>
      </c>
      <c r="F226" s="1444" t="s">
        <v>1110</v>
      </c>
      <c r="G226" s="412"/>
      <c r="H226" s="412"/>
      <c r="I226" s="1447"/>
      <c r="J226" s="436"/>
      <c r="K226" s="436" t="s">
        <v>1117</v>
      </c>
    </row>
    <row r="227" spans="1:66" s="398" customFormat="1" ht="0" hidden="1" customHeight="1" outlineLevel="2">
      <c r="A227" s="1436"/>
      <c r="B227" s="457" t="s">
        <v>1118</v>
      </c>
      <c r="C227" s="469" t="s">
        <v>675</v>
      </c>
      <c r="D227" s="307"/>
      <c r="E227" s="1442"/>
      <c r="F227" s="1444"/>
      <c r="G227" s="412"/>
      <c r="H227" s="412"/>
      <c r="I227" s="1447"/>
      <c r="J227" s="436"/>
      <c r="K227" s="436" t="s">
        <v>1119</v>
      </c>
    </row>
    <row r="228" spans="1:66" s="398" customFormat="1" ht="0" hidden="1" customHeight="1" outlineLevel="2">
      <c r="A228" s="1436"/>
      <c r="B228" s="457" t="s">
        <v>1120</v>
      </c>
      <c r="C228" s="469" t="s">
        <v>93</v>
      </c>
      <c r="D228" s="307"/>
      <c r="E228" s="1440" t="s">
        <v>1116</v>
      </c>
      <c r="F228" s="1444" t="s">
        <v>1110</v>
      </c>
      <c r="G228" s="412"/>
      <c r="H228" s="412"/>
      <c r="I228" s="1447"/>
      <c r="J228" s="436"/>
      <c r="K228" s="436" t="s">
        <v>1121</v>
      </c>
    </row>
    <row r="229" spans="1:66" s="398" customFormat="1" ht="0" hidden="1" customHeight="1" outlineLevel="2">
      <c r="A229" s="1436"/>
      <c r="B229" s="457" t="s">
        <v>1122</v>
      </c>
      <c r="C229" s="469" t="s">
        <v>675</v>
      </c>
      <c r="D229" s="307"/>
      <c r="E229" s="1442"/>
      <c r="F229" s="1444"/>
      <c r="G229" s="412"/>
      <c r="H229" s="412"/>
      <c r="I229" s="1447"/>
      <c r="J229" s="436"/>
      <c r="K229" s="436" t="s">
        <v>1123</v>
      </c>
    </row>
    <row r="230" spans="1:66" s="398" customFormat="1" ht="0" hidden="1" customHeight="1" outlineLevel="2">
      <c r="A230" s="468" t="s">
        <v>1124</v>
      </c>
      <c r="B230" s="457" t="s">
        <v>1125</v>
      </c>
      <c r="C230" s="469" t="s">
        <v>675</v>
      </c>
      <c r="D230" s="471">
        <f>'05 成本测算明细'!O2667</f>
        <v>0</v>
      </c>
      <c r="E230" s="455" t="s">
        <v>1126</v>
      </c>
      <c r="F230" s="470"/>
      <c r="G230" s="412"/>
      <c r="H230" s="412"/>
      <c r="I230" s="470"/>
      <c r="J230" s="436"/>
      <c r="K230" s="436" t="s">
        <v>1127</v>
      </c>
    </row>
    <row r="231" spans="1:66" s="396" customFormat="1" ht="0" hidden="1" customHeight="1" outlineLevel="2">
      <c r="A231" s="1427" t="s">
        <v>1128</v>
      </c>
      <c r="B231" s="204" t="s">
        <v>1129</v>
      </c>
      <c r="C231" s="407" t="s">
        <v>93</v>
      </c>
      <c r="D231" s="307"/>
      <c r="E231" s="1440" t="s">
        <v>1130</v>
      </c>
      <c r="F231" s="354"/>
      <c r="G231" s="354"/>
      <c r="H231" s="354"/>
      <c r="I231" s="354"/>
      <c r="J231" s="436"/>
      <c r="K231" s="436" t="s">
        <v>1131</v>
      </c>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row>
    <row r="232" spans="1:66" s="396" customFormat="1" ht="0" hidden="1" customHeight="1" outlineLevel="2">
      <c r="A232" s="1427"/>
      <c r="B232" s="204" t="s">
        <v>1132</v>
      </c>
      <c r="C232" s="407" t="s">
        <v>675</v>
      </c>
      <c r="D232" s="307"/>
      <c r="E232" s="1442"/>
      <c r="F232" s="354"/>
      <c r="G232" s="354"/>
      <c r="H232" s="354"/>
      <c r="I232" s="354"/>
      <c r="J232" s="436"/>
      <c r="K232" s="436" t="s">
        <v>1133</v>
      </c>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row>
    <row r="233" spans="1:66" s="396" customFormat="1" ht="0" hidden="1" customHeight="1" outlineLevel="2">
      <c r="A233" s="1427"/>
      <c r="B233" s="204" t="s">
        <v>1134</v>
      </c>
      <c r="C233" s="407" t="s">
        <v>93</v>
      </c>
      <c r="D233" s="307"/>
      <c r="E233" s="1440" t="s">
        <v>1135</v>
      </c>
      <c r="F233" s="354"/>
      <c r="G233" s="354"/>
      <c r="H233" s="354"/>
      <c r="I233" s="354"/>
      <c r="J233" s="436"/>
      <c r="K233" s="436" t="s">
        <v>1136</v>
      </c>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row>
    <row r="234" spans="1:66" s="396" customFormat="1" ht="0" hidden="1" customHeight="1" outlineLevel="2">
      <c r="A234" s="1427"/>
      <c r="B234" s="204" t="s">
        <v>1137</v>
      </c>
      <c r="C234" s="407" t="s">
        <v>675</v>
      </c>
      <c r="D234" s="307"/>
      <c r="E234" s="1442"/>
      <c r="F234" s="354"/>
      <c r="G234" s="354"/>
      <c r="H234" s="354"/>
      <c r="I234" s="354"/>
      <c r="J234" s="436"/>
      <c r="K234" s="436" t="s">
        <v>1138</v>
      </c>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row>
    <row r="235" spans="1:66" s="396" customFormat="1" ht="0" hidden="1" customHeight="1" outlineLevel="2">
      <c r="A235" s="280" t="s">
        <v>210</v>
      </c>
      <c r="B235" s="204" t="s">
        <v>1139</v>
      </c>
      <c r="C235" s="407" t="s">
        <v>675</v>
      </c>
      <c r="D235" s="307"/>
      <c r="E235" s="455" t="s">
        <v>1140</v>
      </c>
      <c r="F235" s="472"/>
      <c r="G235" s="472"/>
      <c r="H235" s="472"/>
      <c r="I235" s="472" t="s">
        <v>1141</v>
      </c>
      <c r="J235" s="436"/>
      <c r="K235" s="436" t="s">
        <v>1142</v>
      </c>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row>
    <row r="236" spans="1:66" ht="0" hidden="1" customHeight="1" outlineLevel="1">
      <c r="A236" s="443" t="s">
        <v>625</v>
      </c>
      <c r="B236" s="440"/>
      <c r="C236" s="444"/>
      <c r="D236" s="445"/>
      <c r="E236" s="458"/>
      <c r="F236" s="447"/>
      <c r="G236" s="447"/>
      <c r="H236" s="447"/>
      <c r="I236" s="447"/>
      <c r="J236" s="436"/>
      <c r="K236" s="436" t="s">
        <v>1143</v>
      </c>
    </row>
    <row r="237" spans="1:66" s="396" customFormat="1" ht="0" hidden="1" customHeight="1" outlineLevel="2">
      <c r="A237" s="1429" t="s">
        <v>688</v>
      </c>
      <c r="B237" s="204" t="s">
        <v>694</v>
      </c>
      <c r="C237" s="407" t="s">
        <v>966</v>
      </c>
      <c r="D237" s="307"/>
      <c r="E237" s="448" t="s">
        <v>1007</v>
      </c>
      <c r="F237" s="449"/>
      <c r="G237" s="449"/>
      <c r="H237" s="449"/>
      <c r="I237" s="449"/>
      <c r="J237" s="436"/>
      <c r="K237" s="436" t="s">
        <v>1144</v>
      </c>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row>
    <row r="238" spans="1:66" s="396" customFormat="1" ht="0" hidden="1" customHeight="1" outlineLevel="2">
      <c r="A238" s="1430"/>
      <c r="B238" s="204" t="s">
        <v>969</v>
      </c>
      <c r="C238" s="407" t="s">
        <v>664</v>
      </c>
      <c r="D238" s="307"/>
      <c r="E238" s="448"/>
      <c r="F238" s="449"/>
      <c r="G238" s="449"/>
      <c r="H238" s="449"/>
      <c r="I238" s="449"/>
      <c r="J238" s="436"/>
      <c r="K238" s="436" t="s">
        <v>1145</v>
      </c>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row>
    <row r="239" spans="1:66" s="396" customFormat="1" ht="0" hidden="1" customHeight="1" outlineLevel="2">
      <c r="A239" s="1431"/>
      <c r="B239" s="204" t="s">
        <v>971</v>
      </c>
      <c r="C239" s="407" t="s">
        <v>664</v>
      </c>
      <c r="D239" s="307"/>
      <c r="E239" s="448"/>
      <c r="F239" s="449"/>
      <c r="G239" s="449"/>
      <c r="H239" s="449"/>
      <c r="I239" s="449"/>
      <c r="J239" s="436"/>
      <c r="K239" s="436" t="s">
        <v>1146</v>
      </c>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row>
    <row r="240" spans="1:66" s="396" customFormat="1" ht="0" hidden="1" customHeight="1" outlineLevel="2">
      <c r="A240" s="1429" t="s">
        <v>973</v>
      </c>
      <c r="B240" s="204" t="s">
        <v>694</v>
      </c>
      <c r="C240" s="407" t="s">
        <v>298</v>
      </c>
      <c r="D240" s="307"/>
      <c r="E240" s="448" t="s">
        <v>1011</v>
      </c>
      <c r="F240" s="449"/>
      <c r="G240" s="449"/>
      <c r="H240" s="449"/>
      <c r="I240" s="449"/>
      <c r="J240" s="436"/>
      <c r="K240" s="436" t="s">
        <v>1147</v>
      </c>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row>
    <row r="241" spans="1:66" s="396" customFormat="1" ht="0" hidden="1" customHeight="1" outlineLevel="2">
      <c r="A241" s="1430"/>
      <c r="B241" s="280" t="s">
        <v>730</v>
      </c>
      <c r="C241" s="280" t="s">
        <v>675</v>
      </c>
      <c r="D241" s="307"/>
      <c r="E241" s="448"/>
      <c r="F241" s="449"/>
      <c r="G241" s="449"/>
      <c r="H241" s="449"/>
      <c r="I241" s="449"/>
      <c r="J241" s="436"/>
      <c r="K241" s="436" t="s">
        <v>1148</v>
      </c>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row>
    <row r="242" spans="1:66" s="396" customFormat="1" ht="0" hidden="1" customHeight="1" outlineLevel="2">
      <c r="A242" s="1429" t="s">
        <v>691</v>
      </c>
      <c r="B242" s="204" t="s">
        <v>694</v>
      </c>
      <c r="C242" s="407" t="s">
        <v>976</v>
      </c>
      <c r="D242" s="307"/>
      <c r="E242" s="448" t="s">
        <v>1007</v>
      </c>
      <c r="F242" s="449"/>
      <c r="G242" s="449"/>
      <c r="H242" s="449"/>
      <c r="I242" s="449"/>
      <c r="J242" s="436"/>
      <c r="K242" s="436" t="s">
        <v>1149</v>
      </c>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row>
    <row r="243" spans="1:66" s="396" customFormat="1" ht="0" hidden="1" customHeight="1" outlineLevel="2">
      <c r="A243" s="1430"/>
      <c r="B243" s="204" t="s">
        <v>978</v>
      </c>
      <c r="C243" s="407" t="s">
        <v>979</v>
      </c>
      <c r="D243" s="307"/>
      <c r="E243" s="448"/>
      <c r="F243" s="449"/>
      <c r="G243" s="449"/>
      <c r="H243" s="449"/>
      <c r="I243" s="449"/>
      <c r="J243" s="436"/>
      <c r="K243" s="436" t="s">
        <v>1150</v>
      </c>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row>
    <row r="244" spans="1:66" s="396" customFormat="1" ht="0" hidden="1" customHeight="1" outlineLevel="2">
      <c r="A244" s="1430"/>
      <c r="B244" s="204" t="s">
        <v>981</v>
      </c>
      <c r="C244" s="407" t="s">
        <v>979</v>
      </c>
      <c r="D244" s="307"/>
      <c r="E244" s="448"/>
      <c r="F244" s="449"/>
      <c r="G244" s="449"/>
      <c r="H244" s="449"/>
      <c r="I244" s="449"/>
      <c r="J244" s="436"/>
      <c r="K244" s="436" t="s">
        <v>1151</v>
      </c>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row>
    <row r="245" spans="1:66" s="396" customFormat="1" ht="0" hidden="1" customHeight="1" outlineLevel="2">
      <c r="A245" s="1429" t="s">
        <v>983</v>
      </c>
      <c r="B245" s="204" t="s">
        <v>1152</v>
      </c>
      <c r="C245" s="407" t="s">
        <v>966</v>
      </c>
      <c r="D245" s="307"/>
      <c r="E245" s="448" t="s">
        <v>1024</v>
      </c>
      <c r="F245" s="263"/>
      <c r="G245" s="263"/>
      <c r="H245" s="263"/>
      <c r="I245" s="263"/>
      <c r="J245" s="436"/>
      <c r="K245" s="436" t="s">
        <v>1153</v>
      </c>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row>
    <row r="246" spans="1:66" s="396" customFormat="1" ht="0" hidden="1" customHeight="1" outlineLevel="2">
      <c r="A246" s="1430"/>
      <c r="B246" s="204" t="s">
        <v>987</v>
      </c>
      <c r="C246" s="407" t="s">
        <v>664</v>
      </c>
      <c r="D246" s="307"/>
      <c r="E246" s="448"/>
      <c r="F246" s="263"/>
      <c r="G246" s="263"/>
      <c r="H246" s="263"/>
      <c r="I246" s="263"/>
      <c r="J246" s="436"/>
      <c r="K246" s="436" t="s">
        <v>1154</v>
      </c>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row>
    <row r="247" spans="1:66" s="396" customFormat="1" ht="0" hidden="1" customHeight="1" outlineLevel="2">
      <c r="A247" s="1431"/>
      <c r="B247" s="204" t="s">
        <v>989</v>
      </c>
      <c r="C247" s="407" t="s">
        <v>664</v>
      </c>
      <c r="D247" s="307"/>
      <c r="E247" s="448"/>
      <c r="F247" s="263"/>
      <c r="G247" s="263"/>
      <c r="H247" s="263"/>
      <c r="I247" s="263"/>
      <c r="J247" s="436"/>
      <c r="K247" s="436" t="s">
        <v>1155</v>
      </c>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row>
    <row r="248" spans="1:66" s="396" customFormat="1" ht="0" hidden="1" customHeight="1" outlineLevel="2">
      <c r="A248" s="280" t="s">
        <v>719</v>
      </c>
      <c r="B248" s="204" t="s">
        <v>701</v>
      </c>
      <c r="C248" s="407" t="s">
        <v>675</v>
      </c>
      <c r="D248" s="307"/>
      <c r="E248" s="448" t="s">
        <v>1001</v>
      </c>
      <c r="F248" s="263"/>
      <c r="G248" s="263"/>
      <c r="H248" s="263"/>
      <c r="I248" s="263"/>
      <c r="J248" s="436"/>
      <c r="K248" s="436" t="s">
        <v>1156</v>
      </c>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row>
    <row r="249" spans="1:66" s="396" customFormat="1" ht="0" hidden="1" customHeight="1" outlineLevel="2">
      <c r="A249" s="1429" t="s">
        <v>759</v>
      </c>
      <c r="B249" s="204" t="s">
        <v>475</v>
      </c>
      <c r="C249" s="407" t="s">
        <v>298</v>
      </c>
      <c r="D249" s="473">
        <f>'02 项目基础信息（输入）'!CC78</f>
        <v>0</v>
      </c>
      <c r="E249" s="448"/>
      <c r="F249" s="263"/>
      <c r="G249" s="263"/>
      <c r="H249" s="263"/>
      <c r="I249" s="263"/>
      <c r="J249" s="436"/>
      <c r="K249" s="436" t="s">
        <v>1157</v>
      </c>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row>
    <row r="250" spans="1:66" s="396" customFormat="1" ht="0" hidden="1" customHeight="1" outlineLevel="2">
      <c r="A250" s="1430"/>
      <c r="B250" s="204" t="s">
        <v>1029</v>
      </c>
      <c r="C250" s="407" t="s">
        <v>298</v>
      </c>
      <c r="D250" s="473">
        <f>IFERROR('02 项目基础信息（输入）'!BW78/'02 项目基础信息（输入）'!C78,0)</f>
        <v>0</v>
      </c>
      <c r="E250" s="448" t="s">
        <v>1030</v>
      </c>
      <c r="F250" s="263"/>
      <c r="G250" s="263"/>
      <c r="H250" s="263"/>
      <c r="I250" s="263"/>
      <c r="J250" s="436"/>
      <c r="K250" s="436" t="s">
        <v>1158</v>
      </c>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row>
    <row r="251" spans="1:66" s="396" customFormat="1" ht="0" hidden="1" customHeight="1" outlineLevel="2">
      <c r="A251" s="1430"/>
      <c r="B251" s="204" t="s">
        <v>1032</v>
      </c>
      <c r="C251" s="407" t="s">
        <v>675</v>
      </c>
      <c r="D251" s="307"/>
      <c r="E251" s="448"/>
      <c r="F251" s="263"/>
      <c r="G251" s="263"/>
      <c r="H251" s="263"/>
      <c r="I251" s="263"/>
      <c r="J251" s="436"/>
      <c r="K251" s="436" t="s">
        <v>1159</v>
      </c>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row>
    <row r="252" spans="1:66" s="396" customFormat="1" ht="0" hidden="1" customHeight="1" outlineLevel="2">
      <c r="A252" s="1430"/>
      <c r="B252" s="204" t="s">
        <v>1034</v>
      </c>
      <c r="C252" s="407" t="s">
        <v>298</v>
      </c>
      <c r="D252" s="473">
        <f>IFERROR('02 项目基础信息（输入）'!BX78/'02 项目基础信息（输入）'!C78,0)</f>
        <v>0</v>
      </c>
      <c r="E252" s="448" t="s">
        <v>1035</v>
      </c>
      <c r="F252" s="263"/>
      <c r="G252" s="263"/>
      <c r="H252" s="263"/>
      <c r="I252" s="263"/>
      <c r="J252" s="436"/>
      <c r="K252" s="436" t="s">
        <v>1160</v>
      </c>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row>
    <row r="253" spans="1:66" s="396" customFormat="1" ht="0" hidden="1" customHeight="1" outlineLevel="2">
      <c r="A253" s="1430"/>
      <c r="B253" s="204" t="s">
        <v>1037</v>
      </c>
      <c r="C253" s="407" t="s">
        <v>675</v>
      </c>
      <c r="D253" s="307"/>
      <c r="E253" s="448"/>
      <c r="F253" s="263"/>
      <c r="G253" s="263"/>
      <c r="H253" s="263"/>
      <c r="I253" s="263"/>
      <c r="J253" s="436"/>
      <c r="K253" s="436" t="s">
        <v>1161</v>
      </c>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row>
    <row r="254" spans="1:66" s="396" customFormat="1" ht="0" hidden="1" customHeight="1" outlineLevel="2">
      <c r="A254" s="1430"/>
      <c r="B254" s="204" t="s">
        <v>1039</v>
      </c>
      <c r="C254" s="407" t="s">
        <v>675</v>
      </c>
      <c r="D254" s="307"/>
      <c r="E254" s="448"/>
      <c r="F254" s="263"/>
      <c r="G254" s="263"/>
      <c r="H254" s="263"/>
      <c r="I254" s="263"/>
      <c r="J254" s="436"/>
      <c r="K254" s="436" t="s">
        <v>1162</v>
      </c>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row>
    <row r="255" spans="1:66" s="396" customFormat="1" ht="0" hidden="1" customHeight="1" outlineLevel="2">
      <c r="A255" s="1430"/>
      <c r="B255" s="204" t="s">
        <v>1041</v>
      </c>
      <c r="C255" s="407" t="s">
        <v>298</v>
      </c>
      <c r="D255" s="473">
        <f>IFERROR('02 项目基础信息（输入）'!BY78/'02 项目基础信息（输入）'!C78,0)</f>
        <v>0</v>
      </c>
      <c r="E255" s="448" t="s">
        <v>1042</v>
      </c>
      <c r="F255" s="263"/>
      <c r="G255" s="263"/>
      <c r="H255" s="263"/>
      <c r="I255" s="263"/>
      <c r="J255" s="436"/>
      <c r="K255" s="436" t="s">
        <v>1163</v>
      </c>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row>
    <row r="256" spans="1:66" s="396" customFormat="1" ht="0" hidden="1" customHeight="1" outlineLevel="2">
      <c r="A256" s="1430"/>
      <c r="B256" s="204" t="s">
        <v>1044</v>
      </c>
      <c r="C256" s="407" t="s">
        <v>675</v>
      </c>
      <c r="D256" s="307"/>
      <c r="E256" s="448"/>
      <c r="F256" s="263"/>
      <c r="G256" s="263"/>
      <c r="H256" s="263"/>
      <c r="I256" s="263"/>
      <c r="J256" s="436"/>
      <c r="K256" s="436" t="s">
        <v>1164</v>
      </c>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row>
    <row r="257" spans="1:66" s="396" customFormat="1" ht="0" hidden="1" customHeight="1" outlineLevel="2">
      <c r="A257" s="1430"/>
      <c r="B257" s="204" t="s">
        <v>1046</v>
      </c>
      <c r="C257" s="407" t="s">
        <v>298</v>
      </c>
      <c r="D257" s="307"/>
      <c r="E257" s="448"/>
      <c r="F257" s="263"/>
      <c r="G257" s="263"/>
      <c r="H257" s="263"/>
      <c r="I257" s="263"/>
      <c r="J257" s="436"/>
      <c r="K257" s="436" t="s">
        <v>1165</v>
      </c>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row>
    <row r="258" spans="1:66" s="396" customFormat="1" ht="0" hidden="1" customHeight="1" outlineLevel="2">
      <c r="A258" s="1431"/>
      <c r="B258" s="204" t="s">
        <v>1048</v>
      </c>
      <c r="C258" s="407" t="s">
        <v>675</v>
      </c>
      <c r="D258" s="307"/>
      <c r="E258" s="448"/>
      <c r="F258" s="263"/>
      <c r="G258" s="263"/>
      <c r="H258" s="263"/>
      <c r="I258" s="263"/>
      <c r="J258" s="436"/>
      <c r="K258" s="436" t="s">
        <v>1166</v>
      </c>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row>
    <row r="259" spans="1:66" s="396" customFormat="1" ht="0" hidden="1" customHeight="1" outlineLevel="2">
      <c r="A259" s="1429" t="s">
        <v>1050</v>
      </c>
      <c r="B259" s="204" t="s">
        <v>1051</v>
      </c>
      <c r="C259" s="407" t="s">
        <v>1052</v>
      </c>
      <c r="D259" s="307"/>
      <c r="E259" s="448"/>
      <c r="F259" s="263"/>
      <c r="G259" s="263"/>
      <c r="H259" s="263"/>
      <c r="I259" s="263"/>
      <c r="J259" s="436"/>
      <c r="K259" s="436" t="s">
        <v>1167</v>
      </c>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row>
    <row r="260" spans="1:66" s="396" customFormat="1" ht="0" hidden="1" customHeight="1" outlineLevel="2">
      <c r="A260" s="1431"/>
      <c r="B260" s="204" t="s">
        <v>730</v>
      </c>
      <c r="C260" s="407" t="s">
        <v>746</v>
      </c>
      <c r="D260" s="307"/>
      <c r="E260" s="448" t="s">
        <v>1053</v>
      </c>
      <c r="F260" s="460"/>
      <c r="G260" s="460"/>
      <c r="H260" s="460"/>
      <c r="I260" s="460"/>
      <c r="J260" s="436"/>
      <c r="K260" s="436" t="s">
        <v>1168</v>
      </c>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row>
    <row r="261" spans="1:66" s="396" customFormat="1" ht="0" hidden="1" customHeight="1" outlineLevel="2">
      <c r="A261" s="1432" t="s">
        <v>189</v>
      </c>
      <c r="B261" s="204" t="s">
        <v>1056</v>
      </c>
      <c r="C261" s="407" t="s">
        <v>298</v>
      </c>
      <c r="D261" s="461">
        <f>D262+D264+D266+D268+D270</f>
        <v>0</v>
      </c>
      <c r="E261" s="448"/>
      <c r="F261" s="460"/>
      <c r="G261" s="460"/>
      <c r="H261" s="460"/>
      <c r="I261" s="460"/>
      <c r="J261" s="436"/>
      <c r="K261" s="436" t="s">
        <v>1169</v>
      </c>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row>
    <row r="262" spans="1:66" s="396" customFormat="1" ht="0" hidden="1" customHeight="1" outlineLevel="2">
      <c r="A262" s="1433"/>
      <c r="B262" s="204" t="s">
        <v>800</v>
      </c>
      <c r="C262" s="407" t="s">
        <v>298</v>
      </c>
      <c r="D262" s="461">
        <f>IFERROR('02 项目基础信息（输入）'!AC78/'02 项目基础信息（输入）'!C78,0)</f>
        <v>0</v>
      </c>
      <c r="E262" s="448" t="s">
        <v>1170</v>
      </c>
      <c r="F262" s="354"/>
      <c r="G262" s="354"/>
      <c r="H262" s="354"/>
      <c r="I262" s="354"/>
      <c r="J262" s="436"/>
      <c r="K262" s="436" t="s">
        <v>1171</v>
      </c>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row>
    <row r="263" spans="1:66" s="396" customFormat="1" ht="0" hidden="1" customHeight="1" outlineLevel="2">
      <c r="A263" s="1433"/>
      <c r="B263" s="204" t="s">
        <v>1172</v>
      </c>
      <c r="C263" s="407" t="s">
        <v>675</v>
      </c>
      <c r="D263" s="307"/>
      <c r="E263" s="448" t="s">
        <v>1061</v>
      </c>
      <c r="F263" s="354"/>
      <c r="G263" s="354"/>
      <c r="H263" s="354"/>
      <c r="I263" s="354"/>
      <c r="J263" s="436"/>
      <c r="K263" s="436" t="s">
        <v>1173</v>
      </c>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row>
    <row r="264" spans="1:66" s="396" customFormat="1" ht="0" hidden="1" customHeight="1" outlineLevel="2">
      <c r="A264" s="1433"/>
      <c r="B264" s="204" t="s">
        <v>806</v>
      </c>
      <c r="C264" s="407" t="s">
        <v>298</v>
      </c>
      <c r="D264" s="461">
        <f>IFERROR('02 项目基础信息（输入）'!AE78/'02 项目基础信息（输入）'!C78,0)</f>
        <v>0</v>
      </c>
      <c r="E264" s="448" t="s">
        <v>1170</v>
      </c>
      <c r="F264" s="354"/>
      <c r="G264" s="354"/>
      <c r="H264" s="354"/>
      <c r="I264" s="354"/>
      <c r="J264" s="436"/>
      <c r="K264" s="436" t="s">
        <v>1174</v>
      </c>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row>
    <row r="265" spans="1:66" s="396" customFormat="1" ht="0" hidden="1" customHeight="1" outlineLevel="2">
      <c r="A265" s="1433"/>
      <c r="B265" s="204" t="s">
        <v>1175</v>
      </c>
      <c r="C265" s="407" t="s">
        <v>675</v>
      </c>
      <c r="D265" s="307"/>
      <c r="E265" s="448" t="s">
        <v>1061</v>
      </c>
      <c r="F265" s="354"/>
      <c r="G265" s="354"/>
      <c r="H265" s="354"/>
      <c r="I265" s="354"/>
      <c r="J265" s="436"/>
      <c r="K265" s="436" t="s">
        <v>1176</v>
      </c>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row>
    <row r="266" spans="1:66" s="396" customFormat="1" ht="0" hidden="1" customHeight="1" outlineLevel="2">
      <c r="A266" s="1433"/>
      <c r="B266" s="204" t="s">
        <v>1177</v>
      </c>
      <c r="C266" s="407" t="s">
        <v>298</v>
      </c>
      <c r="D266" s="461">
        <f>IFERROR('02 项目基础信息（输入）'!AF78/'02 项目基础信息（输入）'!C78,0)</f>
        <v>0</v>
      </c>
      <c r="E266" s="448" t="s">
        <v>1170</v>
      </c>
      <c r="F266" s="354"/>
      <c r="G266" s="354"/>
      <c r="H266" s="354"/>
      <c r="I266" s="354"/>
      <c r="J266" s="436"/>
      <c r="K266" s="436" t="s">
        <v>1178</v>
      </c>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row>
    <row r="267" spans="1:66" s="396" customFormat="1" ht="0" hidden="1" customHeight="1" outlineLevel="2">
      <c r="A267" s="1433"/>
      <c r="B267" s="204" t="s">
        <v>1179</v>
      </c>
      <c r="C267" s="407" t="s">
        <v>675</v>
      </c>
      <c r="D267" s="307"/>
      <c r="E267" s="448" t="s">
        <v>1061</v>
      </c>
      <c r="F267" s="354"/>
      <c r="G267" s="354"/>
      <c r="H267" s="354"/>
      <c r="I267" s="354"/>
      <c r="J267" s="436"/>
      <c r="K267" s="436" t="s">
        <v>1180</v>
      </c>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row>
    <row r="268" spans="1:66" s="396" customFormat="1" ht="0" hidden="1" customHeight="1" outlineLevel="2">
      <c r="A268" s="1433"/>
      <c r="B268" s="204" t="s">
        <v>1181</v>
      </c>
      <c r="C268" s="407" t="s">
        <v>298</v>
      </c>
      <c r="D268" s="461">
        <f>IFERROR('02 项目基础信息（输入）'!AG78/'02 项目基础信息（输入）'!C78,0)</f>
        <v>0</v>
      </c>
      <c r="E268" s="448" t="s">
        <v>1170</v>
      </c>
      <c r="F268" s="474"/>
      <c r="G268" s="474"/>
      <c r="H268" s="474"/>
      <c r="I268" s="474"/>
      <c r="J268" s="436"/>
      <c r="K268" s="436" t="s">
        <v>1182</v>
      </c>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row>
    <row r="269" spans="1:66" s="396" customFormat="1" ht="0" hidden="1" customHeight="1" outlineLevel="2">
      <c r="A269" s="1433"/>
      <c r="B269" s="204" t="s">
        <v>1183</v>
      </c>
      <c r="C269" s="407" t="s">
        <v>675</v>
      </c>
      <c r="D269" s="307"/>
      <c r="E269" s="448" t="s">
        <v>1061</v>
      </c>
      <c r="F269" s="354"/>
      <c r="G269" s="354"/>
      <c r="H269" s="354"/>
      <c r="I269" s="354"/>
      <c r="J269" s="436"/>
      <c r="K269" s="436" t="s">
        <v>1184</v>
      </c>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row>
    <row r="270" spans="1:66" s="396" customFormat="1" ht="0" hidden="1" customHeight="1" outlineLevel="2">
      <c r="A270" s="1433"/>
      <c r="B270" s="204" t="s">
        <v>1185</v>
      </c>
      <c r="C270" s="407" t="s">
        <v>298</v>
      </c>
      <c r="D270" s="461">
        <f>IFERROR('02 项目基础信息（输入）'!AH78/'02 项目基础信息（输入）'!C78,0)</f>
        <v>0</v>
      </c>
      <c r="E270" s="448" t="s">
        <v>1170</v>
      </c>
      <c r="F270" s="460"/>
      <c r="G270" s="460"/>
      <c r="H270" s="460"/>
      <c r="I270" s="460"/>
      <c r="J270" s="436"/>
      <c r="K270" s="436" t="s">
        <v>1186</v>
      </c>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row>
    <row r="271" spans="1:66" s="396" customFormat="1" ht="0" hidden="1" customHeight="1" outlineLevel="2">
      <c r="A271" s="1433"/>
      <c r="B271" s="204" t="s">
        <v>1187</v>
      </c>
      <c r="C271" s="407" t="s">
        <v>675</v>
      </c>
      <c r="D271" s="307"/>
      <c r="E271" s="448" t="s">
        <v>1061</v>
      </c>
      <c r="F271" s="354"/>
      <c r="G271" s="354"/>
      <c r="H271" s="354"/>
      <c r="I271" s="354"/>
      <c r="J271" s="436"/>
      <c r="K271" s="436" t="s">
        <v>1188</v>
      </c>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row>
    <row r="272" spans="1:66" s="396" customFormat="1" ht="0" hidden="1" customHeight="1" outlineLevel="2">
      <c r="A272" s="1433"/>
      <c r="B272" s="204" t="s">
        <v>1189</v>
      </c>
      <c r="C272" s="407" t="s">
        <v>298</v>
      </c>
      <c r="D272" s="461">
        <f>IFERROR('02 项目基础信息（输入）'!BD78/'02 项目基础信息（输入）'!C78,0)</f>
        <v>0</v>
      </c>
      <c r="E272" s="448" t="s">
        <v>1170</v>
      </c>
      <c r="F272" s="354"/>
      <c r="G272" s="354"/>
      <c r="H272" s="354"/>
      <c r="I272" s="354"/>
      <c r="J272" s="436"/>
      <c r="K272" s="436" t="s">
        <v>1190</v>
      </c>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row>
    <row r="273" spans="1:66" s="396" customFormat="1" ht="0" hidden="1" customHeight="1" outlineLevel="2">
      <c r="A273" s="1437"/>
      <c r="B273" s="204" t="s">
        <v>1191</v>
      </c>
      <c r="C273" s="407" t="s">
        <v>675</v>
      </c>
      <c r="D273" s="307"/>
      <c r="E273" s="448" t="s">
        <v>1061</v>
      </c>
      <c r="F273" s="354"/>
      <c r="G273" s="354"/>
      <c r="H273" s="354"/>
      <c r="I273" s="354"/>
      <c r="J273" s="436"/>
      <c r="K273" s="436" t="s">
        <v>1192</v>
      </c>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row>
    <row r="274" spans="1:66" s="396" customFormat="1" ht="0" hidden="1" customHeight="1" outlineLevel="2">
      <c r="A274" s="1429" t="s">
        <v>997</v>
      </c>
      <c r="B274" s="204" t="s">
        <v>1071</v>
      </c>
      <c r="C274" s="407" t="s">
        <v>999</v>
      </c>
      <c r="D274" s="307"/>
      <c r="E274" s="455"/>
      <c r="F274" s="354"/>
      <c r="G274" s="354"/>
      <c r="H274" s="354"/>
      <c r="I274" s="354"/>
      <c r="J274" s="436"/>
      <c r="K274" s="436" t="s">
        <v>1193</v>
      </c>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row>
    <row r="275" spans="1:66" s="396" customFormat="1" ht="0" hidden="1" customHeight="1" outlineLevel="2">
      <c r="A275" s="1431"/>
      <c r="B275" s="204" t="s">
        <v>1073</v>
      </c>
      <c r="C275" s="407" t="s">
        <v>1074</v>
      </c>
      <c r="D275" s="268">
        <f>'02 项目基础信息（输入）'!Q78</f>
        <v>0</v>
      </c>
      <c r="E275" s="455"/>
      <c r="F275" s="354"/>
      <c r="G275" s="354"/>
      <c r="H275" s="354"/>
      <c r="I275" s="354"/>
      <c r="J275" s="436"/>
      <c r="K275" s="436" t="s">
        <v>1194</v>
      </c>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row>
    <row r="276" spans="1:66" s="397" customFormat="1" ht="0" hidden="1" customHeight="1" outlineLevel="2">
      <c r="A276" s="1438" t="s">
        <v>193</v>
      </c>
      <c r="B276" s="463" t="s">
        <v>1077</v>
      </c>
      <c r="C276" s="410" t="s">
        <v>1078</v>
      </c>
      <c r="D276" s="307"/>
      <c r="E276" s="455"/>
      <c r="F276" s="464"/>
      <c r="G276" s="464" t="s">
        <v>1195</v>
      </c>
      <c r="H276" s="464"/>
      <c r="I276" s="1446" t="s">
        <v>1079</v>
      </c>
      <c r="J276" s="436"/>
      <c r="K276" s="436" t="s">
        <v>1196</v>
      </c>
      <c r="L276" s="398"/>
      <c r="M276" s="398"/>
      <c r="N276" s="398"/>
      <c r="O276" s="398"/>
      <c r="P276" s="398"/>
      <c r="Q276" s="398"/>
      <c r="R276" s="398"/>
      <c r="S276" s="398"/>
      <c r="T276" s="398"/>
      <c r="U276" s="398"/>
      <c r="V276" s="398"/>
      <c r="W276" s="398"/>
      <c r="X276" s="398"/>
      <c r="Y276" s="398"/>
      <c r="Z276" s="398"/>
      <c r="AA276" s="398"/>
      <c r="AB276" s="398"/>
      <c r="AC276" s="398"/>
      <c r="AD276" s="398"/>
      <c r="AE276" s="398"/>
      <c r="AF276" s="398"/>
      <c r="AG276" s="398"/>
      <c r="AH276" s="398"/>
      <c r="AI276" s="398"/>
      <c r="AJ276" s="398"/>
      <c r="AK276" s="398"/>
      <c r="AL276" s="398"/>
      <c r="AM276" s="398"/>
      <c r="AN276" s="398"/>
      <c r="AO276" s="398"/>
      <c r="AP276" s="398"/>
      <c r="AQ276" s="398"/>
      <c r="AR276" s="398"/>
      <c r="AS276" s="398"/>
      <c r="AT276" s="398"/>
      <c r="AU276" s="398"/>
      <c r="AV276" s="398"/>
      <c r="AW276" s="398"/>
      <c r="AX276" s="398"/>
      <c r="AY276" s="398"/>
      <c r="AZ276" s="398"/>
      <c r="BA276" s="398"/>
      <c r="BB276" s="398"/>
      <c r="BC276" s="398"/>
      <c r="BD276" s="398"/>
      <c r="BE276" s="398"/>
      <c r="BF276" s="398"/>
      <c r="BG276" s="398"/>
      <c r="BH276" s="398"/>
      <c r="BI276" s="398"/>
      <c r="BJ276" s="398"/>
      <c r="BK276" s="398"/>
      <c r="BL276" s="398"/>
      <c r="BM276" s="398"/>
      <c r="BN276" s="398"/>
    </row>
    <row r="277" spans="1:66" s="397" customFormat="1" ht="0" hidden="1" customHeight="1" outlineLevel="2">
      <c r="A277" s="1439"/>
      <c r="B277" s="463" t="s">
        <v>1081</v>
      </c>
      <c r="C277" s="410" t="s">
        <v>1082</v>
      </c>
      <c r="D277" s="311">
        <f>'02 项目基础信息（输入）'!AX78</f>
        <v>0</v>
      </c>
      <c r="E277" s="1440" t="s">
        <v>1083</v>
      </c>
      <c r="F277" s="456"/>
      <c r="G277" s="470"/>
      <c r="H277" s="470"/>
      <c r="I277" s="1446"/>
      <c r="J277" s="436"/>
      <c r="K277" s="436" t="s">
        <v>1197</v>
      </c>
      <c r="L277" s="398"/>
      <c r="M277" s="398"/>
      <c r="N277" s="398"/>
      <c r="O277" s="398"/>
      <c r="P277" s="398"/>
      <c r="Q277" s="398"/>
      <c r="R277" s="398"/>
      <c r="S277" s="398"/>
      <c r="T277" s="398"/>
      <c r="U277" s="398"/>
      <c r="V277" s="398"/>
      <c r="W277" s="398"/>
      <c r="X277" s="398"/>
      <c r="Y277" s="398"/>
      <c r="Z277" s="398"/>
      <c r="AA277" s="398"/>
      <c r="AB277" s="398"/>
      <c r="AC277" s="398"/>
      <c r="AD277" s="398"/>
      <c r="AE277" s="398"/>
      <c r="AF277" s="398"/>
      <c r="AG277" s="398"/>
      <c r="AH277" s="398"/>
      <c r="AI277" s="398"/>
      <c r="AJ277" s="398"/>
      <c r="AK277" s="398"/>
      <c r="AL277" s="398"/>
      <c r="AM277" s="398"/>
      <c r="AN277" s="398"/>
      <c r="AO277" s="398"/>
      <c r="AP277" s="398"/>
      <c r="AQ277" s="398"/>
      <c r="AR277" s="398"/>
      <c r="AS277" s="398"/>
      <c r="AT277" s="398"/>
      <c r="AU277" s="398"/>
      <c r="AV277" s="398"/>
      <c r="AW277" s="398"/>
      <c r="AX277" s="398"/>
      <c r="AY277" s="398"/>
      <c r="AZ277" s="398"/>
      <c r="BA277" s="398"/>
      <c r="BB277" s="398"/>
      <c r="BC277" s="398"/>
      <c r="BD277" s="398"/>
      <c r="BE277" s="398"/>
      <c r="BF277" s="398"/>
      <c r="BG277" s="398"/>
      <c r="BH277" s="398"/>
      <c r="BI277" s="398"/>
      <c r="BJ277" s="398"/>
      <c r="BK277" s="398"/>
      <c r="BL277" s="398"/>
      <c r="BM277" s="398"/>
      <c r="BN277" s="398"/>
    </row>
    <row r="278" spans="1:66" s="397" customFormat="1" ht="0" hidden="1" customHeight="1" outlineLevel="2">
      <c r="A278" s="1439"/>
      <c r="B278" s="463" t="s">
        <v>1086</v>
      </c>
      <c r="C278" s="410" t="s">
        <v>1087</v>
      </c>
      <c r="D278" s="307"/>
      <c r="E278" s="1441"/>
      <c r="F278" s="456"/>
      <c r="G278" s="470"/>
      <c r="H278" s="470"/>
      <c r="I278" s="1446"/>
      <c r="J278" s="436"/>
      <c r="K278" s="436" t="s">
        <v>1198</v>
      </c>
      <c r="L278" s="398"/>
      <c r="M278" s="398"/>
      <c r="N278" s="398"/>
      <c r="O278" s="398"/>
      <c r="P278" s="398"/>
      <c r="Q278" s="398"/>
      <c r="R278" s="398"/>
      <c r="S278" s="398"/>
      <c r="T278" s="398"/>
      <c r="U278" s="398"/>
      <c r="V278" s="398"/>
      <c r="W278" s="398"/>
      <c r="X278" s="398"/>
      <c r="Y278" s="398"/>
      <c r="Z278" s="398"/>
      <c r="AA278" s="398"/>
      <c r="AB278" s="398"/>
      <c r="AC278" s="398"/>
      <c r="AD278" s="398"/>
      <c r="AE278" s="398"/>
      <c r="AF278" s="398"/>
      <c r="AG278" s="398"/>
      <c r="AH278" s="398"/>
      <c r="AI278" s="398"/>
      <c r="AJ278" s="398"/>
      <c r="AK278" s="398"/>
      <c r="AL278" s="398"/>
      <c r="AM278" s="398"/>
      <c r="AN278" s="398"/>
      <c r="AO278" s="398"/>
      <c r="AP278" s="398"/>
      <c r="AQ278" s="398"/>
      <c r="AR278" s="398"/>
      <c r="AS278" s="398"/>
      <c r="AT278" s="398"/>
      <c r="AU278" s="398"/>
      <c r="AV278" s="398"/>
      <c r="AW278" s="398"/>
      <c r="AX278" s="398"/>
      <c r="AY278" s="398"/>
      <c r="AZ278" s="398"/>
      <c r="BA278" s="398"/>
      <c r="BB278" s="398"/>
      <c r="BC278" s="398"/>
      <c r="BD278" s="398"/>
      <c r="BE278" s="398"/>
      <c r="BF278" s="398"/>
      <c r="BG278" s="398"/>
      <c r="BH278" s="398"/>
      <c r="BI278" s="398"/>
      <c r="BJ278" s="398"/>
      <c r="BK278" s="398"/>
      <c r="BL278" s="398"/>
      <c r="BM278" s="398"/>
      <c r="BN278" s="398"/>
    </row>
    <row r="279" spans="1:66" s="397" customFormat="1" ht="0" hidden="1" customHeight="1" outlineLevel="2">
      <c r="A279" s="1439"/>
      <c r="B279" s="463" t="s">
        <v>1089</v>
      </c>
      <c r="C279" s="410" t="s">
        <v>1087</v>
      </c>
      <c r="D279" s="307"/>
      <c r="E279" s="1442"/>
      <c r="F279" s="456"/>
      <c r="G279" s="456"/>
      <c r="H279" s="456"/>
      <c r="I279" s="1446"/>
      <c r="J279" s="436"/>
      <c r="K279" s="436" t="s">
        <v>1199</v>
      </c>
      <c r="L279" s="398"/>
      <c r="M279" s="398"/>
      <c r="N279" s="398"/>
      <c r="O279" s="398"/>
      <c r="P279" s="398"/>
      <c r="Q279" s="398"/>
      <c r="R279" s="398"/>
      <c r="S279" s="398"/>
      <c r="T279" s="398"/>
      <c r="U279" s="398"/>
      <c r="V279" s="398"/>
      <c r="W279" s="398"/>
      <c r="X279" s="398"/>
      <c r="Y279" s="398"/>
      <c r="Z279" s="398"/>
      <c r="AA279" s="398"/>
      <c r="AB279" s="398"/>
      <c r="AC279" s="398"/>
      <c r="AD279" s="398"/>
      <c r="AE279" s="398"/>
      <c r="AF279" s="398"/>
      <c r="AG279" s="398"/>
      <c r="AH279" s="398"/>
      <c r="AI279" s="398"/>
      <c r="AJ279" s="398"/>
      <c r="AK279" s="398"/>
      <c r="AL279" s="398"/>
      <c r="AM279" s="398"/>
      <c r="AN279" s="398"/>
      <c r="AO279" s="398"/>
      <c r="AP279" s="398"/>
      <c r="AQ279" s="398"/>
      <c r="AR279" s="398"/>
      <c r="AS279" s="398"/>
      <c r="AT279" s="398"/>
      <c r="AU279" s="398"/>
      <c r="AV279" s="398"/>
      <c r="AW279" s="398"/>
      <c r="AX279" s="398"/>
      <c r="AY279" s="398"/>
      <c r="AZ279" s="398"/>
      <c r="BA279" s="398"/>
      <c r="BB279" s="398"/>
      <c r="BC279" s="398"/>
      <c r="BD279" s="398"/>
      <c r="BE279" s="398"/>
      <c r="BF279" s="398"/>
      <c r="BG279" s="398"/>
      <c r="BH279" s="398"/>
      <c r="BI279" s="398"/>
      <c r="BJ279" s="398"/>
      <c r="BK279" s="398"/>
      <c r="BL279" s="398"/>
      <c r="BM279" s="398"/>
      <c r="BN279" s="398"/>
    </row>
    <row r="280" spans="1:66" s="398" customFormat="1" ht="0" hidden="1" customHeight="1" outlineLevel="2">
      <c r="A280" s="1436" t="s">
        <v>1107</v>
      </c>
      <c r="B280" s="457" t="s">
        <v>1108</v>
      </c>
      <c r="C280" s="469" t="s">
        <v>93</v>
      </c>
      <c r="D280" s="307"/>
      <c r="E280" s="1440" t="s">
        <v>1200</v>
      </c>
      <c r="F280" s="1444" t="s">
        <v>1110</v>
      </c>
      <c r="G280" s="456"/>
      <c r="H280" s="456"/>
      <c r="I280" s="1447" t="s">
        <v>1111</v>
      </c>
      <c r="J280" s="436"/>
      <c r="K280" s="436" t="s">
        <v>1201</v>
      </c>
    </row>
    <row r="281" spans="1:66" s="398" customFormat="1" ht="0" hidden="1" customHeight="1" outlineLevel="2">
      <c r="A281" s="1436"/>
      <c r="B281" s="457" t="s">
        <v>1113</v>
      </c>
      <c r="C281" s="469" t="s">
        <v>675</v>
      </c>
      <c r="D281" s="307"/>
      <c r="E281" s="1442"/>
      <c r="F281" s="1444"/>
      <c r="G281" s="456"/>
      <c r="H281" s="456"/>
      <c r="I281" s="1447"/>
      <c r="J281" s="436"/>
      <c r="K281" s="436" t="s">
        <v>1202</v>
      </c>
    </row>
    <row r="282" spans="1:66" s="398" customFormat="1" ht="0" hidden="1" customHeight="1" outlineLevel="2">
      <c r="A282" s="1436"/>
      <c r="B282" s="457" t="s">
        <v>1115</v>
      </c>
      <c r="C282" s="469" t="s">
        <v>93</v>
      </c>
      <c r="D282" s="307"/>
      <c r="E282" s="1440" t="s">
        <v>1116</v>
      </c>
      <c r="F282" s="1444" t="s">
        <v>1110</v>
      </c>
      <c r="G282" s="412"/>
      <c r="H282" s="412"/>
      <c r="I282" s="1447"/>
      <c r="J282" s="436"/>
      <c r="K282" s="436" t="s">
        <v>1203</v>
      </c>
    </row>
    <row r="283" spans="1:66" s="398" customFormat="1" ht="0" hidden="1" customHeight="1" outlineLevel="2">
      <c r="A283" s="1436"/>
      <c r="B283" s="457" t="s">
        <v>1118</v>
      </c>
      <c r="C283" s="469" t="s">
        <v>675</v>
      </c>
      <c r="D283" s="307"/>
      <c r="E283" s="1442"/>
      <c r="F283" s="1444"/>
      <c r="G283" s="412"/>
      <c r="H283" s="412"/>
      <c r="I283" s="1447"/>
      <c r="J283" s="436"/>
      <c r="K283" s="436" t="s">
        <v>1204</v>
      </c>
    </row>
    <row r="284" spans="1:66" s="398" customFormat="1" ht="0" hidden="1" customHeight="1" outlineLevel="2">
      <c r="A284" s="1436"/>
      <c r="B284" s="457" t="s">
        <v>1120</v>
      </c>
      <c r="C284" s="469" t="s">
        <v>93</v>
      </c>
      <c r="D284" s="307"/>
      <c r="E284" s="1440" t="s">
        <v>1116</v>
      </c>
      <c r="F284" s="1444" t="s">
        <v>1110</v>
      </c>
      <c r="G284" s="412"/>
      <c r="H284" s="412"/>
      <c r="I284" s="1447"/>
      <c r="J284" s="436"/>
      <c r="K284" s="436" t="s">
        <v>1205</v>
      </c>
    </row>
    <row r="285" spans="1:66" s="398" customFormat="1" ht="0" hidden="1" customHeight="1" outlineLevel="2">
      <c r="A285" s="1436"/>
      <c r="B285" s="457" t="s">
        <v>1122</v>
      </c>
      <c r="C285" s="469" t="s">
        <v>675</v>
      </c>
      <c r="D285" s="307"/>
      <c r="E285" s="1442"/>
      <c r="F285" s="1444"/>
      <c r="G285" s="412"/>
      <c r="H285" s="412"/>
      <c r="I285" s="1447"/>
      <c r="J285" s="436"/>
      <c r="K285" s="436" t="s">
        <v>1206</v>
      </c>
    </row>
    <row r="286" spans="1:66" s="398" customFormat="1" ht="0" hidden="1" customHeight="1" outlineLevel="2">
      <c r="A286" s="468" t="s">
        <v>1124</v>
      </c>
      <c r="B286" s="457" t="s">
        <v>1125</v>
      </c>
      <c r="C286" s="469" t="s">
        <v>675</v>
      </c>
      <c r="D286" s="471">
        <f>'05 成本测算明细'!O2895</f>
        <v>0</v>
      </c>
      <c r="E286" s="455" t="s">
        <v>1126</v>
      </c>
      <c r="F286" s="470"/>
      <c r="G286" s="412"/>
      <c r="H286" s="412"/>
      <c r="I286" s="470"/>
      <c r="J286" s="436"/>
      <c r="K286" s="436" t="s">
        <v>1207</v>
      </c>
    </row>
    <row r="287" spans="1:66" s="396" customFormat="1" ht="0" hidden="1" customHeight="1" outlineLevel="2">
      <c r="A287" s="1427" t="s">
        <v>1128</v>
      </c>
      <c r="B287" s="204" t="s">
        <v>1129</v>
      </c>
      <c r="C287" s="407" t="s">
        <v>93</v>
      </c>
      <c r="D287" s="307"/>
      <c r="E287" s="1440" t="s">
        <v>1130</v>
      </c>
      <c r="F287" s="354"/>
      <c r="G287" s="354"/>
      <c r="H287" s="354"/>
      <c r="I287" s="354"/>
      <c r="J287" s="436"/>
      <c r="K287" s="436" t="s">
        <v>1208</v>
      </c>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row>
    <row r="288" spans="1:66" s="396" customFormat="1" ht="0" hidden="1" customHeight="1" outlineLevel="2">
      <c r="A288" s="1427"/>
      <c r="B288" s="204" t="s">
        <v>1132</v>
      </c>
      <c r="C288" s="407" t="s">
        <v>675</v>
      </c>
      <c r="D288" s="307"/>
      <c r="E288" s="1442"/>
      <c r="F288" s="354"/>
      <c r="G288" s="354"/>
      <c r="H288" s="354"/>
      <c r="I288" s="354"/>
      <c r="J288" s="436"/>
      <c r="K288" s="436" t="s">
        <v>1209</v>
      </c>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row>
    <row r="289" spans="1:66" s="396" customFormat="1" ht="0" hidden="1" customHeight="1" outlineLevel="2">
      <c r="A289" s="1427"/>
      <c r="B289" s="204" t="s">
        <v>1134</v>
      </c>
      <c r="C289" s="407" t="s">
        <v>93</v>
      </c>
      <c r="D289" s="307"/>
      <c r="E289" s="1440" t="s">
        <v>1135</v>
      </c>
      <c r="F289" s="354"/>
      <c r="G289" s="354"/>
      <c r="H289" s="354"/>
      <c r="I289" s="354"/>
      <c r="J289" s="436"/>
      <c r="K289" s="436" t="s">
        <v>1210</v>
      </c>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row>
    <row r="290" spans="1:66" s="396" customFormat="1" ht="0" hidden="1" customHeight="1" outlineLevel="2">
      <c r="A290" s="1427"/>
      <c r="B290" s="204" t="s">
        <v>1137</v>
      </c>
      <c r="C290" s="407" t="s">
        <v>675</v>
      </c>
      <c r="D290" s="307"/>
      <c r="E290" s="1442"/>
      <c r="F290" s="354"/>
      <c r="G290" s="354"/>
      <c r="H290" s="354"/>
      <c r="I290" s="354"/>
      <c r="J290" s="436"/>
      <c r="K290" s="436" t="s">
        <v>1211</v>
      </c>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row>
    <row r="291" spans="1:66" s="396" customFormat="1" ht="0" hidden="1" customHeight="1" outlineLevel="2">
      <c r="A291" s="280" t="s">
        <v>210</v>
      </c>
      <c r="B291" s="204" t="s">
        <v>1139</v>
      </c>
      <c r="C291" s="407" t="s">
        <v>675</v>
      </c>
      <c r="D291" s="307"/>
      <c r="E291" s="455" t="s">
        <v>1140</v>
      </c>
      <c r="F291" s="472"/>
      <c r="G291" s="472"/>
      <c r="H291" s="472"/>
      <c r="I291" s="472" t="s">
        <v>1141</v>
      </c>
      <c r="J291" s="436"/>
      <c r="K291" s="436" t="s">
        <v>1212</v>
      </c>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row>
    <row r="292" spans="1:66" ht="0" hidden="1" customHeight="1" outlineLevel="1">
      <c r="A292" s="443" t="s">
        <v>629</v>
      </c>
      <c r="B292" s="440"/>
      <c r="C292" s="444"/>
      <c r="D292" s="445"/>
      <c r="E292" s="458"/>
      <c r="F292" s="447"/>
      <c r="G292" s="447"/>
      <c r="H292" s="447"/>
      <c r="I292" s="447"/>
      <c r="J292" s="436"/>
      <c r="K292" s="436" t="s">
        <v>1213</v>
      </c>
    </row>
    <row r="293" spans="1:66" s="396" customFormat="1" ht="0" hidden="1" customHeight="1" outlineLevel="2">
      <c r="A293" s="1429" t="s">
        <v>688</v>
      </c>
      <c r="B293" s="204" t="s">
        <v>694</v>
      </c>
      <c r="C293" s="407" t="s">
        <v>966</v>
      </c>
      <c r="D293" s="307"/>
      <c r="E293" s="448" t="s">
        <v>1007</v>
      </c>
      <c r="F293" s="449"/>
      <c r="G293" s="449"/>
      <c r="H293" s="449"/>
      <c r="I293" s="449"/>
      <c r="J293" s="436"/>
      <c r="K293" s="436" t="s">
        <v>1214</v>
      </c>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row>
    <row r="294" spans="1:66" s="396" customFormat="1" ht="0" hidden="1" customHeight="1" outlineLevel="2">
      <c r="A294" s="1430"/>
      <c r="B294" s="204" t="s">
        <v>969</v>
      </c>
      <c r="C294" s="407" t="s">
        <v>664</v>
      </c>
      <c r="D294" s="307"/>
      <c r="E294" s="448"/>
      <c r="F294" s="449"/>
      <c r="G294" s="449"/>
      <c r="H294" s="449"/>
      <c r="I294" s="449"/>
      <c r="J294" s="436"/>
      <c r="K294" s="436" t="s">
        <v>1215</v>
      </c>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row>
    <row r="295" spans="1:66" s="396" customFormat="1" ht="0" hidden="1" customHeight="1" outlineLevel="2">
      <c r="A295" s="1431"/>
      <c r="B295" s="204" t="s">
        <v>971</v>
      </c>
      <c r="C295" s="407" t="s">
        <v>664</v>
      </c>
      <c r="D295" s="307"/>
      <c r="E295" s="448"/>
      <c r="F295" s="449"/>
      <c r="G295" s="449"/>
      <c r="H295" s="449"/>
      <c r="I295" s="449"/>
      <c r="J295" s="436"/>
      <c r="K295" s="436" t="s">
        <v>1216</v>
      </c>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row>
    <row r="296" spans="1:66" s="396" customFormat="1" ht="0" hidden="1" customHeight="1" outlineLevel="2">
      <c r="A296" s="1429" t="s">
        <v>973</v>
      </c>
      <c r="B296" s="204" t="s">
        <v>694</v>
      </c>
      <c r="C296" s="407" t="s">
        <v>298</v>
      </c>
      <c r="D296" s="307"/>
      <c r="E296" s="448" t="s">
        <v>1011</v>
      </c>
      <c r="F296" s="449"/>
      <c r="G296" s="449"/>
      <c r="H296" s="449"/>
      <c r="I296" s="449"/>
      <c r="J296" s="436"/>
      <c r="K296" s="436" t="s">
        <v>1217</v>
      </c>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row>
    <row r="297" spans="1:66" s="396" customFormat="1" ht="0" hidden="1" customHeight="1" outlineLevel="2">
      <c r="A297" s="1430"/>
      <c r="B297" s="280" t="s">
        <v>730</v>
      </c>
      <c r="C297" s="280" t="s">
        <v>675</v>
      </c>
      <c r="D297" s="307"/>
      <c r="E297" s="448"/>
      <c r="F297" s="449"/>
      <c r="G297" s="449"/>
      <c r="H297" s="449"/>
      <c r="I297" s="449"/>
      <c r="J297" s="436"/>
      <c r="K297" s="436" t="s">
        <v>1218</v>
      </c>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row>
    <row r="298" spans="1:66" s="396" customFormat="1" ht="0" hidden="1" customHeight="1" outlineLevel="2">
      <c r="A298" s="1429" t="s">
        <v>691</v>
      </c>
      <c r="B298" s="204" t="s">
        <v>694</v>
      </c>
      <c r="C298" s="407" t="s">
        <v>976</v>
      </c>
      <c r="D298" s="307"/>
      <c r="E298" s="448" t="s">
        <v>1007</v>
      </c>
      <c r="F298" s="449"/>
      <c r="G298" s="449"/>
      <c r="H298" s="449"/>
      <c r="I298" s="449"/>
      <c r="J298" s="436"/>
      <c r="K298" s="436" t="s">
        <v>1219</v>
      </c>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row>
    <row r="299" spans="1:66" s="396" customFormat="1" ht="0" hidden="1" customHeight="1" outlineLevel="2">
      <c r="A299" s="1430"/>
      <c r="B299" s="204" t="s">
        <v>978</v>
      </c>
      <c r="C299" s="407" t="s">
        <v>979</v>
      </c>
      <c r="D299" s="307"/>
      <c r="E299" s="448"/>
      <c r="F299" s="449"/>
      <c r="G299" s="449"/>
      <c r="H299" s="449"/>
      <c r="I299" s="449"/>
      <c r="J299" s="436"/>
      <c r="K299" s="436" t="s">
        <v>1220</v>
      </c>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row>
    <row r="300" spans="1:66" s="396" customFormat="1" ht="0" hidden="1" customHeight="1" outlineLevel="2">
      <c r="A300" s="1430"/>
      <c r="B300" s="204" t="s">
        <v>981</v>
      </c>
      <c r="C300" s="407" t="s">
        <v>979</v>
      </c>
      <c r="D300" s="307"/>
      <c r="E300" s="448"/>
      <c r="F300" s="449"/>
      <c r="G300" s="449"/>
      <c r="H300" s="449"/>
      <c r="I300" s="449"/>
      <c r="J300" s="436"/>
      <c r="K300" s="436" t="s">
        <v>1221</v>
      </c>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row>
    <row r="301" spans="1:66" s="396" customFormat="1" ht="0" hidden="1" customHeight="1" outlineLevel="2">
      <c r="A301" s="1429" t="s">
        <v>983</v>
      </c>
      <c r="B301" s="204" t="s">
        <v>1152</v>
      </c>
      <c r="C301" s="407" t="s">
        <v>966</v>
      </c>
      <c r="D301" s="307"/>
      <c r="E301" s="448" t="s">
        <v>1024</v>
      </c>
      <c r="F301" s="263"/>
      <c r="G301" s="263"/>
      <c r="H301" s="263"/>
      <c r="I301" s="263"/>
      <c r="J301" s="436"/>
      <c r="K301" s="436" t="s">
        <v>1222</v>
      </c>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row>
    <row r="302" spans="1:66" s="396" customFormat="1" ht="0" hidden="1" customHeight="1" outlineLevel="2">
      <c r="A302" s="1430"/>
      <c r="B302" s="204" t="s">
        <v>987</v>
      </c>
      <c r="C302" s="407" t="s">
        <v>664</v>
      </c>
      <c r="D302" s="307"/>
      <c r="E302" s="448"/>
      <c r="F302" s="263"/>
      <c r="G302" s="263"/>
      <c r="H302" s="263"/>
      <c r="I302" s="263"/>
      <c r="J302" s="436"/>
      <c r="K302" s="436" t="s">
        <v>1223</v>
      </c>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row>
    <row r="303" spans="1:66" s="396" customFormat="1" ht="0" hidden="1" customHeight="1" outlineLevel="2">
      <c r="A303" s="1431"/>
      <c r="B303" s="204" t="s">
        <v>989</v>
      </c>
      <c r="C303" s="407" t="s">
        <v>664</v>
      </c>
      <c r="D303" s="307"/>
      <c r="E303" s="448"/>
      <c r="F303" s="263"/>
      <c r="G303" s="263"/>
      <c r="H303" s="263"/>
      <c r="I303" s="263"/>
      <c r="J303" s="436"/>
      <c r="K303" s="436" t="s">
        <v>1224</v>
      </c>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row>
    <row r="304" spans="1:66" s="396" customFormat="1" ht="0" hidden="1" customHeight="1" outlineLevel="2">
      <c r="A304" s="280" t="s">
        <v>719</v>
      </c>
      <c r="B304" s="204" t="s">
        <v>701</v>
      </c>
      <c r="C304" s="407" t="s">
        <v>675</v>
      </c>
      <c r="D304" s="307"/>
      <c r="E304" s="448" t="s">
        <v>1001</v>
      </c>
      <c r="F304" s="263"/>
      <c r="G304" s="263"/>
      <c r="H304" s="263"/>
      <c r="I304" s="263"/>
      <c r="J304" s="436"/>
      <c r="K304" s="436" t="s">
        <v>1225</v>
      </c>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row>
    <row r="305" spans="1:66" s="396" customFormat="1" ht="0" hidden="1" customHeight="1" outlineLevel="2">
      <c r="A305" s="1429" t="s">
        <v>759</v>
      </c>
      <c r="B305" s="204" t="s">
        <v>475</v>
      </c>
      <c r="C305" s="407" t="s">
        <v>298</v>
      </c>
      <c r="D305" s="265">
        <f>'02 项目基础信息（输入）'!CC81</f>
        <v>0</v>
      </c>
      <c r="E305" s="448"/>
      <c r="F305" s="263"/>
      <c r="G305" s="263"/>
      <c r="H305" s="263"/>
      <c r="I305" s="263"/>
      <c r="J305" s="436"/>
      <c r="K305" s="436" t="s">
        <v>1226</v>
      </c>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row>
    <row r="306" spans="1:66" s="396" customFormat="1" ht="0" hidden="1" customHeight="1" outlineLevel="2">
      <c r="A306" s="1430"/>
      <c r="B306" s="204" t="s">
        <v>1029</v>
      </c>
      <c r="C306" s="407" t="s">
        <v>298</v>
      </c>
      <c r="D306" s="459">
        <f>IFERROR('02 项目基础信息（输入）'!BW81/'02 项目基础信息（输入）'!C81,0)</f>
        <v>0</v>
      </c>
      <c r="E306" s="448" t="s">
        <v>1030</v>
      </c>
      <c r="F306" s="263"/>
      <c r="G306" s="263"/>
      <c r="H306" s="263"/>
      <c r="I306" s="263"/>
      <c r="J306" s="436"/>
      <c r="K306" s="436" t="s">
        <v>1227</v>
      </c>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row>
    <row r="307" spans="1:66" s="396" customFormat="1" ht="0" hidden="1" customHeight="1" outlineLevel="2">
      <c r="A307" s="1430"/>
      <c r="B307" s="204" t="s">
        <v>1032</v>
      </c>
      <c r="C307" s="407" t="s">
        <v>675</v>
      </c>
      <c r="D307" s="307"/>
      <c r="E307" s="448"/>
      <c r="F307" s="263"/>
      <c r="G307" s="263"/>
      <c r="H307" s="263"/>
      <c r="I307" s="263"/>
      <c r="J307" s="436"/>
      <c r="K307" s="436" t="s">
        <v>1228</v>
      </c>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row>
    <row r="308" spans="1:66" s="396" customFormat="1" ht="0" hidden="1" customHeight="1" outlineLevel="2">
      <c r="A308" s="1430"/>
      <c r="B308" s="204" t="s">
        <v>1034</v>
      </c>
      <c r="C308" s="407" t="s">
        <v>298</v>
      </c>
      <c r="D308" s="459">
        <f>IFERROR('02 项目基础信息（输入）'!BX81/'02 项目基础信息（输入）'!C81,0)</f>
        <v>0</v>
      </c>
      <c r="E308" s="448" t="s">
        <v>1035</v>
      </c>
      <c r="F308" s="263"/>
      <c r="G308" s="263"/>
      <c r="H308" s="263"/>
      <c r="I308" s="263"/>
      <c r="J308" s="436"/>
      <c r="K308" s="436" t="s">
        <v>1229</v>
      </c>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row>
    <row r="309" spans="1:66" s="396" customFormat="1" ht="0" hidden="1" customHeight="1" outlineLevel="2">
      <c r="A309" s="1430"/>
      <c r="B309" s="204" t="s">
        <v>1037</v>
      </c>
      <c r="C309" s="407" t="s">
        <v>675</v>
      </c>
      <c r="D309" s="307"/>
      <c r="E309" s="448"/>
      <c r="F309" s="263"/>
      <c r="G309" s="263"/>
      <c r="H309" s="263"/>
      <c r="I309" s="263"/>
      <c r="J309" s="436"/>
      <c r="K309" s="436" t="s">
        <v>1230</v>
      </c>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row>
    <row r="310" spans="1:66" s="396" customFormat="1" ht="0" hidden="1" customHeight="1" outlineLevel="2">
      <c r="A310" s="1430"/>
      <c r="B310" s="204" t="s">
        <v>1039</v>
      </c>
      <c r="C310" s="407" t="s">
        <v>675</v>
      </c>
      <c r="D310" s="307"/>
      <c r="E310" s="448"/>
      <c r="F310" s="263"/>
      <c r="G310" s="263"/>
      <c r="H310" s="263"/>
      <c r="I310" s="263"/>
      <c r="J310" s="436"/>
      <c r="K310" s="436" t="s">
        <v>1231</v>
      </c>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row>
    <row r="311" spans="1:66" s="396" customFormat="1" ht="0" hidden="1" customHeight="1" outlineLevel="2">
      <c r="A311" s="1430"/>
      <c r="B311" s="204" t="s">
        <v>1041</v>
      </c>
      <c r="C311" s="407" t="s">
        <v>298</v>
      </c>
      <c r="D311" s="459">
        <f>IFERROR('02 项目基础信息（输入）'!BY81/'02 项目基础信息（输入）'!C81,0)</f>
        <v>0</v>
      </c>
      <c r="E311" s="448" t="s">
        <v>1042</v>
      </c>
      <c r="F311" s="263"/>
      <c r="G311" s="263"/>
      <c r="H311" s="263"/>
      <c r="I311" s="263"/>
      <c r="J311" s="436"/>
      <c r="K311" s="436" t="s">
        <v>1232</v>
      </c>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row>
    <row r="312" spans="1:66" s="396" customFormat="1" ht="0" hidden="1" customHeight="1" outlineLevel="2">
      <c r="A312" s="1430"/>
      <c r="B312" s="204" t="s">
        <v>1044</v>
      </c>
      <c r="C312" s="407" t="s">
        <v>675</v>
      </c>
      <c r="D312" s="307"/>
      <c r="E312" s="448"/>
      <c r="F312" s="263"/>
      <c r="G312" s="263"/>
      <c r="H312" s="263"/>
      <c r="I312" s="263"/>
      <c r="J312" s="436"/>
      <c r="K312" s="436" t="s">
        <v>1233</v>
      </c>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row>
    <row r="313" spans="1:66" s="396" customFormat="1" ht="0" hidden="1" customHeight="1" outlineLevel="2">
      <c r="A313" s="1427" t="s">
        <v>1234</v>
      </c>
      <c r="B313" s="204" t="s">
        <v>1235</v>
      </c>
      <c r="C313" s="407" t="s">
        <v>1052</v>
      </c>
      <c r="D313" s="265">
        <f>'02 项目基础信息（输入）'!BN81+'02 项目基础信息（输入）'!BP81+'02 项目基础信息（输入）'!BR81+'02 项目基础信息（输入）'!BT81</f>
        <v>0</v>
      </c>
      <c r="E313" s="448" t="s">
        <v>1236</v>
      </c>
      <c r="F313" s="263"/>
      <c r="G313" s="263"/>
      <c r="H313" s="263"/>
      <c r="I313" s="263"/>
      <c r="J313" s="436"/>
      <c r="K313" s="436" t="s">
        <v>1237</v>
      </c>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row>
    <row r="314" spans="1:66" s="396" customFormat="1" ht="0" hidden="1" customHeight="1" outlineLevel="2">
      <c r="A314" s="1427"/>
      <c r="B314" s="204" t="s">
        <v>745</v>
      </c>
      <c r="C314" s="407" t="s">
        <v>746</v>
      </c>
      <c r="D314" s="307"/>
      <c r="E314" s="448"/>
      <c r="F314" s="263"/>
      <c r="G314" s="263"/>
      <c r="H314" s="263"/>
      <c r="I314" s="263"/>
      <c r="J314" s="436"/>
      <c r="K314" s="436" t="s">
        <v>1238</v>
      </c>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row>
    <row r="315" spans="1:66" s="396" customFormat="1" ht="0" hidden="1" customHeight="1" outlineLevel="2">
      <c r="A315" s="1427"/>
      <c r="B315" s="204" t="s">
        <v>749</v>
      </c>
      <c r="C315" s="407" t="s">
        <v>746</v>
      </c>
      <c r="D315" s="307"/>
      <c r="E315" s="448" t="s">
        <v>1239</v>
      </c>
      <c r="F315" s="263"/>
      <c r="G315" s="263"/>
      <c r="H315" s="263"/>
      <c r="I315" s="263"/>
      <c r="J315" s="436"/>
      <c r="K315" s="436" t="s">
        <v>1240</v>
      </c>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row>
    <row r="316" spans="1:66" s="396" customFormat="1" ht="0" hidden="1" customHeight="1" outlineLevel="2">
      <c r="A316" s="1429" t="s">
        <v>1050</v>
      </c>
      <c r="B316" s="204" t="s">
        <v>1051</v>
      </c>
      <c r="C316" s="407" t="s">
        <v>1052</v>
      </c>
      <c r="D316" s="307"/>
      <c r="E316" s="448"/>
      <c r="F316" s="263"/>
      <c r="G316" s="263"/>
      <c r="H316" s="263"/>
      <c r="I316" s="263"/>
      <c r="J316" s="436"/>
      <c r="K316" s="436" t="s">
        <v>1241</v>
      </c>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row>
    <row r="317" spans="1:66" s="396" customFormat="1" ht="0" hidden="1" customHeight="1" outlineLevel="2">
      <c r="A317" s="1431"/>
      <c r="B317" s="204" t="s">
        <v>730</v>
      </c>
      <c r="C317" s="407" t="s">
        <v>746</v>
      </c>
      <c r="D317" s="307"/>
      <c r="E317" s="448" t="s">
        <v>1053</v>
      </c>
      <c r="F317" s="460"/>
      <c r="G317" s="460"/>
      <c r="H317" s="460"/>
      <c r="I317" s="460"/>
      <c r="J317" s="436"/>
      <c r="K317" s="436" t="s">
        <v>1242</v>
      </c>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c r="AZ317" s="66"/>
      <c r="BA317" s="66"/>
      <c r="BB317" s="66"/>
      <c r="BC317" s="66"/>
      <c r="BD317" s="66"/>
      <c r="BE317" s="66"/>
      <c r="BF317" s="66"/>
      <c r="BG317" s="66"/>
      <c r="BH317" s="66"/>
      <c r="BI317" s="66"/>
      <c r="BJ317" s="66"/>
      <c r="BK317" s="66"/>
      <c r="BL317" s="66"/>
      <c r="BM317" s="66"/>
      <c r="BN317" s="66"/>
    </row>
    <row r="318" spans="1:66" s="396" customFormat="1" ht="0" hidden="1" customHeight="1" outlineLevel="2">
      <c r="A318" s="1428" t="s">
        <v>189</v>
      </c>
      <c r="B318" s="204" t="s">
        <v>1056</v>
      </c>
      <c r="C318" s="407" t="s">
        <v>298</v>
      </c>
      <c r="D318" s="461">
        <f>D319+D321+D323+D325+D327</f>
        <v>0</v>
      </c>
      <c r="E318" s="448" t="s">
        <v>1170</v>
      </c>
      <c r="F318" s="460"/>
      <c r="G318" s="460"/>
      <c r="H318" s="460"/>
      <c r="I318" s="460"/>
      <c r="J318" s="436"/>
      <c r="K318" s="436" t="s">
        <v>1243</v>
      </c>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6"/>
      <c r="BF318" s="66"/>
      <c r="BG318" s="66"/>
      <c r="BH318" s="66"/>
      <c r="BI318" s="66"/>
      <c r="BJ318" s="66"/>
      <c r="BK318" s="66"/>
      <c r="BL318" s="66"/>
      <c r="BM318" s="66"/>
      <c r="BN318" s="66"/>
    </row>
    <row r="319" spans="1:66" s="396" customFormat="1" ht="0" hidden="1" customHeight="1" outlineLevel="2">
      <c r="A319" s="1428"/>
      <c r="B319" s="204" t="s">
        <v>800</v>
      </c>
      <c r="C319" s="407" t="s">
        <v>298</v>
      </c>
      <c r="D319" s="461">
        <f>IFERROR('02 项目基础信息（输入）'!AC81/'02 项目基础信息（输入）'!C81,)</f>
        <v>0</v>
      </c>
      <c r="E319" s="448" t="s">
        <v>1170</v>
      </c>
      <c r="F319" s="354"/>
      <c r="G319" s="354"/>
      <c r="H319" s="354"/>
      <c r="I319" s="354"/>
      <c r="J319" s="436"/>
      <c r="K319" s="436" t="s">
        <v>1244</v>
      </c>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c r="AZ319" s="66"/>
      <c r="BA319" s="66"/>
      <c r="BB319" s="66"/>
      <c r="BC319" s="66"/>
      <c r="BD319" s="66"/>
      <c r="BE319" s="66"/>
      <c r="BF319" s="66"/>
      <c r="BG319" s="66"/>
      <c r="BH319" s="66"/>
      <c r="BI319" s="66"/>
      <c r="BJ319" s="66"/>
      <c r="BK319" s="66"/>
      <c r="BL319" s="66"/>
      <c r="BM319" s="66"/>
      <c r="BN319" s="66"/>
    </row>
    <row r="320" spans="1:66" s="396" customFormat="1" ht="0" hidden="1" customHeight="1" outlineLevel="2">
      <c r="A320" s="1428"/>
      <c r="B320" s="204" t="s">
        <v>1172</v>
      </c>
      <c r="C320" s="407" t="s">
        <v>675</v>
      </c>
      <c r="D320" s="307"/>
      <c r="E320" s="448" t="s">
        <v>1061</v>
      </c>
      <c r="F320" s="354"/>
      <c r="G320" s="354"/>
      <c r="H320" s="354"/>
      <c r="I320" s="354"/>
      <c r="J320" s="436"/>
      <c r="K320" s="436" t="s">
        <v>1245</v>
      </c>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c r="AZ320" s="66"/>
      <c r="BA320" s="66"/>
      <c r="BB320" s="66"/>
      <c r="BC320" s="66"/>
      <c r="BD320" s="66"/>
      <c r="BE320" s="66"/>
      <c r="BF320" s="66"/>
      <c r="BG320" s="66"/>
      <c r="BH320" s="66"/>
      <c r="BI320" s="66"/>
      <c r="BJ320" s="66"/>
      <c r="BK320" s="66"/>
      <c r="BL320" s="66"/>
      <c r="BM320" s="66"/>
      <c r="BN320" s="66"/>
    </row>
    <row r="321" spans="1:66" s="396" customFormat="1" ht="0" hidden="1" customHeight="1" outlineLevel="2">
      <c r="A321" s="1428"/>
      <c r="B321" s="204" t="s">
        <v>806</v>
      </c>
      <c r="C321" s="407" t="s">
        <v>298</v>
      </c>
      <c r="D321" s="461">
        <f>IFERROR('02 项目基础信息（输入）'!AE81/'02 项目基础信息（输入）'!C81,)</f>
        <v>0</v>
      </c>
      <c r="E321" s="448" t="s">
        <v>1170</v>
      </c>
      <c r="F321" s="354"/>
      <c r="G321" s="354"/>
      <c r="H321" s="354"/>
      <c r="I321" s="354"/>
      <c r="J321" s="436"/>
      <c r="K321" s="436" t="s">
        <v>1246</v>
      </c>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c r="BC321" s="66"/>
      <c r="BD321" s="66"/>
      <c r="BE321" s="66"/>
      <c r="BF321" s="66"/>
      <c r="BG321" s="66"/>
      <c r="BH321" s="66"/>
      <c r="BI321" s="66"/>
      <c r="BJ321" s="66"/>
      <c r="BK321" s="66"/>
      <c r="BL321" s="66"/>
      <c r="BM321" s="66"/>
      <c r="BN321" s="66"/>
    </row>
    <row r="322" spans="1:66" s="396" customFormat="1" ht="0" hidden="1" customHeight="1" outlineLevel="2">
      <c r="A322" s="1428"/>
      <c r="B322" s="204" t="s">
        <v>1175</v>
      </c>
      <c r="C322" s="407" t="s">
        <v>675</v>
      </c>
      <c r="D322" s="307"/>
      <c r="E322" s="448" t="s">
        <v>1061</v>
      </c>
      <c r="F322" s="354"/>
      <c r="G322" s="354"/>
      <c r="H322" s="354"/>
      <c r="I322" s="354"/>
      <c r="J322" s="436"/>
      <c r="K322" s="436" t="s">
        <v>1247</v>
      </c>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c r="AZ322" s="66"/>
      <c r="BA322" s="66"/>
      <c r="BB322" s="66"/>
      <c r="BC322" s="66"/>
      <c r="BD322" s="66"/>
      <c r="BE322" s="66"/>
      <c r="BF322" s="66"/>
      <c r="BG322" s="66"/>
      <c r="BH322" s="66"/>
      <c r="BI322" s="66"/>
      <c r="BJ322" s="66"/>
      <c r="BK322" s="66"/>
      <c r="BL322" s="66"/>
      <c r="BM322" s="66"/>
      <c r="BN322" s="66"/>
    </row>
    <row r="323" spans="1:66" s="396" customFormat="1" ht="0" hidden="1" customHeight="1" outlineLevel="2">
      <c r="A323" s="1428"/>
      <c r="B323" s="204" t="s">
        <v>1177</v>
      </c>
      <c r="C323" s="407" t="s">
        <v>298</v>
      </c>
      <c r="D323" s="461">
        <f>IFERROR('02 项目基础信息（输入）'!AF81/'02 项目基础信息（输入）'!C81,0)</f>
        <v>0</v>
      </c>
      <c r="E323" s="448" t="s">
        <v>1170</v>
      </c>
      <c r="F323" s="354"/>
      <c r="G323" s="354"/>
      <c r="H323" s="354"/>
      <c r="I323" s="354"/>
      <c r="J323" s="436"/>
      <c r="K323" s="436" t="s">
        <v>1248</v>
      </c>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c r="BC323" s="66"/>
      <c r="BD323" s="66"/>
      <c r="BE323" s="66"/>
      <c r="BF323" s="66"/>
      <c r="BG323" s="66"/>
      <c r="BH323" s="66"/>
      <c r="BI323" s="66"/>
      <c r="BJ323" s="66"/>
      <c r="BK323" s="66"/>
      <c r="BL323" s="66"/>
      <c r="BM323" s="66"/>
      <c r="BN323" s="66"/>
    </row>
    <row r="324" spans="1:66" s="396" customFormat="1" ht="0" hidden="1" customHeight="1" outlineLevel="2">
      <c r="A324" s="1428"/>
      <c r="B324" s="204" t="s">
        <v>1179</v>
      </c>
      <c r="C324" s="407" t="s">
        <v>675</v>
      </c>
      <c r="D324" s="307"/>
      <c r="E324" s="448" t="s">
        <v>1061</v>
      </c>
      <c r="F324" s="354"/>
      <c r="G324" s="354"/>
      <c r="H324" s="354"/>
      <c r="I324" s="354"/>
      <c r="J324" s="436"/>
      <c r="K324" s="436" t="s">
        <v>1249</v>
      </c>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6"/>
      <c r="BM324" s="66"/>
      <c r="BN324" s="66"/>
    </row>
    <row r="325" spans="1:66" s="396" customFormat="1" ht="0" hidden="1" customHeight="1" outlineLevel="2">
      <c r="A325" s="1428"/>
      <c r="B325" s="204" t="s">
        <v>1250</v>
      </c>
      <c r="C325" s="407" t="s">
        <v>675</v>
      </c>
      <c r="D325" s="461">
        <f>IFERROR('02 项目基础信息（输入）'!BV81/'02 项目基础信息（输入）'!C81,0)</f>
        <v>0</v>
      </c>
      <c r="E325" s="448" t="s">
        <v>1170</v>
      </c>
      <c r="F325" s="354"/>
      <c r="G325" s="354"/>
      <c r="H325" s="354"/>
      <c r="I325" s="354"/>
      <c r="J325" s="436"/>
      <c r="K325" s="436" t="s">
        <v>1251</v>
      </c>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c r="BC325" s="66"/>
      <c r="BD325" s="66"/>
      <c r="BE325" s="66"/>
      <c r="BF325" s="66"/>
      <c r="BG325" s="66"/>
      <c r="BH325" s="66"/>
      <c r="BI325" s="66"/>
      <c r="BJ325" s="66"/>
      <c r="BK325" s="66"/>
      <c r="BL325" s="66"/>
      <c r="BM325" s="66"/>
      <c r="BN325" s="66"/>
    </row>
    <row r="326" spans="1:66" s="396" customFormat="1" ht="0" hidden="1" customHeight="1" outlineLevel="2">
      <c r="A326" s="1428"/>
      <c r="B326" s="204" t="s">
        <v>1252</v>
      </c>
      <c r="C326" s="407" t="s">
        <v>675</v>
      </c>
      <c r="D326" s="307"/>
      <c r="E326" s="448" t="s">
        <v>1061</v>
      </c>
      <c r="F326" s="354"/>
      <c r="G326" s="354"/>
      <c r="H326" s="354"/>
      <c r="I326" s="354"/>
      <c r="J326" s="436"/>
      <c r="K326" s="436" t="s">
        <v>1253</v>
      </c>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X326" s="66"/>
      <c r="AY326" s="66"/>
      <c r="AZ326" s="66"/>
      <c r="BA326" s="66"/>
      <c r="BB326" s="66"/>
      <c r="BC326" s="66"/>
      <c r="BD326" s="66"/>
      <c r="BE326" s="66"/>
      <c r="BF326" s="66"/>
      <c r="BG326" s="66"/>
      <c r="BH326" s="66"/>
      <c r="BI326" s="66"/>
      <c r="BJ326" s="66"/>
      <c r="BK326" s="66"/>
      <c r="BL326" s="66"/>
      <c r="BM326" s="66"/>
      <c r="BN326" s="66"/>
    </row>
    <row r="327" spans="1:66" s="396" customFormat="1" ht="0" hidden="1" customHeight="1" outlineLevel="2">
      <c r="A327" s="1428"/>
      <c r="B327" s="435" t="s">
        <v>1254</v>
      </c>
      <c r="C327" s="407" t="s">
        <v>298</v>
      </c>
      <c r="D327" s="461">
        <f>IFERROR(('02 项目基础信息（输入）'!AI81+'02 项目基础信息（输入）'!AJ81+'02 项目基础信息（输入）'!AK81+'02 项目基础信息（输入）'!AL81+'02 项目基础信息（输入）'!AM81+'02 项目基础信息（输入）'!AN81)/'02 项目基础信息（输入）'!C81,0)</f>
        <v>0</v>
      </c>
      <c r="E327" s="448" t="s">
        <v>1170</v>
      </c>
      <c r="F327" s="475"/>
      <c r="G327" s="354"/>
      <c r="H327" s="354"/>
      <c r="I327" s="354"/>
      <c r="J327" s="436"/>
      <c r="K327" s="436" t="s">
        <v>1255</v>
      </c>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X327" s="66"/>
      <c r="AY327" s="66"/>
      <c r="AZ327" s="66"/>
      <c r="BA327" s="66"/>
      <c r="BB327" s="66"/>
      <c r="BC327" s="66"/>
      <c r="BD327" s="66"/>
      <c r="BE327" s="66"/>
      <c r="BF327" s="66"/>
      <c r="BG327" s="66"/>
      <c r="BH327" s="66"/>
      <c r="BI327" s="66"/>
      <c r="BJ327" s="66"/>
      <c r="BK327" s="66"/>
      <c r="BL327" s="66"/>
      <c r="BM327" s="66"/>
      <c r="BN327" s="66"/>
    </row>
    <row r="328" spans="1:66" s="396" customFormat="1" ht="0" hidden="1" customHeight="1" outlineLevel="2">
      <c r="A328" s="1429" t="s">
        <v>997</v>
      </c>
      <c r="B328" s="204" t="s">
        <v>1071</v>
      </c>
      <c r="C328" s="407" t="s">
        <v>999</v>
      </c>
      <c r="D328" s="307"/>
      <c r="E328" s="455"/>
      <c r="F328" s="354"/>
      <c r="G328" s="354"/>
      <c r="H328" s="354"/>
      <c r="I328" s="354"/>
      <c r="J328" s="436"/>
      <c r="K328" s="436" t="s">
        <v>1256</v>
      </c>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X328" s="66"/>
      <c r="AY328" s="66"/>
      <c r="AZ328" s="66"/>
      <c r="BA328" s="66"/>
      <c r="BB328" s="66"/>
      <c r="BC328" s="66"/>
      <c r="BD328" s="66"/>
      <c r="BE328" s="66"/>
      <c r="BF328" s="66"/>
      <c r="BG328" s="66"/>
      <c r="BH328" s="66"/>
      <c r="BI328" s="66"/>
      <c r="BJ328" s="66"/>
      <c r="BK328" s="66"/>
      <c r="BL328" s="66"/>
      <c r="BM328" s="66"/>
      <c r="BN328" s="66"/>
    </row>
    <row r="329" spans="1:66" s="396" customFormat="1" ht="0" hidden="1" customHeight="1" outlineLevel="2">
      <c r="A329" s="1431"/>
      <c r="B329" s="204" t="s">
        <v>1073</v>
      </c>
      <c r="C329" s="407" t="s">
        <v>1074</v>
      </c>
      <c r="D329" s="268">
        <f>'02 项目基础信息（输入）'!Q81</f>
        <v>0</v>
      </c>
      <c r="E329" s="455"/>
      <c r="F329" s="354"/>
      <c r="G329" s="354"/>
      <c r="H329" s="354"/>
      <c r="I329" s="354"/>
      <c r="J329" s="436"/>
      <c r="K329" s="436" t="s">
        <v>1257</v>
      </c>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c r="AZ329" s="66"/>
      <c r="BA329" s="66"/>
      <c r="BB329" s="66"/>
      <c r="BC329" s="66"/>
      <c r="BD329" s="66"/>
      <c r="BE329" s="66"/>
      <c r="BF329" s="66"/>
      <c r="BG329" s="66"/>
      <c r="BH329" s="66"/>
      <c r="BI329" s="66"/>
      <c r="BJ329" s="66"/>
      <c r="BK329" s="66"/>
      <c r="BL329" s="66"/>
      <c r="BM329" s="66"/>
      <c r="BN329" s="66"/>
    </row>
    <row r="330" spans="1:66" s="397" customFormat="1" ht="0" hidden="1" customHeight="1" outlineLevel="2">
      <c r="A330" s="1434" t="s">
        <v>193</v>
      </c>
      <c r="B330" s="463" t="s">
        <v>1077</v>
      </c>
      <c r="C330" s="410" t="s">
        <v>1078</v>
      </c>
      <c r="D330" s="307"/>
      <c r="E330" s="455"/>
      <c r="F330" s="464"/>
      <c r="G330" s="464"/>
      <c r="H330" s="464"/>
      <c r="I330" s="1446" t="s">
        <v>1079</v>
      </c>
      <c r="J330" s="436"/>
      <c r="K330" s="436" t="s">
        <v>1258</v>
      </c>
      <c r="L330" s="398"/>
      <c r="M330" s="398"/>
      <c r="N330" s="398"/>
      <c r="O330" s="398"/>
      <c r="P330" s="398"/>
      <c r="Q330" s="398"/>
      <c r="R330" s="398"/>
      <c r="S330" s="398"/>
      <c r="T330" s="398"/>
      <c r="U330" s="398"/>
      <c r="V330" s="398"/>
      <c r="W330" s="398"/>
      <c r="X330" s="398"/>
      <c r="Y330" s="398"/>
      <c r="Z330" s="398"/>
      <c r="AA330" s="398"/>
      <c r="AB330" s="398"/>
      <c r="AC330" s="398"/>
      <c r="AD330" s="398"/>
      <c r="AE330" s="398"/>
      <c r="AF330" s="398"/>
      <c r="AG330" s="398"/>
      <c r="AH330" s="398"/>
      <c r="AI330" s="398"/>
      <c r="AJ330" s="398"/>
      <c r="AK330" s="398"/>
      <c r="AL330" s="398"/>
      <c r="AM330" s="398"/>
      <c r="AN330" s="398"/>
      <c r="AO330" s="398"/>
      <c r="AP330" s="398"/>
      <c r="AQ330" s="398"/>
      <c r="AR330" s="398"/>
      <c r="AS330" s="398"/>
      <c r="AT330" s="398"/>
      <c r="AU330" s="398"/>
      <c r="AV330" s="398"/>
      <c r="AW330" s="398"/>
      <c r="AX330" s="398"/>
      <c r="AY330" s="398"/>
      <c r="AZ330" s="398"/>
      <c r="BA330" s="398"/>
      <c r="BB330" s="398"/>
      <c r="BC330" s="398"/>
      <c r="BD330" s="398"/>
      <c r="BE330" s="398"/>
      <c r="BF330" s="398"/>
      <c r="BG330" s="398"/>
      <c r="BH330" s="398"/>
      <c r="BI330" s="398"/>
      <c r="BJ330" s="398"/>
      <c r="BK330" s="398"/>
      <c r="BL330" s="398"/>
      <c r="BM330" s="398"/>
      <c r="BN330" s="398"/>
    </row>
    <row r="331" spans="1:66" s="397" customFormat="1" ht="0" hidden="1" customHeight="1" outlineLevel="2">
      <c r="A331" s="1435"/>
      <c r="B331" s="463" t="s">
        <v>1081</v>
      </c>
      <c r="C331" s="410" t="s">
        <v>1082</v>
      </c>
      <c r="D331" s="311">
        <f>'02 项目基础信息（输入）'!AX81</f>
        <v>0</v>
      </c>
      <c r="E331" s="1440" t="s">
        <v>1083</v>
      </c>
      <c r="F331" s="456"/>
      <c r="G331" s="470"/>
      <c r="H331" s="470"/>
      <c r="I331" s="1446"/>
      <c r="J331" s="436"/>
      <c r="K331" s="436" t="s">
        <v>1259</v>
      </c>
      <c r="L331" s="398"/>
      <c r="M331" s="398"/>
      <c r="N331" s="398"/>
      <c r="O331" s="398"/>
      <c r="P331" s="398"/>
      <c r="Q331" s="398"/>
      <c r="R331" s="398"/>
      <c r="S331" s="398"/>
      <c r="T331" s="398"/>
      <c r="U331" s="398"/>
      <c r="V331" s="398"/>
      <c r="W331" s="398"/>
      <c r="X331" s="398"/>
      <c r="Y331" s="398"/>
      <c r="Z331" s="398"/>
      <c r="AA331" s="398"/>
      <c r="AB331" s="398"/>
      <c r="AC331" s="398"/>
      <c r="AD331" s="398"/>
      <c r="AE331" s="398"/>
      <c r="AF331" s="398"/>
      <c r="AG331" s="398"/>
      <c r="AH331" s="398"/>
      <c r="AI331" s="398"/>
      <c r="AJ331" s="398"/>
      <c r="AK331" s="398"/>
      <c r="AL331" s="398"/>
      <c r="AM331" s="398"/>
      <c r="AN331" s="398"/>
      <c r="AO331" s="398"/>
      <c r="AP331" s="398"/>
      <c r="AQ331" s="398"/>
      <c r="AR331" s="398"/>
      <c r="AS331" s="398"/>
      <c r="AT331" s="398"/>
      <c r="AU331" s="398"/>
      <c r="AV331" s="398"/>
      <c r="AW331" s="398"/>
      <c r="AX331" s="398"/>
      <c r="AY331" s="398"/>
      <c r="AZ331" s="398"/>
      <c r="BA331" s="398"/>
      <c r="BB331" s="398"/>
      <c r="BC331" s="398"/>
      <c r="BD331" s="398"/>
      <c r="BE331" s="398"/>
      <c r="BF331" s="398"/>
      <c r="BG331" s="398"/>
      <c r="BH331" s="398"/>
      <c r="BI331" s="398"/>
      <c r="BJ331" s="398"/>
      <c r="BK331" s="398"/>
      <c r="BL331" s="398"/>
      <c r="BM331" s="398"/>
      <c r="BN331" s="398"/>
    </row>
    <row r="332" spans="1:66" s="397" customFormat="1" ht="0" hidden="1" customHeight="1" outlineLevel="2">
      <c r="A332" s="1435"/>
      <c r="B332" s="463" t="s">
        <v>1086</v>
      </c>
      <c r="C332" s="410" t="s">
        <v>1087</v>
      </c>
      <c r="D332" s="307"/>
      <c r="E332" s="1441"/>
      <c r="F332" s="456"/>
      <c r="G332" s="470"/>
      <c r="H332" s="470"/>
      <c r="I332" s="1446"/>
      <c r="J332" s="436"/>
      <c r="K332" s="436" t="s">
        <v>1260</v>
      </c>
      <c r="L332" s="398"/>
      <c r="M332" s="398"/>
      <c r="N332" s="398"/>
      <c r="O332" s="398"/>
      <c r="P332" s="398"/>
      <c r="Q332" s="398"/>
      <c r="R332" s="398"/>
      <c r="S332" s="398"/>
      <c r="T332" s="398"/>
      <c r="U332" s="398"/>
      <c r="V332" s="398"/>
      <c r="W332" s="398"/>
      <c r="X332" s="398"/>
      <c r="Y332" s="398"/>
      <c r="Z332" s="398"/>
      <c r="AA332" s="398"/>
      <c r="AB332" s="398"/>
      <c r="AC332" s="398"/>
      <c r="AD332" s="398"/>
      <c r="AE332" s="398"/>
      <c r="AF332" s="398"/>
      <c r="AG332" s="398"/>
      <c r="AH332" s="398"/>
      <c r="AI332" s="398"/>
      <c r="AJ332" s="398"/>
      <c r="AK332" s="398"/>
      <c r="AL332" s="398"/>
      <c r="AM332" s="398"/>
      <c r="AN332" s="398"/>
      <c r="AO332" s="398"/>
      <c r="AP332" s="398"/>
      <c r="AQ332" s="398"/>
      <c r="AR332" s="398"/>
      <c r="AS332" s="398"/>
      <c r="AT332" s="398"/>
      <c r="AU332" s="398"/>
      <c r="AV332" s="398"/>
      <c r="AW332" s="398"/>
      <c r="AX332" s="398"/>
      <c r="AY332" s="398"/>
      <c r="AZ332" s="398"/>
      <c r="BA332" s="398"/>
      <c r="BB332" s="398"/>
      <c r="BC332" s="398"/>
      <c r="BD332" s="398"/>
      <c r="BE332" s="398"/>
      <c r="BF332" s="398"/>
      <c r="BG332" s="398"/>
      <c r="BH332" s="398"/>
      <c r="BI332" s="398"/>
      <c r="BJ332" s="398"/>
      <c r="BK332" s="398"/>
      <c r="BL332" s="398"/>
      <c r="BM332" s="398"/>
      <c r="BN332" s="398"/>
    </row>
    <row r="333" spans="1:66" s="397" customFormat="1" ht="0" hidden="1" customHeight="1" outlineLevel="2">
      <c r="A333" s="1435"/>
      <c r="B333" s="463" t="s">
        <v>1089</v>
      </c>
      <c r="C333" s="410" t="s">
        <v>1087</v>
      </c>
      <c r="D333" s="307"/>
      <c r="E333" s="1442"/>
      <c r="F333" s="456"/>
      <c r="G333" s="470"/>
      <c r="H333" s="470"/>
      <c r="I333" s="1446"/>
      <c r="J333" s="436"/>
      <c r="K333" s="436" t="s">
        <v>1261</v>
      </c>
      <c r="L333" s="398"/>
      <c r="M333" s="398"/>
      <c r="N333" s="398"/>
      <c r="O333" s="398"/>
      <c r="P333" s="398"/>
      <c r="Q333" s="398"/>
      <c r="R333" s="398"/>
      <c r="S333" s="398"/>
      <c r="T333" s="398"/>
      <c r="U333" s="398"/>
      <c r="V333" s="398"/>
      <c r="W333" s="398"/>
      <c r="X333" s="398"/>
      <c r="Y333" s="398"/>
      <c r="Z333" s="398"/>
      <c r="AA333" s="398"/>
      <c r="AB333" s="398"/>
      <c r="AC333" s="398"/>
      <c r="AD333" s="398"/>
      <c r="AE333" s="398"/>
      <c r="AF333" s="398"/>
      <c r="AG333" s="398"/>
      <c r="AH333" s="398"/>
      <c r="AI333" s="398"/>
      <c r="AJ333" s="398"/>
      <c r="AK333" s="398"/>
      <c r="AL333" s="398"/>
      <c r="AM333" s="398"/>
      <c r="AN333" s="398"/>
      <c r="AO333" s="398"/>
      <c r="AP333" s="398"/>
      <c r="AQ333" s="398"/>
      <c r="AR333" s="398"/>
      <c r="AS333" s="398"/>
      <c r="AT333" s="398"/>
      <c r="AU333" s="398"/>
      <c r="AV333" s="398"/>
      <c r="AW333" s="398"/>
      <c r="AX333" s="398"/>
      <c r="AY333" s="398"/>
      <c r="AZ333" s="398"/>
      <c r="BA333" s="398"/>
      <c r="BB333" s="398"/>
      <c r="BC333" s="398"/>
      <c r="BD333" s="398"/>
      <c r="BE333" s="398"/>
      <c r="BF333" s="398"/>
      <c r="BG333" s="398"/>
      <c r="BH333" s="398"/>
      <c r="BI333" s="398"/>
      <c r="BJ333" s="398"/>
      <c r="BK333" s="398"/>
      <c r="BL333" s="398"/>
      <c r="BM333" s="398"/>
      <c r="BN333" s="398"/>
    </row>
    <row r="334" spans="1:66" s="398" customFormat="1" ht="0" hidden="1" customHeight="1" outlineLevel="2">
      <c r="A334" s="1436" t="s">
        <v>1107</v>
      </c>
      <c r="B334" s="457" t="s">
        <v>1108</v>
      </c>
      <c r="C334" s="469" t="s">
        <v>93</v>
      </c>
      <c r="D334" s="307"/>
      <c r="E334" s="1440" t="s">
        <v>1200</v>
      </c>
      <c r="F334" s="1444" t="s">
        <v>1110</v>
      </c>
      <c r="G334" s="456"/>
      <c r="H334" s="456"/>
      <c r="I334" s="1447" t="s">
        <v>1111</v>
      </c>
      <c r="J334" s="436"/>
      <c r="K334" s="436" t="s">
        <v>1262</v>
      </c>
    </row>
    <row r="335" spans="1:66" s="398" customFormat="1" ht="0" hidden="1" customHeight="1" outlineLevel="2">
      <c r="A335" s="1436"/>
      <c r="B335" s="457" t="s">
        <v>1113</v>
      </c>
      <c r="C335" s="469" t="s">
        <v>675</v>
      </c>
      <c r="D335" s="307"/>
      <c r="E335" s="1442"/>
      <c r="F335" s="1444"/>
      <c r="G335" s="456"/>
      <c r="H335" s="456"/>
      <c r="I335" s="1447"/>
      <c r="J335" s="436"/>
      <c r="K335" s="436" t="s">
        <v>1263</v>
      </c>
    </row>
    <row r="336" spans="1:66" s="398" customFormat="1" ht="0" hidden="1" customHeight="1" outlineLevel="2">
      <c r="A336" s="1436"/>
      <c r="B336" s="457" t="s">
        <v>1115</v>
      </c>
      <c r="C336" s="469" t="s">
        <v>93</v>
      </c>
      <c r="D336" s="307"/>
      <c r="E336" s="1440" t="s">
        <v>1116</v>
      </c>
      <c r="F336" s="1444" t="s">
        <v>1110</v>
      </c>
      <c r="G336" s="412"/>
      <c r="H336" s="412"/>
      <c r="I336" s="1447"/>
      <c r="J336" s="436"/>
      <c r="K336" s="436" t="s">
        <v>1264</v>
      </c>
    </row>
    <row r="337" spans="1:66" s="398" customFormat="1" ht="0" hidden="1" customHeight="1" outlineLevel="2">
      <c r="A337" s="1436"/>
      <c r="B337" s="457" t="s">
        <v>1118</v>
      </c>
      <c r="C337" s="469" t="s">
        <v>675</v>
      </c>
      <c r="D337" s="307"/>
      <c r="E337" s="1442"/>
      <c r="F337" s="1444"/>
      <c r="G337" s="412"/>
      <c r="H337" s="412"/>
      <c r="I337" s="1447"/>
      <c r="J337" s="436"/>
      <c r="K337" s="436" t="s">
        <v>1265</v>
      </c>
    </row>
    <row r="338" spans="1:66" s="398" customFormat="1" ht="0" hidden="1" customHeight="1" outlineLevel="2">
      <c r="A338" s="1436"/>
      <c r="B338" s="457" t="s">
        <v>1120</v>
      </c>
      <c r="C338" s="469" t="s">
        <v>93</v>
      </c>
      <c r="D338" s="307"/>
      <c r="E338" s="1440" t="s">
        <v>1116</v>
      </c>
      <c r="F338" s="1444" t="s">
        <v>1110</v>
      </c>
      <c r="G338" s="412"/>
      <c r="H338" s="412"/>
      <c r="I338" s="1447"/>
      <c r="J338" s="436"/>
      <c r="K338" s="436" t="s">
        <v>1266</v>
      </c>
    </row>
    <row r="339" spans="1:66" s="398" customFormat="1" ht="0" hidden="1" customHeight="1" outlineLevel="2">
      <c r="A339" s="1436"/>
      <c r="B339" s="457" t="s">
        <v>1122</v>
      </c>
      <c r="C339" s="469" t="s">
        <v>675</v>
      </c>
      <c r="D339" s="307"/>
      <c r="E339" s="1442"/>
      <c r="F339" s="1444"/>
      <c r="G339" s="412"/>
      <c r="H339" s="412"/>
      <c r="I339" s="1447"/>
      <c r="J339" s="436"/>
      <c r="K339" s="436" t="s">
        <v>1267</v>
      </c>
    </row>
    <row r="340" spans="1:66" s="398" customFormat="1" ht="0" hidden="1" customHeight="1" outlineLevel="2">
      <c r="A340" s="468" t="s">
        <v>1124</v>
      </c>
      <c r="B340" s="457" t="s">
        <v>1125</v>
      </c>
      <c r="C340" s="469" t="s">
        <v>675</v>
      </c>
      <c r="D340" s="471">
        <f>'05 成本测算明细'!O3155</f>
        <v>0</v>
      </c>
      <c r="E340" s="455" t="s">
        <v>1126</v>
      </c>
      <c r="F340" s="470"/>
      <c r="G340" s="412"/>
      <c r="H340" s="412"/>
      <c r="I340" s="470"/>
      <c r="J340" s="436"/>
      <c r="K340" s="436" t="s">
        <v>1268</v>
      </c>
    </row>
    <row r="341" spans="1:66" s="397" customFormat="1" ht="0" hidden="1" customHeight="1" outlineLevel="2">
      <c r="A341" s="409" t="s">
        <v>735</v>
      </c>
      <c r="B341" s="463" t="s">
        <v>1269</v>
      </c>
      <c r="C341" s="410" t="s">
        <v>1270</v>
      </c>
      <c r="D341" s="307"/>
      <c r="E341" s="455" t="s">
        <v>1271</v>
      </c>
      <c r="F341" s="456"/>
      <c r="G341" s="470"/>
      <c r="H341" s="470"/>
      <c r="I341" s="470"/>
      <c r="J341" s="436"/>
      <c r="K341" s="436" t="s">
        <v>1272</v>
      </c>
      <c r="L341" s="398"/>
      <c r="M341" s="398"/>
      <c r="N341" s="398"/>
      <c r="O341" s="398"/>
      <c r="P341" s="398"/>
      <c r="Q341" s="398"/>
      <c r="R341" s="398"/>
      <c r="S341" s="398"/>
      <c r="T341" s="398"/>
      <c r="U341" s="398"/>
      <c r="V341" s="398"/>
      <c r="W341" s="398"/>
      <c r="X341" s="398"/>
      <c r="Y341" s="398"/>
      <c r="Z341" s="398"/>
      <c r="AA341" s="398"/>
      <c r="AB341" s="398"/>
      <c r="AC341" s="398"/>
      <c r="AD341" s="398"/>
      <c r="AE341" s="398"/>
      <c r="AF341" s="398"/>
      <c r="AG341" s="398"/>
      <c r="AH341" s="398"/>
      <c r="AI341" s="398"/>
      <c r="AJ341" s="398"/>
      <c r="AK341" s="398"/>
      <c r="AL341" s="398"/>
      <c r="AM341" s="398"/>
      <c r="AN341" s="398"/>
      <c r="AO341" s="398"/>
      <c r="AP341" s="398"/>
      <c r="AQ341" s="398"/>
      <c r="AR341" s="398"/>
      <c r="AS341" s="398"/>
      <c r="AT341" s="398"/>
      <c r="AU341" s="398"/>
      <c r="AV341" s="398"/>
      <c r="AW341" s="398"/>
      <c r="AX341" s="398"/>
      <c r="AY341" s="398"/>
      <c r="AZ341" s="398"/>
      <c r="BA341" s="398"/>
      <c r="BB341" s="398"/>
      <c r="BC341" s="398"/>
      <c r="BD341" s="398"/>
      <c r="BE341" s="398"/>
      <c r="BF341" s="398"/>
      <c r="BG341" s="398"/>
      <c r="BH341" s="398"/>
      <c r="BI341" s="398"/>
      <c r="BJ341" s="398"/>
      <c r="BK341" s="398"/>
      <c r="BL341" s="398"/>
      <c r="BM341" s="398"/>
      <c r="BN341" s="398"/>
    </row>
    <row r="342" spans="1:66" s="396" customFormat="1" ht="0" hidden="1" customHeight="1" outlineLevel="2">
      <c r="A342" s="1429" t="s">
        <v>1128</v>
      </c>
      <c r="B342" s="204" t="s">
        <v>1129</v>
      </c>
      <c r="C342" s="407" t="s">
        <v>93</v>
      </c>
      <c r="D342" s="307"/>
      <c r="E342" s="1440" t="s">
        <v>1130</v>
      </c>
      <c r="F342" s="354"/>
      <c r="G342" s="354"/>
      <c r="H342" s="354"/>
      <c r="I342" s="354"/>
      <c r="J342" s="436"/>
      <c r="K342" s="436" t="s">
        <v>1273</v>
      </c>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c r="BC342" s="66"/>
      <c r="BD342" s="66"/>
      <c r="BE342" s="66"/>
      <c r="BF342" s="66"/>
      <c r="BG342" s="66"/>
      <c r="BH342" s="66"/>
      <c r="BI342" s="66"/>
      <c r="BJ342" s="66"/>
      <c r="BK342" s="66"/>
      <c r="BL342" s="66"/>
      <c r="BM342" s="66"/>
      <c r="BN342" s="66"/>
    </row>
    <row r="343" spans="1:66" s="396" customFormat="1" ht="0" hidden="1" customHeight="1" outlineLevel="2">
      <c r="A343" s="1430"/>
      <c r="B343" s="204" t="s">
        <v>1132</v>
      </c>
      <c r="C343" s="407" t="s">
        <v>675</v>
      </c>
      <c r="D343" s="307"/>
      <c r="E343" s="1442"/>
      <c r="F343" s="354"/>
      <c r="G343" s="354"/>
      <c r="H343" s="354"/>
      <c r="I343" s="354"/>
      <c r="J343" s="436"/>
      <c r="K343" s="436" t="s">
        <v>1274</v>
      </c>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c r="BC343" s="66"/>
      <c r="BD343" s="66"/>
      <c r="BE343" s="66"/>
      <c r="BF343" s="66"/>
      <c r="BG343" s="66"/>
      <c r="BH343" s="66"/>
      <c r="BI343" s="66"/>
      <c r="BJ343" s="66"/>
      <c r="BK343" s="66"/>
      <c r="BL343" s="66"/>
      <c r="BM343" s="66"/>
      <c r="BN343" s="66"/>
    </row>
    <row r="344" spans="1:66" s="396" customFormat="1" ht="0" hidden="1" customHeight="1" outlineLevel="2">
      <c r="A344" s="1430"/>
      <c r="B344" s="204" t="s">
        <v>1134</v>
      </c>
      <c r="C344" s="407" t="s">
        <v>93</v>
      </c>
      <c r="D344" s="307"/>
      <c r="E344" s="1440" t="s">
        <v>1135</v>
      </c>
      <c r="F344" s="354"/>
      <c r="G344" s="354"/>
      <c r="H344" s="354"/>
      <c r="I344" s="354"/>
      <c r="J344" s="436"/>
      <c r="K344" s="436" t="s">
        <v>1275</v>
      </c>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c r="BC344" s="66"/>
      <c r="BD344" s="66"/>
      <c r="BE344" s="66"/>
      <c r="BF344" s="66"/>
      <c r="BG344" s="66"/>
      <c r="BH344" s="66"/>
      <c r="BI344" s="66"/>
      <c r="BJ344" s="66"/>
      <c r="BK344" s="66"/>
      <c r="BL344" s="66"/>
      <c r="BM344" s="66"/>
      <c r="BN344" s="66"/>
    </row>
    <row r="345" spans="1:66" s="396" customFormat="1" ht="0" hidden="1" customHeight="1" outlineLevel="2">
      <c r="A345" s="1431"/>
      <c r="B345" s="204" t="s">
        <v>1137</v>
      </c>
      <c r="C345" s="407" t="s">
        <v>675</v>
      </c>
      <c r="D345" s="307"/>
      <c r="E345" s="1442"/>
      <c r="F345" s="354"/>
      <c r="G345" s="354"/>
      <c r="H345" s="354"/>
      <c r="I345" s="354"/>
      <c r="J345" s="436"/>
      <c r="K345" s="436" t="s">
        <v>1276</v>
      </c>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c r="BC345" s="66"/>
      <c r="BD345" s="66"/>
      <c r="BE345" s="66"/>
      <c r="BF345" s="66"/>
      <c r="BG345" s="66"/>
      <c r="BH345" s="66"/>
      <c r="BI345" s="66"/>
      <c r="BJ345" s="66"/>
      <c r="BK345" s="66"/>
      <c r="BL345" s="66"/>
      <c r="BM345" s="66"/>
      <c r="BN345" s="66"/>
    </row>
    <row r="346" spans="1:66" s="396" customFormat="1" ht="0" hidden="1" customHeight="1" outlineLevel="2">
      <c r="A346" s="280" t="s">
        <v>210</v>
      </c>
      <c r="B346" s="204" t="s">
        <v>1139</v>
      </c>
      <c r="C346" s="407" t="s">
        <v>675</v>
      </c>
      <c r="D346" s="307"/>
      <c r="E346" s="455" t="s">
        <v>1140</v>
      </c>
      <c r="F346" s="472"/>
      <c r="G346" s="472"/>
      <c r="H346" s="472"/>
      <c r="I346" s="472" t="s">
        <v>1141</v>
      </c>
      <c r="J346" s="436"/>
      <c r="K346" s="436" t="s">
        <v>1277</v>
      </c>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c r="BC346" s="66"/>
      <c r="BD346" s="66"/>
      <c r="BE346" s="66"/>
      <c r="BF346" s="66"/>
      <c r="BG346" s="66"/>
      <c r="BH346" s="66"/>
      <c r="BI346" s="66"/>
      <c r="BJ346" s="66"/>
      <c r="BK346" s="66"/>
      <c r="BL346" s="66"/>
      <c r="BM346" s="66"/>
      <c r="BN346" s="66"/>
    </row>
    <row r="347" spans="1:66" ht="21.75" customHeight="1">
      <c r="A347" s="413" t="s">
        <v>229</v>
      </c>
      <c r="B347" s="414"/>
      <c r="C347" s="413"/>
      <c r="D347" s="415"/>
      <c r="E347" s="416"/>
      <c r="F347" s="413"/>
      <c r="G347" s="413"/>
      <c r="H347" s="413"/>
      <c r="I347" s="413"/>
      <c r="J347" s="436"/>
      <c r="K347" s="436" t="s">
        <v>1278</v>
      </c>
    </row>
    <row r="348" spans="1:66" ht="21" customHeight="1" outlineLevel="1">
      <c r="A348" s="280" t="s">
        <v>1279</v>
      </c>
      <c r="B348" s="204" t="s">
        <v>701</v>
      </c>
      <c r="C348" s="407" t="s">
        <v>675</v>
      </c>
      <c r="D348" s="307">
        <f>200000/'02 项目基础信息（输入）'!C69</f>
        <v>2.680003988810737</v>
      </c>
      <c r="E348" s="425" t="s">
        <v>7715</v>
      </c>
      <c r="F348" s="426"/>
      <c r="G348" s="210"/>
      <c r="H348" s="210"/>
      <c r="I348" s="435"/>
      <c r="J348" s="436"/>
      <c r="K348" s="436" t="s">
        <v>1280</v>
      </c>
    </row>
    <row r="349" spans="1:66" ht="21.75" customHeight="1">
      <c r="A349" s="413" t="s">
        <v>230</v>
      </c>
      <c r="B349" s="414"/>
      <c r="C349" s="413"/>
      <c r="D349" s="415"/>
      <c r="E349" s="416"/>
      <c r="F349" s="413"/>
      <c r="G349" s="413"/>
      <c r="H349" s="413"/>
      <c r="I349" s="413"/>
      <c r="J349" s="436"/>
      <c r="K349" s="436" t="s">
        <v>1281</v>
      </c>
    </row>
    <row r="350" spans="1:66" ht="21" customHeight="1" outlineLevel="1">
      <c r="A350" s="1427" t="s">
        <v>230</v>
      </c>
      <c r="B350" s="204" t="s">
        <v>1282</v>
      </c>
      <c r="C350" s="407" t="s">
        <v>298</v>
      </c>
      <c r="D350" s="265">
        <f>IFERROR('02 项目基础信息（输入）'!D14/'02 项目基础信息（输入）'!D4,0)</f>
        <v>0.25174135068175668</v>
      </c>
      <c r="E350" s="425"/>
      <c r="F350" s="426"/>
      <c r="G350" s="427"/>
      <c r="H350" s="615">
        <v>0.24000000415695499</v>
      </c>
      <c r="I350" s="435"/>
      <c r="J350" s="436"/>
      <c r="K350" s="436" t="s">
        <v>1283</v>
      </c>
    </row>
    <row r="351" spans="1:66" ht="21" customHeight="1" outlineLevel="1">
      <c r="A351" s="1427"/>
      <c r="B351" s="204" t="s">
        <v>1284</v>
      </c>
      <c r="C351" s="407" t="s">
        <v>675</v>
      </c>
      <c r="D351" s="1037">
        <v>1045</v>
      </c>
      <c r="E351" s="1038" t="s">
        <v>8059</v>
      </c>
      <c r="F351" s="426"/>
      <c r="G351" s="210"/>
      <c r="H351" s="615">
        <v>750</v>
      </c>
      <c r="I351" s="435"/>
      <c r="J351" s="436"/>
      <c r="K351" s="436" t="s">
        <v>1285</v>
      </c>
    </row>
    <row r="352" spans="1:66" ht="16.5" customHeight="1">
      <c r="A352" s="476"/>
      <c r="B352" s="476"/>
      <c r="C352" s="476"/>
      <c r="D352" s="477"/>
      <c r="E352" s="476"/>
      <c r="F352" s="476"/>
      <c r="G352" s="476"/>
      <c r="H352" s="476"/>
      <c r="I352" s="476"/>
    </row>
    <row r="353" spans="1:9" ht="16.5" customHeight="1">
      <c r="A353" s="476"/>
      <c r="B353" s="476"/>
      <c r="C353" s="476"/>
      <c r="D353" s="477"/>
      <c r="E353" s="476"/>
      <c r="F353" s="476"/>
      <c r="G353" s="476"/>
      <c r="H353" s="476"/>
      <c r="I353" s="476"/>
    </row>
    <row r="354" spans="1:9" ht="16.5" customHeight="1">
      <c r="A354" s="476"/>
      <c r="B354" s="476"/>
      <c r="C354" s="476"/>
      <c r="D354" s="477"/>
      <c r="E354" s="476"/>
      <c r="F354" s="476"/>
      <c r="G354" s="476"/>
      <c r="H354" s="476"/>
      <c r="I354" s="476"/>
    </row>
    <row r="355" spans="1:9" ht="16.5" customHeight="1">
      <c r="A355" s="476"/>
      <c r="B355" s="476"/>
      <c r="C355" s="476"/>
      <c r="D355" s="477"/>
      <c r="E355" s="476"/>
      <c r="F355" s="476"/>
      <c r="G355" s="476"/>
      <c r="H355" s="476"/>
      <c r="I355" s="476"/>
    </row>
    <row r="356" spans="1:9" ht="16.5" customHeight="1">
      <c r="A356" s="476"/>
      <c r="B356" s="476"/>
      <c r="C356" s="476"/>
      <c r="D356" s="477"/>
      <c r="E356" s="476"/>
      <c r="F356" s="476"/>
      <c r="G356" s="476"/>
      <c r="H356" s="476"/>
      <c r="I356" s="476"/>
    </row>
    <row r="357" spans="1:9" ht="16.5" customHeight="1">
      <c r="A357" s="476"/>
      <c r="B357" s="476"/>
      <c r="C357" s="476"/>
      <c r="D357" s="477"/>
      <c r="E357" s="476"/>
      <c r="F357" s="476"/>
      <c r="G357" s="476"/>
      <c r="H357" s="476"/>
      <c r="I357" s="476"/>
    </row>
    <row r="358" spans="1:9" ht="16.5" customHeight="1">
      <c r="A358" s="476"/>
      <c r="B358" s="476"/>
      <c r="C358" s="476"/>
      <c r="D358" s="477"/>
      <c r="E358" s="476"/>
      <c r="F358" s="476"/>
      <c r="G358" s="476"/>
      <c r="H358" s="476"/>
      <c r="I358" s="476"/>
    </row>
    <row r="359" spans="1:9" ht="16.5" customHeight="1">
      <c r="A359" s="476"/>
      <c r="B359" s="476"/>
      <c r="C359" s="476"/>
      <c r="D359" s="477"/>
      <c r="E359" s="476"/>
      <c r="F359" s="476"/>
      <c r="G359" s="476"/>
      <c r="H359" s="476"/>
      <c r="I359" s="476"/>
    </row>
    <row r="360" spans="1:9" ht="16.5" customHeight="1">
      <c r="A360" s="476"/>
      <c r="B360" s="476"/>
      <c r="C360" s="476"/>
      <c r="D360" s="477"/>
      <c r="E360" s="476"/>
      <c r="F360" s="476"/>
      <c r="G360" s="476"/>
      <c r="H360" s="476"/>
      <c r="I360" s="476"/>
    </row>
    <row r="361" spans="1:9" ht="16.5" customHeight="1">
      <c r="A361" s="476"/>
      <c r="B361" s="476"/>
      <c r="C361" s="476"/>
      <c r="D361" s="477"/>
      <c r="E361" s="476"/>
      <c r="F361" s="476"/>
      <c r="G361" s="476"/>
      <c r="H361" s="476"/>
      <c r="I361" s="476"/>
    </row>
    <row r="362" spans="1:9" ht="16.5" customHeight="1">
      <c r="A362" s="476"/>
      <c r="B362" s="476"/>
      <c r="C362" s="476"/>
      <c r="D362" s="477"/>
      <c r="E362" s="476"/>
      <c r="F362" s="476"/>
      <c r="G362" s="476"/>
      <c r="H362" s="476"/>
      <c r="I362" s="476"/>
    </row>
    <row r="363" spans="1:9" ht="16.5" customHeight="1">
      <c r="A363" s="476"/>
      <c r="B363" s="476"/>
      <c r="C363" s="476"/>
      <c r="D363" s="477"/>
      <c r="E363" s="476"/>
      <c r="F363" s="476"/>
      <c r="G363" s="476"/>
      <c r="H363" s="476"/>
      <c r="I363" s="476"/>
    </row>
    <row r="364" spans="1:9" ht="16.5" customHeight="1">
      <c r="A364" s="476"/>
      <c r="B364" s="476"/>
      <c r="C364" s="476"/>
      <c r="D364" s="477"/>
      <c r="E364" s="476"/>
      <c r="F364" s="476"/>
      <c r="G364" s="476"/>
      <c r="H364" s="476"/>
      <c r="I364" s="476"/>
    </row>
    <row r="365" spans="1:9" ht="16.5" customHeight="1">
      <c r="A365" s="476"/>
      <c r="B365" s="476"/>
      <c r="C365" s="476"/>
      <c r="D365" s="477"/>
      <c r="E365" s="476"/>
      <c r="F365" s="476"/>
      <c r="G365" s="476"/>
      <c r="H365" s="476"/>
      <c r="I365" s="476"/>
    </row>
    <row r="366" spans="1:9" ht="16.5" customHeight="1">
      <c r="A366" s="476"/>
      <c r="B366" s="476"/>
      <c r="C366" s="476"/>
      <c r="D366" s="477"/>
      <c r="E366" s="476"/>
      <c r="F366" s="476"/>
      <c r="G366" s="476"/>
      <c r="H366" s="476"/>
      <c r="I366" s="476"/>
    </row>
    <row r="367" spans="1:9" ht="16.5" customHeight="1">
      <c r="A367" s="476"/>
      <c r="B367" s="476"/>
      <c r="C367" s="476"/>
      <c r="D367" s="477"/>
      <c r="E367" s="476"/>
      <c r="F367" s="476"/>
      <c r="G367" s="476"/>
      <c r="H367" s="476"/>
      <c r="I367" s="476"/>
    </row>
    <row r="368" spans="1:9" ht="16.5" customHeight="1">
      <c r="A368" s="476"/>
      <c r="B368" s="476"/>
      <c r="C368" s="476"/>
      <c r="D368" s="477"/>
      <c r="E368" s="476"/>
      <c r="F368" s="476"/>
      <c r="G368" s="476"/>
      <c r="H368" s="476"/>
      <c r="I368" s="476"/>
    </row>
    <row r="369" spans="1:9" ht="16.5" customHeight="1">
      <c r="A369" s="476"/>
      <c r="B369" s="476"/>
      <c r="C369" s="476"/>
      <c r="D369" s="477"/>
      <c r="E369" s="476"/>
      <c r="F369" s="476"/>
      <c r="G369" s="476"/>
      <c r="H369" s="476"/>
      <c r="I369" s="476"/>
    </row>
    <row r="370" spans="1:9" ht="16.5" customHeight="1">
      <c r="A370" s="476"/>
      <c r="B370" s="476"/>
      <c r="C370" s="476"/>
      <c r="D370" s="477"/>
      <c r="E370" s="476"/>
      <c r="F370" s="476"/>
      <c r="G370" s="476"/>
      <c r="H370" s="476"/>
      <c r="I370" s="476"/>
    </row>
    <row r="371" spans="1:9" ht="16.5" customHeight="1">
      <c r="A371" s="476"/>
      <c r="B371" s="476"/>
      <c r="C371" s="476"/>
      <c r="D371" s="477"/>
      <c r="E371" s="476"/>
      <c r="F371" s="476"/>
      <c r="G371" s="476"/>
      <c r="H371" s="476"/>
      <c r="I371" s="476"/>
    </row>
    <row r="372" spans="1:9" ht="16.5" customHeight="1">
      <c r="A372" s="476"/>
      <c r="B372" s="476"/>
      <c r="C372" s="476"/>
      <c r="D372" s="477"/>
      <c r="E372" s="476"/>
      <c r="F372" s="476"/>
      <c r="G372" s="476"/>
      <c r="H372" s="476"/>
      <c r="I372" s="476"/>
    </row>
    <row r="373" spans="1:9" ht="16.5" customHeight="1">
      <c r="A373" s="476"/>
      <c r="B373" s="476"/>
      <c r="C373" s="476"/>
      <c r="D373" s="477"/>
      <c r="E373" s="476"/>
      <c r="F373" s="476"/>
      <c r="G373" s="476"/>
      <c r="H373" s="476"/>
      <c r="I373" s="476"/>
    </row>
    <row r="374" spans="1:9" ht="16.5" customHeight="1">
      <c r="A374" s="476"/>
      <c r="B374" s="476"/>
      <c r="C374" s="476"/>
      <c r="D374" s="477"/>
      <c r="E374" s="476"/>
      <c r="F374" s="476"/>
      <c r="G374" s="476"/>
      <c r="H374" s="476"/>
      <c r="I374" s="476"/>
    </row>
    <row r="375" spans="1:9" ht="16.5" customHeight="1">
      <c r="A375" s="476"/>
      <c r="B375" s="476"/>
      <c r="C375" s="476"/>
      <c r="D375" s="477"/>
      <c r="E375" s="476"/>
      <c r="F375" s="476"/>
      <c r="G375" s="476"/>
      <c r="H375" s="476"/>
      <c r="I375" s="476"/>
    </row>
    <row r="376" spans="1:9" ht="16.5" customHeight="1">
      <c r="A376" s="476"/>
      <c r="B376" s="476"/>
      <c r="C376" s="476"/>
      <c r="D376" s="477"/>
      <c r="E376" s="476"/>
      <c r="F376" s="476"/>
      <c r="G376" s="476"/>
      <c r="H376" s="476"/>
      <c r="I376" s="476"/>
    </row>
    <row r="377" spans="1:9" ht="16.5" customHeight="1">
      <c r="A377" s="476"/>
      <c r="B377" s="476"/>
      <c r="C377" s="476"/>
      <c r="D377" s="477"/>
      <c r="E377" s="476"/>
      <c r="F377" s="476"/>
      <c r="G377" s="476"/>
      <c r="H377" s="476"/>
      <c r="I377" s="476"/>
    </row>
    <row r="378" spans="1:9" ht="16.5" customHeight="1">
      <c r="A378" s="476"/>
      <c r="B378" s="476"/>
      <c r="C378" s="476"/>
      <c r="D378" s="477"/>
      <c r="E378" s="476"/>
      <c r="F378" s="476"/>
      <c r="G378" s="476"/>
      <c r="H378" s="476"/>
      <c r="I378" s="476"/>
    </row>
    <row r="379" spans="1:9" ht="16.5" customHeight="1">
      <c r="A379" s="476"/>
      <c r="B379" s="476"/>
      <c r="C379" s="476"/>
      <c r="D379" s="477"/>
      <c r="E379" s="476"/>
      <c r="F379" s="476"/>
      <c r="G379" s="476"/>
      <c r="H379" s="476"/>
      <c r="I379" s="476"/>
    </row>
    <row r="380" spans="1:9" ht="16.5" customHeight="1">
      <c r="A380" s="476"/>
      <c r="B380" s="476"/>
      <c r="C380" s="476"/>
      <c r="D380" s="477"/>
      <c r="E380" s="476"/>
      <c r="F380" s="476"/>
      <c r="G380" s="476"/>
      <c r="H380" s="476"/>
      <c r="I380" s="476"/>
    </row>
    <row r="381" spans="1:9" ht="16.5" customHeight="1">
      <c r="A381" s="476"/>
      <c r="B381" s="476"/>
      <c r="C381" s="476"/>
      <c r="D381" s="477"/>
      <c r="E381" s="476"/>
      <c r="F381" s="476"/>
      <c r="G381" s="476"/>
      <c r="H381" s="476"/>
      <c r="I381" s="476"/>
    </row>
    <row r="382" spans="1:9" ht="16.5" customHeight="1">
      <c r="A382" s="476"/>
      <c r="B382" s="476"/>
      <c r="C382" s="476"/>
      <c r="D382" s="477"/>
      <c r="E382" s="476"/>
      <c r="F382" s="476"/>
      <c r="G382" s="476"/>
      <c r="H382" s="476"/>
      <c r="I382" s="476"/>
    </row>
    <row r="383" spans="1:9" ht="16.5" customHeight="1">
      <c r="A383" s="476"/>
      <c r="B383" s="476"/>
      <c r="C383" s="476"/>
      <c r="D383" s="477"/>
      <c r="E383" s="476"/>
      <c r="F383" s="476"/>
      <c r="G383" s="476"/>
      <c r="H383" s="476"/>
      <c r="I383" s="476"/>
    </row>
    <row r="384" spans="1:9" ht="16.5" customHeight="1">
      <c r="A384" s="476"/>
      <c r="B384" s="476"/>
      <c r="C384" s="476"/>
      <c r="D384" s="477"/>
      <c r="E384" s="476"/>
      <c r="F384" s="476"/>
      <c r="G384" s="476"/>
      <c r="H384" s="476"/>
      <c r="I384" s="476"/>
    </row>
    <row r="385" spans="1:9" ht="16.5" customHeight="1">
      <c r="A385" s="476"/>
      <c r="B385" s="476"/>
      <c r="C385" s="476"/>
      <c r="D385" s="477"/>
      <c r="E385" s="476"/>
      <c r="F385" s="476"/>
      <c r="G385" s="476"/>
      <c r="H385" s="476"/>
      <c r="I385" s="476"/>
    </row>
    <row r="386" spans="1:9" ht="16.5" customHeight="1">
      <c r="A386" s="476"/>
      <c r="B386" s="476"/>
      <c r="C386" s="476"/>
      <c r="D386" s="477"/>
      <c r="E386" s="476"/>
      <c r="F386" s="476"/>
      <c r="G386" s="476"/>
      <c r="H386" s="476"/>
      <c r="I386" s="476"/>
    </row>
    <row r="387" spans="1:9" ht="16.5" customHeight="1">
      <c r="A387" s="476"/>
      <c r="B387" s="476"/>
      <c r="C387" s="476"/>
      <c r="D387" s="477"/>
      <c r="E387" s="476"/>
      <c r="F387" s="476"/>
      <c r="G387" s="476"/>
      <c r="H387" s="476"/>
      <c r="I387" s="476"/>
    </row>
    <row r="388" spans="1:9" ht="16.5" customHeight="1">
      <c r="A388" s="476"/>
      <c r="B388" s="476"/>
      <c r="C388" s="476"/>
      <c r="D388" s="477"/>
      <c r="E388" s="476"/>
      <c r="F388" s="476"/>
      <c r="G388" s="476"/>
      <c r="H388" s="476"/>
      <c r="I388" s="476"/>
    </row>
    <row r="389" spans="1:9" ht="16.5" customHeight="1">
      <c r="A389" s="476"/>
      <c r="B389" s="476"/>
      <c r="C389" s="476"/>
      <c r="D389" s="477"/>
      <c r="E389" s="476"/>
      <c r="F389" s="476"/>
      <c r="G389" s="476"/>
      <c r="H389" s="476"/>
      <c r="I389" s="476"/>
    </row>
    <row r="390" spans="1:9" ht="16.5" customHeight="1">
      <c r="A390" s="476"/>
      <c r="B390" s="476"/>
      <c r="C390" s="476"/>
      <c r="D390" s="477"/>
      <c r="E390" s="476"/>
      <c r="F390" s="476"/>
      <c r="G390" s="476"/>
      <c r="H390" s="476"/>
      <c r="I390" s="476"/>
    </row>
    <row r="391" spans="1:9" ht="16.5" customHeight="1">
      <c r="A391" s="476"/>
      <c r="B391" s="476"/>
      <c r="C391" s="476"/>
      <c r="D391" s="477"/>
      <c r="E391" s="476"/>
      <c r="F391" s="476"/>
      <c r="G391" s="476"/>
      <c r="H391" s="476"/>
      <c r="I391" s="476"/>
    </row>
    <row r="392" spans="1:9" ht="16.5" customHeight="1">
      <c r="A392" s="476"/>
      <c r="B392" s="476"/>
      <c r="C392" s="476"/>
      <c r="D392" s="477"/>
      <c r="E392" s="476"/>
      <c r="F392" s="476"/>
      <c r="G392" s="476"/>
      <c r="H392" s="476"/>
      <c r="I392" s="476"/>
    </row>
    <row r="393" spans="1:9" ht="16.5" customHeight="1">
      <c r="A393" s="476"/>
      <c r="B393" s="476"/>
      <c r="C393" s="476"/>
      <c r="D393" s="477"/>
      <c r="E393" s="476"/>
      <c r="F393" s="476"/>
      <c r="G393" s="476"/>
      <c r="H393" s="476"/>
      <c r="I393" s="476"/>
    </row>
    <row r="394" spans="1:9" ht="16.5" customHeight="1">
      <c r="A394" s="476"/>
      <c r="B394" s="476"/>
      <c r="C394" s="476"/>
      <c r="D394" s="477"/>
      <c r="E394" s="476"/>
      <c r="F394" s="476"/>
      <c r="G394" s="476"/>
      <c r="H394" s="476"/>
      <c r="I394" s="476"/>
    </row>
    <row r="395" spans="1:9" ht="16.5" customHeight="1">
      <c r="A395" s="476"/>
      <c r="B395" s="476"/>
      <c r="C395" s="476"/>
      <c r="D395" s="477"/>
      <c r="E395" s="476"/>
      <c r="F395" s="476"/>
      <c r="G395" s="476"/>
      <c r="H395" s="476"/>
      <c r="I395" s="476"/>
    </row>
    <row r="396" spans="1:9" ht="16.5" customHeight="1">
      <c r="A396" s="476"/>
      <c r="B396" s="476"/>
      <c r="C396" s="476"/>
      <c r="D396" s="477"/>
      <c r="E396" s="476"/>
      <c r="F396" s="476"/>
      <c r="G396" s="476"/>
      <c r="H396" s="476"/>
      <c r="I396" s="476"/>
    </row>
    <row r="397" spans="1:9" ht="16.5" customHeight="1">
      <c r="A397" s="476"/>
      <c r="B397" s="476"/>
      <c r="C397" s="476"/>
      <c r="D397" s="477"/>
      <c r="E397" s="476"/>
      <c r="F397" s="476"/>
      <c r="G397" s="476"/>
      <c r="H397" s="476"/>
      <c r="I397" s="476"/>
    </row>
    <row r="398" spans="1:9" ht="16.5" customHeight="1">
      <c r="A398" s="476"/>
      <c r="B398" s="476"/>
      <c r="C398" s="476"/>
      <c r="D398" s="477"/>
      <c r="E398" s="476"/>
      <c r="F398" s="476"/>
      <c r="G398" s="476"/>
      <c r="H398" s="476"/>
      <c r="I398" s="476"/>
    </row>
    <row r="399" spans="1:9" ht="16.5" customHeight="1">
      <c r="A399" s="476"/>
      <c r="B399" s="476"/>
      <c r="C399" s="476"/>
      <c r="D399" s="477"/>
      <c r="E399" s="476"/>
      <c r="F399" s="476"/>
      <c r="G399" s="476"/>
      <c r="H399" s="476"/>
      <c r="I399" s="476"/>
    </row>
    <row r="400" spans="1:9" ht="16.5" customHeight="1">
      <c r="A400" s="476"/>
      <c r="B400" s="476"/>
      <c r="C400" s="476"/>
      <c r="D400" s="477"/>
      <c r="E400" s="476"/>
      <c r="F400" s="476"/>
      <c r="G400" s="476"/>
      <c r="H400" s="476"/>
      <c r="I400" s="476"/>
    </row>
    <row r="401" spans="1:9" ht="16.5" customHeight="1">
      <c r="A401" s="476"/>
      <c r="B401" s="476"/>
      <c r="C401" s="476"/>
      <c r="D401" s="477"/>
      <c r="E401" s="476"/>
      <c r="F401" s="476"/>
      <c r="G401" s="476"/>
      <c r="H401" s="476"/>
      <c r="I401" s="476"/>
    </row>
    <row r="402" spans="1:9" ht="16.5" customHeight="1">
      <c r="A402" s="476"/>
      <c r="B402" s="476"/>
      <c r="C402" s="476"/>
      <c r="D402" s="477"/>
      <c r="E402" s="476"/>
      <c r="F402" s="476"/>
      <c r="G402" s="476"/>
      <c r="H402" s="476"/>
      <c r="I402" s="476"/>
    </row>
    <row r="403" spans="1:9" ht="16.5" customHeight="1">
      <c r="A403" s="476"/>
      <c r="B403" s="476"/>
      <c r="C403" s="476"/>
      <c r="D403" s="477"/>
      <c r="E403" s="476"/>
      <c r="F403" s="476"/>
      <c r="G403" s="476"/>
      <c r="H403" s="476"/>
      <c r="I403" s="476"/>
    </row>
    <row r="404" spans="1:9" ht="16.5" customHeight="1">
      <c r="A404" s="476"/>
      <c r="B404" s="476"/>
      <c r="C404" s="476"/>
      <c r="D404" s="477"/>
      <c r="E404" s="476"/>
      <c r="F404" s="476"/>
      <c r="G404" s="476"/>
      <c r="H404" s="476"/>
      <c r="I404" s="476"/>
    </row>
    <row r="405" spans="1:9" ht="16.5" customHeight="1">
      <c r="A405" s="476"/>
      <c r="B405" s="476"/>
      <c r="C405" s="476"/>
      <c r="D405" s="477"/>
      <c r="E405" s="476"/>
      <c r="F405" s="476"/>
      <c r="G405" s="476"/>
      <c r="H405" s="476"/>
      <c r="I405" s="476"/>
    </row>
    <row r="406" spans="1:9" ht="16.5" customHeight="1">
      <c r="A406" s="476"/>
      <c r="B406" s="476"/>
      <c r="C406" s="476"/>
      <c r="D406" s="477"/>
      <c r="E406" s="476"/>
      <c r="F406" s="476"/>
      <c r="G406" s="476"/>
      <c r="H406" s="476"/>
      <c r="I406" s="476"/>
    </row>
    <row r="407" spans="1:9" ht="16.5" customHeight="1">
      <c r="A407" s="476"/>
      <c r="B407" s="476"/>
      <c r="C407" s="476"/>
      <c r="D407" s="477"/>
      <c r="E407" s="476"/>
      <c r="F407" s="476"/>
      <c r="G407" s="476"/>
      <c r="H407" s="476"/>
      <c r="I407" s="476"/>
    </row>
    <row r="408" spans="1:9" ht="16.5" customHeight="1">
      <c r="A408" s="476"/>
      <c r="B408" s="476"/>
      <c r="C408" s="476"/>
      <c r="D408" s="477"/>
      <c r="E408" s="476"/>
      <c r="F408" s="476"/>
      <c r="G408" s="476"/>
      <c r="H408" s="476"/>
      <c r="I408" s="476"/>
    </row>
    <row r="409" spans="1:9" ht="16.5" customHeight="1">
      <c r="A409" s="476"/>
      <c r="B409" s="476"/>
      <c r="C409" s="476"/>
      <c r="D409" s="477"/>
      <c r="E409" s="476"/>
      <c r="F409" s="476"/>
      <c r="G409" s="476"/>
      <c r="H409" s="476"/>
      <c r="I409" s="476"/>
    </row>
    <row r="410" spans="1:9" ht="16.5" customHeight="1">
      <c r="A410" s="476"/>
      <c r="B410" s="476"/>
      <c r="C410" s="476"/>
      <c r="D410" s="477"/>
      <c r="E410" s="476"/>
      <c r="F410" s="476"/>
      <c r="G410" s="476"/>
      <c r="H410" s="476"/>
      <c r="I410" s="476"/>
    </row>
    <row r="411" spans="1:9" ht="16.5" customHeight="1">
      <c r="A411" s="476"/>
      <c r="B411" s="476"/>
      <c r="C411" s="476"/>
      <c r="D411" s="477"/>
      <c r="E411" s="476"/>
      <c r="F411" s="476"/>
      <c r="G411" s="476"/>
      <c r="H411" s="476"/>
      <c r="I411" s="476"/>
    </row>
    <row r="412" spans="1:9" ht="16.5" customHeight="1">
      <c r="A412" s="476"/>
      <c r="B412" s="476"/>
      <c r="C412" s="476"/>
      <c r="D412" s="477"/>
      <c r="E412" s="476"/>
      <c r="F412" s="476"/>
      <c r="G412" s="476"/>
      <c r="H412" s="476"/>
      <c r="I412" s="476"/>
    </row>
    <row r="413" spans="1:9" ht="16.5" customHeight="1">
      <c r="A413" s="476"/>
      <c r="B413" s="476"/>
      <c r="C413" s="476"/>
      <c r="D413" s="477"/>
      <c r="E413" s="476"/>
      <c r="F413" s="476"/>
      <c r="G413" s="476"/>
      <c r="H413" s="476"/>
      <c r="I413" s="476"/>
    </row>
    <row r="414" spans="1:9" ht="16.5" customHeight="1">
      <c r="A414" s="476"/>
      <c r="B414" s="476"/>
      <c r="C414" s="476"/>
      <c r="D414" s="477"/>
      <c r="E414" s="476"/>
      <c r="F414" s="476"/>
      <c r="G414" s="476"/>
      <c r="H414" s="476"/>
      <c r="I414" s="476"/>
    </row>
    <row r="415" spans="1:9" ht="16.5" customHeight="1">
      <c r="A415" s="476"/>
      <c r="B415" s="476"/>
      <c r="C415" s="476"/>
      <c r="D415" s="477"/>
      <c r="E415" s="476"/>
      <c r="F415" s="476"/>
      <c r="G415" s="476"/>
      <c r="H415" s="476"/>
      <c r="I415" s="476"/>
    </row>
    <row r="416" spans="1:9" ht="16.5" customHeight="1">
      <c r="A416" s="476"/>
      <c r="B416" s="476"/>
      <c r="C416" s="476"/>
      <c r="D416" s="477"/>
      <c r="E416" s="476"/>
      <c r="F416" s="476"/>
      <c r="G416" s="476"/>
      <c r="H416" s="476"/>
      <c r="I416" s="476"/>
    </row>
    <row r="417" spans="1:9" ht="16.5" customHeight="1">
      <c r="A417" s="476"/>
      <c r="B417" s="476"/>
      <c r="C417" s="476"/>
      <c r="D417" s="477"/>
      <c r="E417" s="476"/>
      <c r="F417" s="476"/>
      <c r="G417" s="476"/>
      <c r="H417" s="476"/>
      <c r="I417" s="476"/>
    </row>
    <row r="418" spans="1:9" ht="16.5" customHeight="1">
      <c r="A418" s="476"/>
      <c r="B418" s="476"/>
      <c r="C418" s="476"/>
      <c r="D418" s="477"/>
      <c r="E418" s="476"/>
      <c r="F418" s="476"/>
      <c r="G418" s="476"/>
      <c r="H418" s="476"/>
      <c r="I418" s="476"/>
    </row>
    <row r="419" spans="1:9" ht="16.5" customHeight="1">
      <c r="A419" s="476"/>
      <c r="B419" s="476"/>
      <c r="C419" s="476"/>
      <c r="D419" s="477"/>
      <c r="E419" s="476"/>
      <c r="F419" s="476"/>
      <c r="G419" s="476"/>
      <c r="H419" s="476"/>
      <c r="I419" s="476"/>
    </row>
    <row r="420" spans="1:9" ht="16.5" customHeight="1">
      <c r="A420" s="476"/>
      <c r="B420" s="476"/>
      <c r="C420" s="476"/>
      <c r="D420" s="477"/>
      <c r="E420" s="476"/>
      <c r="F420" s="476"/>
      <c r="G420" s="476"/>
      <c r="H420" s="476"/>
      <c r="I420" s="476"/>
    </row>
    <row r="421" spans="1:9" ht="16.5" customHeight="1">
      <c r="A421" s="476"/>
      <c r="B421" s="476"/>
      <c r="C421" s="476"/>
      <c r="D421" s="477"/>
      <c r="E421" s="476"/>
      <c r="F421" s="476"/>
      <c r="G421" s="476"/>
      <c r="H421" s="476"/>
      <c r="I421" s="476"/>
    </row>
    <row r="422" spans="1:9" ht="16.5" customHeight="1">
      <c r="A422" s="476"/>
      <c r="B422" s="476"/>
      <c r="C422" s="476"/>
      <c r="D422" s="477"/>
      <c r="E422" s="476"/>
      <c r="F422" s="476"/>
      <c r="G422" s="476"/>
      <c r="H422" s="476"/>
      <c r="I422" s="476"/>
    </row>
    <row r="423" spans="1:9" ht="16.5" customHeight="1">
      <c r="A423" s="476"/>
      <c r="B423" s="476"/>
      <c r="C423" s="476"/>
      <c r="D423" s="477"/>
      <c r="E423" s="476"/>
      <c r="F423" s="476"/>
      <c r="G423" s="476"/>
      <c r="H423" s="476"/>
      <c r="I423" s="476"/>
    </row>
    <row r="424" spans="1:9" ht="16.5" customHeight="1">
      <c r="A424" s="476"/>
      <c r="B424" s="476"/>
      <c r="C424" s="476"/>
      <c r="D424" s="477"/>
      <c r="E424" s="476"/>
      <c r="F424" s="476"/>
      <c r="G424" s="476"/>
      <c r="H424" s="476"/>
      <c r="I424" s="476"/>
    </row>
    <row r="425" spans="1:9" ht="16.5" customHeight="1">
      <c r="A425" s="476"/>
      <c r="B425" s="476"/>
      <c r="C425" s="476"/>
      <c r="D425" s="477"/>
      <c r="E425" s="476"/>
      <c r="F425" s="476"/>
      <c r="G425" s="476"/>
      <c r="H425" s="476"/>
      <c r="I425" s="476"/>
    </row>
    <row r="426" spans="1:9" ht="16.5" customHeight="1">
      <c r="A426" s="476"/>
      <c r="B426" s="476"/>
      <c r="C426" s="476"/>
      <c r="D426" s="477"/>
      <c r="E426" s="476"/>
      <c r="F426" s="476"/>
      <c r="G426" s="476"/>
      <c r="H426" s="476"/>
      <c r="I426" s="476"/>
    </row>
    <row r="427" spans="1:9" ht="16.5" customHeight="1">
      <c r="A427" s="476"/>
      <c r="B427" s="476"/>
      <c r="C427" s="476"/>
      <c r="D427" s="477"/>
      <c r="E427" s="476"/>
      <c r="F427" s="476"/>
      <c r="G427" s="476"/>
      <c r="H427" s="476"/>
      <c r="I427" s="476"/>
    </row>
    <row r="428" spans="1:9" ht="16.5" customHeight="1">
      <c r="A428" s="476"/>
      <c r="B428" s="476"/>
      <c r="C428" s="476"/>
      <c r="D428" s="477"/>
      <c r="E428" s="476"/>
      <c r="F428" s="476"/>
      <c r="G428" s="476"/>
      <c r="H428" s="476"/>
      <c r="I428" s="476"/>
    </row>
    <row r="429" spans="1:9" ht="16.5" customHeight="1">
      <c r="A429" s="476"/>
      <c r="B429" s="476"/>
      <c r="C429" s="476"/>
      <c r="D429" s="477"/>
      <c r="E429" s="476"/>
      <c r="F429" s="476"/>
      <c r="G429" s="476"/>
      <c r="H429" s="476"/>
      <c r="I429" s="476"/>
    </row>
    <row r="430" spans="1:9" ht="16.5" customHeight="1">
      <c r="A430" s="476"/>
      <c r="B430" s="476"/>
      <c r="C430" s="476"/>
      <c r="D430" s="477"/>
      <c r="E430" s="476"/>
      <c r="F430" s="476"/>
      <c r="G430" s="476"/>
      <c r="H430" s="476"/>
      <c r="I430" s="476"/>
    </row>
    <row r="431" spans="1:9" ht="16.5" customHeight="1">
      <c r="A431" s="476"/>
      <c r="B431" s="476"/>
      <c r="C431" s="476"/>
      <c r="D431" s="477"/>
      <c r="E431" s="476"/>
      <c r="F431" s="476"/>
      <c r="G431" s="476"/>
      <c r="H431" s="476"/>
      <c r="I431" s="476"/>
    </row>
    <row r="432" spans="1:9" ht="16.5" customHeight="1">
      <c r="A432" s="476"/>
      <c r="B432" s="476"/>
      <c r="C432" s="476"/>
      <c r="D432" s="477"/>
      <c r="E432" s="476"/>
      <c r="F432" s="476"/>
      <c r="G432" s="476"/>
      <c r="H432" s="476"/>
      <c r="I432" s="476"/>
    </row>
    <row r="433" spans="1:9" ht="16.5" customHeight="1">
      <c r="A433" s="476"/>
      <c r="B433" s="476"/>
      <c r="C433" s="476"/>
      <c r="D433" s="477"/>
      <c r="E433" s="476"/>
      <c r="F433" s="476"/>
      <c r="G433" s="476"/>
      <c r="H433" s="476"/>
      <c r="I433" s="476"/>
    </row>
    <row r="434" spans="1:9" ht="16.5" customHeight="1">
      <c r="A434" s="476"/>
      <c r="B434" s="476"/>
      <c r="C434" s="476"/>
      <c r="D434" s="477"/>
      <c r="E434" s="476"/>
      <c r="F434" s="476"/>
      <c r="G434" s="476"/>
      <c r="H434" s="476"/>
      <c r="I434" s="476"/>
    </row>
    <row r="435" spans="1:9" ht="16.5" customHeight="1">
      <c r="A435" s="476"/>
      <c r="B435" s="476"/>
      <c r="C435" s="476"/>
      <c r="D435" s="477"/>
      <c r="E435" s="476"/>
      <c r="F435" s="476"/>
      <c r="G435" s="476"/>
      <c r="H435" s="476"/>
      <c r="I435" s="476"/>
    </row>
    <row r="436" spans="1:9" ht="16.5" customHeight="1">
      <c r="A436" s="476"/>
      <c r="B436" s="476"/>
      <c r="C436" s="476"/>
      <c r="D436" s="477"/>
      <c r="E436" s="476"/>
      <c r="F436" s="476"/>
      <c r="G436" s="476"/>
      <c r="H436" s="476"/>
      <c r="I436" s="476"/>
    </row>
    <row r="437" spans="1:9" ht="16.5" customHeight="1">
      <c r="A437" s="476"/>
      <c r="B437" s="476"/>
      <c r="C437" s="476"/>
      <c r="D437" s="477"/>
      <c r="E437" s="476"/>
      <c r="F437" s="476"/>
      <c r="G437" s="476"/>
      <c r="H437" s="476"/>
      <c r="I437" s="476"/>
    </row>
    <row r="438" spans="1:9" ht="16.5" customHeight="1">
      <c r="A438" s="476"/>
      <c r="B438" s="476"/>
      <c r="C438" s="476"/>
      <c r="D438" s="477"/>
      <c r="E438" s="476"/>
      <c r="F438" s="476"/>
      <c r="G438" s="476"/>
      <c r="H438" s="476"/>
      <c r="I438" s="476"/>
    </row>
    <row r="439" spans="1:9" ht="16.5" customHeight="1">
      <c r="A439" s="476"/>
      <c r="B439" s="476"/>
      <c r="C439" s="476"/>
      <c r="D439" s="477"/>
      <c r="E439" s="476"/>
      <c r="F439" s="476"/>
      <c r="G439" s="476"/>
      <c r="H439" s="476"/>
      <c r="I439" s="476"/>
    </row>
    <row r="440" spans="1:9" ht="16.5" customHeight="1">
      <c r="A440" s="476"/>
      <c r="B440" s="476"/>
      <c r="C440" s="476"/>
      <c r="D440" s="477"/>
      <c r="E440" s="476"/>
      <c r="F440" s="476"/>
      <c r="G440" s="476"/>
      <c r="H440" s="476"/>
      <c r="I440" s="476"/>
    </row>
    <row r="441" spans="1:9" ht="16.5" customHeight="1">
      <c r="A441" s="476"/>
      <c r="B441" s="476"/>
      <c r="C441" s="476"/>
      <c r="D441" s="477"/>
      <c r="E441" s="476"/>
      <c r="F441" s="476"/>
      <c r="G441" s="476"/>
      <c r="H441" s="476"/>
      <c r="I441" s="476"/>
    </row>
    <row r="442" spans="1:9" ht="16.5" customHeight="1">
      <c r="A442" s="476"/>
      <c r="B442" s="476"/>
      <c r="C442" s="476"/>
      <c r="D442" s="477"/>
      <c r="E442" s="476"/>
      <c r="F442" s="476"/>
      <c r="G442" s="476"/>
      <c r="H442" s="476"/>
      <c r="I442" s="476"/>
    </row>
    <row r="443" spans="1:9" ht="16.5" customHeight="1">
      <c r="A443" s="476"/>
      <c r="B443" s="476"/>
      <c r="C443" s="476"/>
      <c r="D443" s="477"/>
      <c r="E443" s="476"/>
      <c r="F443" s="476"/>
      <c r="G443" s="476"/>
      <c r="H443" s="476"/>
      <c r="I443" s="476"/>
    </row>
    <row r="444" spans="1:9" ht="16.5" customHeight="1">
      <c r="A444" s="476"/>
      <c r="B444" s="476"/>
      <c r="C444" s="476"/>
      <c r="D444" s="477"/>
      <c r="E444" s="476"/>
      <c r="F444" s="476"/>
      <c r="G444" s="476"/>
      <c r="H444" s="476"/>
      <c r="I444" s="476"/>
    </row>
    <row r="445" spans="1:9" ht="16.5" customHeight="1">
      <c r="A445" s="476"/>
      <c r="B445" s="476"/>
      <c r="C445" s="476"/>
      <c r="D445" s="477"/>
      <c r="E445" s="476"/>
      <c r="F445" s="476"/>
      <c r="G445" s="476"/>
      <c r="H445" s="476"/>
      <c r="I445" s="476"/>
    </row>
    <row r="446" spans="1:9" ht="16.5" customHeight="1">
      <c r="A446" s="476"/>
      <c r="B446" s="476"/>
      <c r="C446" s="476"/>
      <c r="D446" s="477"/>
      <c r="E446" s="476"/>
      <c r="F446" s="476"/>
      <c r="G446" s="476"/>
      <c r="H446" s="476"/>
      <c r="I446" s="476"/>
    </row>
    <row r="447" spans="1:9" ht="16.5" customHeight="1">
      <c r="A447" s="476"/>
      <c r="B447" s="476"/>
      <c r="C447" s="476"/>
      <c r="D447" s="477"/>
      <c r="E447" s="476"/>
      <c r="F447" s="476"/>
      <c r="G447" s="476"/>
      <c r="H447" s="476"/>
      <c r="I447" s="476"/>
    </row>
    <row r="448" spans="1:9" ht="16.5" customHeight="1">
      <c r="A448" s="476"/>
      <c r="B448" s="476"/>
      <c r="C448" s="476"/>
      <c r="D448" s="477"/>
      <c r="E448" s="476"/>
      <c r="F448" s="476"/>
      <c r="G448" s="476"/>
      <c r="H448" s="476"/>
      <c r="I448" s="476"/>
    </row>
    <row r="449" spans="1:9" ht="16.5" customHeight="1">
      <c r="A449" s="476"/>
      <c r="B449" s="476"/>
      <c r="C449" s="476"/>
      <c r="D449" s="477"/>
      <c r="E449" s="476"/>
      <c r="F449" s="476"/>
      <c r="G449" s="476"/>
      <c r="H449" s="476"/>
      <c r="I449" s="476"/>
    </row>
    <row r="450" spans="1:9" ht="16.5" customHeight="1">
      <c r="A450" s="476"/>
      <c r="B450" s="476"/>
      <c r="C450" s="476"/>
      <c r="D450" s="477"/>
      <c r="E450" s="476"/>
      <c r="F450" s="476"/>
      <c r="G450" s="476"/>
      <c r="H450" s="476"/>
      <c r="I450" s="476"/>
    </row>
    <row r="451" spans="1:9" ht="16.5" customHeight="1">
      <c r="A451" s="476"/>
      <c r="B451" s="476"/>
      <c r="C451" s="476"/>
      <c r="D451" s="477"/>
      <c r="E451" s="476"/>
      <c r="F451" s="476"/>
      <c r="G451" s="476"/>
      <c r="H451" s="476"/>
      <c r="I451" s="476"/>
    </row>
    <row r="452" spans="1:9" ht="16.5" customHeight="1">
      <c r="A452" s="476"/>
      <c r="B452" s="476"/>
      <c r="C452" s="476"/>
      <c r="D452" s="477"/>
      <c r="E452" s="476"/>
      <c r="F452" s="476"/>
      <c r="G452" s="476"/>
      <c r="H452" s="476"/>
      <c r="I452" s="476"/>
    </row>
    <row r="453" spans="1:9" ht="16.5" customHeight="1">
      <c r="A453" s="476"/>
      <c r="B453" s="476"/>
      <c r="C453" s="476"/>
      <c r="D453" s="477"/>
      <c r="E453" s="476"/>
      <c r="F453" s="476"/>
      <c r="G453" s="476"/>
      <c r="H453" s="476"/>
      <c r="I453" s="476"/>
    </row>
    <row r="454" spans="1:9" ht="16.5" customHeight="1">
      <c r="A454" s="476"/>
      <c r="B454" s="476"/>
      <c r="C454" s="476"/>
      <c r="D454" s="477"/>
      <c r="E454" s="476"/>
      <c r="F454" s="476"/>
      <c r="G454" s="476"/>
      <c r="H454" s="476"/>
      <c r="I454" s="476"/>
    </row>
    <row r="455" spans="1:9" ht="16.5" customHeight="1">
      <c r="A455" s="476"/>
      <c r="B455" s="476"/>
      <c r="C455" s="476"/>
      <c r="D455" s="477"/>
      <c r="E455" s="476"/>
      <c r="F455" s="476"/>
      <c r="G455" s="476"/>
      <c r="H455" s="476"/>
      <c r="I455" s="476"/>
    </row>
    <row r="456" spans="1:9" ht="16.5" customHeight="1">
      <c r="A456" s="476"/>
      <c r="B456" s="476"/>
      <c r="C456" s="476"/>
      <c r="D456" s="477"/>
      <c r="E456" s="476"/>
      <c r="F456" s="476"/>
      <c r="G456" s="476"/>
      <c r="H456" s="476"/>
      <c r="I456" s="476"/>
    </row>
    <row r="457" spans="1:9" ht="16.5" customHeight="1">
      <c r="A457" s="476"/>
      <c r="B457" s="476"/>
      <c r="C457" s="476"/>
      <c r="D457" s="477"/>
      <c r="E457" s="476"/>
      <c r="F457" s="476"/>
      <c r="G457" s="476"/>
      <c r="H457" s="476"/>
      <c r="I457" s="476"/>
    </row>
    <row r="458" spans="1:9" ht="16.5" customHeight="1">
      <c r="A458" s="476"/>
      <c r="B458" s="476"/>
      <c r="C458" s="476"/>
      <c r="D458" s="477"/>
      <c r="E458" s="476"/>
      <c r="F458" s="476"/>
      <c r="G458" s="476"/>
      <c r="H458" s="476"/>
      <c r="I458" s="476"/>
    </row>
    <row r="459" spans="1:9" ht="16.5" customHeight="1">
      <c r="A459" s="476"/>
      <c r="B459" s="476"/>
      <c r="C459" s="476"/>
      <c r="D459" s="477"/>
      <c r="E459" s="476"/>
      <c r="F459" s="476"/>
      <c r="G459" s="476"/>
      <c r="H459" s="476"/>
      <c r="I459" s="476"/>
    </row>
    <row r="460" spans="1:9" ht="16.5" customHeight="1">
      <c r="A460" s="476"/>
      <c r="B460" s="476"/>
      <c r="C460" s="476"/>
      <c r="D460" s="477"/>
      <c r="E460" s="476"/>
      <c r="F460" s="476"/>
      <c r="G460" s="476"/>
      <c r="H460" s="476"/>
      <c r="I460" s="476"/>
    </row>
    <row r="461" spans="1:9" ht="16.5" customHeight="1">
      <c r="A461" s="476"/>
      <c r="B461" s="476"/>
      <c r="C461" s="476"/>
      <c r="D461" s="477"/>
      <c r="E461" s="476"/>
      <c r="F461" s="476"/>
      <c r="G461" s="476"/>
      <c r="H461" s="476"/>
      <c r="I461" s="476"/>
    </row>
    <row r="462" spans="1:9" ht="16.5" customHeight="1">
      <c r="A462" s="476"/>
      <c r="B462" s="476"/>
      <c r="C462" s="476"/>
      <c r="D462" s="477"/>
      <c r="E462" s="476"/>
      <c r="F462" s="476"/>
      <c r="G462" s="476"/>
      <c r="H462" s="476"/>
      <c r="I462" s="476"/>
    </row>
    <row r="463" spans="1:9" ht="16.5" customHeight="1">
      <c r="A463" s="476"/>
      <c r="B463" s="476"/>
      <c r="C463" s="476"/>
      <c r="D463" s="477"/>
      <c r="E463" s="476"/>
      <c r="F463" s="476"/>
      <c r="G463" s="476"/>
      <c r="H463" s="476"/>
      <c r="I463" s="476"/>
    </row>
    <row r="464" spans="1:9" ht="16.5" customHeight="1">
      <c r="A464" s="476"/>
      <c r="B464" s="476"/>
      <c r="C464" s="476"/>
      <c r="D464" s="477"/>
      <c r="E464" s="476"/>
      <c r="F464" s="476"/>
      <c r="G464" s="476"/>
      <c r="H464" s="476"/>
      <c r="I464" s="476"/>
    </row>
    <row r="465" spans="1:9" ht="16.5" customHeight="1">
      <c r="A465" s="476"/>
      <c r="B465" s="476"/>
      <c r="C465" s="476"/>
      <c r="D465" s="477"/>
      <c r="E465" s="476"/>
      <c r="F465" s="476"/>
      <c r="G465" s="476"/>
      <c r="H465" s="476"/>
      <c r="I465" s="476"/>
    </row>
    <row r="466" spans="1:9" ht="16.5" customHeight="1">
      <c r="A466" s="476"/>
      <c r="B466" s="476"/>
      <c r="C466" s="476"/>
      <c r="D466" s="477"/>
      <c r="E466" s="476"/>
      <c r="F466" s="476"/>
      <c r="G466" s="476"/>
      <c r="H466" s="476"/>
      <c r="I466" s="476"/>
    </row>
    <row r="467" spans="1:9" ht="16.5" customHeight="1">
      <c r="A467" s="476"/>
      <c r="B467" s="476"/>
      <c r="C467" s="476"/>
      <c r="D467" s="477"/>
      <c r="E467" s="476"/>
      <c r="F467" s="476"/>
      <c r="G467" s="476"/>
      <c r="H467" s="476"/>
      <c r="I467" s="476"/>
    </row>
    <row r="468" spans="1:9" ht="16.5" customHeight="1">
      <c r="A468" s="476"/>
      <c r="B468" s="476"/>
      <c r="C468" s="476"/>
      <c r="D468" s="477"/>
      <c r="E468" s="476"/>
      <c r="F468" s="476"/>
      <c r="G468" s="476"/>
      <c r="H468" s="476"/>
      <c r="I468" s="476"/>
    </row>
    <row r="469" spans="1:9" ht="16.5" customHeight="1">
      <c r="A469" s="476"/>
      <c r="B469" s="476"/>
      <c r="C469" s="476"/>
      <c r="D469" s="477"/>
      <c r="E469" s="476"/>
      <c r="F469" s="476"/>
      <c r="G469" s="476"/>
      <c r="H469" s="476"/>
      <c r="I469" s="476"/>
    </row>
    <row r="470" spans="1:9" ht="16.5" customHeight="1">
      <c r="A470" s="476"/>
      <c r="B470" s="476"/>
      <c r="C470" s="476"/>
      <c r="D470" s="477"/>
      <c r="E470" s="476"/>
      <c r="F470" s="476"/>
      <c r="G470" s="476"/>
      <c r="H470" s="476"/>
      <c r="I470" s="476"/>
    </row>
    <row r="471" spans="1:9" ht="16.5" customHeight="1">
      <c r="A471" s="476"/>
      <c r="B471" s="476"/>
      <c r="C471" s="476"/>
      <c r="D471" s="477"/>
      <c r="E471" s="476"/>
      <c r="F471" s="476"/>
      <c r="G471" s="476"/>
      <c r="H471" s="476"/>
      <c r="I471" s="476"/>
    </row>
    <row r="472" spans="1:9" ht="16.5" customHeight="1">
      <c r="A472" s="476"/>
      <c r="B472" s="476"/>
      <c r="C472" s="476"/>
      <c r="D472" s="477"/>
      <c r="E472" s="476"/>
      <c r="F472" s="476"/>
      <c r="G472" s="476"/>
      <c r="H472" s="476"/>
      <c r="I472" s="476"/>
    </row>
    <row r="473" spans="1:9" ht="16.5" customHeight="1">
      <c r="A473" s="476"/>
      <c r="B473" s="476"/>
      <c r="C473" s="476"/>
      <c r="D473" s="477"/>
      <c r="E473" s="476"/>
      <c r="F473" s="476"/>
      <c r="G473" s="476"/>
      <c r="H473" s="476"/>
      <c r="I473" s="476"/>
    </row>
    <row r="474" spans="1:9" ht="16.5" customHeight="1">
      <c r="A474" s="476"/>
      <c r="B474" s="476"/>
      <c r="C474" s="476"/>
      <c r="D474" s="477"/>
      <c r="E474" s="476"/>
      <c r="F474" s="476"/>
      <c r="G474" s="476"/>
      <c r="H474" s="476"/>
      <c r="I474" s="476"/>
    </row>
    <row r="475" spans="1:9" ht="16.5" customHeight="1">
      <c r="A475" s="476"/>
      <c r="B475" s="476"/>
      <c r="C475" s="476"/>
      <c r="D475" s="477"/>
      <c r="E475" s="476"/>
      <c r="F475" s="476"/>
      <c r="G475" s="476"/>
      <c r="H475" s="476"/>
      <c r="I475" s="476"/>
    </row>
    <row r="476" spans="1:9" ht="16.5" customHeight="1">
      <c r="A476" s="476"/>
      <c r="B476" s="476"/>
      <c r="C476" s="476"/>
      <c r="D476" s="477"/>
      <c r="E476" s="476"/>
      <c r="F476" s="476"/>
      <c r="G476" s="476"/>
      <c r="H476" s="476"/>
      <c r="I476" s="476"/>
    </row>
    <row r="477" spans="1:9" ht="16.5" customHeight="1">
      <c r="A477" s="476"/>
      <c r="B477" s="476"/>
      <c r="C477" s="476"/>
      <c r="D477" s="477"/>
      <c r="E477" s="476"/>
      <c r="F477" s="476"/>
      <c r="G477" s="476"/>
      <c r="H477" s="476"/>
      <c r="I477" s="476"/>
    </row>
    <row r="478" spans="1:9" ht="16.5" customHeight="1">
      <c r="A478" s="476"/>
      <c r="B478" s="476"/>
      <c r="C478" s="476"/>
      <c r="D478" s="477"/>
      <c r="E478" s="476"/>
      <c r="F478" s="476"/>
      <c r="G478" s="476"/>
      <c r="H478" s="476"/>
      <c r="I478" s="476"/>
    </row>
    <row r="479" spans="1:9" ht="16.5" customHeight="1">
      <c r="A479" s="476"/>
      <c r="B479" s="476"/>
      <c r="C479" s="476"/>
      <c r="D479" s="477"/>
      <c r="E479" s="476"/>
      <c r="F479" s="476"/>
      <c r="G479" s="476"/>
      <c r="H479" s="476"/>
      <c r="I479" s="476"/>
    </row>
    <row r="480" spans="1:9" ht="16.5" customHeight="1">
      <c r="A480" s="476"/>
      <c r="B480" s="476"/>
      <c r="C480" s="476"/>
      <c r="D480" s="477"/>
      <c r="E480" s="476"/>
      <c r="F480" s="476"/>
      <c r="G480" s="476"/>
      <c r="H480" s="476"/>
      <c r="I480" s="476"/>
    </row>
    <row r="481" spans="1:9" ht="16.5" customHeight="1">
      <c r="A481" s="476"/>
      <c r="B481" s="476"/>
      <c r="C481" s="476"/>
      <c r="D481" s="477"/>
      <c r="E481" s="476"/>
      <c r="F481" s="476"/>
      <c r="G481" s="476"/>
      <c r="H481" s="476"/>
      <c r="I481" s="476"/>
    </row>
    <row r="482" spans="1:9" ht="16.5" customHeight="1">
      <c r="A482" s="476"/>
      <c r="B482" s="476"/>
      <c r="C482" s="476"/>
      <c r="D482" s="477"/>
      <c r="E482" s="476"/>
      <c r="F482" s="476"/>
      <c r="G482" s="476"/>
      <c r="H482" s="476"/>
      <c r="I482" s="476"/>
    </row>
    <row r="483" spans="1:9" ht="16.5" customHeight="1">
      <c r="A483" s="476"/>
      <c r="B483" s="476"/>
      <c r="C483" s="476"/>
      <c r="D483" s="477"/>
      <c r="E483" s="476"/>
      <c r="F483" s="476"/>
      <c r="G483" s="476"/>
      <c r="H483" s="476"/>
      <c r="I483" s="476"/>
    </row>
    <row r="484" spans="1:9" ht="16.5" customHeight="1">
      <c r="A484" s="476"/>
      <c r="B484" s="476"/>
      <c r="C484" s="476"/>
      <c r="D484" s="477"/>
      <c r="E484" s="476"/>
      <c r="F484" s="476"/>
      <c r="G484" s="476"/>
      <c r="H484" s="476"/>
      <c r="I484" s="476"/>
    </row>
    <row r="485" spans="1:9" ht="16.5" customHeight="1">
      <c r="A485" s="476"/>
      <c r="B485" s="476"/>
      <c r="C485" s="476"/>
      <c r="D485" s="477"/>
      <c r="E485" s="476"/>
      <c r="F485" s="476"/>
      <c r="G485" s="476"/>
      <c r="H485" s="476"/>
      <c r="I485" s="476"/>
    </row>
    <row r="486" spans="1:9" ht="16.5" customHeight="1">
      <c r="A486" s="476"/>
      <c r="B486" s="476"/>
      <c r="C486" s="476"/>
      <c r="D486" s="477"/>
      <c r="E486" s="476"/>
      <c r="F486" s="476"/>
      <c r="G486" s="476"/>
      <c r="H486" s="476"/>
      <c r="I486" s="476"/>
    </row>
    <row r="487" spans="1:9" ht="16.5" customHeight="1">
      <c r="A487" s="476"/>
      <c r="B487" s="476"/>
      <c r="C487" s="476"/>
      <c r="D487" s="477"/>
      <c r="E487" s="476"/>
      <c r="F487" s="476"/>
      <c r="G487" s="476"/>
      <c r="H487" s="476"/>
      <c r="I487" s="476"/>
    </row>
    <row r="488" spans="1:9" ht="16.5" customHeight="1">
      <c r="A488" s="476"/>
      <c r="B488" s="476"/>
      <c r="C488" s="476"/>
      <c r="D488" s="477"/>
      <c r="E488" s="476"/>
      <c r="F488" s="476"/>
      <c r="G488" s="476"/>
      <c r="H488" s="476"/>
      <c r="I488" s="476"/>
    </row>
    <row r="489" spans="1:9" ht="16.5" customHeight="1">
      <c r="A489" s="476"/>
      <c r="B489" s="476"/>
      <c r="C489" s="476"/>
      <c r="D489" s="477"/>
      <c r="E489" s="476"/>
      <c r="F489" s="476"/>
      <c r="G489" s="476"/>
      <c r="H489" s="476"/>
      <c r="I489" s="476"/>
    </row>
    <row r="490" spans="1:9" ht="16.5" customHeight="1">
      <c r="A490" s="476"/>
      <c r="B490" s="476"/>
      <c r="C490" s="476"/>
      <c r="D490" s="477"/>
      <c r="E490" s="476"/>
      <c r="F490" s="476"/>
      <c r="G490" s="476"/>
      <c r="H490" s="476"/>
      <c r="I490" s="476"/>
    </row>
    <row r="491" spans="1:9" ht="16.5" customHeight="1">
      <c r="A491" s="476"/>
      <c r="B491" s="476"/>
      <c r="C491" s="476"/>
      <c r="D491" s="477"/>
      <c r="E491" s="476"/>
      <c r="F491" s="476"/>
      <c r="G491" s="476"/>
      <c r="H491" s="476"/>
      <c r="I491" s="476"/>
    </row>
    <row r="492" spans="1:9" ht="16.5" customHeight="1">
      <c r="A492" s="476"/>
      <c r="B492" s="476"/>
      <c r="C492" s="476"/>
      <c r="D492" s="477"/>
      <c r="E492" s="476"/>
      <c r="F492" s="476"/>
      <c r="G492" s="476"/>
      <c r="H492" s="476"/>
      <c r="I492" s="476"/>
    </row>
    <row r="493" spans="1:9" ht="16.5" customHeight="1">
      <c r="A493" s="476"/>
      <c r="B493" s="476"/>
      <c r="C493" s="476"/>
      <c r="D493" s="477"/>
      <c r="E493" s="476"/>
      <c r="F493" s="476"/>
      <c r="G493" s="476"/>
      <c r="H493" s="476"/>
      <c r="I493" s="476"/>
    </row>
    <row r="494" spans="1:9" ht="16.5" customHeight="1">
      <c r="A494" s="476"/>
      <c r="B494" s="476"/>
      <c r="C494" s="476"/>
      <c r="D494" s="477"/>
      <c r="E494" s="476"/>
      <c r="F494" s="476"/>
      <c r="G494" s="476"/>
      <c r="H494" s="476"/>
      <c r="I494" s="476"/>
    </row>
    <row r="495" spans="1:9" ht="16.5" customHeight="1">
      <c r="A495" s="476"/>
      <c r="B495" s="476"/>
      <c r="C495" s="476"/>
      <c r="D495" s="477"/>
      <c r="E495" s="476"/>
      <c r="F495" s="476"/>
      <c r="G495" s="476"/>
      <c r="H495" s="476"/>
      <c r="I495" s="476"/>
    </row>
    <row r="496" spans="1:9" ht="16.5" customHeight="1">
      <c r="A496" s="476"/>
      <c r="B496" s="476"/>
      <c r="C496" s="476"/>
      <c r="D496" s="477"/>
      <c r="E496" s="476"/>
      <c r="F496" s="476"/>
      <c r="G496" s="476"/>
      <c r="H496" s="476"/>
      <c r="I496" s="476"/>
    </row>
    <row r="497" spans="1:9" ht="16.5" customHeight="1">
      <c r="A497" s="476"/>
      <c r="B497" s="476"/>
      <c r="C497" s="476"/>
      <c r="D497" s="477"/>
      <c r="E497" s="476"/>
      <c r="F497" s="476"/>
      <c r="G497" s="476"/>
      <c r="H497" s="476"/>
      <c r="I497" s="476"/>
    </row>
    <row r="498" spans="1:9" ht="16.5" customHeight="1">
      <c r="A498" s="476"/>
      <c r="B498" s="476"/>
      <c r="C498" s="476"/>
      <c r="D498" s="477"/>
      <c r="E498" s="476"/>
      <c r="F498" s="476"/>
      <c r="G498" s="476"/>
      <c r="H498" s="476"/>
      <c r="I498" s="476"/>
    </row>
    <row r="499" spans="1:9" ht="16.5" customHeight="1">
      <c r="A499" s="476"/>
      <c r="B499" s="476"/>
      <c r="C499" s="476"/>
      <c r="D499" s="477"/>
      <c r="E499" s="476"/>
      <c r="F499" s="476"/>
      <c r="G499" s="476"/>
      <c r="H499" s="476"/>
      <c r="I499" s="476"/>
    </row>
    <row r="500" spans="1:9" ht="16.5" customHeight="1">
      <c r="A500" s="476"/>
      <c r="B500" s="476"/>
      <c r="C500" s="476"/>
      <c r="D500" s="477"/>
      <c r="E500" s="476"/>
      <c r="F500" s="476"/>
      <c r="G500" s="476"/>
      <c r="H500" s="476"/>
      <c r="I500" s="476"/>
    </row>
    <row r="501" spans="1:9" ht="16.5" customHeight="1">
      <c r="A501" s="476"/>
      <c r="B501" s="476"/>
      <c r="C501" s="476"/>
      <c r="D501" s="477"/>
      <c r="E501" s="476"/>
      <c r="F501" s="476"/>
      <c r="G501" s="476"/>
      <c r="H501" s="476"/>
      <c r="I501" s="476"/>
    </row>
    <row r="502" spans="1:9" ht="16.5" customHeight="1">
      <c r="A502" s="476"/>
      <c r="B502" s="476"/>
      <c r="C502" s="476"/>
      <c r="D502" s="477"/>
      <c r="E502" s="476"/>
      <c r="F502" s="476"/>
      <c r="G502" s="476"/>
      <c r="H502" s="476"/>
      <c r="I502" s="476"/>
    </row>
    <row r="503" spans="1:9" ht="16.5" customHeight="1">
      <c r="A503" s="476"/>
      <c r="B503" s="476"/>
      <c r="C503" s="476"/>
      <c r="D503" s="477"/>
      <c r="E503" s="476"/>
      <c r="F503" s="476"/>
      <c r="G503" s="476"/>
      <c r="H503" s="476"/>
      <c r="I503" s="476"/>
    </row>
    <row r="504" spans="1:9" ht="16.5" customHeight="1">
      <c r="A504" s="476"/>
      <c r="B504" s="476"/>
      <c r="C504" s="476"/>
      <c r="D504" s="477"/>
      <c r="E504" s="476"/>
      <c r="F504" s="476"/>
      <c r="G504" s="476"/>
      <c r="H504" s="476"/>
      <c r="I504" s="476"/>
    </row>
    <row r="505" spans="1:9" ht="16.5" customHeight="1">
      <c r="A505" s="476"/>
      <c r="B505" s="476"/>
      <c r="C505" s="476"/>
      <c r="D505" s="477"/>
      <c r="E505" s="476"/>
      <c r="F505" s="476"/>
      <c r="G505" s="476"/>
      <c r="H505" s="476"/>
      <c r="I505" s="476"/>
    </row>
    <row r="506" spans="1:9" ht="16.5" customHeight="1">
      <c r="A506" s="476"/>
      <c r="B506" s="476"/>
      <c r="C506" s="476"/>
      <c r="D506" s="477"/>
      <c r="E506" s="476"/>
      <c r="F506" s="476"/>
      <c r="G506" s="476"/>
      <c r="H506" s="476"/>
      <c r="I506" s="476"/>
    </row>
    <row r="507" spans="1:9" ht="16.5" customHeight="1">
      <c r="A507" s="476"/>
      <c r="B507" s="476"/>
      <c r="C507" s="476"/>
      <c r="D507" s="477"/>
      <c r="E507" s="476"/>
      <c r="F507" s="476"/>
      <c r="G507" s="476"/>
      <c r="H507" s="476"/>
      <c r="I507" s="476"/>
    </row>
    <row r="508" spans="1:9" ht="16.5" customHeight="1">
      <c r="A508" s="476"/>
      <c r="B508" s="476"/>
      <c r="C508" s="476"/>
      <c r="D508" s="477"/>
      <c r="E508" s="476"/>
      <c r="F508" s="476"/>
      <c r="G508" s="476"/>
      <c r="H508" s="476"/>
      <c r="I508" s="476"/>
    </row>
    <row r="509" spans="1:9" ht="16.5" customHeight="1">
      <c r="A509" s="476"/>
      <c r="B509" s="476"/>
      <c r="C509" s="476"/>
      <c r="D509" s="477"/>
      <c r="E509" s="476"/>
      <c r="F509" s="476"/>
      <c r="G509" s="476"/>
      <c r="H509" s="476"/>
      <c r="I509" s="476"/>
    </row>
    <row r="510" spans="1:9" ht="16.5" customHeight="1">
      <c r="A510" s="476"/>
      <c r="B510" s="476"/>
      <c r="C510" s="476"/>
      <c r="D510" s="477"/>
      <c r="E510" s="476"/>
      <c r="F510" s="476"/>
      <c r="G510" s="476"/>
      <c r="H510" s="476"/>
      <c r="I510" s="476"/>
    </row>
    <row r="511" spans="1:9" ht="16.5" customHeight="1">
      <c r="A511" s="476"/>
      <c r="B511" s="476"/>
      <c r="C511" s="476"/>
      <c r="D511" s="477"/>
      <c r="E511" s="476"/>
      <c r="F511" s="476"/>
      <c r="G511" s="476"/>
      <c r="H511" s="476"/>
      <c r="I511" s="476"/>
    </row>
    <row r="512" spans="1:9" ht="16.5" customHeight="1">
      <c r="A512" s="476"/>
      <c r="B512" s="476"/>
      <c r="C512" s="476"/>
      <c r="D512" s="477"/>
      <c r="E512" s="476"/>
      <c r="F512" s="476"/>
      <c r="G512" s="476"/>
      <c r="H512" s="476"/>
      <c r="I512" s="476"/>
    </row>
    <row r="513" spans="1:9" ht="16.5" customHeight="1">
      <c r="A513" s="476"/>
      <c r="B513" s="476"/>
      <c r="C513" s="476"/>
      <c r="D513" s="477"/>
      <c r="E513" s="476"/>
      <c r="F513" s="476"/>
      <c r="G513" s="476"/>
      <c r="H513" s="476"/>
      <c r="I513" s="476"/>
    </row>
    <row r="514" spans="1:9" ht="16.5" customHeight="1">
      <c r="A514" s="476"/>
      <c r="B514" s="476"/>
      <c r="C514" s="476"/>
      <c r="D514" s="477"/>
      <c r="E514" s="476"/>
      <c r="F514" s="476"/>
      <c r="G514" s="476"/>
      <c r="H514" s="476"/>
      <c r="I514" s="476"/>
    </row>
    <row r="515" spans="1:9" ht="16.5" customHeight="1">
      <c r="A515" s="476"/>
      <c r="B515" s="476"/>
      <c r="C515" s="476"/>
      <c r="D515" s="477"/>
      <c r="E515" s="476"/>
      <c r="F515" s="476"/>
      <c r="G515" s="476"/>
      <c r="H515" s="476"/>
      <c r="I515" s="476"/>
    </row>
    <row r="516" spans="1:9" ht="16.5" customHeight="1">
      <c r="A516" s="476"/>
      <c r="B516" s="476"/>
      <c r="C516" s="476"/>
      <c r="D516" s="477"/>
      <c r="E516" s="476"/>
      <c r="F516" s="476"/>
      <c r="G516" s="476"/>
      <c r="H516" s="476"/>
      <c r="I516" s="476"/>
    </row>
    <row r="517" spans="1:9" ht="16.5" customHeight="1">
      <c r="A517" s="476"/>
      <c r="B517" s="476"/>
      <c r="C517" s="476"/>
      <c r="D517" s="477"/>
      <c r="E517" s="476"/>
      <c r="F517" s="476"/>
      <c r="G517" s="476"/>
      <c r="H517" s="476"/>
      <c r="I517" s="476"/>
    </row>
    <row r="518" spans="1:9" ht="16.5" customHeight="1">
      <c r="A518" s="476"/>
      <c r="B518" s="476"/>
      <c r="C518" s="476"/>
      <c r="D518" s="477"/>
      <c r="E518" s="476"/>
      <c r="F518" s="476"/>
      <c r="G518" s="476"/>
      <c r="H518" s="476"/>
      <c r="I518" s="476"/>
    </row>
    <row r="519" spans="1:9" ht="16.5" customHeight="1">
      <c r="A519" s="476"/>
      <c r="B519" s="476"/>
      <c r="C519" s="476"/>
      <c r="D519" s="477"/>
      <c r="E519" s="476"/>
      <c r="F519" s="476"/>
      <c r="G519" s="476"/>
      <c r="H519" s="476"/>
      <c r="I519" s="476"/>
    </row>
    <row r="520" spans="1:9" ht="16.5" customHeight="1">
      <c r="A520" s="476"/>
      <c r="B520" s="476"/>
      <c r="C520" s="476"/>
      <c r="D520" s="477"/>
      <c r="E520" s="476"/>
      <c r="F520" s="476"/>
      <c r="G520" s="476"/>
      <c r="H520" s="476"/>
      <c r="I520" s="476"/>
    </row>
    <row r="521" spans="1:9" ht="16.5" customHeight="1">
      <c r="A521" s="476"/>
      <c r="B521" s="476"/>
      <c r="C521" s="476"/>
      <c r="D521" s="477"/>
      <c r="E521" s="476"/>
      <c r="F521" s="476"/>
      <c r="G521" s="476"/>
      <c r="H521" s="476"/>
      <c r="I521" s="476"/>
    </row>
    <row r="522" spans="1:9" ht="16.5" customHeight="1">
      <c r="A522" s="476"/>
      <c r="B522" s="476"/>
      <c r="C522" s="476"/>
      <c r="D522" s="477"/>
      <c r="E522" s="476"/>
      <c r="F522" s="476"/>
      <c r="G522" s="476"/>
      <c r="H522" s="476"/>
      <c r="I522" s="476"/>
    </row>
    <row r="523" spans="1:9" ht="16.5" customHeight="1">
      <c r="A523" s="476"/>
      <c r="B523" s="476"/>
      <c r="C523" s="476"/>
      <c r="D523" s="477"/>
      <c r="E523" s="476"/>
      <c r="F523" s="476"/>
      <c r="G523" s="476"/>
      <c r="H523" s="476"/>
      <c r="I523" s="476"/>
    </row>
    <row r="524" spans="1:9" ht="16.5" customHeight="1">
      <c r="A524" s="476"/>
      <c r="B524" s="476"/>
      <c r="C524" s="476"/>
      <c r="D524" s="477"/>
      <c r="E524" s="476"/>
      <c r="F524" s="476"/>
      <c r="G524" s="476"/>
      <c r="H524" s="476"/>
      <c r="I524" s="476"/>
    </row>
    <row r="525" spans="1:9" ht="16.5" customHeight="1">
      <c r="A525" s="476"/>
      <c r="B525" s="476"/>
      <c r="C525" s="476"/>
      <c r="D525" s="477"/>
      <c r="E525" s="476"/>
      <c r="F525" s="476"/>
      <c r="G525" s="476"/>
      <c r="H525" s="476"/>
      <c r="I525" s="476"/>
    </row>
    <row r="526" spans="1:9" ht="16.5" customHeight="1">
      <c r="A526" s="476"/>
      <c r="B526" s="476"/>
      <c r="C526" s="476"/>
      <c r="D526" s="477"/>
      <c r="E526" s="476"/>
      <c r="F526" s="476"/>
      <c r="G526" s="476"/>
      <c r="H526" s="476"/>
      <c r="I526" s="476"/>
    </row>
    <row r="527" spans="1:9" ht="16.5" customHeight="1">
      <c r="A527" s="476"/>
      <c r="B527" s="476"/>
      <c r="C527" s="476"/>
      <c r="D527" s="477"/>
      <c r="E527" s="476"/>
      <c r="F527" s="476"/>
      <c r="G527" s="476"/>
      <c r="H527" s="476"/>
      <c r="I527" s="476"/>
    </row>
    <row r="528" spans="1:9" ht="16.5" customHeight="1">
      <c r="A528" s="476"/>
      <c r="B528" s="476"/>
      <c r="C528" s="476"/>
      <c r="D528" s="477"/>
      <c r="E528" s="476"/>
      <c r="F528" s="476"/>
      <c r="G528" s="476"/>
      <c r="H528" s="476"/>
      <c r="I528" s="476"/>
    </row>
    <row r="529" spans="1:9" ht="16.5" customHeight="1">
      <c r="A529" s="476"/>
      <c r="B529" s="476"/>
      <c r="C529" s="476"/>
      <c r="D529" s="477"/>
      <c r="E529" s="476"/>
      <c r="F529" s="476"/>
      <c r="G529" s="476"/>
      <c r="H529" s="476"/>
      <c r="I529" s="476"/>
    </row>
    <row r="530" spans="1:9" ht="16.5" customHeight="1">
      <c r="A530" s="476"/>
      <c r="B530" s="476"/>
      <c r="C530" s="476"/>
      <c r="D530" s="477"/>
      <c r="E530" s="476"/>
      <c r="F530" s="476"/>
      <c r="G530" s="476"/>
      <c r="H530" s="476"/>
      <c r="I530" s="476"/>
    </row>
    <row r="531" spans="1:9" ht="16.5" customHeight="1">
      <c r="A531" s="476"/>
      <c r="B531" s="476"/>
      <c r="C531" s="476"/>
      <c r="D531" s="477"/>
      <c r="E531" s="476"/>
      <c r="F531" s="476"/>
      <c r="G531" s="476"/>
      <c r="H531" s="476"/>
      <c r="I531" s="476"/>
    </row>
    <row r="532" spans="1:9" ht="16.5" customHeight="1">
      <c r="A532" s="476"/>
      <c r="B532" s="476"/>
      <c r="C532" s="476"/>
      <c r="D532" s="477"/>
      <c r="E532" s="476"/>
      <c r="F532" s="476"/>
      <c r="G532" s="476"/>
      <c r="H532" s="476"/>
      <c r="I532" s="476"/>
    </row>
    <row r="533" spans="1:9" ht="16.5" customHeight="1">
      <c r="A533" s="476"/>
      <c r="B533" s="476"/>
      <c r="C533" s="476"/>
      <c r="D533" s="477"/>
      <c r="E533" s="476"/>
      <c r="F533" s="476"/>
      <c r="G533" s="476"/>
      <c r="H533" s="476"/>
      <c r="I533" s="476"/>
    </row>
    <row r="534" spans="1:9" ht="16.5" customHeight="1">
      <c r="A534" s="476"/>
      <c r="B534" s="476"/>
      <c r="C534" s="476"/>
      <c r="D534" s="477"/>
      <c r="E534" s="476"/>
      <c r="F534" s="476"/>
      <c r="G534" s="476"/>
      <c r="H534" s="476"/>
      <c r="I534" s="476"/>
    </row>
    <row r="535" spans="1:9" ht="16.5" customHeight="1">
      <c r="A535" s="476"/>
      <c r="B535" s="476"/>
      <c r="C535" s="476"/>
      <c r="D535" s="477"/>
      <c r="E535" s="476"/>
      <c r="F535" s="476"/>
      <c r="G535" s="476"/>
      <c r="H535" s="476"/>
      <c r="I535" s="476"/>
    </row>
    <row r="536" spans="1:9" ht="16.5" customHeight="1">
      <c r="A536" s="476"/>
      <c r="B536" s="476"/>
      <c r="C536" s="476"/>
      <c r="D536" s="477"/>
      <c r="E536" s="476"/>
      <c r="F536" s="476"/>
      <c r="G536" s="476"/>
      <c r="H536" s="476"/>
      <c r="I536" s="476"/>
    </row>
    <row r="537" spans="1:9" ht="16.5" customHeight="1">
      <c r="A537" s="476"/>
      <c r="B537" s="476"/>
      <c r="C537" s="476"/>
      <c r="D537" s="477"/>
      <c r="E537" s="476"/>
      <c r="F537" s="476"/>
      <c r="G537" s="476"/>
      <c r="H537" s="476"/>
      <c r="I537" s="476"/>
    </row>
    <row r="538" spans="1:9" ht="16.5" customHeight="1">
      <c r="A538" s="476"/>
      <c r="B538" s="476"/>
      <c r="C538" s="476"/>
      <c r="D538" s="477"/>
      <c r="E538" s="476"/>
      <c r="F538" s="476"/>
      <c r="G538" s="476"/>
      <c r="H538" s="476"/>
      <c r="I538" s="476"/>
    </row>
    <row r="539" spans="1:9" ht="16.5" customHeight="1">
      <c r="A539" s="476"/>
      <c r="B539" s="476"/>
      <c r="C539" s="476"/>
      <c r="D539" s="477"/>
      <c r="E539" s="476"/>
      <c r="F539" s="476"/>
      <c r="G539" s="476"/>
      <c r="H539" s="476"/>
      <c r="I539" s="476"/>
    </row>
    <row r="540" spans="1:9" ht="16.5" customHeight="1">
      <c r="A540" s="476"/>
      <c r="B540" s="476"/>
      <c r="C540" s="476"/>
      <c r="D540" s="477"/>
      <c r="E540" s="476"/>
      <c r="F540" s="476"/>
      <c r="G540" s="476"/>
      <c r="H540" s="476"/>
      <c r="I540" s="476"/>
    </row>
    <row r="541" spans="1:9" ht="16.5" customHeight="1">
      <c r="A541" s="476"/>
      <c r="B541" s="476"/>
      <c r="C541" s="476"/>
      <c r="D541" s="477"/>
      <c r="E541" s="476"/>
      <c r="F541" s="476"/>
      <c r="G541" s="476"/>
      <c r="H541" s="476"/>
      <c r="I541" s="476"/>
    </row>
    <row r="542" spans="1:9" ht="16.5" customHeight="1">
      <c r="A542" s="476"/>
      <c r="B542" s="476"/>
      <c r="C542" s="476"/>
      <c r="D542" s="477"/>
      <c r="E542" s="476"/>
      <c r="F542" s="476"/>
      <c r="G542" s="476"/>
      <c r="H542" s="476"/>
      <c r="I542" s="476"/>
    </row>
    <row r="543" spans="1:9" ht="16.5" customHeight="1">
      <c r="A543" s="476"/>
      <c r="B543" s="476"/>
      <c r="C543" s="476"/>
      <c r="D543" s="477"/>
      <c r="E543" s="476"/>
      <c r="F543" s="476"/>
      <c r="G543" s="476"/>
      <c r="H543" s="476"/>
      <c r="I543" s="476"/>
    </row>
    <row r="544" spans="1:9" ht="16.5" customHeight="1">
      <c r="A544" s="476"/>
      <c r="B544" s="476"/>
      <c r="C544" s="476"/>
      <c r="D544" s="477"/>
      <c r="E544" s="476"/>
      <c r="F544" s="476"/>
      <c r="G544" s="476"/>
      <c r="H544" s="476"/>
      <c r="I544" s="476"/>
    </row>
    <row r="545" spans="1:9" ht="16.5" customHeight="1">
      <c r="A545" s="476"/>
      <c r="B545" s="476"/>
      <c r="C545" s="476"/>
      <c r="D545" s="477"/>
      <c r="E545" s="476"/>
      <c r="F545" s="476"/>
      <c r="G545" s="476"/>
      <c r="H545" s="476"/>
      <c r="I545" s="476"/>
    </row>
    <row r="546" spans="1:9" ht="16.5" customHeight="1">
      <c r="A546" s="476"/>
      <c r="B546" s="476"/>
      <c r="C546" s="476"/>
      <c r="D546" s="477"/>
      <c r="E546" s="476"/>
      <c r="F546" s="476"/>
      <c r="G546" s="476"/>
      <c r="H546" s="476"/>
      <c r="I546" s="476"/>
    </row>
    <row r="547" spans="1:9" ht="16.5" customHeight="1">
      <c r="A547" s="476"/>
      <c r="B547" s="476"/>
      <c r="C547" s="476"/>
      <c r="D547" s="477"/>
      <c r="E547" s="476"/>
      <c r="F547" s="476"/>
      <c r="G547" s="476"/>
      <c r="H547" s="476"/>
      <c r="I547" s="476"/>
    </row>
    <row r="548" spans="1:9" ht="16.5" customHeight="1">
      <c r="A548" s="476"/>
      <c r="B548" s="476"/>
      <c r="C548" s="476"/>
      <c r="D548" s="477"/>
      <c r="E548" s="476"/>
      <c r="F548" s="476"/>
      <c r="G548" s="476"/>
      <c r="H548" s="476"/>
      <c r="I548" s="476"/>
    </row>
    <row r="549" spans="1:9" ht="16.5" customHeight="1">
      <c r="A549" s="476"/>
      <c r="B549" s="476"/>
      <c r="C549" s="476"/>
      <c r="D549" s="477"/>
      <c r="E549" s="476"/>
      <c r="F549" s="476"/>
      <c r="G549" s="476"/>
      <c r="H549" s="476"/>
      <c r="I549" s="476"/>
    </row>
    <row r="550" spans="1:9" ht="16.5" customHeight="1">
      <c r="A550" s="476"/>
      <c r="B550" s="476"/>
      <c r="C550" s="476"/>
      <c r="D550" s="477"/>
      <c r="E550" s="476"/>
      <c r="F550" s="476"/>
      <c r="G550" s="476"/>
      <c r="H550" s="476"/>
      <c r="I550" s="476"/>
    </row>
    <row r="551" spans="1:9" ht="16.5" customHeight="1">
      <c r="A551" s="476"/>
      <c r="B551" s="476"/>
      <c r="C551" s="476"/>
      <c r="D551" s="477"/>
      <c r="E551" s="476"/>
      <c r="F551" s="476"/>
      <c r="G551" s="476"/>
      <c r="H551" s="476"/>
      <c r="I551" s="476"/>
    </row>
    <row r="552" spans="1:9" ht="16.5" customHeight="1">
      <c r="A552" s="476"/>
      <c r="B552" s="476"/>
      <c r="C552" s="476"/>
      <c r="D552" s="477"/>
      <c r="E552" s="476"/>
      <c r="F552" s="476"/>
      <c r="G552" s="476"/>
      <c r="H552" s="476"/>
      <c r="I552" s="476"/>
    </row>
    <row r="553" spans="1:9" ht="16.5" customHeight="1">
      <c r="A553" s="476"/>
      <c r="B553" s="476"/>
      <c r="C553" s="476"/>
      <c r="D553" s="477"/>
      <c r="E553" s="476"/>
      <c r="F553" s="476"/>
      <c r="G553" s="476"/>
      <c r="H553" s="476"/>
      <c r="I553" s="476"/>
    </row>
    <row r="554" spans="1:9" ht="16.5" customHeight="1">
      <c r="A554" s="476"/>
      <c r="B554" s="476"/>
      <c r="C554" s="476"/>
      <c r="D554" s="477"/>
      <c r="E554" s="476"/>
      <c r="F554" s="476"/>
      <c r="G554" s="476"/>
      <c r="H554" s="476"/>
      <c r="I554" s="476"/>
    </row>
    <row r="555" spans="1:9" ht="16.5" customHeight="1">
      <c r="A555" s="476"/>
      <c r="B555" s="476"/>
      <c r="C555" s="476"/>
      <c r="D555" s="477"/>
      <c r="E555" s="476"/>
      <c r="F555" s="476"/>
      <c r="G555" s="476"/>
      <c r="H555" s="476"/>
      <c r="I555" s="476"/>
    </row>
    <row r="556" spans="1:9" ht="16.5" customHeight="1">
      <c r="A556" s="476"/>
      <c r="B556" s="476"/>
      <c r="C556" s="476"/>
      <c r="D556" s="477"/>
      <c r="E556" s="476"/>
      <c r="F556" s="476"/>
      <c r="G556" s="476"/>
      <c r="H556" s="476"/>
      <c r="I556" s="476"/>
    </row>
    <row r="557" spans="1:9" ht="16.5" customHeight="1">
      <c r="A557" s="476"/>
      <c r="B557" s="476"/>
      <c r="C557" s="476"/>
      <c r="D557" s="477"/>
      <c r="E557" s="476"/>
      <c r="F557" s="476"/>
      <c r="G557" s="476"/>
      <c r="H557" s="476"/>
      <c r="I557" s="476"/>
    </row>
    <row r="558" spans="1:9" ht="16.5" customHeight="1">
      <c r="A558" s="476"/>
      <c r="B558" s="476"/>
      <c r="C558" s="476"/>
      <c r="D558" s="477"/>
      <c r="E558" s="476"/>
      <c r="F558" s="476"/>
      <c r="G558" s="476"/>
      <c r="H558" s="476"/>
      <c r="I558" s="476"/>
    </row>
    <row r="559" spans="1:9" ht="16.5" customHeight="1">
      <c r="A559" s="476"/>
      <c r="B559" s="476"/>
      <c r="C559" s="476"/>
      <c r="D559" s="477"/>
      <c r="E559" s="476"/>
      <c r="F559" s="476"/>
      <c r="G559" s="476"/>
      <c r="H559" s="476"/>
      <c r="I559" s="476"/>
    </row>
    <row r="560" spans="1:9" ht="16.5" customHeight="1">
      <c r="A560" s="476"/>
      <c r="B560" s="476"/>
      <c r="C560" s="476"/>
      <c r="D560" s="477"/>
      <c r="E560" s="476"/>
      <c r="F560" s="476"/>
      <c r="G560" s="476"/>
      <c r="H560" s="476"/>
      <c r="I560" s="476"/>
    </row>
    <row r="561" spans="1:9" ht="16.5" customHeight="1">
      <c r="A561" s="476"/>
      <c r="B561" s="476"/>
      <c r="C561" s="476"/>
      <c r="D561" s="477"/>
      <c r="E561" s="476"/>
      <c r="F561" s="476"/>
      <c r="G561" s="476"/>
      <c r="H561" s="476"/>
      <c r="I561" s="476"/>
    </row>
    <row r="562" spans="1:9" ht="16.5" customHeight="1">
      <c r="A562" s="476"/>
      <c r="B562" s="476"/>
      <c r="C562" s="476"/>
      <c r="D562" s="477"/>
      <c r="E562" s="476"/>
      <c r="F562" s="476"/>
      <c r="G562" s="476"/>
      <c r="H562" s="476"/>
      <c r="I562" s="476"/>
    </row>
    <row r="563" spans="1:9" ht="16.5" customHeight="1">
      <c r="A563" s="476"/>
      <c r="B563" s="476"/>
      <c r="C563" s="476"/>
      <c r="D563" s="477"/>
      <c r="E563" s="476"/>
      <c r="F563" s="476"/>
      <c r="G563" s="476"/>
      <c r="H563" s="476"/>
      <c r="I563" s="476"/>
    </row>
    <row r="564" spans="1:9" ht="16.5" customHeight="1">
      <c r="A564" s="476"/>
      <c r="B564" s="476"/>
      <c r="C564" s="476"/>
      <c r="D564" s="477"/>
      <c r="E564" s="476"/>
      <c r="F564" s="476"/>
      <c r="G564" s="476"/>
      <c r="H564" s="476"/>
      <c r="I564" s="476"/>
    </row>
    <row r="565" spans="1:9" ht="16.5" customHeight="1">
      <c r="A565" s="476"/>
      <c r="B565" s="476"/>
      <c r="C565" s="476"/>
      <c r="D565" s="477"/>
      <c r="E565" s="476"/>
      <c r="F565" s="476"/>
      <c r="G565" s="476"/>
      <c r="H565" s="476"/>
      <c r="I565" s="476"/>
    </row>
    <row r="566" spans="1:9" ht="16.5" customHeight="1">
      <c r="A566" s="476"/>
      <c r="B566" s="476"/>
      <c r="C566" s="476"/>
      <c r="D566" s="477"/>
      <c r="E566" s="476"/>
      <c r="F566" s="476"/>
      <c r="G566" s="476"/>
      <c r="H566" s="476"/>
      <c r="I566" s="476"/>
    </row>
    <row r="567" spans="1:9" ht="16.5" customHeight="1">
      <c r="A567" s="476"/>
      <c r="B567" s="476"/>
      <c r="C567" s="476"/>
      <c r="D567" s="477"/>
      <c r="E567" s="476"/>
      <c r="F567" s="476"/>
      <c r="G567" s="476"/>
      <c r="H567" s="476"/>
      <c r="I567" s="476"/>
    </row>
    <row r="568" spans="1:9" ht="16.5" customHeight="1">
      <c r="A568" s="476"/>
      <c r="B568" s="476"/>
      <c r="C568" s="476"/>
      <c r="D568" s="477"/>
      <c r="E568" s="476"/>
      <c r="F568" s="476"/>
      <c r="G568" s="476"/>
      <c r="H568" s="476"/>
      <c r="I568" s="476"/>
    </row>
    <row r="569" spans="1:9" ht="16.5" customHeight="1">
      <c r="A569" s="476"/>
      <c r="B569" s="476"/>
      <c r="C569" s="476"/>
      <c r="D569" s="477"/>
      <c r="E569" s="476"/>
      <c r="F569" s="476"/>
      <c r="G569" s="476"/>
      <c r="H569" s="476"/>
      <c r="I569" s="476"/>
    </row>
    <row r="570" spans="1:9" ht="16.5" customHeight="1">
      <c r="A570" s="476"/>
      <c r="B570" s="476"/>
      <c r="C570" s="476"/>
      <c r="D570" s="477"/>
      <c r="E570" s="476"/>
      <c r="F570" s="476"/>
      <c r="G570" s="476"/>
      <c r="H570" s="476"/>
      <c r="I570" s="476"/>
    </row>
    <row r="571" spans="1:9" ht="16.5" customHeight="1">
      <c r="A571" s="476"/>
      <c r="B571" s="476"/>
      <c r="C571" s="476"/>
      <c r="D571" s="477"/>
      <c r="E571" s="476"/>
      <c r="F571" s="476"/>
      <c r="G571" s="476"/>
      <c r="H571" s="476"/>
      <c r="I571" s="476"/>
    </row>
    <row r="572" spans="1:9" ht="16.5" customHeight="1">
      <c r="A572" s="476"/>
      <c r="B572" s="476"/>
      <c r="C572" s="476"/>
      <c r="D572" s="477"/>
      <c r="E572" s="476"/>
      <c r="F572" s="476"/>
      <c r="G572" s="476"/>
      <c r="H572" s="476"/>
      <c r="I572" s="476"/>
    </row>
    <row r="573" spans="1:9" ht="16.5" customHeight="1">
      <c r="A573" s="476"/>
      <c r="B573" s="476"/>
      <c r="C573" s="476"/>
      <c r="D573" s="477"/>
      <c r="E573" s="476"/>
      <c r="F573" s="476"/>
      <c r="G573" s="476"/>
      <c r="H573" s="476"/>
      <c r="I573" s="476"/>
    </row>
    <row r="574" spans="1:9" ht="16.5" customHeight="1">
      <c r="A574" s="476"/>
      <c r="B574" s="476"/>
      <c r="C574" s="476"/>
      <c r="D574" s="477"/>
      <c r="E574" s="476"/>
      <c r="F574" s="476"/>
      <c r="G574" s="476"/>
      <c r="H574" s="476"/>
      <c r="I574" s="476"/>
    </row>
    <row r="575" spans="1:9" ht="16.5" customHeight="1">
      <c r="A575" s="476"/>
      <c r="B575" s="476"/>
      <c r="C575" s="476"/>
      <c r="D575" s="477"/>
      <c r="E575" s="476"/>
      <c r="F575" s="476"/>
      <c r="G575" s="476"/>
      <c r="H575" s="476"/>
      <c r="I575" s="476"/>
    </row>
    <row r="576" spans="1:9" ht="16.5" customHeight="1">
      <c r="A576" s="476"/>
      <c r="B576" s="476"/>
      <c r="C576" s="476"/>
      <c r="D576" s="477"/>
      <c r="E576" s="476"/>
      <c r="F576" s="476"/>
      <c r="G576" s="476"/>
      <c r="H576" s="476"/>
      <c r="I576" s="476"/>
    </row>
    <row r="577" spans="1:9" ht="16.5" customHeight="1">
      <c r="A577" s="476"/>
      <c r="B577" s="476"/>
      <c r="C577" s="476"/>
      <c r="D577" s="477"/>
      <c r="E577" s="476"/>
      <c r="F577" s="476"/>
      <c r="G577" s="476"/>
      <c r="H577" s="476"/>
      <c r="I577" s="476"/>
    </row>
    <row r="578" spans="1:9" ht="16.5" customHeight="1">
      <c r="A578" s="476"/>
      <c r="B578" s="476"/>
      <c r="C578" s="476"/>
      <c r="D578" s="477"/>
      <c r="E578" s="476"/>
      <c r="F578" s="476"/>
      <c r="G578" s="476"/>
      <c r="H578" s="476"/>
      <c r="I578" s="476"/>
    </row>
    <row r="579" spans="1:9" ht="16.5" customHeight="1">
      <c r="A579" s="476"/>
      <c r="B579" s="476"/>
      <c r="C579" s="476"/>
      <c r="D579" s="477"/>
      <c r="E579" s="476"/>
      <c r="F579" s="476"/>
      <c r="G579" s="476"/>
      <c r="H579" s="476"/>
      <c r="I579" s="476"/>
    </row>
    <row r="580" spans="1:9" ht="16.5" customHeight="1">
      <c r="A580" s="476"/>
      <c r="B580" s="476"/>
      <c r="C580" s="476"/>
      <c r="D580" s="477"/>
      <c r="E580" s="476"/>
      <c r="F580" s="476"/>
      <c r="G580" s="476"/>
      <c r="H580" s="476"/>
      <c r="I580" s="476"/>
    </row>
    <row r="581" spans="1:9" ht="16.5" customHeight="1">
      <c r="A581" s="476"/>
      <c r="B581" s="476"/>
      <c r="C581" s="476"/>
      <c r="D581" s="477"/>
      <c r="E581" s="476"/>
      <c r="F581" s="476"/>
      <c r="G581" s="476"/>
      <c r="H581" s="476"/>
      <c r="I581" s="476"/>
    </row>
    <row r="582" spans="1:9" ht="16.5" customHeight="1">
      <c r="A582" s="476"/>
      <c r="B582" s="476"/>
      <c r="C582" s="476"/>
      <c r="D582" s="477"/>
      <c r="E582" s="476"/>
      <c r="F582" s="476"/>
      <c r="G582" s="476"/>
      <c r="H582" s="476"/>
      <c r="I582" s="476"/>
    </row>
    <row r="583" spans="1:9" ht="16.5" customHeight="1">
      <c r="A583" s="476"/>
      <c r="B583" s="476"/>
      <c r="C583" s="476"/>
      <c r="D583" s="477"/>
      <c r="E583" s="476"/>
      <c r="F583" s="476"/>
      <c r="G583" s="476"/>
      <c r="H583" s="476"/>
      <c r="I583" s="476"/>
    </row>
    <row r="584" spans="1:9" ht="16.5" customHeight="1">
      <c r="A584" s="476"/>
      <c r="B584" s="476"/>
      <c r="C584" s="476"/>
      <c r="D584" s="477"/>
      <c r="E584" s="476"/>
      <c r="F584" s="476"/>
      <c r="G584" s="476"/>
      <c r="H584" s="476"/>
      <c r="I584" s="476"/>
    </row>
    <row r="585" spans="1:9" ht="16.5" customHeight="1">
      <c r="A585" s="476"/>
      <c r="B585" s="476"/>
      <c r="C585" s="476"/>
      <c r="D585" s="477"/>
      <c r="E585" s="476"/>
      <c r="F585" s="476"/>
      <c r="G585" s="476"/>
      <c r="H585" s="476"/>
      <c r="I585" s="476"/>
    </row>
    <row r="586" spans="1:9" ht="16.5" customHeight="1">
      <c r="A586" s="476"/>
      <c r="B586" s="476"/>
      <c r="C586" s="476"/>
      <c r="D586" s="477"/>
      <c r="E586" s="476"/>
      <c r="F586" s="476"/>
      <c r="G586" s="476"/>
      <c r="H586" s="476"/>
      <c r="I586" s="476"/>
    </row>
    <row r="587" spans="1:9" ht="16.5" customHeight="1">
      <c r="A587" s="476"/>
      <c r="B587" s="476"/>
      <c r="C587" s="476"/>
      <c r="D587" s="477"/>
      <c r="E587" s="476"/>
      <c r="F587" s="476"/>
      <c r="G587" s="476"/>
      <c r="H587" s="476"/>
      <c r="I587" s="476"/>
    </row>
    <row r="588" spans="1:9" ht="16.5" customHeight="1">
      <c r="A588" s="476"/>
      <c r="B588" s="476"/>
      <c r="C588" s="476"/>
      <c r="D588" s="477"/>
      <c r="E588" s="476"/>
      <c r="F588" s="476"/>
      <c r="G588" s="476"/>
      <c r="H588" s="476"/>
      <c r="I588" s="476"/>
    </row>
    <row r="589" spans="1:9" ht="16.5" customHeight="1">
      <c r="A589" s="476"/>
      <c r="B589" s="476"/>
      <c r="C589" s="476"/>
      <c r="D589" s="477"/>
      <c r="E589" s="476"/>
      <c r="F589" s="476"/>
      <c r="G589" s="476"/>
      <c r="H589" s="476"/>
      <c r="I589" s="476"/>
    </row>
    <row r="590" spans="1:9" ht="16.5" customHeight="1">
      <c r="A590" s="476"/>
      <c r="B590" s="476"/>
      <c r="C590" s="476"/>
      <c r="D590" s="477"/>
      <c r="E590" s="476"/>
      <c r="F590" s="476"/>
      <c r="G590" s="476"/>
      <c r="H590" s="476"/>
      <c r="I590" s="476"/>
    </row>
    <row r="591" spans="1:9" ht="16.5" customHeight="1">
      <c r="A591" s="476"/>
      <c r="B591" s="476"/>
      <c r="C591" s="476"/>
      <c r="D591" s="477"/>
      <c r="E591" s="476"/>
      <c r="F591" s="476"/>
      <c r="G591" s="476"/>
      <c r="H591" s="476"/>
      <c r="I591" s="476"/>
    </row>
    <row r="592" spans="1:9" ht="16.5" customHeight="1">
      <c r="A592" s="476"/>
      <c r="B592" s="476"/>
      <c r="C592" s="476"/>
      <c r="D592" s="477"/>
      <c r="E592" s="476"/>
      <c r="F592" s="476"/>
      <c r="G592" s="476"/>
      <c r="H592" s="476"/>
      <c r="I592" s="476"/>
    </row>
    <row r="593" spans="1:9" ht="16.5" customHeight="1">
      <c r="A593" s="476"/>
      <c r="B593" s="476"/>
      <c r="C593" s="476"/>
      <c r="D593" s="477"/>
      <c r="E593" s="476"/>
      <c r="F593" s="476"/>
      <c r="G593" s="476"/>
      <c r="H593" s="476"/>
      <c r="I593" s="476"/>
    </row>
    <row r="594" spans="1:9" ht="16.5" customHeight="1">
      <c r="A594" s="476"/>
      <c r="B594" s="476"/>
      <c r="C594" s="476"/>
      <c r="D594" s="477"/>
      <c r="E594" s="476"/>
      <c r="F594" s="476"/>
      <c r="G594" s="476"/>
      <c r="H594" s="476"/>
      <c r="I594" s="476"/>
    </row>
    <row r="595" spans="1:9" ht="16.5" customHeight="1">
      <c r="A595" s="476"/>
      <c r="B595" s="476"/>
      <c r="C595" s="476"/>
      <c r="D595" s="477"/>
      <c r="E595" s="476"/>
      <c r="F595" s="476"/>
      <c r="G595" s="476"/>
      <c r="H595" s="476"/>
      <c r="I595" s="476"/>
    </row>
    <row r="596" spans="1:9" ht="16.5" customHeight="1">
      <c r="A596" s="476"/>
      <c r="B596" s="476"/>
      <c r="C596" s="476"/>
      <c r="D596" s="477"/>
      <c r="E596" s="476"/>
      <c r="F596" s="476"/>
      <c r="G596" s="476"/>
      <c r="H596" s="476"/>
      <c r="I596" s="476"/>
    </row>
    <row r="597" spans="1:9" ht="16.5" customHeight="1">
      <c r="A597" s="476"/>
      <c r="B597" s="476"/>
      <c r="C597" s="476"/>
      <c r="D597" s="477"/>
      <c r="E597" s="476"/>
      <c r="F597" s="476"/>
      <c r="G597" s="476"/>
      <c r="H597" s="476"/>
      <c r="I597" s="476"/>
    </row>
    <row r="598" spans="1:9" ht="16.5" customHeight="1">
      <c r="A598" s="476"/>
      <c r="B598" s="476"/>
      <c r="C598" s="476"/>
      <c r="D598" s="477"/>
      <c r="E598" s="476"/>
      <c r="F598" s="476"/>
      <c r="G598" s="476"/>
      <c r="H598" s="476"/>
      <c r="I598" s="476"/>
    </row>
    <row r="599" spans="1:9" ht="16.5" customHeight="1">
      <c r="A599" s="476"/>
      <c r="B599" s="476"/>
      <c r="C599" s="476"/>
      <c r="D599" s="477"/>
      <c r="E599" s="476"/>
      <c r="F599" s="476"/>
      <c r="G599" s="476"/>
      <c r="H599" s="476"/>
      <c r="I599" s="476"/>
    </row>
    <row r="600" spans="1:9" ht="16.5" customHeight="1">
      <c r="A600" s="476"/>
      <c r="B600" s="476"/>
      <c r="C600" s="476"/>
      <c r="D600" s="477"/>
      <c r="E600" s="476"/>
      <c r="F600" s="476"/>
      <c r="G600" s="476"/>
      <c r="H600" s="476"/>
      <c r="I600" s="476"/>
    </row>
    <row r="601" spans="1:9" ht="16.5" customHeight="1">
      <c r="A601" s="476"/>
      <c r="B601" s="476"/>
      <c r="C601" s="476"/>
      <c r="D601" s="477"/>
      <c r="E601" s="476"/>
      <c r="F601" s="476"/>
      <c r="G601" s="476"/>
      <c r="H601" s="476"/>
      <c r="I601" s="476"/>
    </row>
    <row r="602" spans="1:9" ht="16.5" customHeight="1">
      <c r="A602" s="476"/>
      <c r="B602" s="476"/>
      <c r="C602" s="476"/>
      <c r="D602" s="477"/>
      <c r="E602" s="476"/>
      <c r="F602" s="476"/>
      <c r="G602" s="476"/>
      <c r="H602" s="476"/>
      <c r="I602" s="476"/>
    </row>
    <row r="603" spans="1:9" ht="16.5" customHeight="1">
      <c r="A603" s="476"/>
      <c r="B603" s="476"/>
      <c r="C603" s="476"/>
      <c r="D603" s="477"/>
      <c r="E603" s="476"/>
      <c r="F603" s="476"/>
      <c r="G603" s="476"/>
      <c r="H603" s="476"/>
      <c r="I603" s="476"/>
    </row>
    <row r="604" spans="1:9" ht="16.5" customHeight="1">
      <c r="A604" s="476"/>
      <c r="B604" s="476"/>
      <c r="C604" s="476"/>
      <c r="D604" s="477"/>
      <c r="E604" s="476"/>
      <c r="F604" s="476"/>
      <c r="G604" s="476"/>
      <c r="H604" s="476"/>
      <c r="I604" s="476"/>
    </row>
    <row r="605" spans="1:9" ht="16.5" customHeight="1">
      <c r="A605" s="476"/>
      <c r="B605" s="476"/>
      <c r="C605" s="476"/>
      <c r="D605" s="477"/>
      <c r="E605" s="476"/>
      <c r="F605" s="476"/>
      <c r="G605" s="476"/>
      <c r="H605" s="476"/>
      <c r="I605" s="476"/>
    </row>
    <row r="606" spans="1:9" ht="16.5" customHeight="1">
      <c r="A606" s="476"/>
      <c r="B606" s="476"/>
      <c r="C606" s="476"/>
      <c r="D606" s="477"/>
      <c r="E606" s="476"/>
      <c r="F606" s="476"/>
      <c r="G606" s="476"/>
      <c r="H606" s="476"/>
      <c r="I606" s="476"/>
    </row>
    <row r="607" spans="1:9" ht="16.5" customHeight="1">
      <c r="A607" s="476"/>
      <c r="B607" s="476"/>
      <c r="C607" s="476"/>
      <c r="D607" s="477"/>
      <c r="E607" s="476"/>
      <c r="F607" s="476"/>
      <c r="G607" s="476"/>
      <c r="H607" s="476"/>
      <c r="I607" s="476"/>
    </row>
    <row r="608" spans="1:9" ht="16.5" customHeight="1">
      <c r="A608" s="476"/>
      <c r="B608" s="476"/>
      <c r="C608" s="476"/>
      <c r="D608" s="477"/>
      <c r="E608" s="476"/>
      <c r="F608" s="476"/>
      <c r="G608" s="476"/>
      <c r="H608" s="476"/>
      <c r="I608" s="476"/>
    </row>
    <row r="609" spans="1:9" ht="16.5" customHeight="1">
      <c r="A609" s="476"/>
      <c r="B609" s="476"/>
      <c r="C609" s="476"/>
      <c r="D609" s="477"/>
      <c r="E609" s="476"/>
      <c r="F609" s="476"/>
      <c r="G609" s="476"/>
      <c r="H609" s="476"/>
      <c r="I609" s="476"/>
    </row>
    <row r="610" spans="1:9" ht="16.5" customHeight="1">
      <c r="A610" s="476"/>
      <c r="B610" s="476"/>
      <c r="C610" s="476"/>
      <c r="D610" s="477"/>
      <c r="E610" s="476"/>
      <c r="F610" s="476"/>
      <c r="G610" s="476"/>
      <c r="H610" s="476"/>
      <c r="I610" s="476"/>
    </row>
    <row r="611" spans="1:9" ht="16.5" customHeight="1">
      <c r="A611" s="476"/>
      <c r="B611" s="476"/>
      <c r="C611" s="476"/>
      <c r="D611" s="477"/>
      <c r="E611" s="476"/>
      <c r="F611" s="476"/>
      <c r="G611" s="476"/>
      <c r="H611" s="476"/>
      <c r="I611" s="476"/>
    </row>
    <row r="612" spans="1:9" ht="16.5" customHeight="1">
      <c r="A612" s="476"/>
      <c r="B612" s="476"/>
      <c r="C612" s="476"/>
      <c r="D612" s="477"/>
      <c r="E612" s="476"/>
      <c r="F612" s="476"/>
      <c r="G612" s="476"/>
      <c r="H612" s="476"/>
      <c r="I612" s="476"/>
    </row>
    <row r="613" spans="1:9" ht="16.5" customHeight="1">
      <c r="A613" s="476"/>
      <c r="B613" s="476"/>
      <c r="C613" s="476"/>
      <c r="D613" s="477"/>
      <c r="E613" s="476"/>
      <c r="F613" s="476"/>
      <c r="G613" s="476"/>
      <c r="H613" s="476"/>
      <c r="I613" s="476"/>
    </row>
    <row r="614" spans="1:9" ht="16.5" customHeight="1">
      <c r="A614" s="476"/>
      <c r="B614" s="476"/>
      <c r="C614" s="476"/>
      <c r="D614" s="477"/>
      <c r="E614" s="476"/>
      <c r="F614" s="476"/>
      <c r="G614" s="476"/>
      <c r="H614" s="476"/>
      <c r="I614" s="476"/>
    </row>
    <row r="615" spans="1:9" ht="16.5" customHeight="1">
      <c r="A615" s="476"/>
      <c r="B615" s="476"/>
      <c r="C615" s="476"/>
      <c r="D615" s="477"/>
      <c r="E615" s="476"/>
      <c r="F615" s="476"/>
      <c r="G615" s="476"/>
      <c r="H615" s="476"/>
      <c r="I615" s="476"/>
    </row>
    <row r="616" spans="1:9" ht="16.5" customHeight="1">
      <c r="A616" s="476"/>
      <c r="B616" s="476"/>
      <c r="C616" s="476"/>
      <c r="D616" s="477"/>
      <c r="E616" s="476"/>
      <c r="F616" s="476"/>
      <c r="G616" s="476"/>
      <c r="H616" s="476"/>
      <c r="I616" s="476"/>
    </row>
    <row r="617" spans="1:9" ht="16.5" customHeight="1">
      <c r="A617" s="476"/>
      <c r="B617" s="476"/>
      <c r="C617" s="476"/>
      <c r="D617" s="477"/>
      <c r="E617" s="476"/>
      <c r="F617" s="476"/>
      <c r="G617" s="476"/>
      <c r="H617" s="476"/>
      <c r="I617" s="476"/>
    </row>
    <row r="618" spans="1:9" ht="16.5" customHeight="1">
      <c r="A618" s="476"/>
      <c r="B618" s="476"/>
      <c r="C618" s="476"/>
      <c r="D618" s="477"/>
      <c r="E618" s="476"/>
      <c r="F618" s="476"/>
      <c r="G618" s="476"/>
      <c r="H618" s="476"/>
      <c r="I618" s="476"/>
    </row>
    <row r="619" spans="1:9" ht="16.5" customHeight="1">
      <c r="A619" s="476"/>
      <c r="B619" s="476"/>
      <c r="C619" s="476"/>
      <c r="D619" s="477"/>
      <c r="E619" s="476"/>
      <c r="F619" s="476"/>
      <c r="G619" s="476"/>
      <c r="H619" s="476"/>
      <c r="I619" s="476"/>
    </row>
    <row r="620" spans="1:9" ht="16.5" customHeight="1">
      <c r="A620" s="476"/>
      <c r="B620" s="476"/>
      <c r="C620" s="476"/>
      <c r="D620" s="477"/>
      <c r="E620" s="476"/>
      <c r="F620" s="476"/>
      <c r="G620" s="476"/>
      <c r="H620" s="476"/>
      <c r="I620" s="476"/>
    </row>
    <row r="621" spans="1:9" ht="16.5" customHeight="1">
      <c r="A621" s="476"/>
      <c r="B621" s="476"/>
      <c r="C621" s="476"/>
      <c r="D621" s="477"/>
      <c r="E621" s="476"/>
      <c r="F621" s="476"/>
      <c r="G621" s="476"/>
      <c r="H621" s="476"/>
      <c r="I621" s="476"/>
    </row>
    <row r="622" spans="1:9" ht="16.5" customHeight="1">
      <c r="A622" s="476"/>
      <c r="B622" s="476"/>
      <c r="C622" s="476"/>
      <c r="D622" s="477"/>
      <c r="E622" s="476"/>
      <c r="F622" s="476"/>
      <c r="G622" s="476"/>
      <c r="H622" s="476"/>
      <c r="I622" s="476"/>
    </row>
    <row r="623" spans="1:9" ht="16.5" customHeight="1">
      <c r="A623" s="476"/>
      <c r="B623" s="476"/>
      <c r="C623" s="476"/>
      <c r="D623" s="477"/>
      <c r="E623" s="476"/>
      <c r="F623" s="476"/>
      <c r="G623" s="476"/>
      <c r="H623" s="476"/>
      <c r="I623" s="476"/>
    </row>
    <row r="624" spans="1:9" ht="16.5" customHeight="1">
      <c r="A624" s="476"/>
      <c r="B624" s="476"/>
      <c r="C624" s="476"/>
      <c r="D624" s="477"/>
      <c r="E624" s="476"/>
      <c r="F624" s="476"/>
      <c r="G624" s="476"/>
      <c r="H624" s="476"/>
      <c r="I624" s="476"/>
    </row>
    <row r="625" spans="1:9" ht="16.5" customHeight="1">
      <c r="A625" s="476"/>
      <c r="B625" s="476"/>
      <c r="C625" s="476"/>
      <c r="D625" s="477"/>
      <c r="E625" s="476"/>
      <c r="F625" s="476"/>
      <c r="G625" s="476"/>
      <c r="H625" s="476"/>
      <c r="I625" s="476"/>
    </row>
    <row r="626" spans="1:9" ht="16.5" customHeight="1">
      <c r="A626" s="476"/>
      <c r="B626" s="476"/>
      <c r="C626" s="476"/>
      <c r="D626" s="477"/>
      <c r="E626" s="476"/>
      <c r="F626" s="476"/>
      <c r="G626" s="476"/>
      <c r="H626" s="476"/>
      <c r="I626" s="476"/>
    </row>
    <row r="627" spans="1:9" ht="16.5" customHeight="1">
      <c r="A627" s="476"/>
      <c r="B627" s="476"/>
      <c r="C627" s="476"/>
      <c r="D627" s="477"/>
      <c r="E627" s="476"/>
      <c r="F627" s="476"/>
      <c r="G627" s="476"/>
      <c r="H627" s="476"/>
      <c r="I627" s="476"/>
    </row>
    <row r="628" spans="1:9" ht="16.5" customHeight="1">
      <c r="A628" s="476"/>
      <c r="B628" s="476"/>
      <c r="C628" s="476"/>
      <c r="D628" s="477"/>
      <c r="E628" s="476"/>
      <c r="F628" s="476"/>
      <c r="G628" s="476"/>
      <c r="H628" s="476"/>
      <c r="I628" s="476"/>
    </row>
    <row r="629" spans="1:9" ht="16.5" customHeight="1">
      <c r="A629" s="476"/>
      <c r="B629" s="476"/>
      <c r="C629" s="476"/>
      <c r="D629" s="477"/>
      <c r="E629" s="476"/>
      <c r="F629" s="476"/>
      <c r="G629" s="476"/>
      <c r="H629" s="476"/>
      <c r="I629" s="476"/>
    </row>
    <row r="630" spans="1:9" ht="16.5" customHeight="1">
      <c r="A630" s="476"/>
      <c r="B630" s="476"/>
      <c r="C630" s="476"/>
      <c r="D630" s="477"/>
      <c r="E630" s="476"/>
      <c r="F630" s="476"/>
      <c r="G630" s="476"/>
      <c r="H630" s="476"/>
      <c r="I630" s="476"/>
    </row>
    <row r="631" spans="1:9" ht="16.5" customHeight="1">
      <c r="A631" s="476"/>
      <c r="B631" s="476"/>
      <c r="C631" s="476"/>
      <c r="D631" s="477"/>
      <c r="E631" s="476"/>
      <c r="F631" s="476"/>
      <c r="G631" s="476"/>
      <c r="H631" s="476"/>
      <c r="I631" s="476"/>
    </row>
    <row r="632" spans="1:9" ht="16.5" customHeight="1">
      <c r="A632" s="476"/>
      <c r="B632" s="476"/>
      <c r="C632" s="476"/>
      <c r="D632" s="477"/>
      <c r="E632" s="476"/>
      <c r="F632" s="476"/>
      <c r="G632" s="476"/>
      <c r="H632" s="476"/>
      <c r="I632" s="476"/>
    </row>
    <row r="633" spans="1:9" ht="16.5" customHeight="1">
      <c r="A633" s="476"/>
      <c r="B633" s="476"/>
      <c r="C633" s="476"/>
      <c r="D633" s="477"/>
      <c r="E633" s="476"/>
      <c r="F633" s="476"/>
      <c r="G633" s="476"/>
      <c r="H633" s="476"/>
      <c r="I633" s="476"/>
    </row>
    <row r="634" spans="1:9" ht="16.5" customHeight="1">
      <c r="A634" s="476"/>
      <c r="B634" s="476"/>
      <c r="C634" s="476"/>
      <c r="D634" s="477"/>
      <c r="E634" s="476"/>
      <c r="F634" s="476"/>
      <c r="G634" s="476"/>
      <c r="H634" s="476"/>
      <c r="I634" s="476"/>
    </row>
    <row r="635" spans="1:9" ht="16.5" customHeight="1">
      <c r="A635" s="476"/>
      <c r="B635" s="476"/>
      <c r="C635" s="476"/>
      <c r="D635" s="477"/>
      <c r="E635" s="476"/>
      <c r="F635" s="476"/>
      <c r="G635" s="476"/>
      <c r="H635" s="476"/>
      <c r="I635" s="476"/>
    </row>
    <row r="636" spans="1:9" ht="16.5" customHeight="1">
      <c r="A636" s="476"/>
      <c r="B636" s="476"/>
      <c r="C636" s="476"/>
      <c r="D636" s="477"/>
      <c r="E636" s="476"/>
      <c r="F636" s="476"/>
      <c r="G636" s="476"/>
      <c r="H636" s="476"/>
      <c r="I636" s="476"/>
    </row>
    <row r="637" spans="1:9" ht="16.5" customHeight="1">
      <c r="A637" s="476"/>
      <c r="B637" s="476"/>
      <c r="C637" s="476"/>
      <c r="D637" s="477"/>
      <c r="E637" s="476"/>
      <c r="F637" s="476"/>
      <c r="G637" s="476"/>
      <c r="H637" s="476"/>
      <c r="I637" s="476"/>
    </row>
    <row r="638" spans="1:9" ht="16.5" customHeight="1">
      <c r="A638" s="476"/>
      <c r="B638" s="476"/>
      <c r="C638" s="476"/>
      <c r="D638" s="477"/>
      <c r="E638" s="476"/>
      <c r="F638" s="476"/>
      <c r="G638" s="476"/>
      <c r="H638" s="476"/>
      <c r="I638" s="476"/>
    </row>
    <row r="639" spans="1:9" ht="16.5" customHeight="1">
      <c r="A639" s="476"/>
      <c r="B639" s="476"/>
      <c r="C639" s="476"/>
      <c r="D639" s="477"/>
      <c r="E639" s="476"/>
      <c r="F639" s="476"/>
      <c r="G639" s="476"/>
      <c r="H639" s="476"/>
      <c r="I639" s="476"/>
    </row>
    <row r="640" spans="1:9" ht="16.5" customHeight="1">
      <c r="A640" s="476"/>
      <c r="B640" s="476"/>
      <c r="C640" s="476"/>
      <c r="D640" s="477"/>
      <c r="E640" s="476"/>
      <c r="F640" s="476"/>
      <c r="G640" s="476"/>
      <c r="H640" s="476"/>
      <c r="I640" s="476"/>
    </row>
  </sheetData>
  <sheetProtection sheet="1" objects="1" formatCells="0" formatColumns="0" formatRows="0" insertColumns="0" insertHyperlinks="0" deleteColumns="0" sort="0" autoFilter="0" pivotTables="0"/>
  <mergeCells count="101">
    <mergeCell ref="G215:G217"/>
    <mergeCell ref="G218:G220"/>
    <mergeCell ref="G221:G223"/>
    <mergeCell ref="I214:I217"/>
    <mergeCell ref="I224:I229"/>
    <mergeCell ref="I276:I279"/>
    <mergeCell ref="I280:I285"/>
    <mergeCell ref="I330:I333"/>
    <mergeCell ref="I334:I339"/>
    <mergeCell ref="E342:E343"/>
    <mergeCell ref="E344:E345"/>
    <mergeCell ref="F215:F217"/>
    <mergeCell ref="F218:F220"/>
    <mergeCell ref="F221:F223"/>
    <mergeCell ref="F224:F225"/>
    <mergeCell ref="F226:F227"/>
    <mergeCell ref="F228:F229"/>
    <mergeCell ref="F280:F281"/>
    <mergeCell ref="F282:F283"/>
    <mergeCell ref="F284:F285"/>
    <mergeCell ref="F334:F335"/>
    <mergeCell ref="F336:F337"/>
    <mergeCell ref="F338:F339"/>
    <mergeCell ref="A318:A327"/>
    <mergeCell ref="A328:A329"/>
    <mergeCell ref="A330:A333"/>
    <mergeCell ref="A334:A339"/>
    <mergeCell ref="A342:A345"/>
    <mergeCell ref="A350:A351"/>
    <mergeCell ref="E215:E217"/>
    <mergeCell ref="E218:E220"/>
    <mergeCell ref="E221:E223"/>
    <mergeCell ref="E224:E225"/>
    <mergeCell ref="E226:E227"/>
    <mergeCell ref="E228:E229"/>
    <mergeCell ref="E231:E232"/>
    <mergeCell ref="E233:E234"/>
    <mergeCell ref="E277:E279"/>
    <mergeCell ref="E280:E281"/>
    <mergeCell ref="E282:E283"/>
    <mergeCell ref="E284:E285"/>
    <mergeCell ref="E287:E288"/>
    <mergeCell ref="E289:E290"/>
    <mergeCell ref="E331:E333"/>
    <mergeCell ref="E334:E335"/>
    <mergeCell ref="E336:E337"/>
    <mergeCell ref="E338:E339"/>
    <mergeCell ref="A280:A285"/>
    <mergeCell ref="A287:A290"/>
    <mergeCell ref="A293:A295"/>
    <mergeCell ref="A296:A297"/>
    <mergeCell ref="A298:A300"/>
    <mergeCell ref="A301:A303"/>
    <mergeCell ref="A305:A312"/>
    <mergeCell ref="A313:A315"/>
    <mergeCell ref="A316:A317"/>
    <mergeCell ref="A237:A239"/>
    <mergeCell ref="A240:A241"/>
    <mergeCell ref="A242:A244"/>
    <mergeCell ref="A245:A247"/>
    <mergeCell ref="A249:A258"/>
    <mergeCell ref="A259:A260"/>
    <mergeCell ref="A261:A273"/>
    <mergeCell ref="A274:A275"/>
    <mergeCell ref="A276:A279"/>
    <mergeCell ref="A185:A188"/>
    <mergeCell ref="A189:A192"/>
    <mergeCell ref="A193:A202"/>
    <mergeCell ref="A203:A204"/>
    <mergeCell ref="A205:A211"/>
    <mergeCell ref="A212:A213"/>
    <mergeCell ref="A214:A223"/>
    <mergeCell ref="A224:A229"/>
    <mergeCell ref="A231:A234"/>
    <mergeCell ref="A138:A141"/>
    <mergeCell ref="A142:A155"/>
    <mergeCell ref="A157:A159"/>
    <mergeCell ref="A162:A164"/>
    <mergeCell ref="A165:A166"/>
    <mergeCell ref="A167:A169"/>
    <mergeCell ref="A170:A172"/>
    <mergeCell ref="A179:A182"/>
    <mergeCell ref="A183:A184"/>
    <mergeCell ref="A78:A79"/>
    <mergeCell ref="A80:A91"/>
    <mergeCell ref="A92:A95"/>
    <mergeCell ref="A96:A109"/>
    <mergeCell ref="A111:A113"/>
    <mergeCell ref="A116:A117"/>
    <mergeCell ref="A121:A123"/>
    <mergeCell ref="A124:A125"/>
    <mergeCell ref="A126:A137"/>
    <mergeCell ref="A24:A25"/>
    <mergeCell ref="A29:A31"/>
    <mergeCell ref="A32:A33"/>
    <mergeCell ref="A34:A45"/>
    <mergeCell ref="A46:A49"/>
    <mergeCell ref="A50:A63"/>
    <mergeCell ref="A65:A67"/>
    <mergeCell ref="A70:A71"/>
    <mergeCell ref="A75:A77"/>
  </mergeCells>
  <phoneticPr fontId="84" type="noConversion"/>
  <pageMargins left="0.69791666666666663" right="0.69791666666666663" top="0.75" bottom="0.75" header="0.30208333333333331" footer="0.30208333333333331"/>
  <pageSetup pageOrder="overThenDown" orientation="portrait"/>
  <headerFooter>
    <oddHeader>&amp;L&amp;C&amp;R</oddHeader>
    <oddFooter>&amp;L&amp;C&amp;R</oddFooter>
    <evenHeader>&amp;L&amp;C&amp;R</evenHeader>
    <evenFooter>&amp;L&amp;C&amp;R</even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74"/>
  <sheetViews>
    <sheetView zoomScale="125" zoomScaleNormal="90" workbookViewId="0">
      <pane xSplit="3" ySplit="7" topLeftCell="D10" activePane="bottomRight" state="frozen"/>
      <selection pane="topRight" activeCell="D1" sqref="D1"/>
      <selection pane="bottomLeft" activeCell="A8" sqref="A8"/>
      <selection pane="bottomRight" activeCell="E48" sqref="E48"/>
    </sheetView>
  </sheetViews>
  <sheetFormatPr baseColWidth="10" defaultColWidth="9.1640625" defaultRowHeight="12.75" customHeight="1"/>
  <cols>
    <col min="1" max="1" width="9.1640625" style="363"/>
    <col min="2" max="2" width="19" style="363" customWidth="1"/>
    <col min="3" max="4" width="18.5" style="363" customWidth="1"/>
    <col min="5" max="5" width="14.1640625" style="363" customWidth="1"/>
    <col min="6" max="6" width="18.5" style="363" customWidth="1"/>
    <col min="7" max="7" width="14.1640625" style="363" customWidth="1"/>
    <col min="8" max="8" width="18.5" style="363" customWidth="1"/>
    <col min="9" max="9" width="14.1640625" style="363" customWidth="1"/>
    <col min="10" max="12" width="18.5" style="363" customWidth="1"/>
    <col min="13" max="15" width="12.1640625" style="363" customWidth="1"/>
    <col min="16" max="16" width="4.6640625" style="364" customWidth="1"/>
    <col min="17" max="17" width="13.33203125" style="363" customWidth="1"/>
    <col min="18" max="18" width="12.1640625" style="363" customWidth="1"/>
    <col min="19" max="20" width="9.1640625" style="363"/>
    <col min="21" max="21" width="30.83203125" style="363" customWidth="1"/>
    <col min="22" max="22" width="4.1640625" style="363" customWidth="1"/>
    <col min="23" max="23" width="17.5" style="363" customWidth="1"/>
    <col min="24" max="24" width="17.83203125" style="363" customWidth="1"/>
    <col min="25" max="27" width="15.5" style="363" customWidth="1"/>
    <col min="28" max="28" width="9.1640625" style="364"/>
    <col min="29" max="29" width="17.83203125" style="364" customWidth="1"/>
    <col min="30" max="30" width="26.83203125" style="365" hidden="1" customWidth="1"/>
  </cols>
  <sheetData>
    <row r="1" spans="1:30" ht="7.5" customHeight="1">
      <c r="A1" s="624"/>
      <c r="B1" s="624"/>
      <c r="C1" s="624"/>
      <c r="D1" s="624"/>
      <c r="E1" s="624"/>
      <c r="F1" s="624"/>
      <c r="G1" s="624"/>
      <c r="H1" s="624"/>
      <c r="I1" s="624"/>
      <c r="J1" s="624"/>
      <c r="K1" s="624"/>
      <c r="L1" s="624"/>
      <c r="M1" s="624"/>
      <c r="N1" s="624"/>
      <c r="O1" s="624"/>
      <c r="Q1" s="624"/>
      <c r="R1" s="624"/>
      <c r="S1" s="624"/>
      <c r="T1" s="624"/>
      <c r="U1" s="364"/>
      <c r="V1" s="624"/>
      <c r="W1" s="624"/>
      <c r="X1" s="624"/>
      <c r="Y1" s="624"/>
      <c r="Z1" s="624"/>
      <c r="AA1" s="624"/>
      <c r="AD1" s="625" t="s">
        <v>1286</v>
      </c>
    </row>
    <row r="2" spans="1:30" ht="28" customHeight="1">
      <c r="A2" s="1448" t="s">
        <v>1287</v>
      </c>
      <c r="B2" s="1448"/>
      <c r="C2" s="1448"/>
      <c r="D2" s="1448"/>
      <c r="E2" s="1448"/>
      <c r="F2" s="1448"/>
      <c r="G2" s="1448"/>
      <c r="H2" s="1448"/>
      <c r="I2" s="1448"/>
      <c r="J2" s="1448"/>
      <c r="K2" s="1448"/>
      <c r="L2" s="1448"/>
      <c r="M2" s="1448"/>
      <c r="N2" s="1448"/>
      <c r="O2" s="1448"/>
      <c r="Q2" s="624"/>
      <c r="R2" s="624"/>
      <c r="S2" s="624"/>
      <c r="T2" s="624"/>
      <c r="U2" s="364"/>
      <c r="V2" s="624"/>
      <c r="W2" s="624"/>
      <c r="X2" s="624"/>
      <c r="Y2" s="624"/>
      <c r="Z2" s="624"/>
      <c r="AA2" s="624"/>
      <c r="AD2" s="625" t="s">
        <v>1288</v>
      </c>
    </row>
    <row r="3" spans="1:30" ht="22.5" customHeight="1">
      <c r="A3" s="1449" t="s">
        <v>1289</v>
      </c>
      <c r="B3" s="1449"/>
      <c r="C3" s="1449"/>
      <c r="D3" s="1449"/>
      <c r="E3" s="1449"/>
      <c r="F3" s="1449"/>
      <c r="G3" s="1449"/>
      <c r="H3" s="1449"/>
      <c r="I3" s="1449"/>
      <c r="J3" s="1449"/>
      <c r="K3" s="1449"/>
      <c r="L3" s="1449"/>
      <c r="M3" s="1449"/>
      <c r="N3" s="1449"/>
      <c r="O3" s="1449"/>
      <c r="Q3" s="624"/>
      <c r="R3" s="624"/>
      <c r="S3" s="624"/>
      <c r="T3" s="624"/>
      <c r="U3" s="364"/>
      <c r="V3" s="624"/>
      <c r="W3" s="624"/>
      <c r="X3" s="624"/>
      <c r="Y3" s="624"/>
      <c r="Z3" s="624"/>
      <c r="AA3" s="624"/>
      <c r="AD3" s="625" t="s">
        <v>1290</v>
      </c>
    </row>
    <row r="4" spans="1:30" ht="12.75" customHeight="1">
      <c r="A4" s="1450" t="s">
        <v>1291</v>
      </c>
      <c r="B4" s="1450"/>
      <c r="C4" s="626" t="s">
        <v>1292</v>
      </c>
      <c r="D4" s="627"/>
      <c r="E4" s="628" t="s">
        <v>1293</v>
      </c>
      <c r="F4" s="629">
        <f>'02 项目基础信息（输入）'!D4</f>
        <v>74626.7546</v>
      </c>
      <c r="G4" s="628" t="s">
        <v>1294</v>
      </c>
      <c r="H4" s="630">
        <f>'02 项目基础信息（输入）'!D10</f>
        <v>74626.7546</v>
      </c>
      <c r="I4" s="631" t="s">
        <v>1295</v>
      </c>
      <c r="J4" s="632">
        <f>'02 项目基础信息（输入）'!D7+'02 项目基础信息（输入）'!K11</f>
        <v>46191.064599999998</v>
      </c>
      <c r="K4" s="631"/>
      <c r="L4" s="633" t="s">
        <v>1296</v>
      </c>
      <c r="M4" s="634">
        <f>IFERROR(J4/'02 项目基础信息（输入）'!D4,0)</f>
        <v>0.61896118687707202</v>
      </c>
      <c r="N4" s="635" t="s">
        <v>1297</v>
      </c>
      <c r="O4" s="627" t="s">
        <v>1298</v>
      </c>
      <c r="Q4" s="624"/>
      <c r="R4" s="624"/>
      <c r="S4" s="624"/>
      <c r="T4" s="624"/>
      <c r="U4" s="364"/>
      <c r="V4" s="624"/>
      <c r="W4" s="624"/>
      <c r="X4" s="624"/>
      <c r="Y4" s="624"/>
      <c r="Z4" s="624"/>
      <c r="AA4" s="624"/>
      <c r="AD4" s="625" t="s">
        <v>1299</v>
      </c>
    </row>
    <row r="5" spans="1:30" ht="16.5" customHeight="1">
      <c r="A5" s="1453" t="s">
        <v>187</v>
      </c>
      <c r="B5" s="1453"/>
      <c r="C5" s="1453" t="s">
        <v>1300</v>
      </c>
      <c r="D5" s="1451" t="s">
        <v>1301</v>
      </c>
      <c r="E5" s="1451"/>
      <c r="F5" s="1451"/>
      <c r="G5" s="1451"/>
      <c r="H5" s="1451"/>
      <c r="I5" s="1451"/>
      <c r="J5" s="1452" t="s">
        <v>1302</v>
      </c>
      <c r="K5" s="1452"/>
      <c r="L5" s="1452"/>
      <c r="M5" s="1452"/>
      <c r="N5" s="1452"/>
      <c r="O5" s="1452"/>
      <c r="Q5" s="1469" t="s">
        <v>1303</v>
      </c>
      <c r="R5" s="1470"/>
      <c r="S5" s="1470"/>
      <c r="T5" s="1470"/>
      <c r="U5" s="1480" t="s">
        <v>1304</v>
      </c>
      <c r="V5" s="624"/>
      <c r="W5" s="1471" t="s">
        <v>1305</v>
      </c>
      <c r="X5" s="1472"/>
      <c r="Y5" s="1472"/>
      <c r="Z5" s="1472"/>
      <c r="AA5" s="1473"/>
      <c r="AD5" s="625" t="s">
        <v>1306</v>
      </c>
    </row>
    <row r="6" spans="1:30" ht="16.5" customHeight="1">
      <c r="A6" s="1453"/>
      <c r="B6" s="1453"/>
      <c r="C6" s="1453"/>
      <c r="D6" s="1453" t="s">
        <v>1307</v>
      </c>
      <c r="E6" s="1453"/>
      <c r="F6" s="1453" t="s">
        <v>1308</v>
      </c>
      <c r="G6" s="1453"/>
      <c r="H6" s="1453" t="s">
        <v>1309</v>
      </c>
      <c r="I6" s="1453"/>
      <c r="J6" s="1474" t="s">
        <v>1310</v>
      </c>
      <c r="K6" s="1474"/>
      <c r="L6" s="1474"/>
      <c r="M6" s="1474" t="s">
        <v>1311</v>
      </c>
      <c r="N6" s="1474"/>
      <c r="O6" s="1474"/>
      <c r="Q6" s="1478" t="s">
        <v>536</v>
      </c>
      <c r="R6" s="636" t="s">
        <v>1312</v>
      </c>
      <c r="S6" s="636" t="s">
        <v>1313</v>
      </c>
      <c r="T6" s="636" t="s">
        <v>1314</v>
      </c>
      <c r="U6" s="1481"/>
      <c r="V6" s="624"/>
      <c r="W6" s="378" t="s">
        <v>1307</v>
      </c>
      <c r="X6" s="379" t="s">
        <v>1315</v>
      </c>
      <c r="Y6" s="1475" t="s">
        <v>1311</v>
      </c>
      <c r="Z6" s="1476"/>
      <c r="AA6" s="1477"/>
      <c r="AD6" s="625" t="s">
        <v>1316</v>
      </c>
    </row>
    <row r="7" spans="1:30" ht="37" customHeight="1">
      <c r="A7" s="1453"/>
      <c r="B7" s="1453"/>
      <c r="C7" s="1453"/>
      <c r="D7" s="637" t="s">
        <v>1317</v>
      </c>
      <c r="E7" s="637" t="s">
        <v>1318</v>
      </c>
      <c r="F7" s="637" t="s">
        <v>1317</v>
      </c>
      <c r="G7" s="637" t="s">
        <v>1318</v>
      </c>
      <c r="H7" s="637" t="s">
        <v>1317</v>
      </c>
      <c r="I7" s="637" t="s">
        <v>1318</v>
      </c>
      <c r="J7" s="373" t="s">
        <v>1312</v>
      </c>
      <c r="K7" s="373" t="s">
        <v>1313</v>
      </c>
      <c r="L7" s="373" t="s">
        <v>1314</v>
      </c>
      <c r="M7" s="373" t="s">
        <v>1312</v>
      </c>
      <c r="N7" s="373" t="s">
        <v>1313</v>
      </c>
      <c r="O7" s="373" t="s">
        <v>1314</v>
      </c>
      <c r="Q7" s="1479"/>
      <c r="R7" s="636" t="s">
        <v>649</v>
      </c>
      <c r="S7" s="636" t="s">
        <v>649</v>
      </c>
      <c r="T7" s="636" t="s">
        <v>649</v>
      </c>
      <c r="U7" s="1481"/>
      <c r="V7" s="624"/>
      <c r="W7" s="380" t="s">
        <v>1319</v>
      </c>
      <c r="X7" s="372" t="s">
        <v>1319</v>
      </c>
      <c r="Y7" s="379" t="s">
        <v>1312</v>
      </c>
      <c r="Z7" s="379" t="s">
        <v>1313</v>
      </c>
      <c r="AA7" s="386" t="s">
        <v>1314</v>
      </c>
      <c r="AD7" s="625" t="s">
        <v>1320</v>
      </c>
    </row>
    <row r="8" spans="1:30" ht="14.25" customHeight="1">
      <c r="A8" s="1462" t="s">
        <v>218</v>
      </c>
      <c r="B8" s="1462"/>
      <c r="C8" s="639">
        <f>'05 成本测算明细'!M4</f>
        <v>325.907535</v>
      </c>
      <c r="D8" s="639">
        <f>'05 成本测算明细'!$N$4</f>
        <v>74626.7546</v>
      </c>
      <c r="E8" s="639">
        <f t="shared" ref="E8:E44" si="0">IF(D8=0,0,C8*10000/D8)</f>
        <v>43.671674689173742</v>
      </c>
      <c r="F8" s="639">
        <f>'05 成本测算明细'!$P$4</f>
        <v>74626.7546</v>
      </c>
      <c r="G8" s="639">
        <f t="shared" ref="G8:G44" si="1">IF(F8=0,0,C8*10000/F8)</f>
        <v>43.671674689173742</v>
      </c>
      <c r="H8" s="639">
        <f>'02 项目基础信息（输入）'!$E$69</f>
        <v>46191.064599999998</v>
      </c>
      <c r="I8" s="639">
        <f t="shared" ref="I8:I44" si="2">IF(H8=0,0,C8*10000/H8)</f>
        <v>70.556402590469858</v>
      </c>
      <c r="J8" s="374">
        <f>C8</f>
        <v>325.907535</v>
      </c>
      <c r="K8" s="371"/>
      <c r="L8" s="371"/>
      <c r="M8" s="374">
        <f>IFERROR(J8/$F$4*10000,0)</f>
        <v>43.671674689173734</v>
      </c>
      <c r="N8" s="374"/>
      <c r="O8" s="374"/>
      <c r="Q8" s="640">
        <f>E8-W8</f>
        <v>43.671674689173742</v>
      </c>
      <c r="R8" s="641">
        <f>M8-Y8</f>
        <v>11.235243305788131</v>
      </c>
      <c r="S8" s="641"/>
      <c r="T8" s="641"/>
      <c r="U8" s="381"/>
      <c r="V8" s="624"/>
      <c r="W8" s="620"/>
      <c r="X8" s="621">
        <v>47.146667726061096</v>
      </c>
      <c r="Y8" s="621">
        <v>32.436431383385603</v>
      </c>
      <c r="Z8" s="621"/>
      <c r="AA8" s="622"/>
      <c r="AD8" s="625" t="s">
        <v>1321</v>
      </c>
    </row>
    <row r="9" spans="1:30" ht="14.25" customHeight="1">
      <c r="A9" s="1462" t="s">
        <v>221</v>
      </c>
      <c r="B9" s="1462"/>
      <c r="C9" s="639">
        <f>'05 成本测算明细'!M29</f>
        <v>1599.557812</v>
      </c>
      <c r="D9" s="639">
        <f>'05 成本测算明细'!$N$29</f>
        <v>74626.7546</v>
      </c>
      <c r="E9" s="639">
        <f t="shared" si="0"/>
        <v>214.34106582466873</v>
      </c>
      <c r="F9" s="639">
        <f>'05 成本测算明细'!$P$29</f>
        <v>74626.7546</v>
      </c>
      <c r="G9" s="639">
        <f t="shared" si="1"/>
        <v>214.34106582466873</v>
      </c>
      <c r="H9" s="639">
        <f>'02 项目基础信息（输入）'!$E$69</f>
        <v>46191.064599999998</v>
      </c>
      <c r="I9" s="639">
        <f t="shared" si="2"/>
        <v>346.29160982793201</v>
      </c>
      <c r="J9" s="374">
        <f>C9</f>
        <v>1599.557812</v>
      </c>
      <c r="K9" s="371"/>
      <c r="L9" s="371"/>
      <c r="M9" s="374">
        <f>IFERROR(J9/$F$4*10000,0)</f>
        <v>214.34106582466876</v>
      </c>
      <c r="N9" s="374"/>
      <c r="O9" s="374"/>
      <c r="Q9" s="640">
        <f>E9-W9</f>
        <v>214.34106582466873</v>
      </c>
      <c r="R9" s="641">
        <f>M9-Y9</f>
        <v>90.68226809975576</v>
      </c>
      <c r="S9" s="641"/>
      <c r="T9" s="641"/>
      <c r="U9" s="381"/>
      <c r="V9" s="624"/>
      <c r="W9" s="620"/>
      <c r="X9" s="621">
        <v>179.739262276766</v>
      </c>
      <c r="Y9" s="621">
        <v>123.658797724913</v>
      </c>
      <c r="Z9" s="621"/>
      <c r="AA9" s="622"/>
      <c r="AD9" s="642" t="s">
        <v>1322</v>
      </c>
    </row>
    <row r="10" spans="1:30" ht="14.25" customHeight="1">
      <c r="A10" s="1462" t="s">
        <v>222</v>
      </c>
      <c r="B10" s="1462"/>
      <c r="C10" s="639">
        <f>'05 成本测算明细'!M47</f>
        <v>2510.434917</v>
      </c>
      <c r="D10" s="639">
        <f>'05 成本测算明细'!$N$47</f>
        <v>74626.7546</v>
      </c>
      <c r="E10" s="639">
        <f t="shared" si="0"/>
        <v>336.39877956048758</v>
      </c>
      <c r="F10" s="639">
        <f>'05 成本测算明细'!$P$47</f>
        <v>74626.7546</v>
      </c>
      <c r="G10" s="639">
        <f t="shared" si="1"/>
        <v>336.39877956048758</v>
      </c>
      <c r="H10" s="639">
        <f>'02 项目基础信息（输入）'!$E$69</f>
        <v>46191.064599999998</v>
      </c>
      <c r="I10" s="639">
        <f t="shared" si="2"/>
        <v>543.48929576305989</v>
      </c>
      <c r="J10" s="374">
        <f>C10</f>
        <v>2510.434917</v>
      </c>
      <c r="K10" s="371"/>
      <c r="L10" s="371"/>
      <c r="M10" s="374">
        <f>IFERROR(J10/$F$4*10000,0)</f>
        <v>336.39877956048753</v>
      </c>
      <c r="N10" s="374"/>
      <c r="O10" s="374"/>
      <c r="Q10" s="640">
        <f>E10-W10</f>
        <v>336.39877956048758</v>
      </c>
      <c r="R10" s="641">
        <f>M10-Y10</f>
        <v>149.93877956118052</v>
      </c>
      <c r="S10" s="641"/>
      <c r="T10" s="641"/>
      <c r="U10" s="381"/>
      <c r="V10" s="624"/>
      <c r="W10" s="620"/>
      <c r="X10" s="621">
        <v>271.02141910319801</v>
      </c>
      <c r="Y10" s="621">
        <v>186.459999999307</v>
      </c>
      <c r="Z10" s="621"/>
      <c r="AA10" s="622"/>
      <c r="AD10" s="642" t="s">
        <v>1323</v>
      </c>
    </row>
    <row r="11" spans="1:30" ht="14.25" customHeight="1">
      <c r="A11" s="1463" t="s">
        <v>1324</v>
      </c>
      <c r="B11" s="638" t="s">
        <v>649</v>
      </c>
      <c r="C11" s="639">
        <f>'05 成本测算明细'!M93</f>
        <v>26554.992087999999</v>
      </c>
      <c r="D11" s="639">
        <f>'05 成本测算明细'!$N$93</f>
        <v>74626.7546</v>
      </c>
      <c r="E11" s="639">
        <f t="shared" si="0"/>
        <v>3558.3742359338776</v>
      </c>
      <c r="F11" s="639">
        <f>'05 成本测算明细'!$P$93</f>
        <v>74626.7546</v>
      </c>
      <c r="G11" s="639">
        <f t="shared" si="1"/>
        <v>3558.3742359338776</v>
      </c>
      <c r="H11" s="639">
        <f>'02 项目基础信息（输入）'!$E$69</f>
        <v>46191.064599999998</v>
      </c>
      <c r="I11" s="639">
        <f t="shared" si="2"/>
        <v>5748.9456711937319</v>
      </c>
      <c r="J11" s="374">
        <f>SUM(J12:J31)</f>
        <v>0</v>
      </c>
      <c r="K11" s="374">
        <f ca="1">SUM(K12:K31)</f>
        <v>16816.793160000001</v>
      </c>
      <c r="L11" s="374">
        <f>SUM(L12:L31)</f>
        <v>9738.1989279999998</v>
      </c>
      <c r="M11" s="374"/>
      <c r="N11" s="374">
        <f ca="1">IF($D11=0,0,K11/$D11*10000)</f>
        <v>2253.4536373902561</v>
      </c>
      <c r="O11" s="374">
        <f>IF($D11=0,0,L11/$D11*10000)</f>
        <v>1304.9205985436222</v>
      </c>
      <c r="Q11" s="640"/>
      <c r="R11" s="641"/>
      <c r="S11" s="641"/>
      <c r="T11" s="641"/>
      <c r="U11" s="381"/>
      <c r="V11" s="624"/>
      <c r="W11" s="620"/>
      <c r="X11" s="621"/>
      <c r="Y11" s="621"/>
      <c r="Z11" s="621"/>
      <c r="AA11" s="622"/>
      <c r="AD11" s="642" t="s">
        <v>1325</v>
      </c>
    </row>
    <row r="12" spans="1:30" ht="14.25" customHeight="1">
      <c r="A12" s="1464"/>
      <c r="B12" s="643" t="s">
        <v>481</v>
      </c>
      <c r="C12" s="639">
        <f>'05 成本测算明细'!M94</f>
        <v>6146.9459319999996</v>
      </c>
      <c r="D12" s="639">
        <f>'05 成本测算明细'!N94</f>
        <v>21931.919999999998</v>
      </c>
      <c r="E12" s="639">
        <f t="shared" si="0"/>
        <v>2802.7395376237009</v>
      </c>
      <c r="F12" s="639">
        <f>'05 成本测算明细'!P94</f>
        <v>21931.919999999998</v>
      </c>
      <c r="G12" s="639">
        <f t="shared" si="1"/>
        <v>2802.7395376237009</v>
      </c>
      <c r="H12" s="639">
        <f>'02 项目基础信息（输入）'!$E$32</f>
        <v>0</v>
      </c>
      <c r="I12" s="639">
        <f t="shared" si="2"/>
        <v>0</v>
      </c>
      <c r="J12" s="374"/>
      <c r="K12" s="374">
        <f>SUMIF('05 成本测算明细'!$S95:$S253,'04 目标成本控制表'!K$7,'05 成本测算明细'!$M95:$M253)</f>
        <v>6146.9459320000005</v>
      </c>
      <c r="L12" s="374">
        <f>SUMIF('05 成本测算明细'!$S95:$S253,'04 目标成本控制表'!L$7,'05 成本测算明细'!$M95:$M253)</f>
        <v>0</v>
      </c>
      <c r="M12" s="374"/>
      <c r="N12" s="374">
        <f t="shared" ref="N12:N31" si="3">IF(D12=0,0,K12/$D12*10000)</f>
        <v>2802.7395376237014</v>
      </c>
      <c r="O12" s="374">
        <f t="shared" ref="O12:O21" si="4">IF($D12=0,0,L12/$D12*10000)</f>
        <v>0</v>
      </c>
      <c r="P12" s="644"/>
      <c r="Q12" s="640">
        <f t="shared" ref="Q12:Q33" si="5">E12-W12</f>
        <v>211.40067141191093</v>
      </c>
      <c r="R12" s="641"/>
      <c r="S12" s="641">
        <f t="shared" ref="S12:S31" si="6">N12-Z12</f>
        <v>211.40067141191139</v>
      </c>
      <c r="T12" s="641">
        <f t="shared" ref="T12:T31" si="7">O12-AA12</f>
        <v>0</v>
      </c>
      <c r="U12" s="381"/>
      <c r="V12" s="624"/>
      <c r="W12" s="620">
        <v>2591.33886621179</v>
      </c>
      <c r="X12" s="621">
        <v>0</v>
      </c>
      <c r="Y12" s="621"/>
      <c r="Z12" s="621">
        <v>2591.33886621179</v>
      </c>
      <c r="AA12" s="622">
        <v>0</v>
      </c>
      <c r="AD12" s="625" t="s">
        <v>1326</v>
      </c>
    </row>
    <row r="13" spans="1:30" ht="0" hidden="1" customHeight="1">
      <c r="A13" s="1464"/>
      <c r="B13" s="643" t="s">
        <v>490</v>
      </c>
      <c r="C13" s="639">
        <f>'05 成本测算明细'!M255</f>
        <v>0</v>
      </c>
      <c r="D13" s="639">
        <f>'05 成本测算明细'!N255</f>
        <v>0</v>
      </c>
      <c r="E13" s="639">
        <f t="shared" si="0"/>
        <v>0</v>
      </c>
      <c r="F13" s="639">
        <f>'05 成本测算明细'!P255</f>
        <v>0</v>
      </c>
      <c r="G13" s="639">
        <f t="shared" si="1"/>
        <v>0</v>
      </c>
      <c r="H13" s="639">
        <f>'02 项目基础信息（输入）'!$E$36</f>
        <v>0</v>
      </c>
      <c r="I13" s="639">
        <f t="shared" si="2"/>
        <v>0</v>
      </c>
      <c r="J13" s="374"/>
      <c r="K13" s="374">
        <f>SUMIF('05 成本测算明细'!$S256:$S446,'04 目标成本控制表'!K$7,'05 成本测算明细'!$M256:$M446)</f>
        <v>0</v>
      </c>
      <c r="L13" s="374">
        <f>SUMIF('05 成本测算明细'!$S256:$S446,'04 目标成本控制表'!L$7,'05 成本测算明细'!$M256:$M446)</f>
        <v>0</v>
      </c>
      <c r="M13" s="374"/>
      <c r="N13" s="374">
        <f t="shared" si="3"/>
        <v>0</v>
      </c>
      <c r="O13" s="374">
        <f t="shared" si="4"/>
        <v>0</v>
      </c>
      <c r="P13" s="644"/>
      <c r="Q13" s="640">
        <f t="shared" si="5"/>
        <v>0</v>
      </c>
      <c r="R13" s="641"/>
      <c r="S13" s="641">
        <f t="shared" si="6"/>
        <v>0</v>
      </c>
      <c r="T13" s="641">
        <f t="shared" si="7"/>
        <v>0</v>
      </c>
      <c r="U13" s="381"/>
      <c r="V13" s="624"/>
      <c r="W13" s="645"/>
      <c r="X13" s="646"/>
      <c r="Y13" s="646"/>
      <c r="Z13" s="646"/>
      <c r="AA13" s="647"/>
      <c r="AD13" s="625" t="s">
        <v>1327</v>
      </c>
    </row>
    <row r="14" spans="1:30" ht="0" hidden="1" customHeight="1">
      <c r="A14" s="1464"/>
      <c r="B14" s="643" t="s">
        <v>496</v>
      </c>
      <c r="C14" s="639">
        <f>'05 成本测算明细'!M448</f>
        <v>0</v>
      </c>
      <c r="D14" s="639">
        <f>'05 成本测算明细'!N448</f>
        <v>0</v>
      </c>
      <c r="E14" s="639">
        <f t="shared" si="0"/>
        <v>0</v>
      </c>
      <c r="F14" s="639">
        <f>'05 成本测算明细'!P448</f>
        <v>0</v>
      </c>
      <c r="G14" s="639">
        <f t="shared" si="1"/>
        <v>0</v>
      </c>
      <c r="H14" s="639">
        <f>'02 项目基础信息（输入）'!$E$39</f>
        <v>0</v>
      </c>
      <c r="I14" s="639">
        <f t="shared" si="2"/>
        <v>0</v>
      </c>
      <c r="J14" s="374"/>
      <c r="K14" s="374">
        <f>SUMIF('05 成本测算明细'!$S449:$S639,'04 目标成本控制表'!K$7,'05 成本测算明细'!$M449:$M639)</f>
        <v>0</v>
      </c>
      <c r="L14" s="374">
        <f>SUMIF('05 成本测算明细'!$S449:$S639,'04 目标成本控制表'!L$7,'05 成本测算明细'!$M449:$M639)</f>
        <v>0</v>
      </c>
      <c r="M14" s="374"/>
      <c r="N14" s="374">
        <f t="shared" si="3"/>
        <v>0</v>
      </c>
      <c r="O14" s="374">
        <f t="shared" si="4"/>
        <v>0</v>
      </c>
      <c r="P14" s="644"/>
      <c r="Q14" s="640">
        <f t="shared" si="5"/>
        <v>-2999.61429462159</v>
      </c>
      <c r="R14" s="641"/>
      <c r="S14" s="641">
        <f t="shared" si="6"/>
        <v>-1869.3238137696301</v>
      </c>
      <c r="T14" s="641">
        <f t="shared" si="7"/>
        <v>-1130.29048085197</v>
      </c>
      <c r="U14" s="381"/>
      <c r="V14" s="624"/>
      <c r="W14" s="620">
        <v>2999.61429462159</v>
      </c>
      <c r="X14" s="621">
        <v>2999.61429462159</v>
      </c>
      <c r="Y14" s="621"/>
      <c r="Z14" s="621">
        <v>1869.3238137696301</v>
      </c>
      <c r="AA14" s="622">
        <v>1130.29048085197</v>
      </c>
      <c r="AC14" s="1466" t="s">
        <v>1328</v>
      </c>
      <c r="AD14" s="625" t="s">
        <v>1329</v>
      </c>
    </row>
    <row r="15" spans="1:30" ht="14.25" customHeight="1">
      <c r="A15" s="1464"/>
      <c r="B15" s="643" t="s">
        <v>500</v>
      </c>
      <c r="C15" s="639">
        <f>'05 成本测算明细'!M641</f>
        <v>19954.021067000001</v>
      </c>
      <c r="D15" s="639">
        <f>'05 成本测算明细'!N641</f>
        <v>51879.834600000002</v>
      </c>
      <c r="E15" s="639">
        <f t="shared" si="0"/>
        <v>3846.1998232739165</v>
      </c>
      <c r="F15" s="639">
        <f>'05 成本测算明细'!P641</f>
        <v>51879.834600000002</v>
      </c>
      <c r="G15" s="639">
        <f t="shared" si="1"/>
        <v>3846.1998232739165</v>
      </c>
      <c r="H15" s="639">
        <f>'02 项目基础信息（输入）'!$E$42</f>
        <v>46191.064599999998</v>
      </c>
      <c r="I15" s="639">
        <f t="shared" si="2"/>
        <v>4319.8876752020133</v>
      </c>
      <c r="J15" s="374"/>
      <c r="K15" s="374">
        <f>SUMIF('05 成本测算明细'!$S642:$S832,'04 目标成本控制表'!K$7,'05 成本测算明细'!$M642:$M832)</f>
        <v>10215.822139</v>
      </c>
      <c r="L15" s="374">
        <f>SUMIF('05 成本测算明细'!$S642:$S832,'04 目标成本控制表'!L$7,'05 成本测算明细'!$M642:$M832)</f>
        <v>9738.1989279999998</v>
      </c>
      <c r="M15" s="374"/>
      <c r="N15" s="374">
        <f t="shared" si="3"/>
        <v>1969.1315937618658</v>
      </c>
      <c r="O15" s="374">
        <f t="shared" si="4"/>
        <v>1877.06822951205</v>
      </c>
      <c r="P15" s="644"/>
      <c r="Q15" s="640">
        <f t="shared" si="5"/>
        <v>771.81915473147637</v>
      </c>
      <c r="R15" s="641"/>
      <c r="S15" s="641">
        <f t="shared" si="6"/>
        <v>10.459995418085782</v>
      </c>
      <c r="T15" s="641">
        <f t="shared" si="7"/>
        <v>761.35915931339014</v>
      </c>
      <c r="U15" s="381"/>
      <c r="V15" s="624"/>
      <c r="W15" s="620">
        <v>3074.3806685424402</v>
      </c>
      <c r="X15" s="621">
        <v>3074.3806685424402</v>
      </c>
      <c r="Y15" s="621"/>
      <c r="Z15" s="621">
        <v>1958.67159834378</v>
      </c>
      <c r="AA15" s="622">
        <v>1115.7090701986599</v>
      </c>
      <c r="AC15" s="1466"/>
      <c r="AD15" s="625" t="s">
        <v>1330</v>
      </c>
    </row>
    <row r="16" spans="1:30" ht="0" hidden="1" customHeight="1">
      <c r="A16" s="1464"/>
      <c r="B16" s="643" t="s">
        <v>504</v>
      </c>
      <c r="C16" s="639">
        <f>'05 成本测算明细'!M834</f>
        <v>0</v>
      </c>
      <c r="D16" s="639">
        <f>'05 成本测算明细'!N834</f>
        <v>0</v>
      </c>
      <c r="E16" s="639">
        <f t="shared" si="0"/>
        <v>0</v>
      </c>
      <c r="F16" s="639">
        <f>'05 成本测算明细'!P834</f>
        <v>0</v>
      </c>
      <c r="G16" s="639">
        <f t="shared" si="1"/>
        <v>0</v>
      </c>
      <c r="H16" s="639">
        <f>'02 项目基础信息（输入）'!$E$45</f>
        <v>0</v>
      </c>
      <c r="I16" s="639">
        <f t="shared" si="2"/>
        <v>0</v>
      </c>
      <c r="J16" s="374"/>
      <c r="K16" s="374">
        <f>SUMIF('05 成本测算明细'!$S835:$S1025,'04 目标成本控制表'!K$7,'05 成本测算明细'!$M835:$M1025)</f>
        <v>0</v>
      </c>
      <c r="L16" s="374">
        <f>SUMIF('05 成本测算明细'!$S835:$S1025,'04 目标成本控制表'!L$7,'05 成本测算明细'!$M835:$M1025)</f>
        <v>0</v>
      </c>
      <c r="M16" s="374"/>
      <c r="N16" s="374">
        <f t="shared" si="3"/>
        <v>0</v>
      </c>
      <c r="O16" s="374">
        <f t="shared" si="4"/>
        <v>0</v>
      </c>
      <c r="P16" s="644"/>
      <c r="Q16" s="640">
        <f t="shared" si="5"/>
        <v>-2963.3941099683202</v>
      </c>
      <c r="R16" s="641"/>
      <c r="S16" s="641">
        <f t="shared" si="6"/>
        <v>-1854.1447774635801</v>
      </c>
      <c r="T16" s="641">
        <f t="shared" si="7"/>
        <v>-1109.2493325047401</v>
      </c>
      <c r="U16" s="381"/>
      <c r="V16" s="624"/>
      <c r="W16" s="620">
        <v>2963.3941099683202</v>
      </c>
      <c r="X16" s="621">
        <v>2963.3941099683202</v>
      </c>
      <c r="Y16" s="621"/>
      <c r="Z16" s="621">
        <v>1854.1447774635801</v>
      </c>
      <c r="AA16" s="622">
        <v>1109.2493325047401</v>
      </c>
      <c r="AC16" s="1466"/>
      <c r="AD16" s="625" t="s">
        <v>1331</v>
      </c>
    </row>
    <row r="17" spans="1:30" ht="0" hidden="1" customHeight="1">
      <c r="A17" s="1464"/>
      <c r="B17" s="643" t="s">
        <v>508</v>
      </c>
      <c r="C17" s="639">
        <f>'05 成本测算明细'!M1027</f>
        <v>0</v>
      </c>
      <c r="D17" s="639">
        <f>'05 成本测算明细'!N1027</f>
        <v>0</v>
      </c>
      <c r="E17" s="639">
        <f t="shared" si="0"/>
        <v>0</v>
      </c>
      <c r="F17" s="639">
        <f>'05 成本测算明细'!P1027</f>
        <v>0</v>
      </c>
      <c r="G17" s="639">
        <f t="shared" si="1"/>
        <v>0</v>
      </c>
      <c r="H17" s="639">
        <f>'02 项目基础信息（输入）'!$E$48</f>
        <v>0</v>
      </c>
      <c r="I17" s="639">
        <f t="shared" si="2"/>
        <v>0</v>
      </c>
      <c r="J17" s="374"/>
      <c r="K17" s="374">
        <f>SUMIF('05 成本测算明细'!$S1028:$S1218,'04 目标成本控制表'!K$7,'05 成本测算明细'!$M1028:$M1218)</f>
        <v>0</v>
      </c>
      <c r="L17" s="374">
        <f>SUMIF('05 成本测算明细'!$S1028:$S1218,'04 目标成本控制表'!L$7,'05 成本测算明细'!$M1028:$M1218)</f>
        <v>0</v>
      </c>
      <c r="M17" s="374"/>
      <c r="N17" s="374">
        <f t="shared" si="3"/>
        <v>0</v>
      </c>
      <c r="O17" s="374">
        <f t="shared" si="4"/>
        <v>0</v>
      </c>
      <c r="P17" s="644"/>
      <c r="Q17" s="640">
        <f t="shared" si="5"/>
        <v>0</v>
      </c>
      <c r="R17" s="641"/>
      <c r="S17" s="641">
        <f t="shared" si="6"/>
        <v>0</v>
      </c>
      <c r="T17" s="641">
        <f t="shared" si="7"/>
        <v>0</v>
      </c>
      <c r="U17" s="381"/>
      <c r="V17" s="624"/>
      <c r="W17" s="645"/>
      <c r="X17" s="646"/>
      <c r="Y17" s="646"/>
      <c r="Z17" s="646"/>
      <c r="AA17" s="647"/>
      <c r="AC17" s="1466" t="s">
        <v>1332</v>
      </c>
      <c r="AD17" s="625" t="s">
        <v>1333</v>
      </c>
    </row>
    <row r="18" spans="1:30" ht="0" hidden="1" customHeight="1">
      <c r="A18" s="1464"/>
      <c r="B18" s="643" t="s">
        <v>512</v>
      </c>
      <c r="C18" s="639">
        <f>'05 成本测算明细'!M1220</f>
        <v>0</v>
      </c>
      <c r="D18" s="639">
        <f>'05 成本测算明细'!N1220</f>
        <v>0</v>
      </c>
      <c r="E18" s="639">
        <f t="shared" si="0"/>
        <v>0</v>
      </c>
      <c r="F18" s="639">
        <f>'05 成本测算明细'!P1220</f>
        <v>0</v>
      </c>
      <c r="G18" s="639">
        <f t="shared" si="1"/>
        <v>0</v>
      </c>
      <c r="H18" s="639">
        <f>'02 项目基础信息（输入）'!$E$51</f>
        <v>0</v>
      </c>
      <c r="I18" s="639">
        <f t="shared" si="2"/>
        <v>0</v>
      </c>
      <c r="J18" s="374"/>
      <c r="K18" s="374">
        <f>SUMIF('05 成本测算明细'!$S1221:$S1411,'04 目标成本控制表'!K$7,'05 成本测算明细'!$M1221:$M1411)</f>
        <v>0</v>
      </c>
      <c r="L18" s="374">
        <f>SUMIF('05 成本测算明细'!$S1221:$S1411,'04 目标成本控制表'!L$7,'05 成本测算明细'!$M1221:$M1411)</f>
        <v>0</v>
      </c>
      <c r="M18" s="374"/>
      <c r="N18" s="374">
        <f t="shared" si="3"/>
        <v>0</v>
      </c>
      <c r="O18" s="374">
        <f t="shared" si="4"/>
        <v>0</v>
      </c>
      <c r="P18" s="644"/>
      <c r="Q18" s="640">
        <f t="shared" si="5"/>
        <v>0</v>
      </c>
      <c r="R18" s="641"/>
      <c r="S18" s="641">
        <f t="shared" si="6"/>
        <v>0</v>
      </c>
      <c r="T18" s="641">
        <f t="shared" si="7"/>
        <v>0</v>
      </c>
      <c r="U18" s="381"/>
      <c r="V18" s="624"/>
      <c r="W18" s="645"/>
      <c r="X18" s="646"/>
      <c r="Y18" s="646"/>
      <c r="Z18" s="646"/>
      <c r="AA18" s="647"/>
      <c r="AC18" s="1466"/>
      <c r="AD18" s="625" t="s">
        <v>1334</v>
      </c>
    </row>
    <row r="19" spans="1:30" ht="0" hidden="1" customHeight="1">
      <c r="A19" s="1464"/>
      <c r="B19" s="643" t="s">
        <v>516</v>
      </c>
      <c r="C19" s="639">
        <f>'05 成本测算明细'!M1413</f>
        <v>0</v>
      </c>
      <c r="D19" s="639">
        <f>'05 成本测算明细'!N1413</f>
        <v>0</v>
      </c>
      <c r="E19" s="639">
        <f t="shared" si="0"/>
        <v>0</v>
      </c>
      <c r="F19" s="639">
        <f>'05 成本测算明细'!P1413</f>
        <v>0</v>
      </c>
      <c r="G19" s="639">
        <f t="shared" si="1"/>
        <v>0</v>
      </c>
      <c r="H19" s="639">
        <f>'02 项目基础信息（输入）'!$E$54</f>
        <v>0</v>
      </c>
      <c r="I19" s="639">
        <f t="shared" si="2"/>
        <v>0</v>
      </c>
      <c r="J19" s="374"/>
      <c r="K19" s="374">
        <f>SUMIF('05 成本测算明细'!$S1414:$S1604,'04 目标成本控制表'!K$7,'05 成本测算明细'!$M1414:$M1604)</f>
        <v>0</v>
      </c>
      <c r="L19" s="374">
        <f>SUMIF('05 成本测算明细'!$S1414:$S1604,'04 目标成本控制表'!L$7,'05 成本测算明细'!$M1414:$M1604)</f>
        <v>0</v>
      </c>
      <c r="M19" s="374"/>
      <c r="N19" s="374">
        <f t="shared" si="3"/>
        <v>0</v>
      </c>
      <c r="O19" s="374">
        <f t="shared" si="4"/>
        <v>0</v>
      </c>
      <c r="P19" s="644"/>
      <c r="Q19" s="640">
        <f t="shared" si="5"/>
        <v>0</v>
      </c>
      <c r="R19" s="641"/>
      <c r="S19" s="641">
        <f t="shared" si="6"/>
        <v>0</v>
      </c>
      <c r="T19" s="641">
        <f t="shared" si="7"/>
        <v>0</v>
      </c>
      <c r="U19" s="381"/>
      <c r="V19" s="624"/>
      <c r="W19" s="645"/>
      <c r="X19" s="646"/>
      <c r="Y19" s="646"/>
      <c r="Z19" s="646"/>
      <c r="AA19" s="647"/>
      <c r="AC19" s="1466"/>
      <c r="AD19" s="642" t="s">
        <v>1335</v>
      </c>
    </row>
    <row r="20" spans="1:30" ht="0" hidden="1" customHeight="1">
      <c r="A20" s="1464"/>
      <c r="B20" s="643" t="s">
        <v>520</v>
      </c>
      <c r="C20" s="639">
        <f>'05 成本测算明细'!M1606</f>
        <v>0</v>
      </c>
      <c r="D20" s="639">
        <f>'05 成本测算明细'!N1606</f>
        <v>0</v>
      </c>
      <c r="E20" s="639">
        <f t="shared" si="0"/>
        <v>0</v>
      </c>
      <c r="F20" s="639">
        <f>'05 成本测算明细'!P1606</f>
        <v>0</v>
      </c>
      <c r="G20" s="639">
        <f t="shared" si="1"/>
        <v>0</v>
      </c>
      <c r="H20" s="639">
        <f>'02 项目基础信息（输入）'!$E$57</f>
        <v>0</v>
      </c>
      <c r="I20" s="639">
        <f t="shared" si="2"/>
        <v>0</v>
      </c>
      <c r="J20" s="374"/>
      <c r="K20" s="374">
        <f>SUMIF('05 成本测算明细'!$S1607:$S1797,'04 目标成本控制表'!K$7,'05 成本测算明细'!$M1607:$M1797)</f>
        <v>0</v>
      </c>
      <c r="L20" s="374">
        <f>SUMIF('05 成本测算明细'!$S1607:$S1797,'04 目标成本控制表'!L$7,'05 成本测算明细'!$M1607:$M1797)</f>
        <v>0</v>
      </c>
      <c r="M20" s="374"/>
      <c r="N20" s="374">
        <f t="shared" si="3"/>
        <v>0</v>
      </c>
      <c r="O20" s="374">
        <f t="shared" si="4"/>
        <v>0</v>
      </c>
      <c r="P20" s="644"/>
      <c r="Q20" s="640">
        <f t="shared" si="5"/>
        <v>0</v>
      </c>
      <c r="R20" s="641"/>
      <c r="S20" s="641">
        <f t="shared" si="6"/>
        <v>0</v>
      </c>
      <c r="T20" s="641">
        <f t="shared" si="7"/>
        <v>0</v>
      </c>
      <c r="U20" s="381"/>
      <c r="V20" s="624"/>
      <c r="W20" s="645"/>
      <c r="X20" s="646"/>
      <c r="Y20" s="646"/>
      <c r="Z20" s="646"/>
      <c r="AA20" s="647"/>
      <c r="AC20" s="1466"/>
      <c r="AD20" s="642" t="s">
        <v>1336</v>
      </c>
    </row>
    <row r="21" spans="1:30" ht="0" hidden="1" customHeight="1">
      <c r="A21" s="1464"/>
      <c r="B21" s="643" t="s">
        <v>524</v>
      </c>
      <c r="C21" s="639">
        <f>'05 成本测算明细'!M1799</f>
        <v>0</v>
      </c>
      <c r="D21" s="639">
        <f>'05 成本测算明细'!N1799</f>
        <v>0</v>
      </c>
      <c r="E21" s="639">
        <f t="shared" si="0"/>
        <v>0</v>
      </c>
      <c r="F21" s="639">
        <f>'05 成本测算明细'!P1799</f>
        <v>0</v>
      </c>
      <c r="G21" s="639">
        <f t="shared" si="1"/>
        <v>0</v>
      </c>
      <c r="H21" s="639">
        <f>'02 项目基础信息（输入）'!$E$60</f>
        <v>0</v>
      </c>
      <c r="I21" s="639">
        <f t="shared" si="2"/>
        <v>0</v>
      </c>
      <c r="J21" s="374"/>
      <c r="K21" s="374">
        <f>SUMIF('05 成本测算明细'!$S1799:$S1990,'04 目标成本控制表'!K$7,'05 成本测算明细'!$M1799:$M1990)</f>
        <v>0</v>
      </c>
      <c r="L21" s="374">
        <f>SUMIF('05 成本测算明细'!$S1799:$S1990,'04 目标成本控制表'!L$7,'05 成本测算明细'!$M1799:$M1990)</f>
        <v>0</v>
      </c>
      <c r="M21" s="374"/>
      <c r="N21" s="374">
        <f t="shared" si="3"/>
        <v>0</v>
      </c>
      <c r="O21" s="374">
        <f t="shared" si="4"/>
        <v>0</v>
      </c>
      <c r="P21" s="644"/>
      <c r="Q21" s="640">
        <f t="shared" si="5"/>
        <v>0</v>
      </c>
      <c r="R21" s="641"/>
      <c r="S21" s="641">
        <f t="shared" si="6"/>
        <v>0</v>
      </c>
      <c r="T21" s="641">
        <f t="shared" si="7"/>
        <v>0</v>
      </c>
      <c r="U21" s="381"/>
      <c r="V21" s="624"/>
      <c r="W21" s="645"/>
      <c r="X21" s="646"/>
      <c r="Y21" s="646"/>
      <c r="Z21" s="646"/>
      <c r="AA21" s="647"/>
      <c r="AC21" s="1466"/>
      <c r="AD21" s="642" t="s">
        <v>1337</v>
      </c>
    </row>
    <row r="22" spans="1:30" ht="0" hidden="1" customHeight="1">
      <c r="A22" s="1464"/>
      <c r="B22" s="643" t="s">
        <v>528</v>
      </c>
      <c r="C22" s="639">
        <f>'05 成本测算明细'!M1992</f>
        <v>0</v>
      </c>
      <c r="D22" s="639">
        <f>'05 成本测算明细'!N1992</f>
        <v>0</v>
      </c>
      <c r="E22" s="639">
        <f t="shared" si="0"/>
        <v>0</v>
      </c>
      <c r="F22" s="639">
        <f>'05 成本测算明细'!P1992</f>
        <v>0</v>
      </c>
      <c r="G22" s="639">
        <f t="shared" si="1"/>
        <v>0</v>
      </c>
      <c r="H22" s="639">
        <f>'02 项目基础信息（输入）'!$E$63</f>
        <v>0</v>
      </c>
      <c r="I22" s="639">
        <f t="shared" si="2"/>
        <v>0</v>
      </c>
      <c r="J22" s="374"/>
      <c r="K22" s="374">
        <f>C22</f>
        <v>0</v>
      </c>
      <c r="L22" s="374"/>
      <c r="M22" s="374"/>
      <c r="N22" s="374">
        <f t="shared" si="3"/>
        <v>0</v>
      </c>
      <c r="O22" s="374"/>
      <c r="Q22" s="640">
        <f t="shared" si="5"/>
        <v>0</v>
      </c>
      <c r="R22" s="641"/>
      <c r="S22" s="641">
        <f t="shared" si="6"/>
        <v>0</v>
      </c>
      <c r="T22" s="641">
        <f t="shared" si="7"/>
        <v>0</v>
      </c>
      <c r="U22" s="381"/>
      <c r="V22" s="624"/>
      <c r="W22" s="649"/>
      <c r="X22" s="650"/>
      <c r="Y22" s="650"/>
      <c r="Z22" s="650"/>
      <c r="AA22" s="651"/>
      <c r="AC22" s="1466"/>
      <c r="AD22" s="625" t="s">
        <v>1338</v>
      </c>
    </row>
    <row r="23" spans="1:30" ht="14.25" customHeight="1">
      <c r="A23" s="1464"/>
      <c r="B23" s="643" t="s">
        <v>532</v>
      </c>
      <c r="C23" s="639">
        <f>'05 成本测算明细'!M2185</f>
        <v>454.02508899999998</v>
      </c>
      <c r="D23" s="639">
        <f>'05 成本测算明细'!N2185</f>
        <v>815</v>
      </c>
      <c r="E23" s="639">
        <f t="shared" si="0"/>
        <v>5570.8599877300612</v>
      </c>
      <c r="F23" s="639">
        <f>'05 成本测算明细'!P2185</f>
        <v>815</v>
      </c>
      <c r="G23" s="639">
        <f t="shared" si="1"/>
        <v>5570.8599877300612</v>
      </c>
      <c r="H23" s="639">
        <f>'02 项目基础信息（输入）'!$E$66</f>
        <v>0</v>
      </c>
      <c r="I23" s="639">
        <f t="shared" si="2"/>
        <v>0</v>
      </c>
      <c r="J23" s="374"/>
      <c r="K23" s="374">
        <f>C23</f>
        <v>454.02508899999998</v>
      </c>
      <c r="L23" s="374"/>
      <c r="M23" s="374"/>
      <c r="N23" s="374">
        <f t="shared" si="3"/>
        <v>5570.8599877300612</v>
      </c>
      <c r="O23" s="374"/>
      <c r="Q23" s="640">
        <f t="shared" si="5"/>
        <v>5570.8599877300612</v>
      </c>
      <c r="R23" s="641"/>
      <c r="S23" s="641">
        <f t="shared" si="6"/>
        <v>5570.8599877300612</v>
      </c>
      <c r="T23" s="641">
        <f t="shared" si="7"/>
        <v>0</v>
      </c>
      <c r="U23" s="381"/>
      <c r="V23" s="624"/>
      <c r="W23" s="649"/>
      <c r="X23" s="650"/>
      <c r="Y23" s="650"/>
      <c r="Z23" s="650"/>
      <c r="AA23" s="651"/>
      <c r="AC23" s="1466"/>
      <c r="AD23" s="625" t="s">
        <v>1339</v>
      </c>
    </row>
    <row r="24" spans="1:30" ht="0" hidden="1" customHeight="1">
      <c r="A24" s="1464"/>
      <c r="B24" s="652" t="s">
        <v>964</v>
      </c>
      <c r="C24" s="639">
        <f>'05 成本测算明细'!M2378</f>
        <v>0</v>
      </c>
      <c r="D24" s="639">
        <f>'05 成本测算明细'!N2378</f>
        <v>0</v>
      </c>
      <c r="E24" s="639">
        <f t="shared" si="0"/>
        <v>0</v>
      </c>
      <c r="F24" s="639">
        <f>'05 成本测算明细'!P2378</f>
        <v>0</v>
      </c>
      <c r="G24" s="639">
        <f t="shared" si="1"/>
        <v>0</v>
      </c>
      <c r="H24" s="639">
        <f t="shared" ref="H24:H31" si="8">D24</f>
        <v>0</v>
      </c>
      <c r="I24" s="639">
        <f t="shared" si="2"/>
        <v>0</v>
      </c>
      <c r="J24" s="374"/>
      <c r="K24" s="374">
        <f>SUMIF('05 成本测算明细'!$S2378:$S2484,'04 目标成本控制表'!K$7,'05 成本测算明细'!$M2378:$M2484)</f>
        <v>0</v>
      </c>
      <c r="L24" s="374">
        <f>SUMIF('05 成本测算明细'!$S2378:$S2484,'04 目标成本控制表'!L$7,'05 成本测算明细'!$M2378:$M2484)</f>
        <v>0</v>
      </c>
      <c r="M24" s="374"/>
      <c r="N24" s="374">
        <f t="shared" si="3"/>
        <v>0</v>
      </c>
      <c r="O24" s="374">
        <f t="shared" ref="O24:O31" si="9">IF($D24=0,0,L24/$D24*10000)</f>
        <v>0</v>
      </c>
      <c r="Q24" s="640">
        <f t="shared" si="5"/>
        <v>0</v>
      </c>
      <c r="R24" s="641"/>
      <c r="S24" s="641">
        <f t="shared" si="6"/>
        <v>0</v>
      </c>
      <c r="T24" s="641">
        <f t="shared" si="7"/>
        <v>0</v>
      </c>
      <c r="U24" s="381"/>
      <c r="V24" s="624"/>
      <c r="W24" s="620"/>
      <c r="X24" s="621">
        <v>0</v>
      </c>
      <c r="Y24" s="621"/>
      <c r="Z24" s="621">
        <v>0</v>
      </c>
      <c r="AA24" s="622">
        <v>0</v>
      </c>
      <c r="AC24" s="1466"/>
      <c r="AD24" s="625" t="s">
        <v>1340</v>
      </c>
    </row>
    <row r="25" spans="1:30" ht="0" hidden="1" customHeight="1">
      <c r="A25" s="1464"/>
      <c r="B25" s="652" t="s">
        <v>621</v>
      </c>
      <c r="C25" s="639">
        <f>'05 成本测算明细'!M2485</f>
        <v>0</v>
      </c>
      <c r="D25" s="639">
        <f>'05 成本测算明细'!N2485</f>
        <v>0</v>
      </c>
      <c r="E25" s="639">
        <f t="shared" si="0"/>
        <v>0</v>
      </c>
      <c r="F25" s="639">
        <f>'05 成本测算明细'!P2485</f>
        <v>0</v>
      </c>
      <c r="G25" s="639">
        <f t="shared" si="1"/>
        <v>0</v>
      </c>
      <c r="H25" s="639">
        <f t="shared" si="8"/>
        <v>0</v>
      </c>
      <c r="I25" s="639">
        <f t="shared" si="2"/>
        <v>0</v>
      </c>
      <c r="J25" s="374"/>
      <c r="K25" s="374">
        <f>SUMIF('05 成本测算明细'!$S2485:$S2712,'04 目标成本控制表'!K$7,'05 成本测算明细'!$M2485:$M2712)</f>
        <v>0</v>
      </c>
      <c r="L25" s="374">
        <f>SUMIF('05 成本测算明细'!$S2485:$S2712,'04 目标成本控制表'!L$7,'05 成本测算明细'!$M2485:$M2712)</f>
        <v>0</v>
      </c>
      <c r="M25" s="374"/>
      <c r="N25" s="374">
        <f t="shared" si="3"/>
        <v>0</v>
      </c>
      <c r="O25" s="374">
        <f t="shared" si="9"/>
        <v>0</v>
      </c>
      <c r="Q25" s="640">
        <f t="shared" si="5"/>
        <v>0</v>
      </c>
      <c r="R25" s="641"/>
      <c r="S25" s="641">
        <f t="shared" si="6"/>
        <v>0</v>
      </c>
      <c r="T25" s="641">
        <f t="shared" si="7"/>
        <v>0</v>
      </c>
      <c r="U25" s="381"/>
      <c r="V25" s="624"/>
      <c r="W25" s="382"/>
      <c r="X25" s="383">
        <f>I25</f>
        <v>0</v>
      </c>
      <c r="Y25" s="383"/>
      <c r="Z25" s="383">
        <f t="shared" ref="Z25:AA27" si="10">N25</f>
        <v>0</v>
      </c>
      <c r="AA25" s="387">
        <f t="shared" si="10"/>
        <v>0</v>
      </c>
      <c r="AC25" s="1466"/>
      <c r="AD25" s="625" t="s">
        <v>1341</v>
      </c>
    </row>
    <row r="26" spans="1:30" ht="0" hidden="1" customHeight="1">
      <c r="A26" s="1464"/>
      <c r="B26" s="652" t="s">
        <v>625</v>
      </c>
      <c r="C26" s="639">
        <f>'05 成本测算明细'!M2713</f>
        <v>0</v>
      </c>
      <c r="D26" s="639">
        <f>'05 成本测算明细'!N2713</f>
        <v>0</v>
      </c>
      <c r="E26" s="639">
        <f t="shared" si="0"/>
        <v>0</v>
      </c>
      <c r="F26" s="639">
        <f>'05 成本测算明细'!P2713</f>
        <v>0</v>
      </c>
      <c r="G26" s="639">
        <f t="shared" si="1"/>
        <v>0</v>
      </c>
      <c r="H26" s="639">
        <f t="shared" si="8"/>
        <v>0</v>
      </c>
      <c r="I26" s="639">
        <f t="shared" si="2"/>
        <v>0</v>
      </c>
      <c r="J26" s="374"/>
      <c r="K26" s="374">
        <f>SUMIF('05 成本测算明细'!$S2713:$S2939,'04 目标成本控制表'!K$7,'05 成本测算明细'!$M2713:$M2939)</f>
        <v>0</v>
      </c>
      <c r="L26" s="374">
        <f>SUMIF('05 成本测算明细'!$S2713:$S2939,'04 目标成本控制表'!L$7,'05 成本测算明细'!$M2713:$M2939)</f>
        <v>0</v>
      </c>
      <c r="M26" s="374"/>
      <c r="N26" s="374">
        <f t="shared" si="3"/>
        <v>0</v>
      </c>
      <c r="O26" s="374">
        <f t="shared" si="9"/>
        <v>0</v>
      </c>
      <c r="Q26" s="640">
        <f t="shared" si="5"/>
        <v>0</v>
      </c>
      <c r="R26" s="641"/>
      <c r="S26" s="641">
        <f t="shared" si="6"/>
        <v>0</v>
      </c>
      <c r="T26" s="641">
        <f t="shared" si="7"/>
        <v>0</v>
      </c>
      <c r="U26" s="381"/>
      <c r="V26" s="624"/>
      <c r="W26" s="382"/>
      <c r="X26" s="383">
        <f>I26</f>
        <v>0</v>
      </c>
      <c r="Y26" s="383"/>
      <c r="Z26" s="383">
        <f t="shared" si="10"/>
        <v>0</v>
      </c>
      <c r="AA26" s="387">
        <f t="shared" si="10"/>
        <v>0</v>
      </c>
      <c r="AC26" s="1466"/>
      <c r="AD26" s="625" t="s">
        <v>1342</v>
      </c>
    </row>
    <row r="27" spans="1:30" ht="0" hidden="1" customHeight="1">
      <c r="A27" s="1464"/>
      <c r="B27" s="652" t="s">
        <v>629</v>
      </c>
      <c r="C27" s="639">
        <f>'05 成本测算明细'!M2940</f>
        <v>0</v>
      </c>
      <c r="D27" s="639">
        <f>'05 成本测算明细'!N2940</f>
        <v>0</v>
      </c>
      <c r="E27" s="639">
        <f t="shared" si="0"/>
        <v>0</v>
      </c>
      <c r="F27" s="639">
        <f>'05 成本测算明细'!P2940</f>
        <v>0</v>
      </c>
      <c r="G27" s="639">
        <f t="shared" si="1"/>
        <v>0</v>
      </c>
      <c r="H27" s="639">
        <f t="shared" si="8"/>
        <v>0</v>
      </c>
      <c r="I27" s="639">
        <f t="shared" si="2"/>
        <v>0</v>
      </c>
      <c r="J27" s="374"/>
      <c r="K27" s="374">
        <f>SUMIF('05 成本测算明细'!$S2940:$S3210,'04 目标成本控制表'!K$7,'05 成本测算明细'!$M2940:$M3210)</f>
        <v>0</v>
      </c>
      <c r="L27" s="374">
        <f>SUMIF('05 成本测算明细'!$S2940:$S3210,'04 目标成本控制表'!L$7,'05 成本测算明细'!$M2940:$M3210)</f>
        <v>0</v>
      </c>
      <c r="M27" s="374"/>
      <c r="N27" s="374">
        <f t="shared" si="3"/>
        <v>0</v>
      </c>
      <c r="O27" s="374">
        <f t="shared" si="9"/>
        <v>0</v>
      </c>
      <c r="Q27" s="640">
        <f t="shared" si="5"/>
        <v>0</v>
      </c>
      <c r="R27" s="641"/>
      <c r="S27" s="641">
        <f t="shared" si="6"/>
        <v>0</v>
      </c>
      <c r="T27" s="641">
        <f t="shared" si="7"/>
        <v>0</v>
      </c>
      <c r="U27" s="381"/>
      <c r="V27" s="624"/>
      <c r="W27" s="382"/>
      <c r="X27" s="383">
        <f>I27</f>
        <v>0</v>
      </c>
      <c r="Y27" s="383"/>
      <c r="Z27" s="383">
        <f t="shared" si="10"/>
        <v>0</v>
      </c>
      <c r="AA27" s="387">
        <f t="shared" si="10"/>
        <v>0</v>
      </c>
      <c r="AC27" s="1466"/>
      <c r="AD27" s="625" t="s">
        <v>1343</v>
      </c>
    </row>
    <row r="28" spans="1:30" ht="0" hidden="1" customHeight="1">
      <c r="A28" s="1464"/>
      <c r="B28" s="652" t="s">
        <v>1344</v>
      </c>
      <c r="C28" s="639">
        <f>'05 成本测算明细'!M3211</f>
        <v>0</v>
      </c>
      <c r="D28" s="639">
        <f>'05 成本测算明细'!N3211</f>
        <v>0</v>
      </c>
      <c r="E28" s="639">
        <f t="shared" si="0"/>
        <v>0</v>
      </c>
      <c r="F28" s="639">
        <f>'05 成本测算明细'!P3211</f>
        <v>0</v>
      </c>
      <c r="G28" s="639">
        <f t="shared" si="1"/>
        <v>0</v>
      </c>
      <c r="H28" s="639">
        <f t="shared" si="8"/>
        <v>0</v>
      </c>
      <c r="I28" s="639">
        <f t="shared" si="2"/>
        <v>0</v>
      </c>
      <c r="J28" s="374"/>
      <c r="K28" s="374">
        <f>SUMIF('05 成本测算明细'!$S3211:$S3438,'04 目标成本控制表'!K$7,'05 成本测算明细'!$M3211:$M3438)</f>
        <v>0</v>
      </c>
      <c r="L28" s="374">
        <f>SUMIF('05 成本测算明细'!$S3211:$S3438,'04 目标成本控制表'!L$7,'05 成本测算明细'!$M3211:$M3438)</f>
        <v>0</v>
      </c>
      <c r="M28" s="374"/>
      <c r="N28" s="374">
        <f t="shared" si="3"/>
        <v>0</v>
      </c>
      <c r="O28" s="374">
        <f t="shared" si="9"/>
        <v>0</v>
      </c>
      <c r="Q28" s="640">
        <f t="shared" si="5"/>
        <v>0</v>
      </c>
      <c r="R28" s="641"/>
      <c r="S28" s="641">
        <f t="shared" si="6"/>
        <v>0</v>
      </c>
      <c r="T28" s="641">
        <f t="shared" si="7"/>
        <v>0</v>
      </c>
      <c r="U28" s="381"/>
      <c r="V28" s="624"/>
      <c r="W28" s="653"/>
      <c r="X28" s="654"/>
      <c r="Y28" s="654"/>
      <c r="Z28" s="654"/>
      <c r="AA28" s="655"/>
      <c r="AC28" s="1466"/>
      <c r="AD28" s="625" t="s">
        <v>1345</v>
      </c>
    </row>
    <row r="29" spans="1:30" ht="0" hidden="1" customHeight="1">
      <c r="A29" s="1464"/>
      <c r="B29" s="652" t="s">
        <v>637</v>
      </c>
      <c r="C29" s="639">
        <f>'05 成本测算明细'!M3439</f>
        <v>0</v>
      </c>
      <c r="D29" s="639">
        <f>'05 成本测算明细'!N3439</f>
        <v>0</v>
      </c>
      <c r="E29" s="639">
        <f t="shared" si="0"/>
        <v>0</v>
      </c>
      <c r="F29" s="639">
        <f>'05 成本测算明细'!P3439</f>
        <v>0</v>
      </c>
      <c r="G29" s="639">
        <f t="shared" si="1"/>
        <v>0</v>
      </c>
      <c r="H29" s="639">
        <f t="shared" si="8"/>
        <v>0</v>
      </c>
      <c r="I29" s="639">
        <f t="shared" si="2"/>
        <v>0</v>
      </c>
      <c r="J29" s="374"/>
      <c r="K29" s="374">
        <f>SUMIF('05 成本测算明细'!$S3439:$S3665,'04 目标成本控制表'!K$7,'05 成本测算明细'!$M3439:$M3665)</f>
        <v>0</v>
      </c>
      <c r="L29" s="374">
        <f>SUMIF('05 成本测算明细'!$S3439:$S3665,'04 目标成本控制表'!L$7,'05 成本测算明细'!$M3439:$M3665)</f>
        <v>0</v>
      </c>
      <c r="M29" s="374"/>
      <c r="N29" s="374">
        <f t="shared" si="3"/>
        <v>0</v>
      </c>
      <c r="O29" s="374">
        <f t="shared" si="9"/>
        <v>0</v>
      </c>
      <c r="Q29" s="640">
        <f t="shared" si="5"/>
        <v>0</v>
      </c>
      <c r="R29" s="641"/>
      <c r="S29" s="641">
        <f t="shared" si="6"/>
        <v>0</v>
      </c>
      <c r="T29" s="641">
        <f t="shared" si="7"/>
        <v>0</v>
      </c>
      <c r="U29" s="381"/>
      <c r="V29" s="624"/>
      <c r="W29" s="653"/>
      <c r="X29" s="654"/>
      <c r="Y29" s="654"/>
      <c r="Z29" s="654"/>
      <c r="AA29" s="655"/>
      <c r="AC29" s="1466"/>
      <c r="AD29" s="625" t="s">
        <v>1346</v>
      </c>
    </row>
    <row r="30" spans="1:30" ht="0" hidden="1" customHeight="1">
      <c r="A30" s="1464"/>
      <c r="B30" s="652" t="s">
        <v>641</v>
      </c>
      <c r="C30" s="639">
        <f>'05 成本测算明细'!M3666</f>
        <v>0</v>
      </c>
      <c r="D30" s="639">
        <f>'05 成本测算明细'!N3666</f>
        <v>0</v>
      </c>
      <c r="E30" s="639">
        <f t="shared" si="0"/>
        <v>0</v>
      </c>
      <c r="F30" s="639">
        <f>'05 成本测算明细'!P3666</f>
        <v>0</v>
      </c>
      <c r="G30" s="639">
        <f t="shared" si="1"/>
        <v>0</v>
      </c>
      <c r="H30" s="639">
        <f t="shared" si="8"/>
        <v>0</v>
      </c>
      <c r="I30" s="639">
        <f t="shared" si="2"/>
        <v>0</v>
      </c>
      <c r="J30" s="374"/>
      <c r="K30" s="374">
        <f>SUMIF('05 成本测算明细'!$S3666:$S3892,'04 目标成本控制表'!K$7,'05 成本测算明细'!$M3666:$M3892)</f>
        <v>0</v>
      </c>
      <c r="L30" s="374">
        <f>SUMIF('05 成本测算明细'!$S3666:$S3892,'04 目标成本控制表'!L$7,'05 成本测算明细'!$M3666:$M3892)</f>
        <v>0</v>
      </c>
      <c r="M30" s="374"/>
      <c r="N30" s="374">
        <f t="shared" si="3"/>
        <v>0</v>
      </c>
      <c r="O30" s="374">
        <f t="shared" si="9"/>
        <v>0</v>
      </c>
      <c r="Q30" s="640">
        <f t="shared" si="5"/>
        <v>0</v>
      </c>
      <c r="R30" s="641"/>
      <c r="S30" s="641">
        <f t="shared" si="6"/>
        <v>0</v>
      </c>
      <c r="T30" s="641">
        <f t="shared" si="7"/>
        <v>0</v>
      </c>
      <c r="U30" s="381"/>
      <c r="V30" s="624"/>
      <c r="W30" s="653"/>
      <c r="X30" s="654"/>
      <c r="Y30" s="654"/>
      <c r="Z30" s="654"/>
      <c r="AA30" s="655"/>
      <c r="AC30" s="1466"/>
      <c r="AD30" s="625" t="s">
        <v>1347</v>
      </c>
    </row>
    <row r="31" spans="1:30" ht="0" hidden="1" customHeight="1">
      <c r="A31" s="1465"/>
      <c r="B31" s="652" t="s">
        <v>645</v>
      </c>
      <c r="C31" s="639">
        <f>'05 成本测算明细'!M3893</f>
        <v>0</v>
      </c>
      <c r="D31" s="639">
        <f>'05 成本测算明细'!N3893</f>
        <v>0</v>
      </c>
      <c r="E31" s="639">
        <f t="shared" si="0"/>
        <v>0</v>
      </c>
      <c r="F31" s="639">
        <f>'05 成本测算明细'!P3896</f>
        <v>0</v>
      </c>
      <c r="G31" s="639">
        <f t="shared" si="1"/>
        <v>0</v>
      </c>
      <c r="H31" s="639">
        <f t="shared" si="8"/>
        <v>0</v>
      </c>
      <c r="I31" s="639">
        <f t="shared" si="2"/>
        <v>0</v>
      </c>
      <c r="J31" s="374"/>
      <c r="K31" s="374">
        <f ca="1">SUMIF('05 成本测算明细'!$S3893:$S41717,'04 目标成本控制表'!K$7,'05 成本测算明细'!$M3893:$M4163)</f>
        <v>0</v>
      </c>
      <c r="L31" s="374">
        <f>SUMIF('05 成本测算明细'!$S3893:$S4163,'04 目标成本控制表'!L$7,'05 成本测算明细'!$M3893:$M4163)</f>
        <v>0</v>
      </c>
      <c r="M31" s="374"/>
      <c r="N31" s="374">
        <f t="shared" si="3"/>
        <v>0</v>
      </c>
      <c r="O31" s="374">
        <f t="shared" si="9"/>
        <v>0</v>
      </c>
      <c r="Q31" s="640">
        <f t="shared" si="5"/>
        <v>0</v>
      </c>
      <c r="R31" s="641"/>
      <c r="S31" s="641">
        <f t="shared" si="6"/>
        <v>0</v>
      </c>
      <c r="T31" s="641">
        <f t="shared" si="7"/>
        <v>0</v>
      </c>
      <c r="U31" s="381"/>
      <c r="V31" s="624"/>
      <c r="W31" s="653"/>
      <c r="X31" s="654"/>
      <c r="Y31" s="654"/>
      <c r="Z31" s="654"/>
      <c r="AA31" s="655"/>
      <c r="AC31" s="648"/>
      <c r="AD31" s="625" t="s">
        <v>1348</v>
      </c>
    </row>
    <row r="32" spans="1:30" ht="14.25" customHeight="1">
      <c r="A32" s="1462" t="s">
        <v>229</v>
      </c>
      <c r="B32" s="1462"/>
      <c r="C32" s="639">
        <f>'05 成本测算明细'!M4164</f>
        <v>3162.252962</v>
      </c>
      <c r="D32" s="639">
        <f>'05 成本测算明细'!N4164</f>
        <v>74626.7546</v>
      </c>
      <c r="E32" s="639">
        <f t="shared" si="0"/>
        <v>423.74252758942839</v>
      </c>
      <c r="F32" s="639">
        <f>'05 成本测算明细'!P4164</f>
        <v>74626.7546</v>
      </c>
      <c r="G32" s="639">
        <f t="shared" si="1"/>
        <v>423.74252758942839</v>
      </c>
      <c r="H32" s="639">
        <f>'02 项目基础信息（输入）'!$E$69</f>
        <v>46191.064599999998</v>
      </c>
      <c r="I32" s="639">
        <f t="shared" si="2"/>
        <v>684.60274500795992</v>
      </c>
      <c r="J32" s="374">
        <f>C32</f>
        <v>3162.252962</v>
      </c>
      <c r="K32" s="374"/>
      <c r="L32" s="374"/>
      <c r="M32" s="374">
        <f>IFERROR(J32/$F$4*10000,0)</f>
        <v>423.74252758942833</v>
      </c>
      <c r="N32" s="374"/>
      <c r="O32" s="374"/>
      <c r="Q32" s="640">
        <f t="shared" si="5"/>
        <v>423.74252758942839</v>
      </c>
      <c r="R32" s="641">
        <f>M32-Y32</f>
        <v>30.317854740885309</v>
      </c>
      <c r="S32" s="641"/>
      <c r="T32" s="641"/>
      <c r="U32" s="381"/>
      <c r="V32" s="624"/>
      <c r="W32" s="620"/>
      <c r="X32" s="621">
        <v>571.84657913772298</v>
      </c>
      <c r="Y32" s="621">
        <v>393.42467284854303</v>
      </c>
      <c r="Z32" s="621"/>
      <c r="AA32" s="622"/>
      <c r="AD32" s="625" t="s">
        <v>1349</v>
      </c>
    </row>
    <row r="33" spans="1:30" ht="14.25" customHeight="1">
      <c r="A33" s="1462" t="s">
        <v>230</v>
      </c>
      <c r="B33" s="1462"/>
      <c r="C33" s="639">
        <f>'05 成本测算明细'!M4190</f>
        <v>1963.20388</v>
      </c>
      <c r="D33" s="639">
        <f>'05 成本测算明细'!N4190</f>
        <v>18786.64</v>
      </c>
      <c r="E33" s="639">
        <f t="shared" si="0"/>
        <v>1045</v>
      </c>
      <c r="F33" s="639">
        <f>D33</f>
        <v>18786.64</v>
      </c>
      <c r="G33" s="639">
        <f t="shared" si="1"/>
        <v>1045</v>
      </c>
      <c r="H33" s="639">
        <f>'02 项目基础信息（输入）'!$E$69</f>
        <v>46191.064599999998</v>
      </c>
      <c r="I33" s="639">
        <f t="shared" si="2"/>
        <v>425.0181062074937</v>
      </c>
      <c r="J33" s="374"/>
      <c r="K33" s="374"/>
      <c r="L33" s="374">
        <f>C33</f>
        <v>1963.20388</v>
      </c>
      <c r="M33" s="374"/>
      <c r="N33" s="374"/>
      <c r="O33" s="374">
        <f>IFERROR(L33/$F$4*10000,0)</f>
        <v>263.06971146243575</v>
      </c>
      <c r="Q33" s="640">
        <f t="shared" si="5"/>
        <v>1045</v>
      </c>
      <c r="R33" s="641"/>
      <c r="S33" s="641"/>
      <c r="T33" s="641">
        <f>O33-AA33</f>
        <v>83.069708344719743</v>
      </c>
      <c r="U33" s="381"/>
      <c r="V33" s="624"/>
      <c r="W33" s="620"/>
      <c r="X33" s="621">
        <v>261.631750958515</v>
      </c>
      <c r="Y33" s="621"/>
      <c r="Z33" s="621"/>
      <c r="AA33" s="622">
        <v>180.00000311771601</v>
      </c>
      <c r="AD33" s="625" t="s">
        <v>1350</v>
      </c>
    </row>
    <row r="34" spans="1:30" ht="14.25" customHeight="1">
      <c r="A34" s="1462" t="s">
        <v>1351</v>
      </c>
      <c r="B34" s="638" t="s">
        <v>649</v>
      </c>
      <c r="C34" s="639">
        <f>'05 成本测算明细'!M4241</f>
        <v>13857.319380000001</v>
      </c>
      <c r="D34" s="639">
        <f>'05 成本测算明细'!N4241</f>
        <v>46191.064599999998</v>
      </c>
      <c r="E34" s="639">
        <f t="shared" si="0"/>
        <v>3000.0000000000005</v>
      </c>
      <c r="F34" s="639">
        <f>'05 成本测算明细'!P4241</f>
        <v>46191.064599999998</v>
      </c>
      <c r="G34" s="639">
        <f t="shared" si="1"/>
        <v>3000.0000000000005</v>
      </c>
      <c r="H34" s="639">
        <f>'02 项目基础信息（输入）'!E69</f>
        <v>46191.064599999998</v>
      </c>
      <c r="I34" s="639">
        <f t="shared" si="2"/>
        <v>3000.0000000000005</v>
      </c>
      <c r="J34" s="374"/>
      <c r="K34" s="374"/>
      <c r="L34" s="374"/>
      <c r="M34" s="374"/>
      <c r="N34" s="374"/>
      <c r="O34" s="374"/>
      <c r="Q34" s="640"/>
      <c r="R34" s="641"/>
      <c r="S34" s="641"/>
      <c r="T34" s="641"/>
      <c r="U34" s="381"/>
      <c r="V34" s="624"/>
      <c r="W34" s="620"/>
      <c r="X34" s="621"/>
      <c r="Y34" s="621"/>
      <c r="Z34" s="621"/>
      <c r="AA34" s="622"/>
      <c r="AD34" s="625" t="s">
        <v>1352</v>
      </c>
    </row>
    <row r="35" spans="1:30" ht="0" hidden="1" customHeight="1">
      <c r="A35" s="1462"/>
      <c r="B35" s="643" t="s">
        <v>490</v>
      </c>
      <c r="C35" s="639">
        <f>'05 成本测算明细'!M4242</f>
        <v>0</v>
      </c>
      <c r="D35" s="639">
        <f>'05 成本测算明细'!N4242</f>
        <v>0</v>
      </c>
      <c r="E35" s="639">
        <f t="shared" si="0"/>
        <v>0</v>
      </c>
      <c r="F35" s="639">
        <f>'05 成本测算明细'!P4242</f>
        <v>0</v>
      </c>
      <c r="G35" s="639">
        <f t="shared" si="1"/>
        <v>0</v>
      </c>
      <c r="H35" s="639">
        <f>'02 项目基础信息（输入）'!$E$36</f>
        <v>0</v>
      </c>
      <c r="I35" s="639">
        <f t="shared" si="2"/>
        <v>0</v>
      </c>
      <c r="J35" s="374"/>
      <c r="K35" s="374"/>
      <c r="L35" s="374"/>
      <c r="M35" s="374"/>
      <c r="N35" s="374"/>
      <c r="O35" s="374"/>
      <c r="Q35" s="640"/>
      <c r="R35" s="641"/>
      <c r="S35" s="641"/>
      <c r="T35" s="641"/>
      <c r="U35" s="381"/>
      <c r="V35" s="624"/>
      <c r="W35" s="382"/>
      <c r="X35" s="383"/>
      <c r="Y35" s="383"/>
      <c r="Z35" s="388"/>
      <c r="AA35" s="389"/>
      <c r="AD35" s="625" t="s">
        <v>1353</v>
      </c>
    </row>
    <row r="36" spans="1:30" ht="0" hidden="1" customHeight="1">
      <c r="A36" s="1462"/>
      <c r="B36" s="643" t="s">
        <v>496</v>
      </c>
      <c r="C36" s="639">
        <f>'05 成本测算明细'!M4243</f>
        <v>0</v>
      </c>
      <c r="D36" s="639">
        <f>'05 成本测算明细'!N4243</f>
        <v>0</v>
      </c>
      <c r="E36" s="639">
        <f t="shared" si="0"/>
        <v>0</v>
      </c>
      <c r="F36" s="639">
        <f>'05 成本测算明细'!P4243</f>
        <v>0</v>
      </c>
      <c r="G36" s="639">
        <f t="shared" si="1"/>
        <v>0</v>
      </c>
      <c r="H36" s="639">
        <f>'02 项目基础信息（输入）'!$E$39</f>
        <v>0</v>
      </c>
      <c r="I36" s="639">
        <f t="shared" si="2"/>
        <v>0</v>
      </c>
      <c r="J36" s="374"/>
      <c r="K36" s="374"/>
      <c r="L36" s="374"/>
      <c r="M36" s="374"/>
      <c r="N36" s="374"/>
      <c r="O36" s="374"/>
      <c r="Q36" s="640"/>
      <c r="R36" s="641"/>
      <c r="S36" s="641"/>
      <c r="T36" s="641"/>
      <c r="U36" s="381"/>
      <c r="V36" s="624"/>
      <c r="W36" s="620"/>
      <c r="X36" s="621"/>
      <c r="Y36" s="621"/>
      <c r="Z36" s="265"/>
      <c r="AA36" s="623"/>
      <c r="AD36" s="625" t="s">
        <v>1354</v>
      </c>
    </row>
    <row r="37" spans="1:30" ht="14.25" customHeight="1">
      <c r="A37" s="1462"/>
      <c r="B37" s="643" t="s">
        <v>500</v>
      </c>
      <c r="C37" s="639">
        <f>'05 成本测算明细'!M4244</f>
        <v>13857.319380000001</v>
      </c>
      <c r="D37" s="639">
        <f>'05 成本测算明细'!N4244</f>
        <v>46191.064599999998</v>
      </c>
      <c r="E37" s="639">
        <f t="shared" si="0"/>
        <v>3000.0000000000005</v>
      </c>
      <c r="F37" s="639">
        <f>'05 成本测算明细'!P4244</f>
        <v>46191.064599999998</v>
      </c>
      <c r="G37" s="639">
        <f t="shared" si="1"/>
        <v>3000.0000000000005</v>
      </c>
      <c r="H37" s="639">
        <f>'02 项目基础信息（输入）'!$E$42</f>
        <v>46191.064599999998</v>
      </c>
      <c r="I37" s="639">
        <f t="shared" si="2"/>
        <v>3000.0000000000005</v>
      </c>
      <c r="J37" s="374"/>
      <c r="K37" s="374"/>
      <c r="L37" s="374"/>
      <c r="M37" s="374"/>
      <c r="N37" s="374"/>
      <c r="O37" s="374"/>
      <c r="Q37" s="640"/>
      <c r="R37" s="641"/>
      <c r="S37" s="641"/>
      <c r="T37" s="641"/>
      <c r="U37" s="381"/>
      <c r="V37" s="624"/>
      <c r="W37" s="620"/>
      <c r="X37" s="621"/>
      <c r="Y37" s="621"/>
      <c r="Z37" s="265"/>
      <c r="AA37" s="623"/>
      <c r="AD37" s="625" t="s">
        <v>1355</v>
      </c>
    </row>
    <row r="38" spans="1:30" ht="0" hidden="1" customHeight="1">
      <c r="A38" s="1462"/>
      <c r="B38" s="643" t="s">
        <v>504</v>
      </c>
      <c r="C38" s="639">
        <f>'05 成本测算明细'!M4245</f>
        <v>0</v>
      </c>
      <c r="D38" s="639">
        <f>'05 成本测算明细'!N4245</f>
        <v>0</v>
      </c>
      <c r="E38" s="639">
        <f t="shared" si="0"/>
        <v>0</v>
      </c>
      <c r="F38" s="639">
        <f>'05 成本测算明细'!P4245</f>
        <v>0</v>
      </c>
      <c r="G38" s="639">
        <f t="shared" si="1"/>
        <v>0</v>
      </c>
      <c r="H38" s="639">
        <f>'02 项目基础信息（输入）'!$E$45</f>
        <v>0</v>
      </c>
      <c r="I38" s="639">
        <f t="shared" si="2"/>
        <v>0</v>
      </c>
      <c r="J38" s="374"/>
      <c r="K38" s="374"/>
      <c r="L38" s="374"/>
      <c r="M38" s="374"/>
      <c r="N38" s="374"/>
      <c r="O38" s="374"/>
      <c r="Q38" s="640"/>
      <c r="R38" s="641"/>
      <c r="S38" s="641"/>
      <c r="T38" s="641"/>
      <c r="U38" s="381"/>
      <c r="V38" s="624"/>
      <c r="W38" s="620"/>
      <c r="X38" s="621"/>
      <c r="Y38" s="621"/>
      <c r="Z38" s="265"/>
      <c r="AA38" s="623"/>
      <c r="AD38" s="625" t="s">
        <v>1356</v>
      </c>
    </row>
    <row r="39" spans="1:30" ht="0" hidden="1" customHeight="1">
      <c r="A39" s="1462"/>
      <c r="B39" s="643" t="s">
        <v>508</v>
      </c>
      <c r="C39" s="639">
        <f>'05 成本测算明细'!M4246</f>
        <v>0</v>
      </c>
      <c r="D39" s="639">
        <f>'05 成本测算明细'!N4246</f>
        <v>0</v>
      </c>
      <c r="E39" s="639">
        <f t="shared" si="0"/>
        <v>0</v>
      </c>
      <c r="F39" s="639">
        <f>'05 成本测算明细'!P4246</f>
        <v>0</v>
      </c>
      <c r="G39" s="639">
        <f t="shared" si="1"/>
        <v>0</v>
      </c>
      <c r="H39" s="639">
        <f>'02 项目基础信息（输入）'!$E$48</f>
        <v>0</v>
      </c>
      <c r="I39" s="639">
        <f t="shared" si="2"/>
        <v>0</v>
      </c>
      <c r="J39" s="374"/>
      <c r="K39" s="374"/>
      <c r="L39" s="374"/>
      <c r="M39" s="374"/>
      <c r="N39" s="374"/>
      <c r="O39" s="374"/>
      <c r="Q39" s="640"/>
      <c r="R39" s="641"/>
      <c r="S39" s="641"/>
      <c r="T39" s="641"/>
      <c r="U39" s="381"/>
      <c r="V39" s="624"/>
      <c r="W39" s="382"/>
      <c r="X39" s="383"/>
      <c r="Y39" s="383"/>
      <c r="Z39" s="388"/>
      <c r="AA39" s="389"/>
      <c r="AD39" s="625" t="s">
        <v>1357</v>
      </c>
    </row>
    <row r="40" spans="1:30" ht="0" hidden="1" customHeight="1">
      <c r="A40" s="1462"/>
      <c r="B40" s="643" t="s">
        <v>512</v>
      </c>
      <c r="C40" s="639">
        <f>'05 成本测算明细'!M4247</f>
        <v>0</v>
      </c>
      <c r="D40" s="639">
        <f>'05 成本测算明细'!N4247</f>
        <v>0</v>
      </c>
      <c r="E40" s="639">
        <f t="shared" si="0"/>
        <v>0</v>
      </c>
      <c r="F40" s="639">
        <f>'05 成本测算明细'!P4247</f>
        <v>0</v>
      </c>
      <c r="G40" s="639">
        <f t="shared" si="1"/>
        <v>0</v>
      </c>
      <c r="H40" s="639">
        <f>'02 项目基础信息（输入）'!$E$51</f>
        <v>0</v>
      </c>
      <c r="I40" s="639">
        <f t="shared" si="2"/>
        <v>0</v>
      </c>
      <c r="J40" s="374"/>
      <c r="K40" s="374"/>
      <c r="L40" s="374"/>
      <c r="M40" s="374"/>
      <c r="N40" s="374"/>
      <c r="O40" s="374"/>
      <c r="Q40" s="640"/>
      <c r="R40" s="641"/>
      <c r="S40" s="641"/>
      <c r="T40" s="641"/>
      <c r="U40" s="381"/>
      <c r="V40" s="624"/>
      <c r="W40" s="382"/>
      <c r="X40" s="383"/>
      <c r="Y40" s="383"/>
      <c r="Z40" s="388"/>
      <c r="AA40" s="389"/>
      <c r="AD40" s="625" t="s">
        <v>1358</v>
      </c>
    </row>
    <row r="41" spans="1:30" ht="0" hidden="1" customHeight="1">
      <c r="A41" s="1462"/>
      <c r="B41" s="643" t="s">
        <v>516</v>
      </c>
      <c r="C41" s="639">
        <f>'05 成本测算明细'!M4248</f>
        <v>0</v>
      </c>
      <c r="D41" s="639">
        <f>'05 成本测算明细'!N4248</f>
        <v>0</v>
      </c>
      <c r="E41" s="639">
        <f t="shared" si="0"/>
        <v>0</v>
      </c>
      <c r="F41" s="639">
        <f>'05 成本测算明细'!P4248</f>
        <v>0</v>
      </c>
      <c r="G41" s="639">
        <f t="shared" si="1"/>
        <v>0</v>
      </c>
      <c r="H41" s="639">
        <f>'02 项目基础信息（输入）'!$E$54</f>
        <v>0</v>
      </c>
      <c r="I41" s="639">
        <f t="shared" si="2"/>
        <v>0</v>
      </c>
      <c r="J41" s="374"/>
      <c r="K41" s="374"/>
      <c r="L41" s="374"/>
      <c r="M41" s="374"/>
      <c r="N41" s="374"/>
      <c r="O41" s="374"/>
      <c r="Q41" s="640"/>
      <c r="R41" s="641"/>
      <c r="S41" s="641"/>
      <c r="T41" s="641"/>
      <c r="U41" s="381"/>
      <c r="V41" s="624"/>
      <c r="W41" s="382"/>
      <c r="X41" s="383"/>
      <c r="Y41" s="383"/>
      <c r="Z41" s="388"/>
      <c r="AA41" s="389"/>
      <c r="AD41" s="625" t="s">
        <v>1359</v>
      </c>
    </row>
    <row r="42" spans="1:30" ht="0" hidden="1" customHeight="1">
      <c r="A42" s="1462"/>
      <c r="B42" s="643" t="s">
        <v>520</v>
      </c>
      <c r="C42" s="639">
        <f>'05 成本测算明细'!M4249</f>
        <v>0</v>
      </c>
      <c r="D42" s="639">
        <f>'05 成本测算明细'!N4249</f>
        <v>0</v>
      </c>
      <c r="E42" s="639">
        <f t="shared" si="0"/>
        <v>0</v>
      </c>
      <c r="F42" s="639">
        <f>'05 成本测算明细'!P4249</f>
        <v>0</v>
      </c>
      <c r="G42" s="639">
        <f t="shared" si="1"/>
        <v>0</v>
      </c>
      <c r="H42" s="639">
        <f>'02 项目基础信息（输入）'!$E$57</f>
        <v>0</v>
      </c>
      <c r="I42" s="639">
        <f t="shared" si="2"/>
        <v>0</v>
      </c>
      <c r="J42" s="374"/>
      <c r="K42" s="374"/>
      <c r="L42" s="374"/>
      <c r="M42" s="374"/>
      <c r="N42" s="374"/>
      <c r="O42" s="374"/>
      <c r="Q42" s="640"/>
      <c r="R42" s="641"/>
      <c r="S42" s="641"/>
      <c r="T42" s="641"/>
      <c r="U42" s="381"/>
      <c r="V42" s="624"/>
      <c r="W42" s="645"/>
      <c r="X42" s="646"/>
      <c r="Y42" s="646"/>
      <c r="Z42" s="656"/>
      <c r="AA42" s="657"/>
      <c r="AD42" s="625" t="s">
        <v>1360</v>
      </c>
    </row>
    <row r="43" spans="1:30" ht="0" hidden="1" customHeight="1">
      <c r="A43" s="1462"/>
      <c r="B43" s="643" t="s">
        <v>524</v>
      </c>
      <c r="C43" s="639">
        <f>'05 成本测算明细'!M4250</f>
        <v>0</v>
      </c>
      <c r="D43" s="639">
        <f>'05 成本测算明细'!N4250</f>
        <v>0</v>
      </c>
      <c r="E43" s="639">
        <f t="shared" si="0"/>
        <v>0</v>
      </c>
      <c r="F43" s="639">
        <f>'05 成本测算明细'!P4250</f>
        <v>0</v>
      </c>
      <c r="G43" s="639">
        <f t="shared" si="1"/>
        <v>0</v>
      </c>
      <c r="H43" s="639">
        <f>'02 项目基础信息（输入）'!$E$60</f>
        <v>0</v>
      </c>
      <c r="I43" s="639">
        <f t="shared" si="2"/>
        <v>0</v>
      </c>
      <c r="J43" s="374"/>
      <c r="K43" s="374"/>
      <c r="L43" s="374"/>
      <c r="M43" s="374"/>
      <c r="N43" s="374"/>
      <c r="O43" s="374"/>
      <c r="Q43" s="640"/>
      <c r="R43" s="641"/>
      <c r="S43" s="641"/>
      <c r="T43" s="641"/>
      <c r="U43" s="381"/>
      <c r="V43" s="624"/>
      <c r="W43" s="382"/>
      <c r="X43" s="383"/>
      <c r="Y43" s="383"/>
      <c r="Z43" s="388"/>
      <c r="AA43" s="389"/>
      <c r="AD43" s="625" t="s">
        <v>1361</v>
      </c>
    </row>
    <row r="44" spans="1:30" ht="0" hidden="1" customHeight="1">
      <c r="A44" s="1462"/>
      <c r="B44" s="643" t="s">
        <v>528</v>
      </c>
      <c r="C44" s="639">
        <f>'05 成本测算明细'!M4251</f>
        <v>0</v>
      </c>
      <c r="D44" s="639">
        <f>'05 成本测算明细'!N4251</f>
        <v>0</v>
      </c>
      <c r="E44" s="639">
        <f t="shared" si="0"/>
        <v>0</v>
      </c>
      <c r="F44" s="639">
        <f>'05 成本测算明细'!P4251</f>
        <v>0</v>
      </c>
      <c r="G44" s="639">
        <f t="shared" si="1"/>
        <v>0</v>
      </c>
      <c r="H44" s="639">
        <f>'02 项目基础信息（输入）'!$E$63</f>
        <v>0</v>
      </c>
      <c r="I44" s="639">
        <f t="shared" si="2"/>
        <v>0</v>
      </c>
      <c r="J44" s="374"/>
      <c r="K44" s="374"/>
      <c r="L44" s="374"/>
      <c r="M44" s="374"/>
      <c r="N44" s="374"/>
      <c r="O44" s="374"/>
      <c r="Q44" s="640"/>
      <c r="R44" s="641"/>
      <c r="S44" s="641"/>
      <c r="T44" s="641"/>
      <c r="U44" s="381"/>
      <c r="V44" s="624"/>
      <c r="W44" s="620"/>
      <c r="X44" s="621"/>
      <c r="Y44" s="621"/>
      <c r="Z44" s="265"/>
      <c r="AA44" s="623"/>
      <c r="AD44" s="625" t="s">
        <v>1362</v>
      </c>
    </row>
    <row r="45" spans="1:30" ht="14.25" customHeight="1">
      <c r="A45" s="1467" t="s">
        <v>1363</v>
      </c>
      <c r="B45" s="658" t="s">
        <v>231</v>
      </c>
      <c r="C45" s="659">
        <f>'05 成本测算明细'!M4252</f>
        <v>228</v>
      </c>
      <c r="D45" s="659">
        <f>'05 成本测算明细'!N4252</f>
        <v>74626.7546</v>
      </c>
      <c r="E45" s="659">
        <f>IFERROR(C45*10000/D45,0)</f>
        <v>30.552045472442398</v>
      </c>
      <c r="F45" s="659">
        <f>'05 成本测算明细'!P4252</f>
        <v>74626.7546</v>
      </c>
      <c r="G45" s="659">
        <f>IFERROR(C45*10000/F45,0)</f>
        <v>30.552045472442398</v>
      </c>
      <c r="H45" s="659">
        <f>'02 项目基础信息（输入）'!$E$69</f>
        <v>46191.064599999998</v>
      </c>
      <c r="I45" s="659">
        <f>IFERROR(C45*10000/H45,0)</f>
        <v>49.360195954435746</v>
      </c>
      <c r="J45" s="374"/>
      <c r="K45" s="375"/>
      <c r="L45" s="375"/>
      <c r="M45" s="374"/>
      <c r="N45" s="374"/>
      <c r="O45" s="374"/>
      <c r="Q45" s="640"/>
      <c r="R45" s="641"/>
      <c r="S45" s="641"/>
      <c r="T45" s="641"/>
      <c r="U45" s="381"/>
      <c r="V45" s="624"/>
      <c r="W45" s="620"/>
      <c r="X45" s="621"/>
      <c r="Y45" s="621"/>
      <c r="Z45" s="265"/>
      <c r="AA45" s="623"/>
      <c r="AD45" s="625" t="s">
        <v>1364</v>
      </c>
    </row>
    <row r="46" spans="1:30" ht="14.25" customHeight="1">
      <c r="A46" s="1468"/>
      <c r="B46" s="658" t="s">
        <v>232</v>
      </c>
      <c r="C46" s="659">
        <f>'05 成本测算明细'!M4281</f>
        <v>3207.05</v>
      </c>
      <c r="D46" s="659">
        <f>'05 成本测算明细'!N4281</f>
        <v>74626.7546</v>
      </c>
      <c r="E46" s="659">
        <f>IFERROR(C46*10000/D46,0)</f>
        <v>429.74533961577367</v>
      </c>
      <c r="F46" s="659">
        <f>'05 成本测算明细'!P4281</f>
        <v>74626.7546</v>
      </c>
      <c r="G46" s="659">
        <f>IFERROR(C46*10000/F46,0)</f>
        <v>429.74533961577367</v>
      </c>
      <c r="H46" s="659">
        <f>'02 项目基础信息（输入）'!$E$69</f>
        <v>46191.064599999998</v>
      </c>
      <c r="I46" s="659">
        <f>IFERROR(C46*10000/H46,0)</f>
        <v>694.30094927926825</v>
      </c>
      <c r="J46" s="374"/>
      <c r="K46" s="375"/>
      <c r="L46" s="375"/>
      <c r="M46" s="374"/>
      <c r="N46" s="374"/>
      <c r="O46" s="374"/>
      <c r="Q46" s="640"/>
      <c r="R46" s="641"/>
      <c r="S46" s="641"/>
      <c r="T46" s="641"/>
      <c r="U46" s="381"/>
      <c r="V46" s="624"/>
      <c r="W46" s="649"/>
      <c r="X46" s="650"/>
      <c r="Y46" s="650"/>
      <c r="Z46" s="616"/>
      <c r="AA46" s="660"/>
      <c r="AD46" s="625" t="s">
        <v>1365</v>
      </c>
    </row>
    <row r="47" spans="1:30" ht="14.25" customHeight="1">
      <c r="A47" s="1468"/>
      <c r="B47" s="658" t="s">
        <v>1366</v>
      </c>
      <c r="C47" s="659">
        <f>'05 成本测算明细'!M4310</f>
        <v>0</v>
      </c>
      <c r="D47" s="659">
        <f>'05 成本测算明细'!N4310</f>
        <v>74626.7546</v>
      </c>
      <c r="E47" s="659">
        <f>IFERROR(C47*10000/D47,0)</f>
        <v>0</v>
      </c>
      <c r="F47" s="659">
        <f>'05 成本测算明细'!P4310</f>
        <v>74626.7546</v>
      </c>
      <c r="G47" s="659">
        <f>IFERROR(C47*10000/F47,0)</f>
        <v>0</v>
      </c>
      <c r="H47" s="659">
        <f>'02 项目基础信息（输入）'!$E$69</f>
        <v>46191.064599999998</v>
      </c>
      <c r="I47" s="659">
        <f>IFERROR(C47*10000/H47,0)</f>
        <v>0</v>
      </c>
      <c r="J47" s="374"/>
      <c r="K47" s="375"/>
      <c r="L47" s="375"/>
      <c r="M47" s="374"/>
      <c r="N47" s="374"/>
      <c r="O47" s="374"/>
      <c r="Q47" s="640"/>
      <c r="R47" s="641"/>
      <c r="S47" s="641"/>
      <c r="T47" s="641"/>
      <c r="U47" s="381"/>
      <c r="V47" s="624"/>
      <c r="W47" s="649"/>
      <c r="X47" s="650"/>
      <c r="Y47" s="650"/>
      <c r="Z47" s="616"/>
      <c r="AA47" s="660"/>
      <c r="AD47" s="625" t="s">
        <v>1367</v>
      </c>
    </row>
    <row r="48" spans="1:30" ht="23.25" customHeight="1">
      <c r="A48" s="1454" t="s">
        <v>536</v>
      </c>
      <c r="B48" s="661" t="s">
        <v>1368</v>
      </c>
      <c r="C48" s="368">
        <f>C8+C9+C10+C11+C32+C33</f>
        <v>36116.349194000002</v>
      </c>
      <c r="D48" s="368">
        <f>D8</f>
        <v>74626.7546</v>
      </c>
      <c r="E48" s="368">
        <f>IFERROR(C48*10000/D48,0)</f>
        <v>4839.5979950600722</v>
      </c>
      <c r="F48" s="368">
        <f>F8</f>
        <v>74626.7546</v>
      </c>
      <c r="G48" s="368">
        <f>IFERROR(C48*10000/F48,0)</f>
        <v>4839.5979950600722</v>
      </c>
      <c r="H48" s="368">
        <f>'02 项目基础信息（输入）'!$E$69+'02 项目基础信息（输入）'!D7</f>
        <v>46191.064599999998</v>
      </c>
      <c r="I48" s="368">
        <f>IFERROR(C48*10000/H48,0)</f>
        <v>7818.903830590647</v>
      </c>
      <c r="J48" s="368">
        <f>J8+J9+J10+J11+J32+J33</f>
        <v>7598.1532260000004</v>
      </c>
      <c r="K48" s="368">
        <f ca="1">K8+K9+K10+K11+K32+K33</f>
        <v>16816.793160000001</v>
      </c>
      <c r="L48" s="368">
        <f>L8+L9+L10+L11+L32+L33</f>
        <v>11701.402807999999</v>
      </c>
      <c r="M48" s="368">
        <f>IFERROR(J48*10000/D48,0)</f>
        <v>1018.1540476637584</v>
      </c>
      <c r="N48" s="368">
        <f ca="1">IFERROR(K48*10000/D48,0)</f>
        <v>2253.4536373902561</v>
      </c>
      <c r="O48" s="368">
        <f>IFERROR(L48*10000/D48,0)</f>
        <v>1567.9903100060576</v>
      </c>
      <c r="Q48" s="640">
        <f>E48-W48</f>
        <v>1040.0083605717323</v>
      </c>
      <c r="R48" s="641">
        <f>IFERROR(M48-Y48,0)</f>
        <v>282.17414570760945</v>
      </c>
      <c r="S48" s="641">
        <f ca="1">IFERROR(N48-Z48,0)</f>
        <v>139.31660407638628</v>
      </c>
      <c r="T48" s="641">
        <f>IFERROR(O48-AA48,0)</f>
        <v>618.51761078773461</v>
      </c>
      <c r="U48" s="381"/>
      <c r="V48" s="624"/>
      <c r="W48" s="649">
        <v>3799.5896344883399</v>
      </c>
      <c r="X48" s="650">
        <v>5522.7403987592998</v>
      </c>
      <c r="Y48" s="650">
        <v>735.97990195614898</v>
      </c>
      <c r="Z48" s="650">
        <v>2114.1370333138698</v>
      </c>
      <c r="AA48" s="651">
        <v>949.47269921832299</v>
      </c>
      <c r="AD48" s="625" t="s">
        <v>1369</v>
      </c>
    </row>
    <row r="49" spans="1:30" ht="23.25" customHeight="1">
      <c r="A49" s="1455"/>
      <c r="B49" s="662" t="s">
        <v>1370</v>
      </c>
      <c r="C49" s="369">
        <f>C48+C34+C45+C46+C47</f>
        <v>53408.718574000006</v>
      </c>
      <c r="D49" s="369">
        <f>D8</f>
        <v>74626.7546</v>
      </c>
      <c r="E49" s="369">
        <f>IFERROR(C49*10000/D49,0)</f>
        <v>7156.7789407795053</v>
      </c>
      <c r="F49" s="369">
        <f>F8</f>
        <v>74626.7546</v>
      </c>
      <c r="G49" s="369">
        <f>IFERROR(C49*10000/F49,0)</f>
        <v>7156.7789407795053</v>
      </c>
      <c r="H49" s="369">
        <f>'02 项目基础信息（输入）'!$E$69+'02 项目基础信息（输入）'!D7</f>
        <v>46191.064599999998</v>
      </c>
      <c r="I49" s="369">
        <f>IFERROR(C49*10000/H49,0)</f>
        <v>11562.564975824353</v>
      </c>
      <c r="J49" s="369"/>
      <c r="K49" s="369"/>
      <c r="L49" s="369"/>
      <c r="M49" s="369"/>
      <c r="N49" s="369"/>
      <c r="O49" s="369"/>
      <c r="Q49" s="663"/>
      <c r="R49" s="664"/>
      <c r="S49" s="664"/>
      <c r="T49" s="664"/>
      <c r="U49" s="384"/>
      <c r="V49" s="624"/>
      <c r="W49" s="665"/>
      <c r="X49" s="666"/>
      <c r="Y49" s="667"/>
      <c r="Z49" s="667"/>
      <c r="AA49" s="668"/>
      <c r="AD49" s="625" t="s">
        <v>1371</v>
      </c>
    </row>
    <row r="50" spans="1:30" ht="0" hidden="1" customHeight="1">
      <c r="A50" s="1456" t="s">
        <v>1372</v>
      </c>
      <c r="B50" s="669" t="s">
        <v>490</v>
      </c>
      <c r="C50" s="370">
        <f t="shared" ref="C50:C58" si="11">IFERROR($C13+$D13*SUM($C$8+$C$9+$C$10+$C$12+$C$24+$C$32+$C$33)/(SUM($D$13:$D$21)+SUM($D$25:$D$31)),0)</f>
        <v>0</v>
      </c>
      <c r="D50" s="670">
        <f t="shared" ref="D50:D58" si="12">IFERROR($D13+$D13*($D$12+$D$24)/(SUM($D$13:$D$21)+SUM($D$25:$D$31)),0)</f>
        <v>0</v>
      </c>
      <c r="E50" s="370">
        <f t="shared" ref="E50:E74" si="13">IF(D50=0,0,C50*10000/D50)</f>
        <v>0</v>
      </c>
      <c r="F50" s="670">
        <f t="shared" ref="F50:F58" si="14">IFERROR($F13+$F13*($F$12+$F$24)/(SUM($F$13:$F$21)+SUM($F$25:$F$31)),0)</f>
        <v>0</v>
      </c>
      <c r="G50" s="370">
        <f t="shared" ref="G50:G74" si="15">IF(F50=0,0,C50*10000/F50)</f>
        <v>0</v>
      </c>
      <c r="H50" s="370">
        <f t="shared" ref="H50:H60" si="16">H13</f>
        <v>0</v>
      </c>
      <c r="I50" s="370">
        <f t="shared" ref="I50:I74" si="17">IF(H50=0,0,C50*10000/H50)</f>
        <v>0</v>
      </c>
      <c r="J50" s="370">
        <f t="shared" ref="J50:L58" si="18">IFERROR(J13+$D13*SUM(J$8+J$9+J$10+J$12+J$24+J$32+J$33)/(SUM($D$13:$D$21)+SUM($D$25:$D$31)),0)</f>
        <v>0</v>
      </c>
      <c r="K50" s="370">
        <f t="shared" si="18"/>
        <v>0</v>
      </c>
      <c r="L50" s="370">
        <f t="shared" si="18"/>
        <v>0</v>
      </c>
      <c r="M50" s="370">
        <f t="shared" ref="M50:M67" si="19">IF(D50=0,0,J50/$D50*10000)</f>
        <v>0</v>
      </c>
      <c r="N50" s="370">
        <f t="shared" ref="N50:N67" si="20">IF(D50=0,0,K50/$D50*10000)</f>
        <v>0</v>
      </c>
      <c r="O50" s="376">
        <f t="shared" ref="O50:O67" si="21">IF(D50=0,0,L50/$D50*10000)</f>
        <v>0</v>
      </c>
      <c r="Q50" s="671">
        <f t="shared" ref="Q50:Q60" si="22">E50-W50</f>
        <v>0</v>
      </c>
      <c r="R50" s="672">
        <f t="shared" ref="R50:R60" si="23">M50-Y50</f>
        <v>0</v>
      </c>
      <c r="S50" s="672">
        <f t="shared" ref="S50:S60" si="24">N50-Z50</f>
        <v>0</v>
      </c>
      <c r="T50" s="672">
        <f t="shared" ref="T50:T60" si="25">O50-AA50</f>
        <v>0</v>
      </c>
      <c r="U50" s="385"/>
      <c r="V50" s="624"/>
      <c r="W50" s="673"/>
      <c r="X50" s="674"/>
      <c r="Y50" s="674"/>
      <c r="Z50" s="674"/>
      <c r="AA50" s="675"/>
      <c r="AD50" s="625" t="s">
        <v>1373</v>
      </c>
    </row>
    <row r="51" spans="1:30" ht="0" hidden="1" customHeight="1">
      <c r="A51" s="1457"/>
      <c r="B51" s="676" t="s">
        <v>496</v>
      </c>
      <c r="C51" s="371">
        <f t="shared" si="11"/>
        <v>0</v>
      </c>
      <c r="D51" s="659">
        <f t="shared" si="12"/>
        <v>0</v>
      </c>
      <c r="E51" s="371">
        <f t="shared" si="13"/>
        <v>0</v>
      </c>
      <c r="F51" s="659">
        <f t="shared" si="14"/>
        <v>0</v>
      </c>
      <c r="G51" s="371">
        <f t="shared" si="15"/>
        <v>0</v>
      </c>
      <c r="H51" s="371">
        <f t="shared" si="16"/>
        <v>0</v>
      </c>
      <c r="I51" s="371">
        <f t="shared" si="17"/>
        <v>0</v>
      </c>
      <c r="J51" s="371">
        <f t="shared" si="18"/>
        <v>0</v>
      </c>
      <c r="K51" s="371">
        <f t="shared" si="18"/>
        <v>0</v>
      </c>
      <c r="L51" s="371">
        <f t="shared" si="18"/>
        <v>0</v>
      </c>
      <c r="M51" s="371">
        <f t="shared" si="19"/>
        <v>0</v>
      </c>
      <c r="N51" s="371">
        <f t="shared" si="20"/>
        <v>0</v>
      </c>
      <c r="O51" s="377">
        <f t="shared" si="21"/>
        <v>0</v>
      </c>
      <c r="Q51" s="640">
        <f t="shared" si="22"/>
        <v>-3788.2081439149902</v>
      </c>
      <c r="R51" s="641">
        <f t="shared" si="23"/>
        <v>-735.97990195614898</v>
      </c>
      <c r="S51" s="641">
        <f t="shared" si="24"/>
        <v>-2094.5997998924499</v>
      </c>
      <c r="T51" s="641">
        <f t="shared" si="25"/>
        <v>-957.62844206638897</v>
      </c>
      <c r="U51" s="381"/>
      <c r="V51" s="624"/>
      <c r="W51" s="649">
        <v>3788.2081439149902</v>
      </c>
      <c r="X51" s="650">
        <v>5506.1972917834801</v>
      </c>
      <c r="Y51" s="650">
        <v>735.97990195614898</v>
      </c>
      <c r="Z51" s="650">
        <v>2094.5997998924499</v>
      </c>
      <c r="AA51" s="651">
        <v>957.62844206638897</v>
      </c>
      <c r="AD51" s="625" t="s">
        <v>1374</v>
      </c>
    </row>
    <row r="52" spans="1:30" ht="14.25" customHeight="1">
      <c r="A52" s="1457"/>
      <c r="B52" s="676" t="s">
        <v>500</v>
      </c>
      <c r="C52" s="371">
        <f t="shared" si="11"/>
        <v>35662.324105</v>
      </c>
      <c r="D52" s="659">
        <f t="shared" si="12"/>
        <v>73811.7546</v>
      </c>
      <c r="E52" s="371">
        <f t="shared" si="13"/>
        <v>4831.5236913498329</v>
      </c>
      <c r="F52" s="659">
        <f t="shared" si="14"/>
        <v>73811.7546</v>
      </c>
      <c r="G52" s="371">
        <f t="shared" si="15"/>
        <v>4831.5236913498329</v>
      </c>
      <c r="H52" s="371">
        <f t="shared" si="16"/>
        <v>46191.064599999998</v>
      </c>
      <c r="I52" s="371">
        <f t="shared" si="17"/>
        <v>7720.6109912868305</v>
      </c>
      <c r="J52" s="371">
        <f t="shared" si="18"/>
        <v>7598.1532260000004</v>
      </c>
      <c r="K52" s="371">
        <f t="shared" si="18"/>
        <v>16362.768071</v>
      </c>
      <c r="L52" s="371">
        <f t="shared" si="18"/>
        <v>11701.402807999999</v>
      </c>
      <c r="M52" s="371">
        <f t="shared" si="19"/>
        <v>1029.3960991952899</v>
      </c>
      <c r="N52" s="371">
        <f t="shared" si="20"/>
        <v>2216.8241575712386</v>
      </c>
      <c r="O52" s="377">
        <f t="shared" si="21"/>
        <v>1585.3034345833039</v>
      </c>
      <c r="Q52" s="640">
        <f t="shared" si="22"/>
        <v>991.87703704936303</v>
      </c>
      <c r="R52" s="641">
        <f t="shared" si="23"/>
        <v>293.41619723914391</v>
      </c>
      <c r="S52" s="641">
        <f t="shared" si="24"/>
        <v>60.75398398374864</v>
      </c>
      <c r="T52" s="641">
        <f t="shared" si="25"/>
        <v>637.70685582647388</v>
      </c>
      <c r="U52" s="381"/>
      <c r="V52" s="624"/>
      <c r="W52" s="649">
        <v>3839.6466543004699</v>
      </c>
      <c r="X52" s="650">
        <v>5580.9636657043402</v>
      </c>
      <c r="Y52" s="650">
        <v>735.97990195614602</v>
      </c>
      <c r="Z52" s="650">
        <v>2156.07017358749</v>
      </c>
      <c r="AA52" s="651">
        <v>947.59657875683001</v>
      </c>
      <c r="AD52" s="625" t="s">
        <v>1375</v>
      </c>
    </row>
    <row r="53" spans="1:30" ht="0" hidden="1" customHeight="1">
      <c r="A53" s="1457"/>
      <c r="B53" s="676" t="s">
        <v>504</v>
      </c>
      <c r="C53" s="371">
        <f t="shared" si="11"/>
        <v>0</v>
      </c>
      <c r="D53" s="659">
        <f t="shared" si="12"/>
        <v>0</v>
      </c>
      <c r="E53" s="371">
        <f t="shared" si="13"/>
        <v>0</v>
      </c>
      <c r="F53" s="659">
        <f t="shared" si="14"/>
        <v>0</v>
      </c>
      <c r="G53" s="371">
        <f t="shared" si="15"/>
        <v>0</v>
      </c>
      <c r="H53" s="371">
        <f t="shared" si="16"/>
        <v>0</v>
      </c>
      <c r="I53" s="371">
        <f t="shared" si="17"/>
        <v>0</v>
      </c>
      <c r="J53" s="371">
        <f t="shared" si="18"/>
        <v>0</v>
      </c>
      <c r="K53" s="371">
        <f t="shared" si="18"/>
        <v>0</v>
      </c>
      <c r="L53" s="371">
        <f t="shared" si="18"/>
        <v>0</v>
      </c>
      <c r="M53" s="371">
        <f t="shared" si="19"/>
        <v>0</v>
      </c>
      <c r="N53" s="371">
        <f t="shared" si="20"/>
        <v>0</v>
      </c>
      <c r="O53" s="377">
        <f t="shared" si="21"/>
        <v>0</v>
      </c>
      <c r="Q53" s="640">
        <f t="shared" si="22"/>
        <v>-3763.28902256741</v>
      </c>
      <c r="R53" s="641">
        <f t="shared" si="23"/>
        <v>-735.97990195614796</v>
      </c>
      <c r="S53" s="641">
        <f t="shared" si="24"/>
        <v>-2084.1567761676802</v>
      </c>
      <c r="T53" s="641">
        <f t="shared" si="25"/>
        <v>-943.15234444357998</v>
      </c>
      <c r="U53" s="381"/>
      <c r="V53" s="624"/>
      <c r="W53" s="620">
        <v>3763.28902256741</v>
      </c>
      <c r="X53" s="621">
        <v>5469.9771071302102</v>
      </c>
      <c r="Y53" s="621">
        <v>735.97990195614796</v>
      </c>
      <c r="Z53" s="621">
        <v>2084.1567761676802</v>
      </c>
      <c r="AA53" s="622">
        <v>943.15234444357998</v>
      </c>
      <c r="AD53" s="625" t="s">
        <v>1376</v>
      </c>
    </row>
    <row r="54" spans="1:30" ht="0" hidden="1" customHeight="1">
      <c r="A54" s="1457"/>
      <c r="B54" s="676" t="s">
        <v>508</v>
      </c>
      <c r="C54" s="371">
        <f t="shared" si="11"/>
        <v>0</v>
      </c>
      <c r="D54" s="659">
        <f t="shared" si="12"/>
        <v>0</v>
      </c>
      <c r="E54" s="371">
        <f t="shared" si="13"/>
        <v>0</v>
      </c>
      <c r="F54" s="659">
        <f t="shared" si="14"/>
        <v>0</v>
      </c>
      <c r="G54" s="371">
        <f t="shared" si="15"/>
        <v>0</v>
      </c>
      <c r="H54" s="371">
        <f t="shared" si="16"/>
        <v>0</v>
      </c>
      <c r="I54" s="371">
        <f t="shared" si="17"/>
        <v>0</v>
      </c>
      <c r="J54" s="371">
        <f t="shared" si="18"/>
        <v>0</v>
      </c>
      <c r="K54" s="371">
        <f t="shared" si="18"/>
        <v>0</v>
      </c>
      <c r="L54" s="371">
        <f t="shared" si="18"/>
        <v>0</v>
      </c>
      <c r="M54" s="371">
        <f t="shared" si="19"/>
        <v>0</v>
      </c>
      <c r="N54" s="371">
        <f t="shared" si="20"/>
        <v>0</v>
      </c>
      <c r="O54" s="377">
        <f t="shared" si="21"/>
        <v>0</v>
      </c>
      <c r="Q54" s="640">
        <f t="shared" si="22"/>
        <v>0</v>
      </c>
      <c r="R54" s="641">
        <f t="shared" si="23"/>
        <v>0</v>
      </c>
      <c r="S54" s="641">
        <f t="shared" si="24"/>
        <v>0</v>
      </c>
      <c r="T54" s="641">
        <f t="shared" si="25"/>
        <v>0</v>
      </c>
      <c r="U54" s="381"/>
      <c r="V54" s="624"/>
      <c r="W54" s="653"/>
      <c r="X54" s="654"/>
      <c r="Y54" s="654"/>
      <c r="Z54" s="654"/>
      <c r="AA54" s="655"/>
      <c r="AD54" s="625" t="s">
        <v>1377</v>
      </c>
    </row>
    <row r="55" spans="1:30" ht="0" hidden="1" customHeight="1">
      <c r="A55" s="1457"/>
      <c r="B55" s="676" t="s">
        <v>512</v>
      </c>
      <c r="C55" s="371">
        <f t="shared" si="11"/>
        <v>0</v>
      </c>
      <c r="D55" s="659">
        <f t="shared" si="12"/>
        <v>0</v>
      </c>
      <c r="E55" s="371">
        <f t="shared" si="13"/>
        <v>0</v>
      </c>
      <c r="F55" s="659">
        <f t="shared" si="14"/>
        <v>0</v>
      </c>
      <c r="G55" s="371">
        <f t="shared" si="15"/>
        <v>0</v>
      </c>
      <c r="H55" s="371">
        <f t="shared" si="16"/>
        <v>0</v>
      </c>
      <c r="I55" s="371">
        <f t="shared" si="17"/>
        <v>0</v>
      </c>
      <c r="J55" s="371">
        <f t="shared" si="18"/>
        <v>0</v>
      </c>
      <c r="K55" s="371">
        <f t="shared" si="18"/>
        <v>0</v>
      </c>
      <c r="L55" s="371">
        <f t="shared" si="18"/>
        <v>0</v>
      </c>
      <c r="M55" s="371">
        <f t="shared" si="19"/>
        <v>0</v>
      </c>
      <c r="N55" s="371">
        <f t="shared" si="20"/>
        <v>0</v>
      </c>
      <c r="O55" s="377">
        <f t="shared" si="21"/>
        <v>0</v>
      </c>
      <c r="Q55" s="640">
        <f t="shared" si="22"/>
        <v>0</v>
      </c>
      <c r="R55" s="641">
        <f t="shared" si="23"/>
        <v>0</v>
      </c>
      <c r="S55" s="641">
        <f t="shared" si="24"/>
        <v>0</v>
      </c>
      <c r="T55" s="641">
        <f t="shared" si="25"/>
        <v>0</v>
      </c>
      <c r="U55" s="381"/>
      <c r="V55" s="624"/>
      <c r="W55" s="653"/>
      <c r="X55" s="654"/>
      <c r="Y55" s="654"/>
      <c r="Z55" s="654"/>
      <c r="AA55" s="655"/>
      <c r="AD55" s="625" t="s">
        <v>1378</v>
      </c>
    </row>
    <row r="56" spans="1:30" ht="0" hidden="1" customHeight="1">
      <c r="A56" s="1457"/>
      <c r="B56" s="676" t="s">
        <v>516</v>
      </c>
      <c r="C56" s="371">
        <f t="shared" si="11"/>
        <v>0</v>
      </c>
      <c r="D56" s="659">
        <f t="shared" si="12"/>
        <v>0</v>
      </c>
      <c r="E56" s="371">
        <f t="shared" si="13"/>
        <v>0</v>
      </c>
      <c r="F56" s="659">
        <f t="shared" si="14"/>
        <v>0</v>
      </c>
      <c r="G56" s="371">
        <f t="shared" si="15"/>
        <v>0</v>
      </c>
      <c r="H56" s="371">
        <f t="shared" si="16"/>
        <v>0</v>
      </c>
      <c r="I56" s="371">
        <f t="shared" si="17"/>
        <v>0</v>
      </c>
      <c r="J56" s="371">
        <f t="shared" si="18"/>
        <v>0</v>
      </c>
      <c r="K56" s="371">
        <f t="shared" si="18"/>
        <v>0</v>
      </c>
      <c r="L56" s="371">
        <f t="shared" si="18"/>
        <v>0</v>
      </c>
      <c r="M56" s="371">
        <f t="shared" si="19"/>
        <v>0</v>
      </c>
      <c r="N56" s="371">
        <f t="shared" si="20"/>
        <v>0</v>
      </c>
      <c r="O56" s="377">
        <f t="shared" si="21"/>
        <v>0</v>
      </c>
      <c r="Q56" s="640">
        <f t="shared" si="22"/>
        <v>0</v>
      </c>
      <c r="R56" s="641">
        <f t="shared" si="23"/>
        <v>0</v>
      </c>
      <c r="S56" s="641">
        <f t="shared" si="24"/>
        <v>0</v>
      </c>
      <c r="T56" s="641">
        <f t="shared" si="25"/>
        <v>0</v>
      </c>
      <c r="U56" s="381"/>
      <c r="V56" s="624"/>
      <c r="W56" s="653"/>
      <c r="X56" s="654"/>
      <c r="Y56" s="654"/>
      <c r="Z56" s="654"/>
      <c r="AA56" s="655"/>
      <c r="AD56" s="625" t="s">
        <v>1379</v>
      </c>
    </row>
    <row r="57" spans="1:30" ht="0" hidden="1" customHeight="1">
      <c r="A57" s="1457"/>
      <c r="B57" s="676" t="s">
        <v>520</v>
      </c>
      <c r="C57" s="371">
        <f t="shared" si="11"/>
        <v>0</v>
      </c>
      <c r="D57" s="659">
        <f t="shared" si="12"/>
        <v>0</v>
      </c>
      <c r="E57" s="371">
        <f t="shared" si="13"/>
        <v>0</v>
      </c>
      <c r="F57" s="659">
        <f t="shared" si="14"/>
        <v>0</v>
      </c>
      <c r="G57" s="371">
        <f t="shared" si="15"/>
        <v>0</v>
      </c>
      <c r="H57" s="371">
        <f t="shared" si="16"/>
        <v>0</v>
      </c>
      <c r="I57" s="371">
        <f t="shared" si="17"/>
        <v>0</v>
      </c>
      <c r="J57" s="371">
        <f t="shared" si="18"/>
        <v>0</v>
      </c>
      <c r="K57" s="371">
        <f t="shared" si="18"/>
        <v>0</v>
      </c>
      <c r="L57" s="371">
        <f t="shared" si="18"/>
        <v>0</v>
      </c>
      <c r="M57" s="371">
        <f t="shared" si="19"/>
        <v>0</v>
      </c>
      <c r="N57" s="371">
        <f t="shared" si="20"/>
        <v>0</v>
      </c>
      <c r="O57" s="377">
        <f t="shared" si="21"/>
        <v>0</v>
      </c>
      <c r="Q57" s="640">
        <f t="shared" si="22"/>
        <v>0</v>
      </c>
      <c r="R57" s="641">
        <f t="shared" si="23"/>
        <v>0</v>
      </c>
      <c r="S57" s="641">
        <f t="shared" si="24"/>
        <v>0</v>
      </c>
      <c r="T57" s="641">
        <f t="shared" si="25"/>
        <v>0</v>
      </c>
      <c r="U57" s="381"/>
      <c r="V57" s="624"/>
      <c r="W57" s="653"/>
      <c r="X57" s="654"/>
      <c r="Y57" s="654"/>
      <c r="Z57" s="654"/>
      <c r="AA57" s="655"/>
      <c r="AD57" s="625" t="s">
        <v>1380</v>
      </c>
    </row>
    <row r="58" spans="1:30" ht="0" hidden="1" customHeight="1">
      <c r="A58" s="1457"/>
      <c r="B58" s="676" t="s">
        <v>524</v>
      </c>
      <c r="C58" s="371">
        <f t="shared" si="11"/>
        <v>0</v>
      </c>
      <c r="D58" s="659">
        <f t="shared" si="12"/>
        <v>0</v>
      </c>
      <c r="E58" s="371">
        <f t="shared" si="13"/>
        <v>0</v>
      </c>
      <c r="F58" s="659">
        <f t="shared" si="14"/>
        <v>0</v>
      </c>
      <c r="G58" s="371">
        <f t="shared" si="15"/>
        <v>0</v>
      </c>
      <c r="H58" s="371">
        <f t="shared" si="16"/>
        <v>0</v>
      </c>
      <c r="I58" s="371">
        <f t="shared" si="17"/>
        <v>0</v>
      </c>
      <c r="J58" s="371">
        <f t="shared" si="18"/>
        <v>0</v>
      </c>
      <c r="K58" s="371">
        <f t="shared" si="18"/>
        <v>0</v>
      </c>
      <c r="L58" s="371">
        <f t="shared" si="18"/>
        <v>0</v>
      </c>
      <c r="M58" s="371">
        <f t="shared" si="19"/>
        <v>0</v>
      </c>
      <c r="N58" s="371">
        <f t="shared" si="20"/>
        <v>0</v>
      </c>
      <c r="O58" s="377">
        <f t="shared" si="21"/>
        <v>0</v>
      </c>
      <c r="Q58" s="640">
        <f t="shared" si="22"/>
        <v>0</v>
      </c>
      <c r="R58" s="641">
        <f t="shared" si="23"/>
        <v>0</v>
      </c>
      <c r="S58" s="641">
        <f t="shared" si="24"/>
        <v>0</v>
      </c>
      <c r="T58" s="641">
        <f t="shared" si="25"/>
        <v>0</v>
      </c>
      <c r="U58" s="381"/>
      <c r="V58" s="624"/>
      <c r="W58" s="653"/>
      <c r="X58" s="654"/>
      <c r="Y58" s="654"/>
      <c r="Z58" s="654"/>
      <c r="AA58" s="655"/>
      <c r="AD58" s="625" t="s">
        <v>1381</v>
      </c>
    </row>
    <row r="59" spans="1:30" ht="0" hidden="1" customHeight="1">
      <c r="A59" s="1457"/>
      <c r="B59" s="676" t="s">
        <v>528</v>
      </c>
      <c r="C59" s="371">
        <f>C22</f>
        <v>0</v>
      </c>
      <c r="D59" s="659">
        <f>D22</f>
        <v>0</v>
      </c>
      <c r="E59" s="371">
        <f t="shared" si="13"/>
        <v>0</v>
      </c>
      <c r="F59" s="659">
        <f>F22</f>
        <v>0</v>
      </c>
      <c r="G59" s="371">
        <f t="shared" si="15"/>
        <v>0</v>
      </c>
      <c r="H59" s="371">
        <f t="shared" si="16"/>
        <v>0</v>
      </c>
      <c r="I59" s="371">
        <f t="shared" si="17"/>
        <v>0</v>
      </c>
      <c r="J59" s="371">
        <f t="shared" ref="J59:L60" si="26">J22</f>
        <v>0</v>
      </c>
      <c r="K59" s="371">
        <f t="shared" si="26"/>
        <v>0</v>
      </c>
      <c r="L59" s="371">
        <f t="shared" si="26"/>
        <v>0</v>
      </c>
      <c r="M59" s="371">
        <f t="shared" si="19"/>
        <v>0</v>
      </c>
      <c r="N59" s="371">
        <f t="shared" si="20"/>
        <v>0</v>
      </c>
      <c r="O59" s="377">
        <f t="shared" si="21"/>
        <v>0</v>
      </c>
      <c r="Q59" s="640">
        <f t="shared" si="22"/>
        <v>0</v>
      </c>
      <c r="R59" s="641">
        <f t="shared" si="23"/>
        <v>0</v>
      </c>
      <c r="S59" s="641">
        <f t="shared" si="24"/>
        <v>0</v>
      </c>
      <c r="T59" s="641">
        <f t="shared" si="25"/>
        <v>0</v>
      </c>
      <c r="U59" s="381"/>
      <c r="V59" s="624"/>
      <c r="W59" s="677"/>
      <c r="X59" s="678"/>
      <c r="Y59" s="678"/>
      <c r="Z59" s="678"/>
      <c r="AA59" s="679"/>
      <c r="AD59" s="625" t="s">
        <v>1382</v>
      </c>
    </row>
    <row r="60" spans="1:30" ht="14.25" customHeight="1">
      <c r="A60" s="1457"/>
      <c r="B60" s="676" t="s">
        <v>532</v>
      </c>
      <c r="C60" s="371">
        <f>C23</f>
        <v>454.02508899999998</v>
      </c>
      <c r="D60" s="659">
        <f>D23</f>
        <v>815</v>
      </c>
      <c r="E60" s="371">
        <f t="shared" si="13"/>
        <v>5570.8599877300612</v>
      </c>
      <c r="F60" s="659">
        <f>F23</f>
        <v>815</v>
      </c>
      <c r="G60" s="371">
        <f t="shared" si="15"/>
        <v>5570.8599877300612</v>
      </c>
      <c r="H60" s="371">
        <f t="shared" si="16"/>
        <v>0</v>
      </c>
      <c r="I60" s="371">
        <f t="shared" si="17"/>
        <v>0</v>
      </c>
      <c r="J60" s="371">
        <f t="shared" si="26"/>
        <v>0</v>
      </c>
      <c r="K60" s="371">
        <f t="shared" si="26"/>
        <v>454.02508899999998</v>
      </c>
      <c r="L60" s="371">
        <f t="shared" si="26"/>
        <v>0</v>
      </c>
      <c r="M60" s="371">
        <f t="shared" si="19"/>
        <v>0</v>
      </c>
      <c r="N60" s="371">
        <f t="shared" si="20"/>
        <v>5570.8599877300612</v>
      </c>
      <c r="O60" s="377">
        <f t="shared" si="21"/>
        <v>0</v>
      </c>
      <c r="Q60" s="640">
        <f t="shared" si="22"/>
        <v>5570.8599877300612</v>
      </c>
      <c r="R60" s="641">
        <f t="shared" si="23"/>
        <v>0</v>
      </c>
      <c r="S60" s="641">
        <f t="shared" si="24"/>
        <v>5570.8599877300612</v>
      </c>
      <c r="T60" s="641">
        <f t="shared" si="25"/>
        <v>0</v>
      </c>
      <c r="U60" s="381"/>
      <c r="V60" s="624"/>
      <c r="W60" s="677"/>
      <c r="X60" s="678"/>
      <c r="Y60" s="678"/>
      <c r="Z60" s="678"/>
      <c r="AA60" s="679"/>
      <c r="AD60" s="625" t="s">
        <v>1383</v>
      </c>
    </row>
    <row r="61" spans="1:30" ht="0" hidden="1" customHeight="1">
      <c r="A61" s="1457"/>
      <c r="B61" s="680" t="str">
        <f t="shared" ref="B61:B67" si="27">B25</f>
        <v>$pnames01$集中商业</v>
      </c>
      <c r="C61" s="371">
        <f t="shared" ref="C61:C67" si="28">IFERROR($C25+$D25*SUM($C$8+$C$9+$C$10+$C$12+$C$24+$C$32+$C$33)/(SUM($D$13:$D$21)+SUM($D$25:$D$31)),0)</f>
        <v>0</v>
      </c>
      <c r="D61" s="659">
        <f t="shared" ref="D61:D67" si="29">IFERROR($D25+$D25*($D$12+$D$24)/(SUM($D$13:$D$21)+SUM($D$25:$D$31)),0)</f>
        <v>0</v>
      </c>
      <c r="E61" s="371">
        <f t="shared" si="13"/>
        <v>0</v>
      </c>
      <c r="F61" s="659">
        <f t="shared" ref="F61:F67" si="30">IFERROR($F25+$F25*($F$12+$F$24)/(SUM($F$13:$F$21)+SUM($F$25:$F$31)),0)</f>
        <v>0</v>
      </c>
      <c r="G61" s="371">
        <f t="shared" si="15"/>
        <v>0</v>
      </c>
      <c r="H61" s="371">
        <f t="shared" ref="H61:H67" si="31">H25</f>
        <v>0</v>
      </c>
      <c r="I61" s="371">
        <f t="shared" si="17"/>
        <v>0</v>
      </c>
      <c r="J61" s="371">
        <f t="shared" ref="J61:L67" si="32">IFERROR(J25+$D25*SUM(J$8+J$9+J$10+J$12+J$24+J$32+J$33)/(SUM($D$13:$D$21)+SUM($D$25:$D$31)),0)</f>
        <v>0</v>
      </c>
      <c r="K61" s="371">
        <f t="shared" si="32"/>
        <v>0</v>
      </c>
      <c r="L61" s="371">
        <f t="shared" si="32"/>
        <v>0</v>
      </c>
      <c r="M61" s="371">
        <f t="shared" si="19"/>
        <v>0</v>
      </c>
      <c r="N61" s="371">
        <f t="shared" si="20"/>
        <v>0</v>
      </c>
      <c r="O61" s="377">
        <f t="shared" si="21"/>
        <v>0</v>
      </c>
      <c r="Q61" s="640"/>
      <c r="R61" s="641"/>
      <c r="S61" s="641"/>
      <c r="T61" s="641"/>
      <c r="U61" s="381"/>
      <c r="V61" s="624"/>
      <c r="W61" s="382">
        <f>E61</f>
        <v>0</v>
      </c>
      <c r="X61" s="383">
        <f>I61</f>
        <v>0</v>
      </c>
      <c r="Y61" s="383">
        <f t="shared" ref="Y61:AA63" si="33">M61</f>
        <v>0</v>
      </c>
      <c r="Z61" s="383">
        <f t="shared" si="33"/>
        <v>0</v>
      </c>
      <c r="AA61" s="387">
        <f t="shared" si="33"/>
        <v>0</v>
      </c>
      <c r="AD61" s="625" t="s">
        <v>1384</v>
      </c>
    </row>
    <row r="62" spans="1:30" ht="0" hidden="1" customHeight="1">
      <c r="A62" s="1457"/>
      <c r="B62" s="680" t="str">
        <f t="shared" si="27"/>
        <v>$pnamex01$写字楼</v>
      </c>
      <c r="C62" s="371">
        <f t="shared" si="28"/>
        <v>0</v>
      </c>
      <c r="D62" s="659">
        <f t="shared" si="29"/>
        <v>0</v>
      </c>
      <c r="E62" s="371">
        <f t="shared" si="13"/>
        <v>0</v>
      </c>
      <c r="F62" s="659">
        <f t="shared" si="30"/>
        <v>0</v>
      </c>
      <c r="G62" s="371">
        <f t="shared" si="15"/>
        <v>0</v>
      </c>
      <c r="H62" s="371">
        <f t="shared" si="31"/>
        <v>0</v>
      </c>
      <c r="I62" s="371">
        <f t="shared" si="17"/>
        <v>0</v>
      </c>
      <c r="J62" s="371">
        <f t="shared" si="32"/>
        <v>0</v>
      </c>
      <c r="K62" s="371">
        <f t="shared" si="32"/>
        <v>0</v>
      </c>
      <c r="L62" s="371">
        <f t="shared" si="32"/>
        <v>0</v>
      </c>
      <c r="M62" s="371">
        <f t="shared" si="19"/>
        <v>0</v>
      </c>
      <c r="N62" s="371">
        <f t="shared" si="20"/>
        <v>0</v>
      </c>
      <c r="O62" s="377">
        <f t="shared" si="21"/>
        <v>0</v>
      </c>
      <c r="Q62" s="640"/>
      <c r="R62" s="641"/>
      <c r="S62" s="641"/>
      <c r="T62" s="641"/>
      <c r="U62" s="381"/>
      <c r="V62" s="624"/>
      <c r="W62" s="382">
        <f>E62</f>
        <v>0</v>
      </c>
      <c r="X62" s="383">
        <f>I62</f>
        <v>0</v>
      </c>
      <c r="Y62" s="383">
        <f t="shared" si="33"/>
        <v>0</v>
      </c>
      <c r="Z62" s="383">
        <f t="shared" si="33"/>
        <v>0</v>
      </c>
      <c r="AA62" s="387">
        <f t="shared" si="33"/>
        <v>0</v>
      </c>
      <c r="AD62" s="625" t="s">
        <v>1385</v>
      </c>
    </row>
    <row r="63" spans="1:30" ht="0" hidden="1" customHeight="1">
      <c r="A63" s="1457"/>
      <c r="B63" s="680" t="str">
        <f t="shared" si="27"/>
        <v>$pnamej01$酒店</v>
      </c>
      <c r="C63" s="371">
        <f t="shared" si="28"/>
        <v>0</v>
      </c>
      <c r="D63" s="659">
        <f t="shared" si="29"/>
        <v>0</v>
      </c>
      <c r="E63" s="371">
        <f t="shared" si="13"/>
        <v>0</v>
      </c>
      <c r="F63" s="659">
        <f t="shared" si="30"/>
        <v>0</v>
      </c>
      <c r="G63" s="371">
        <f t="shared" si="15"/>
        <v>0</v>
      </c>
      <c r="H63" s="371">
        <f t="shared" si="31"/>
        <v>0</v>
      </c>
      <c r="I63" s="371">
        <f t="shared" si="17"/>
        <v>0</v>
      </c>
      <c r="J63" s="371">
        <f t="shared" si="32"/>
        <v>0</v>
      </c>
      <c r="K63" s="371">
        <f t="shared" si="32"/>
        <v>0</v>
      </c>
      <c r="L63" s="371">
        <f t="shared" si="32"/>
        <v>0</v>
      </c>
      <c r="M63" s="371">
        <f t="shared" si="19"/>
        <v>0</v>
      </c>
      <c r="N63" s="371">
        <f t="shared" si="20"/>
        <v>0</v>
      </c>
      <c r="O63" s="377">
        <f t="shared" si="21"/>
        <v>0</v>
      </c>
      <c r="Q63" s="640"/>
      <c r="R63" s="641"/>
      <c r="S63" s="641"/>
      <c r="T63" s="641"/>
      <c r="U63" s="381"/>
      <c r="V63" s="624"/>
      <c r="W63" s="382">
        <f>E63</f>
        <v>0</v>
      </c>
      <c r="X63" s="383">
        <f>I63</f>
        <v>0</v>
      </c>
      <c r="Y63" s="383">
        <f t="shared" si="33"/>
        <v>0</v>
      </c>
      <c r="Z63" s="383">
        <f t="shared" si="33"/>
        <v>0</v>
      </c>
      <c r="AA63" s="387">
        <f t="shared" si="33"/>
        <v>0</v>
      </c>
      <c r="AD63" s="625" t="s">
        <v>1386</v>
      </c>
    </row>
    <row r="64" spans="1:30" ht="0" hidden="1" customHeight="1">
      <c r="A64" s="1457"/>
      <c r="B64" s="680" t="str">
        <f t="shared" si="27"/>
        <v>$pname7$集中商业</v>
      </c>
      <c r="C64" s="371">
        <f t="shared" si="28"/>
        <v>0</v>
      </c>
      <c r="D64" s="659">
        <f t="shared" si="29"/>
        <v>0</v>
      </c>
      <c r="E64" s="371">
        <f t="shared" si="13"/>
        <v>0</v>
      </c>
      <c r="F64" s="659">
        <f t="shared" si="30"/>
        <v>0</v>
      </c>
      <c r="G64" s="371">
        <f t="shared" si="15"/>
        <v>0</v>
      </c>
      <c r="H64" s="371">
        <f t="shared" si="31"/>
        <v>0</v>
      </c>
      <c r="I64" s="371">
        <f t="shared" si="17"/>
        <v>0</v>
      </c>
      <c r="J64" s="371">
        <f t="shared" si="32"/>
        <v>0</v>
      </c>
      <c r="K64" s="371">
        <f t="shared" si="32"/>
        <v>0</v>
      </c>
      <c r="L64" s="371">
        <f t="shared" si="32"/>
        <v>0</v>
      </c>
      <c r="M64" s="371">
        <f t="shared" si="19"/>
        <v>0</v>
      </c>
      <c r="N64" s="371">
        <f t="shared" si="20"/>
        <v>0</v>
      </c>
      <c r="O64" s="377">
        <f t="shared" si="21"/>
        <v>0</v>
      </c>
      <c r="Q64" s="640"/>
      <c r="R64" s="641"/>
      <c r="S64" s="641"/>
      <c r="T64" s="641"/>
      <c r="U64" s="381"/>
      <c r="V64" s="624"/>
      <c r="W64" s="653"/>
      <c r="X64" s="654"/>
      <c r="Y64" s="654"/>
      <c r="Z64" s="654"/>
      <c r="AA64" s="655"/>
      <c r="AD64" s="625" t="s">
        <v>1387</v>
      </c>
    </row>
    <row r="65" spans="1:30" ht="0" hidden="1" customHeight="1">
      <c r="A65" s="1457"/>
      <c r="B65" s="680" t="str">
        <f t="shared" si="27"/>
        <v>$pname8$写字楼</v>
      </c>
      <c r="C65" s="371">
        <f t="shared" si="28"/>
        <v>0</v>
      </c>
      <c r="D65" s="659">
        <f t="shared" si="29"/>
        <v>0</v>
      </c>
      <c r="E65" s="371">
        <f t="shared" si="13"/>
        <v>0</v>
      </c>
      <c r="F65" s="659">
        <f t="shared" si="30"/>
        <v>0</v>
      </c>
      <c r="G65" s="371">
        <f t="shared" si="15"/>
        <v>0</v>
      </c>
      <c r="H65" s="371">
        <f t="shared" si="31"/>
        <v>0</v>
      </c>
      <c r="I65" s="371">
        <f t="shared" si="17"/>
        <v>0</v>
      </c>
      <c r="J65" s="371">
        <f t="shared" si="32"/>
        <v>0</v>
      </c>
      <c r="K65" s="371">
        <f t="shared" si="32"/>
        <v>0</v>
      </c>
      <c r="L65" s="371">
        <f t="shared" si="32"/>
        <v>0</v>
      </c>
      <c r="M65" s="371">
        <f t="shared" si="19"/>
        <v>0</v>
      </c>
      <c r="N65" s="371">
        <f t="shared" si="20"/>
        <v>0</v>
      </c>
      <c r="O65" s="377">
        <f t="shared" si="21"/>
        <v>0</v>
      </c>
      <c r="Q65" s="640"/>
      <c r="R65" s="641"/>
      <c r="S65" s="641"/>
      <c r="T65" s="641"/>
      <c r="U65" s="381"/>
      <c r="V65" s="624"/>
      <c r="W65" s="653"/>
      <c r="X65" s="654"/>
      <c r="Y65" s="654"/>
      <c r="Z65" s="654"/>
      <c r="AA65" s="655"/>
      <c r="AD65" s="625" t="s">
        <v>1388</v>
      </c>
    </row>
    <row r="66" spans="1:30" ht="0" hidden="1" customHeight="1">
      <c r="A66" s="1457"/>
      <c r="B66" s="680" t="str">
        <f t="shared" si="27"/>
        <v>$pname9$写字楼</v>
      </c>
      <c r="C66" s="371">
        <f t="shared" si="28"/>
        <v>0</v>
      </c>
      <c r="D66" s="659">
        <f t="shared" si="29"/>
        <v>0</v>
      </c>
      <c r="E66" s="371">
        <f t="shared" si="13"/>
        <v>0</v>
      </c>
      <c r="F66" s="659">
        <f t="shared" si="30"/>
        <v>0</v>
      </c>
      <c r="G66" s="371">
        <f t="shared" si="15"/>
        <v>0</v>
      </c>
      <c r="H66" s="371">
        <f t="shared" si="31"/>
        <v>0</v>
      </c>
      <c r="I66" s="371">
        <f t="shared" si="17"/>
        <v>0</v>
      </c>
      <c r="J66" s="371">
        <f t="shared" si="32"/>
        <v>0</v>
      </c>
      <c r="K66" s="371">
        <f t="shared" si="32"/>
        <v>0</v>
      </c>
      <c r="L66" s="371">
        <f t="shared" si="32"/>
        <v>0</v>
      </c>
      <c r="M66" s="371">
        <f t="shared" si="19"/>
        <v>0</v>
      </c>
      <c r="N66" s="371">
        <f t="shared" si="20"/>
        <v>0</v>
      </c>
      <c r="O66" s="377">
        <f t="shared" si="21"/>
        <v>0</v>
      </c>
      <c r="Q66" s="640"/>
      <c r="R66" s="641"/>
      <c r="S66" s="641"/>
      <c r="T66" s="641"/>
      <c r="U66" s="381"/>
      <c r="V66" s="624"/>
      <c r="W66" s="653"/>
      <c r="X66" s="654"/>
      <c r="Y66" s="654"/>
      <c r="Z66" s="654"/>
      <c r="AA66" s="655"/>
      <c r="AD66" s="625" t="s">
        <v>1389</v>
      </c>
    </row>
    <row r="67" spans="1:30" ht="0" hidden="1" customHeight="1">
      <c r="A67" s="1458"/>
      <c r="B67" s="681" t="str">
        <f t="shared" si="27"/>
        <v>$pname10$酒店</v>
      </c>
      <c r="C67" s="390">
        <f t="shared" si="28"/>
        <v>0</v>
      </c>
      <c r="D67" s="682">
        <f t="shared" si="29"/>
        <v>0</v>
      </c>
      <c r="E67" s="390">
        <f t="shared" si="13"/>
        <v>0</v>
      </c>
      <c r="F67" s="682">
        <f t="shared" si="30"/>
        <v>0</v>
      </c>
      <c r="G67" s="390">
        <f t="shared" si="15"/>
        <v>0</v>
      </c>
      <c r="H67" s="371">
        <f t="shared" si="31"/>
        <v>0</v>
      </c>
      <c r="I67" s="390">
        <f t="shared" si="17"/>
        <v>0</v>
      </c>
      <c r="J67" s="371">
        <f t="shared" si="32"/>
        <v>0</v>
      </c>
      <c r="K67" s="371">
        <f t="shared" ca="1" si="32"/>
        <v>0</v>
      </c>
      <c r="L67" s="371">
        <f t="shared" si="32"/>
        <v>0</v>
      </c>
      <c r="M67" s="371">
        <f t="shared" si="19"/>
        <v>0</v>
      </c>
      <c r="N67" s="371">
        <f t="shared" si="20"/>
        <v>0</v>
      </c>
      <c r="O67" s="377">
        <f t="shared" si="21"/>
        <v>0</v>
      </c>
      <c r="Q67" s="663"/>
      <c r="R67" s="664"/>
      <c r="S67" s="664"/>
      <c r="T67" s="664"/>
      <c r="U67" s="384"/>
      <c r="V67" s="624"/>
      <c r="W67" s="683"/>
      <c r="X67" s="684"/>
      <c r="Y67" s="684"/>
      <c r="Z67" s="684"/>
      <c r="AA67" s="685"/>
      <c r="AD67" s="625" t="s">
        <v>1390</v>
      </c>
    </row>
    <row r="68" spans="1:30" ht="0" hidden="1" customHeight="1">
      <c r="A68" s="1459" t="s">
        <v>1391</v>
      </c>
      <c r="B68" s="686" t="str">
        <f t="shared" ref="B68:B74" si="34">B61</f>
        <v>$pnames01$集中商业</v>
      </c>
      <c r="C68" s="370">
        <f t="shared" ref="C68:C74" si="35">IFERROR($C25+$D25*SUM($C$8+$C$9+$C$10+$C$12+$C$24+$C$32+$C$33+$C$45+$C$46+$C$47)/(SUM($D$13:$D$21)+SUM($D$25:$D$31)),0)</f>
        <v>0</v>
      </c>
      <c r="D68" s="687">
        <f t="shared" ref="D68:D74" si="36">IFERROR($D25+$D25*($D$12+$D$24)/(SUM($D$13:$D$21)+SUM($D$25:$D$31)),0)</f>
        <v>0</v>
      </c>
      <c r="E68" s="370">
        <f t="shared" si="13"/>
        <v>0</v>
      </c>
      <c r="F68" s="687">
        <f t="shared" ref="F68:F74" si="37">IFERROR($D25+$D25*($D$12+$D$24)/(SUM($D$13:$D$21)+SUM($D$25:$D$31)),0)</f>
        <v>0</v>
      </c>
      <c r="G68" s="370">
        <f t="shared" si="15"/>
        <v>0</v>
      </c>
      <c r="H68" s="370">
        <f t="shared" ref="H68:H74" si="38">H25</f>
        <v>0</v>
      </c>
      <c r="I68" s="370">
        <f t="shared" si="17"/>
        <v>0</v>
      </c>
      <c r="J68" s="370"/>
      <c r="K68" s="370"/>
      <c r="L68" s="370"/>
      <c r="M68" s="370"/>
      <c r="N68" s="370"/>
      <c r="O68" s="376"/>
      <c r="P68" s="624"/>
      <c r="Q68" s="671"/>
      <c r="R68" s="672"/>
      <c r="S68" s="672"/>
      <c r="T68" s="672"/>
      <c r="U68" s="385"/>
      <c r="V68" s="624"/>
      <c r="W68" s="688"/>
      <c r="X68" s="689"/>
      <c r="Y68" s="689"/>
      <c r="Z68" s="689"/>
      <c r="AA68" s="690"/>
      <c r="AB68" s="624"/>
      <c r="AC68" s="624"/>
      <c r="AD68" s="625" t="s">
        <v>1392</v>
      </c>
    </row>
    <row r="69" spans="1:30" ht="0" hidden="1" customHeight="1">
      <c r="A69" s="1460"/>
      <c r="B69" s="680" t="str">
        <f t="shared" si="34"/>
        <v>$pnamex01$写字楼</v>
      </c>
      <c r="C69" s="371">
        <f t="shared" si="35"/>
        <v>0</v>
      </c>
      <c r="D69" s="691">
        <f t="shared" si="36"/>
        <v>0</v>
      </c>
      <c r="E69" s="371">
        <f t="shared" si="13"/>
        <v>0</v>
      </c>
      <c r="F69" s="691">
        <f t="shared" si="37"/>
        <v>0</v>
      </c>
      <c r="G69" s="371">
        <f t="shared" si="15"/>
        <v>0</v>
      </c>
      <c r="H69" s="371">
        <f t="shared" si="38"/>
        <v>0</v>
      </c>
      <c r="I69" s="371">
        <f t="shared" si="17"/>
        <v>0</v>
      </c>
      <c r="J69" s="371"/>
      <c r="K69" s="371"/>
      <c r="L69" s="371"/>
      <c r="M69" s="371"/>
      <c r="N69" s="371"/>
      <c r="O69" s="377"/>
      <c r="P69" s="624"/>
      <c r="Q69" s="640"/>
      <c r="R69" s="641"/>
      <c r="S69" s="641"/>
      <c r="T69" s="641"/>
      <c r="U69" s="381"/>
      <c r="V69" s="624"/>
      <c r="W69" s="653"/>
      <c r="X69" s="654"/>
      <c r="Y69" s="654"/>
      <c r="Z69" s="654"/>
      <c r="AA69" s="655"/>
      <c r="AB69" s="624"/>
      <c r="AC69" s="624"/>
      <c r="AD69" s="625" t="s">
        <v>1393</v>
      </c>
    </row>
    <row r="70" spans="1:30" ht="0" hidden="1" customHeight="1">
      <c r="A70" s="1460"/>
      <c r="B70" s="680" t="str">
        <f t="shared" si="34"/>
        <v>$pnamej01$酒店</v>
      </c>
      <c r="C70" s="371">
        <f t="shared" si="35"/>
        <v>0</v>
      </c>
      <c r="D70" s="691">
        <f t="shared" si="36"/>
        <v>0</v>
      </c>
      <c r="E70" s="371">
        <f t="shared" si="13"/>
        <v>0</v>
      </c>
      <c r="F70" s="691">
        <f t="shared" si="37"/>
        <v>0</v>
      </c>
      <c r="G70" s="371">
        <f t="shared" si="15"/>
        <v>0</v>
      </c>
      <c r="H70" s="371">
        <f t="shared" si="38"/>
        <v>0</v>
      </c>
      <c r="I70" s="371">
        <f t="shared" si="17"/>
        <v>0</v>
      </c>
      <c r="J70" s="371"/>
      <c r="K70" s="371"/>
      <c r="L70" s="371"/>
      <c r="M70" s="371"/>
      <c r="N70" s="371"/>
      <c r="O70" s="377"/>
      <c r="P70" s="624"/>
      <c r="Q70" s="640"/>
      <c r="R70" s="641"/>
      <c r="S70" s="641"/>
      <c r="T70" s="641"/>
      <c r="U70" s="381"/>
      <c r="V70" s="624"/>
      <c r="W70" s="653"/>
      <c r="X70" s="654"/>
      <c r="Y70" s="654"/>
      <c r="Z70" s="654"/>
      <c r="AA70" s="655"/>
      <c r="AB70" s="624"/>
      <c r="AC70" s="624"/>
      <c r="AD70" s="625" t="s">
        <v>1394</v>
      </c>
    </row>
    <row r="71" spans="1:30" ht="0" hidden="1" customHeight="1">
      <c r="A71" s="1460"/>
      <c r="B71" s="680" t="str">
        <f t="shared" si="34"/>
        <v>$pname7$集中商业</v>
      </c>
      <c r="C71" s="371">
        <f t="shared" si="35"/>
        <v>0</v>
      </c>
      <c r="D71" s="691">
        <f t="shared" si="36"/>
        <v>0</v>
      </c>
      <c r="E71" s="371">
        <f t="shared" si="13"/>
        <v>0</v>
      </c>
      <c r="F71" s="691">
        <f t="shared" si="37"/>
        <v>0</v>
      </c>
      <c r="G71" s="371">
        <f t="shared" si="15"/>
        <v>0</v>
      </c>
      <c r="H71" s="371">
        <f t="shared" si="38"/>
        <v>0</v>
      </c>
      <c r="I71" s="371">
        <f t="shared" si="17"/>
        <v>0</v>
      </c>
      <c r="J71" s="371"/>
      <c r="K71" s="371"/>
      <c r="L71" s="371"/>
      <c r="M71" s="371"/>
      <c r="N71" s="371"/>
      <c r="O71" s="377"/>
      <c r="P71" s="624"/>
      <c r="Q71" s="640"/>
      <c r="R71" s="641"/>
      <c r="S71" s="641"/>
      <c r="T71" s="641"/>
      <c r="U71" s="381"/>
      <c r="V71" s="624"/>
      <c r="W71" s="653"/>
      <c r="X71" s="654"/>
      <c r="Y71" s="654"/>
      <c r="Z71" s="654"/>
      <c r="AA71" s="655"/>
      <c r="AB71" s="624"/>
      <c r="AC71" s="624"/>
      <c r="AD71" s="625" t="s">
        <v>1395</v>
      </c>
    </row>
    <row r="72" spans="1:30" ht="0" hidden="1" customHeight="1">
      <c r="A72" s="1460"/>
      <c r="B72" s="680" t="str">
        <f t="shared" si="34"/>
        <v>$pname8$写字楼</v>
      </c>
      <c r="C72" s="371">
        <f t="shared" si="35"/>
        <v>0</v>
      </c>
      <c r="D72" s="691">
        <f t="shared" si="36"/>
        <v>0</v>
      </c>
      <c r="E72" s="371">
        <f t="shared" si="13"/>
        <v>0</v>
      </c>
      <c r="F72" s="691">
        <f t="shared" si="37"/>
        <v>0</v>
      </c>
      <c r="G72" s="371">
        <f t="shared" si="15"/>
        <v>0</v>
      </c>
      <c r="H72" s="371">
        <f t="shared" si="38"/>
        <v>0</v>
      </c>
      <c r="I72" s="371">
        <f t="shared" si="17"/>
        <v>0</v>
      </c>
      <c r="J72" s="371"/>
      <c r="K72" s="371"/>
      <c r="L72" s="371"/>
      <c r="M72" s="371"/>
      <c r="N72" s="371"/>
      <c r="O72" s="377"/>
      <c r="P72" s="624"/>
      <c r="Q72" s="640"/>
      <c r="R72" s="641"/>
      <c r="S72" s="641"/>
      <c r="T72" s="641"/>
      <c r="U72" s="381"/>
      <c r="V72" s="624"/>
      <c r="W72" s="653"/>
      <c r="X72" s="654"/>
      <c r="Y72" s="654"/>
      <c r="Z72" s="654"/>
      <c r="AA72" s="655"/>
      <c r="AB72" s="624"/>
      <c r="AC72" s="624"/>
      <c r="AD72" s="625" t="s">
        <v>1396</v>
      </c>
    </row>
    <row r="73" spans="1:30" ht="0" hidden="1" customHeight="1">
      <c r="A73" s="1460"/>
      <c r="B73" s="680" t="str">
        <f t="shared" si="34"/>
        <v>$pname9$写字楼</v>
      </c>
      <c r="C73" s="371">
        <f t="shared" si="35"/>
        <v>0</v>
      </c>
      <c r="D73" s="691">
        <f t="shared" si="36"/>
        <v>0</v>
      </c>
      <c r="E73" s="371">
        <f t="shared" si="13"/>
        <v>0</v>
      </c>
      <c r="F73" s="691">
        <f t="shared" si="37"/>
        <v>0</v>
      </c>
      <c r="G73" s="371">
        <f t="shared" si="15"/>
        <v>0</v>
      </c>
      <c r="H73" s="371">
        <f t="shared" si="38"/>
        <v>0</v>
      </c>
      <c r="I73" s="371">
        <f t="shared" si="17"/>
        <v>0</v>
      </c>
      <c r="J73" s="371"/>
      <c r="K73" s="371"/>
      <c r="L73" s="371"/>
      <c r="M73" s="371"/>
      <c r="N73" s="371"/>
      <c r="O73" s="377"/>
      <c r="P73" s="624"/>
      <c r="Q73" s="640"/>
      <c r="R73" s="641"/>
      <c r="S73" s="641"/>
      <c r="T73" s="641"/>
      <c r="U73" s="381"/>
      <c r="V73" s="624"/>
      <c r="W73" s="653"/>
      <c r="X73" s="654"/>
      <c r="Y73" s="654"/>
      <c r="Z73" s="654"/>
      <c r="AA73" s="655"/>
      <c r="AB73" s="624"/>
      <c r="AC73" s="624"/>
      <c r="AD73" s="625" t="s">
        <v>1397</v>
      </c>
    </row>
    <row r="74" spans="1:30" ht="0" hidden="1" customHeight="1">
      <c r="A74" s="1461"/>
      <c r="B74" s="692" t="str">
        <f t="shared" si="34"/>
        <v>$pname10$酒店</v>
      </c>
      <c r="C74" s="391">
        <f t="shared" si="35"/>
        <v>0</v>
      </c>
      <c r="D74" s="693">
        <f t="shared" si="36"/>
        <v>0</v>
      </c>
      <c r="E74" s="391">
        <f t="shared" si="13"/>
        <v>0</v>
      </c>
      <c r="F74" s="693">
        <f t="shared" si="37"/>
        <v>0</v>
      </c>
      <c r="G74" s="391">
        <f t="shared" si="15"/>
        <v>0</v>
      </c>
      <c r="H74" s="391">
        <f t="shared" si="38"/>
        <v>0</v>
      </c>
      <c r="I74" s="391">
        <f t="shared" si="17"/>
        <v>0</v>
      </c>
      <c r="J74" s="391"/>
      <c r="K74" s="391"/>
      <c r="L74" s="391"/>
      <c r="M74" s="391"/>
      <c r="N74" s="391"/>
      <c r="O74" s="392"/>
      <c r="P74" s="624"/>
      <c r="Q74" s="694"/>
      <c r="R74" s="695"/>
      <c r="S74" s="695"/>
      <c r="T74" s="695"/>
      <c r="U74" s="393"/>
      <c r="V74" s="624"/>
      <c r="W74" s="696"/>
      <c r="X74" s="697"/>
      <c r="Y74" s="697"/>
      <c r="Z74" s="697"/>
      <c r="AA74" s="698"/>
      <c r="AB74" s="624"/>
      <c r="AC74" s="624"/>
      <c r="AD74" s="625" t="s">
        <v>1398</v>
      </c>
    </row>
  </sheetData>
  <sheetProtection sheet="1" objects="1" formatCells="0" formatColumns="0" formatRows="0" insertColumns="0" insertHyperlinks="0" deleteColumns="0" sort="0" autoFilter="0" pivotTables="0"/>
  <mergeCells count="30">
    <mergeCell ref="AC14:AC16"/>
    <mergeCell ref="AC17:AC30"/>
    <mergeCell ref="A5:B7"/>
    <mergeCell ref="A34:A44"/>
    <mergeCell ref="A45:A47"/>
    <mergeCell ref="Q5:T5"/>
    <mergeCell ref="W5:AA5"/>
    <mergeCell ref="D6:E6"/>
    <mergeCell ref="F6:G6"/>
    <mergeCell ref="H6:I6"/>
    <mergeCell ref="J6:L6"/>
    <mergeCell ref="M6:O6"/>
    <mergeCell ref="Y6:AA6"/>
    <mergeCell ref="Q6:Q7"/>
    <mergeCell ref="U5:U7"/>
    <mergeCell ref="A48:A49"/>
    <mergeCell ref="A50:A67"/>
    <mergeCell ref="A68:A74"/>
    <mergeCell ref="A8:B8"/>
    <mergeCell ref="A9:B9"/>
    <mergeCell ref="A10:B10"/>
    <mergeCell ref="A32:B32"/>
    <mergeCell ref="A33:B33"/>
    <mergeCell ref="A11:A31"/>
    <mergeCell ref="A2:O2"/>
    <mergeCell ref="A3:O3"/>
    <mergeCell ref="A4:B4"/>
    <mergeCell ref="D5:I5"/>
    <mergeCell ref="J5:O5"/>
    <mergeCell ref="C5:C7"/>
  </mergeCells>
  <phoneticPr fontId="84" type="noConversion"/>
  <pageMargins left="0.69791666666666663" right="0.69791666666666663" top="0.75" bottom="0.75" header="0.30208333333333331" footer="0.30208333333333331"/>
  <pageSetup pageOrder="overThenDown" orientation="portrait"/>
  <headerFooter>
    <oddHeader>&amp;L&amp;C&amp;R</oddHeader>
    <oddFooter>&amp;L&amp;C&amp;R</oddFooter>
    <evenHeader>&amp;L&amp;C&amp;R</evenHeader>
    <evenFooter>&amp;L&amp;C&amp;R</even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4313"/>
  <sheetViews>
    <sheetView tabSelected="1" zoomScale="85" workbookViewId="0">
      <pane xSplit="1" ySplit="2" topLeftCell="E3" activePane="bottomRight" state="frozen"/>
      <selection pane="topRight" activeCell="B1" sqref="B1"/>
      <selection pane="bottomLeft" activeCell="A3" sqref="A3"/>
      <selection pane="bottomRight" activeCell="K165" sqref="K165"/>
    </sheetView>
  </sheetViews>
  <sheetFormatPr baseColWidth="10" defaultColWidth="9" defaultRowHeight="12.75" customHeight="1" outlineLevelRow="5"/>
  <cols>
    <col min="1" max="1" width="51.83203125" style="185" customWidth="1"/>
    <col min="2" max="2" width="51.83203125" style="185" hidden="1" customWidth="1"/>
    <col min="3" max="3" width="20.5" style="186" customWidth="1"/>
    <col min="4" max="4" width="14.5" style="186" customWidth="1"/>
    <col min="5" max="5" width="6.6640625" style="187" customWidth="1"/>
    <col min="6" max="6" width="22.1640625" style="186" customWidth="1"/>
    <col min="7" max="7" width="13.33203125" style="187" customWidth="1"/>
    <col min="8" max="8" width="8.1640625" style="187" customWidth="1"/>
    <col min="9" max="9" width="14.6640625" style="186" customWidth="1"/>
    <col min="10" max="10" width="7.6640625" style="187" customWidth="1"/>
    <col min="11" max="11" width="13" style="186" customWidth="1"/>
    <col min="12" max="12" width="9.1640625" style="187" customWidth="1"/>
    <col min="13" max="13" width="15" style="186" customWidth="1"/>
    <col min="14" max="16" width="13.5" style="186" customWidth="1"/>
    <col min="17" max="17" width="15.6640625" style="186" customWidth="1"/>
    <col min="18" max="18" width="49.83203125" style="188" customWidth="1"/>
    <col min="19" max="19" width="10.6640625" style="189" hidden="1" customWidth="1"/>
    <col min="20" max="20" width="9" style="186"/>
    <col min="21" max="21" width="29.5" style="186" hidden="1" customWidth="1"/>
    <col min="22" max="24" width="11.83203125" customWidth="1"/>
  </cols>
  <sheetData>
    <row r="1" spans="1:21" ht="22.5" customHeight="1">
      <c r="A1" s="1482" t="s">
        <v>1399</v>
      </c>
      <c r="B1" s="190"/>
      <c r="C1" s="1482" t="s">
        <v>1400</v>
      </c>
      <c r="D1" s="1482"/>
      <c r="E1" s="1482"/>
      <c r="F1" s="1482" t="s">
        <v>1401</v>
      </c>
      <c r="G1" s="1482"/>
      <c r="H1" s="1482"/>
      <c r="I1" s="1482" t="s">
        <v>1402</v>
      </c>
      <c r="J1" s="1482"/>
      <c r="K1" s="1483" t="s">
        <v>730</v>
      </c>
      <c r="L1" s="1483"/>
      <c r="M1" s="1482" t="s">
        <v>1403</v>
      </c>
      <c r="N1" s="1482" t="s">
        <v>1404</v>
      </c>
      <c r="O1" s="1482" t="s">
        <v>1405</v>
      </c>
      <c r="P1" s="1482" t="s">
        <v>1406</v>
      </c>
      <c r="Q1" s="1485" t="s">
        <v>1407</v>
      </c>
      <c r="R1" s="1485" t="s">
        <v>78</v>
      </c>
      <c r="S1" s="1482" t="s">
        <v>1408</v>
      </c>
      <c r="U1" s="215"/>
    </row>
    <row r="2" spans="1:21" ht="51" customHeight="1">
      <c r="A2" s="1484"/>
      <c r="B2" s="191"/>
      <c r="C2" s="191" t="s">
        <v>1409</v>
      </c>
      <c r="D2" s="191" t="s">
        <v>1410</v>
      </c>
      <c r="E2" s="191" t="s">
        <v>74</v>
      </c>
      <c r="F2" s="191" t="s">
        <v>1409</v>
      </c>
      <c r="G2" s="191" t="s">
        <v>1411</v>
      </c>
      <c r="H2" s="191" t="s">
        <v>74</v>
      </c>
      <c r="I2" s="191" t="s">
        <v>1412</v>
      </c>
      <c r="J2" s="191" t="s">
        <v>74</v>
      </c>
      <c r="K2" s="206" t="s">
        <v>1413</v>
      </c>
      <c r="L2" s="206" t="s">
        <v>74</v>
      </c>
      <c r="M2" s="1484"/>
      <c r="N2" s="1484"/>
      <c r="O2" s="1484"/>
      <c r="P2" s="1484"/>
      <c r="Q2" s="1486"/>
      <c r="R2" s="1486"/>
      <c r="S2" s="1482"/>
      <c r="U2" s="215"/>
    </row>
    <row r="3" spans="1:21" ht="20.25" customHeight="1">
      <c r="A3" s="192" t="s">
        <v>1414</v>
      </c>
      <c r="B3" s="192"/>
      <c r="C3" s="193"/>
      <c r="D3" s="194">
        <f>'02 项目基础信息（输入）'!$D$4</f>
        <v>74626.7546</v>
      </c>
      <c r="E3" s="195"/>
      <c r="F3" s="193"/>
      <c r="G3" s="195"/>
      <c r="H3" s="195"/>
      <c r="I3" s="193"/>
      <c r="J3" s="195"/>
      <c r="K3" s="193"/>
      <c r="L3" s="195"/>
      <c r="M3" s="194">
        <f>ROUND(M4+M29+M47+M93+M4164+M4190+M4241+M4252+M4281+M4310,6)</f>
        <v>53408.718573999999</v>
      </c>
      <c r="N3" s="194">
        <f>'02 项目基础信息（输入）'!$D$4</f>
        <v>74626.7546</v>
      </c>
      <c r="O3" s="194">
        <f t="shared" ref="O3:O66" si="0">ROUND(IFERROR(M3*10000/N3,0),2)</f>
        <v>7156.78</v>
      </c>
      <c r="P3" s="194">
        <f>'02 项目基础信息（输入）'!$H$69+$N$3</f>
        <v>74626.7546</v>
      </c>
      <c r="Q3" s="216">
        <f t="shared" ref="Q3:Q66" si="1">ROUND(IFERROR(M3*10000/P3,0),2)</f>
        <v>7156.78</v>
      </c>
      <c r="S3" s="217"/>
      <c r="U3" s="218" t="s">
        <v>1415</v>
      </c>
    </row>
    <row r="4" spans="1:21" ht="20.25" customHeight="1" outlineLevel="1">
      <c r="A4" s="196" t="s">
        <v>1416</v>
      </c>
      <c r="B4" s="196"/>
      <c r="C4" s="197" t="s">
        <v>256</v>
      </c>
      <c r="D4" s="198">
        <f>'02 项目基础信息（输入）'!$D$4</f>
        <v>74626.7546</v>
      </c>
      <c r="E4" s="199" t="s">
        <v>93</v>
      </c>
      <c r="F4" s="197"/>
      <c r="G4" s="199"/>
      <c r="H4" s="199"/>
      <c r="I4" s="197"/>
      <c r="J4" s="199"/>
      <c r="K4" s="197"/>
      <c r="L4" s="199"/>
      <c r="M4" s="198">
        <f>ROUND(M5+M7+M9+M11+M13+M15+M17+M19+M21+M23+M25+M27,6)</f>
        <v>325.907535</v>
      </c>
      <c r="N4" s="198">
        <f>'02 项目基础信息（输入）'!$D$4</f>
        <v>74626.7546</v>
      </c>
      <c r="O4" s="194">
        <f t="shared" si="0"/>
        <v>43.67</v>
      </c>
      <c r="P4" s="194">
        <f>'02 项目基础信息（输入）'!$H$69+$N$3</f>
        <v>74626.7546</v>
      </c>
      <c r="Q4" s="216">
        <f t="shared" si="1"/>
        <v>43.67</v>
      </c>
      <c r="S4" s="219" t="s">
        <v>1312</v>
      </c>
      <c r="U4" s="220" t="s">
        <v>1417</v>
      </c>
    </row>
    <row r="5" spans="1:21" ht="20.25" customHeight="1" outlineLevel="2" collapsed="1">
      <c r="A5" s="192" t="s">
        <v>1418</v>
      </c>
      <c r="B5" s="192"/>
      <c r="C5" s="197" t="s">
        <v>256</v>
      </c>
      <c r="D5" s="198">
        <f>'02 项目基础信息（输入）'!$D$4</f>
        <v>74626.7546</v>
      </c>
      <c r="E5" s="199" t="s">
        <v>93</v>
      </c>
      <c r="F5" s="197"/>
      <c r="G5" s="199"/>
      <c r="H5" s="199"/>
      <c r="I5" s="197"/>
      <c r="J5" s="199"/>
      <c r="K5" s="197"/>
      <c r="L5" s="199"/>
      <c r="M5" s="207">
        <f>ROUND(SUM(M6),6)</f>
        <v>1.4925349999999999</v>
      </c>
      <c r="N5" s="198">
        <f>'02 项目基础信息（输入）'!$D$4</f>
        <v>74626.7546</v>
      </c>
      <c r="O5" s="194">
        <f t="shared" si="0"/>
        <v>0.2</v>
      </c>
      <c r="P5" s="194">
        <f>'02 项目基础信息（输入）'!$H$69+$N$3</f>
        <v>74626.7546</v>
      </c>
      <c r="Q5" s="216">
        <f t="shared" si="1"/>
        <v>0.2</v>
      </c>
      <c r="S5" s="217"/>
      <c r="U5" s="220" t="s">
        <v>1419</v>
      </c>
    </row>
    <row r="6" spans="1:21" ht="20.25" hidden="1" customHeight="1" outlineLevel="4">
      <c r="A6" s="192" t="s">
        <v>1420</v>
      </c>
      <c r="B6" s="192"/>
      <c r="C6" s="197" t="s">
        <v>256</v>
      </c>
      <c r="D6" s="198">
        <f>'02 项目基础信息（输入）'!$D$4</f>
        <v>74626.7546</v>
      </c>
      <c r="E6" s="199" t="s">
        <v>93</v>
      </c>
      <c r="F6" s="197" t="s">
        <v>256</v>
      </c>
      <c r="G6" s="199">
        <v>1</v>
      </c>
      <c r="H6" s="199" t="s">
        <v>298</v>
      </c>
      <c r="I6" s="198">
        <f>'02 项目基础信息（输入）'!$D$4</f>
        <v>74626.7546</v>
      </c>
      <c r="J6" s="199" t="s">
        <v>93</v>
      </c>
      <c r="K6" s="1040" t="s">
        <v>1421</v>
      </c>
      <c r="L6" s="209" t="s">
        <v>675</v>
      </c>
      <c r="M6" s="207">
        <f>ROUND(K6*I6/10000,6)</f>
        <v>1.4925349999999999</v>
      </c>
      <c r="N6" s="198">
        <f>'02 项目基础信息（输入）'!$D$4</f>
        <v>74626.7546</v>
      </c>
      <c r="O6" s="194">
        <f t="shared" si="0"/>
        <v>0.2</v>
      </c>
      <c r="P6" s="194">
        <f>'02 项目基础信息（输入）'!$H$69+$N$3</f>
        <v>74626.7546</v>
      </c>
      <c r="Q6" s="216">
        <f t="shared" si="1"/>
        <v>0.2</v>
      </c>
      <c r="S6" s="217"/>
      <c r="U6" s="220" t="s">
        <v>1422</v>
      </c>
    </row>
    <row r="7" spans="1:21" ht="20.25" customHeight="1" outlineLevel="2" collapsed="1">
      <c r="A7" s="192" t="s">
        <v>1423</v>
      </c>
      <c r="B7" s="192"/>
      <c r="C7" s="197" t="s">
        <v>256</v>
      </c>
      <c r="D7" s="198">
        <f>'02 项目基础信息（输入）'!$D$4</f>
        <v>74626.7546</v>
      </c>
      <c r="E7" s="199" t="s">
        <v>93</v>
      </c>
      <c r="F7" s="197"/>
      <c r="G7" s="199"/>
      <c r="H7" s="199"/>
      <c r="I7" s="197"/>
      <c r="J7" s="199"/>
      <c r="K7" s="197"/>
      <c r="L7" s="209"/>
      <c r="M7" s="207">
        <f>ROUND(SUM(M8),6)</f>
        <v>0</v>
      </c>
      <c r="N7" s="198">
        <f>'02 项目基础信息（输入）'!$D$4</f>
        <v>74626.7546</v>
      </c>
      <c r="O7" s="194">
        <f t="shared" si="0"/>
        <v>0</v>
      </c>
      <c r="P7" s="194">
        <f>'02 项目基础信息（输入）'!$H$69+$N$3</f>
        <v>74626.7546</v>
      </c>
      <c r="Q7" s="216">
        <f t="shared" si="1"/>
        <v>0</v>
      </c>
      <c r="S7" s="217"/>
      <c r="U7" s="220" t="s">
        <v>1424</v>
      </c>
    </row>
    <row r="8" spans="1:21" ht="20.25" hidden="1" customHeight="1" outlineLevel="4">
      <c r="A8" s="192" t="s">
        <v>1425</v>
      </c>
      <c r="B8" s="192"/>
      <c r="C8" s="197" t="s">
        <v>256</v>
      </c>
      <c r="D8" s="198">
        <f>'02 项目基础信息（输入）'!$D$4</f>
        <v>74626.7546</v>
      </c>
      <c r="E8" s="199" t="s">
        <v>93</v>
      </c>
      <c r="F8" s="197" t="s">
        <v>256</v>
      </c>
      <c r="G8" s="199">
        <v>1</v>
      </c>
      <c r="H8" s="199" t="s">
        <v>298</v>
      </c>
      <c r="I8" s="198">
        <f>'02 项目基础信息（输入）'!$D$4</f>
        <v>74626.7546</v>
      </c>
      <c r="J8" s="199" t="s">
        <v>93</v>
      </c>
      <c r="K8" s="699"/>
      <c r="L8" s="209" t="s">
        <v>675</v>
      </c>
      <c r="M8" s="207">
        <f>ROUND(K8*I8/10000,6)</f>
        <v>0</v>
      </c>
      <c r="N8" s="198">
        <f>'02 项目基础信息（输入）'!$D$4</f>
        <v>74626.7546</v>
      </c>
      <c r="O8" s="194">
        <f t="shared" si="0"/>
        <v>0</v>
      </c>
      <c r="P8" s="194">
        <f>'02 项目基础信息（输入）'!$H$69+$N$3</f>
        <v>74626.7546</v>
      </c>
      <c r="Q8" s="216">
        <f t="shared" si="1"/>
        <v>0</v>
      </c>
      <c r="S8" s="217"/>
      <c r="U8" s="220" t="s">
        <v>1426</v>
      </c>
    </row>
    <row r="9" spans="1:21" ht="20.25" customHeight="1" outlineLevel="2" collapsed="1">
      <c r="A9" s="192" t="s">
        <v>1427</v>
      </c>
      <c r="B9" s="192"/>
      <c r="C9" s="197" t="s">
        <v>256</v>
      </c>
      <c r="D9" s="198">
        <f>'02 项目基础信息（输入）'!$D$4</f>
        <v>74626.7546</v>
      </c>
      <c r="E9" s="199" t="s">
        <v>93</v>
      </c>
      <c r="F9" s="197"/>
      <c r="G9" s="199"/>
      <c r="H9" s="199"/>
      <c r="I9" s="197"/>
      <c r="J9" s="199"/>
      <c r="K9" s="197"/>
      <c r="L9" s="209"/>
      <c r="M9" s="207">
        <f>ROUND(SUM(M10),6)</f>
        <v>60</v>
      </c>
      <c r="N9" s="198">
        <f>'02 项目基础信息（输入）'!$D$4</f>
        <v>74626.7546</v>
      </c>
      <c r="O9" s="194">
        <f t="shared" si="0"/>
        <v>8.0399999999999991</v>
      </c>
      <c r="P9" s="194">
        <f>'02 项目基础信息（输入）'!$H$69+$N$3</f>
        <v>74626.7546</v>
      </c>
      <c r="Q9" s="216">
        <f t="shared" si="1"/>
        <v>8.0399999999999991</v>
      </c>
      <c r="S9" s="217"/>
      <c r="U9" s="220" t="s">
        <v>1428</v>
      </c>
    </row>
    <row r="10" spans="1:21" ht="20.25" hidden="1" customHeight="1" outlineLevel="4">
      <c r="A10" s="192" t="s">
        <v>1429</v>
      </c>
      <c r="B10" s="192"/>
      <c r="C10" s="197" t="s">
        <v>256</v>
      </c>
      <c r="D10" s="198">
        <f>'02 项目基础信息（输入）'!$D$4</f>
        <v>74626.7546</v>
      </c>
      <c r="E10" s="199" t="s">
        <v>93</v>
      </c>
      <c r="F10" s="197" t="s">
        <v>256</v>
      </c>
      <c r="G10" s="199">
        <v>1</v>
      </c>
      <c r="H10" s="199" t="s">
        <v>298</v>
      </c>
      <c r="I10" s="198">
        <f>'02 项目基础信息（输入）'!$D$4</f>
        <v>74626.7546</v>
      </c>
      <c r="J10" s="199" t="s">
        <v>93</v>
      </c>
      <c r="K10" s="1040">
        <f>60*10000/I10</f>
        <v>8.0400119664322105</v>
      </c>
      <c r="L10" s="209" t="s">
        <v>675</v>
      </c>
      <c r="M10" s="207">
        <f>ROUND(K10*I10/10000,6)</f>
        <v>60</v>
      </c>
      <c r="N10" s="198">
        <f>'02 项目基础信息（输入）'!$D$4</f>
        <v>74626.7546</v>
      </c>
      <c r="O10" s="194">
        <f t="shared" si="0"/>
        <v>8.0399999999999991</v>
      </c>
      <c r="P10" s="194">
        <f>'02 项目基础信息（输入）'!$H$69+$N$3</f>
        <v>74626.7546</v>
      </c>
      <c r="Q10" s="216">
        <f t="shared" si="1"/>
        <v>8.0399999999999991</v>
      </c>
      <c r="R10" s="1041" t="s">
        <v>8085</v>
      </c>
      <c r="S10" s="217"/>
      <c r="U10" s="220" t="s">
        <v>1430</v>
      </c>
    </row>
    <row r="11" spans="1:21" ht="20.25" customHeight="1" outlineLevel="2" collapsed="1">
      <c r="A11" s="192" t="s">
        <v>1431</v>
      </c>
      <c r="B11" s="192"/>
      <c r="C11" s="197" t="s">
        <v>256</v>
      </c>
      <c r="D11" s="198">
        <f>'02 项目基础信息（输入）'!$D$4</f>
        <v>74626.7546</v>
      </c>
      <c r="E11" s="199" t="s">
        <v>93</v>
      </c>
      <c r="F11" s="197"/>
      <c r="G11" s="199"/>
      <c r="H11" s="199"/>
      <c r="I11" s="197"/>
      <c r="J11" s="199"/>
      <c r="K11" s="197"/>
      <c r="L11" s="209"/>
      <c r="M11" s="207">
        <f>ROUND(SUM(M12),6)</f>
        <v>71.5</v>
      </c>
      <c r="N11" s="198">
        <f>'02 项目基础信息（输入）'!$D$4</f>
        <v>74626.7546</v>
      </c>
      <c r="O11" s="194">
        <f t="shared" si="0"/>
        <v>9.58</v>
      </c>
      <c r="P11" s="194">
        <f>'02 项目基础信息（输入）'!$H$69+$N$3</f>
        <v>74626.7546</v>
      </c>
      <c r="Q11" s="216">
        <f t="shared" si="1"/>
        <v>9.58</v>
      </c>
      <c r="S11" s="217"/>
      <c r="U11" s="220" t="s">
        <v>1432</v>
      </c>
    </row>
    <row r="12" spans="1:21" ht="20.25" hidden="1" customHeight="1" outlineLevel="4">
      <c r="A12" s="192" t="s">
        <v>1433</v>
      </c>
      <c r="B12" s="192"/>
      <c r="C12" s="197" t="s">
        <v>256</v>
      </c>
      <c r="D12" s="198">
        <f>'02 项目基础信息（输入）'!$D$4</f>
        <v>74626.7546</v>
      </c>
      <c r="E12" s="199" t="s">
        <v>93</v>
      </c>
      <c r="F12" s="197" t="s">
        <v>256</v>
      </c>
      <c r="G12" s="199">
        <v>1</v>
      </c>
      <c r="H12" s="199" t="s">
        <v>298</v>
      </c>
      <c r="I12" s="198">
        <f>'02 项目基础信息（输入）'!$D$4</f>
        <v>74626.7546</v>
      </c>
      <c r="J12" s="199" t="s">
        <v>93</v>
      </c>
      <c r="K12" s="1040">
        <f>550*1300/I12</f>
        <v>9.5810142599983834</v>
      </c>
      <c r="L12" s="209" t="s">
        <v>675</v>
      </c>
      <c r="M12" s="207">
        <f>ROUND(K12*I12/10000,6)</f>
        <v>71.5</v>
      </c>
      <c r="N12" s="198">
        <f>'02 项目基础信息（输入）'!$D$4</f>
        <v>74626.7546</v>
      </c>
      <c r="O12" s="194">
        <f t="shared" si="0"/>
        <v>9.58</v>
      </c>
      <c r="P12" s="194">
        <f>'02 项目基础信息（输入）'!$H$69+$N$3</f>
        <v>74626.7546</v>
      </c>
      <c r="Q12" s="216">
        <f t="shared" si="1"/>
        <v>9.58</v>
      </c>
      <c r="R12" s="1041" t="s">
        <v>7620</v>
      </c>
      <c r="S12" s="217"/>
      <c r="U12" s="220" t="s">
        <v>1434</v>
      </c>
    </row>
    <row r="13" spans="1:21" ht="20.25" customHeight="1" outlineLevel="2" collapsed="1">
      <c r="A13" s="192" t="s">
        <v>1435</v>
      </c>
      <c r="B13" s="192"/>
      <c r="C13" s="197" t="s">
        <v>256</v>
      </c>
      <c r="D13" s="198">
        <f>'02 项目基础信息（输入）'!$D$4</f>
        <v>74626.7546</v>
      </c>
      <c r="E13" s="199" t="s">
        <v>93</v>
      </c>
      <c r="F13" s="197"/>
      <c r="G13" s="199"/>
      <c r="H13" s="199"/>
      <c r="I13" s="197"/>
      <c r="J13" s="199"/>
      <c r="K13" s="197"/>
      <c r="L13" s="209"/>
      <c r="M13" s="207">
        <f>ROUND(SUM(M14),6)</f>
        <v>16.914999999999999</v>
      </c>
      <c r="N13" s="198">
        <f>'02 项目基础信息（输入）'!$D$4</f>
        <v>74626.7546</v>
      </c>
      <c r="O13" s="194">
        <f t="shared" si="0"/>
        <v>2.27</v>
      </c>
      <c r="P13" s="194">
        <f>'02 项目基础信息（输入）'!$H$69+$N$3</f>
        <v>74626.7546</v>
      </c>
      <c r="Q13" s="216">
        <f t="shared" si="1"/>
        <v>2.27</v>
      </c>
      <c r="S13" s="217"/>
      <c r="U13" s="220" t="s">
        <v>1436</v>
      </c>
    </row>
    <row r="14" spans="1:21" ht="20.25" hidden="1" customHeight="1" outlineLevel="4">
      <c r="A14" s="192" t="s">
        <v>1437</v>
      </c>
      <c r="B14" s="192"/>
      <c r="C14" s="197" t="s">
        <v>256</v>
      </c>
      <c r="D14" s="198">
        <f>'02 项目基础信息（输入）'!$D$4</f>
        <v>74626.7546</v>
      </c>
      <c r="E14" s="199" t="s">
        <v>93</v>
      </c>
      <c r="F14" s="197" t="s">
        <v>256</v>
      </c>
      <c r="G14" s="199">
        <v>1</v>
      </c>
      <c r="H14" s="199" t="s">
        <v>298</v>
      </c>
      <c r="I14" s="198">
        <f>'02 项目基础信息（输入）'!$D$4</f>
        <v>74626.7546</v>
      </c>
      <c r="J14" s="199" t="s">
        <v>93</v>
      </c>
      <c r="K14" s="1040">
        <v>2.2666134178941002</v>
      </c>
      <c r="L14" s="209" t="s">
        <v>675</v>
      </c>
      <c r="M14" s="207">
        <f>ROUND(K14*I14/10000,6)</f>
        <v>16.914999999999999</v>
      </c>
      <c r="N14" s="198">
        <f>'02 项目基础信息（输入）'!$D$4</f>
        <v>74626.7546</v>
      </c>
      <c r="O14" s="194">
        <f t="shared" si="0"/>
        <v>2.27</v>
      </c>
      <c r="P14" s="194">
        <f>'02 项目基础信息（输入）'!$H$69+$N$3</f>
        <v>74626.7546</v>
      </c>
      <c r="Q14" s="216">
        <f t="shared" si="1"/>
        <v>2.27</v>
      </c>
      <c r="S14" s="217"/>
      <c r="U14" s="220" t="s">
        <v>1438</v>
      </c>
    </row>
    <row r="15" spans="1:21" ht="20.25" customHeight="1" outlineLevel="2" collapsed="1">
      <c r="A15" s="192" t="s">
        <v>1439</v>
      </c>
      <c r="B15" s="192"/>
      <c r="C15" s="197" t="s">
        <v>256</v>
      </c>
      <c r="D15" s="198">
        <f>'02 项目基础信息（输入）'!$D$4</f>
        <v>74626.7546</v>
      </c>
      <c r="E15" s="199" t="s">
        <v>93</v>
      </c>
      <c r="F15" s="197"/>
      <c r="G15" s="199"/>
      <c r="H15" s="199"/>
      <c r="I15" s="197"/>
      <c r="J15" s="199"/>
      <c r="K15" s="197"/>
      <c r="L15" s="209"/>
      <c r="M15" s="207">
        <f>ROUND(SUM(M16),6)</f>
        <v>119</v>
      </c>
      <c r="N15" s="198">
        <f>'02 项目基础信息（输入）'!$D$4</f>
        <v>74626.7546</v>
      </c>
      <c r="O15" s="194">
        <f t="shared" si="0"/>
        <v>15.95</v>
      </c>
      <c r="P15" s="194">
        <f>'02 项目基础信息（输入）'!$H$69+$N$3</f>
        <v>74626.7546</v>
      </c>
      <c r="Q15" s="216">
        <f t="shared" si="1"/>
        <v>15.95</v>
      </c>
      <c r="S15" s="217"/>
      <c r="U15" s="220" t="s">
        <v>1440</v>
      </c>
    </row>
    <row r="16" spans="1:21" ht="20.25" hidden="1" customHeight="1" outlineLevel="4">
      <c r="A16" s="192" t="s">
        <v>1441</v>
      </c>
      <c r="B16" s="192"/>
      <c r="C16" s="197" t="s">
        <v>256</v>
      </c>
      <c r="D16" s="198">
        <f>'02 项目基础信息（输入）'!$D$4</f>
        <v>74626.7546</v>
      </c>
      <c r="E16" s="199" t="s">
        <v>93</v>
      </c>
      <c r="F16" s="197" t="s">
        <v>256</v>
      </c>
      <c r="G16" s="199">
        <v>1</v>
      </c>
      <c r="H16" s="199" t="s">
        <v>298</v>
      </c>
      <c r="I16" s="198">
        <f>'02 项目基础信息（输入）'!$D$4</f>
        <v>74626.7546</v>
      </c>
      <c r="J16" s="199" t="s">
        <v>93</v>
      </c>
      <c r="K16" s="1040">
        <f>850*1400/I16</f>
        <v>15.946023733423884</v>
      </c>
      <c r="L16" s="209" t="s">
        <v>675</v>
      </c>
      <c r="M16" s="207">
        <f>ROUND(K16*I16/10000,6)</f>
        <v>119</v>
      </c>
      <c r="N16" s="198">
        <f>'02 项目基础信息（输入）'!$D$4</f>
        <v>74626.7546</v>
      </c>
      <c r="O16" s="194">
        <f t="shared" si="0"/>
        <v>15.95</v>
      </c>
      <c r="P16" s="194">
        <f>'02 项目基础信息（输入）'!$H$69+$N$3</f>
        <v>74626.7546</v>
      </c>
      <c r="Q16" s="216">
        <f t="shared" si="1"/>
        <v>15.95</v>
      </c>
      <c r="R16" s="1041" t="s">
        <v>7930</v>
      </c>
      <c r="S16" s="217"/>
      <c r="U16" s="220" t="s">
        <v>1442</v>
      </c>
    </row>
    <row r="17" spans="1:21" ht="20.25" customHeight="1" outlineLevel="2" collapsed="1">
      <c r="A17" s="192" t="s">
        <v>1443</v>
      </c>
      <c r="B17" s="192"/>
      <c r="C17" s="197" t="s">
        <v>256</v>
      </c>
      <c r="D17" s="198">
        <f>'02 项目基础信息（输入）'!$D$4</f>
        <v>74626.7546</v>
      </c>
      <c r="E17" s="199" t="s">
        <v>93</v>
      </c>
      <c r="F17" s="197"/>
      <c r="G17" s="199"/>
      <c r="H17" s="199"/>
      <c r="I17" s="197"/>
      <c r="J17" s="199"/>
      <c r="K17" s="197"/>
      <c r="L17" s="209"/>
      <c r="M17" s="207">
        <f>ROUND(SUM(M18),6)</f>
        <v>0</v>
      </c>
      <c r="N17" s="198">
        <f>'02 项目基础信息（输入）'!$D$4</f>
        <v>74626.7546</v>
      </c>
      <c r="O17" s="194">
        <f t="shared" si="0"/>
        <v>0</v>
      </c>
      <c r="P17" s="194">
        <f>'02 项目基础信息（输入）'!$H$69+$N$3</f>
        <v>74626.7546</v>
      </c>
      <c r="Q17" s="216">
        <f t="shared" si="1"/>
        <v>0</v>
      </c>
      <c r="S17" s="217"/>
      <c r="U17" s="220" t="s">
        <v>1444</v>
      </c>
    </row>
    <row r="18" spans="1:21" ht="20.25" hidden="1" customHeight="1" outlineLevel="4">
      <c r="A18" s="192" t="s">
        <v>1445</v>
      </c>
      <c r="B18" s="192"/>
      <c r="C18" s="197" t="s">
        <v>256</v>
      </c>
      <c r="D18" s="198">
        <f>'02 项目基础信息（输入）'!$D$4</f>
        <v>74626.7546</v>
      </c>
      <c r="E18" s="199" t="s">
        <v>93</v>
      </c>
      <c r="F18" s="197" t="s">
        <v>256</v>
      </c>
      <c r="G18" s="199">
        <v>1</v>
      </c>
      <c r="H18" s="199" t="s">
        <v>298</v>
      </c>
      <c r="I18" s="198">
        <f>'02 项目基础信息（输入）'!$D$4</f>
        <v>74626.7546</v>
      </c>
      <c r="J18" s="199" t="s">
        <v>93</v>
      </c>
      <c r="K18" s="699"/>
      <c r="L18" s="209" t="s">
        <v>675</v>
      </c>
      <c r="M18" s="207">
        <f>ROUND(K18*I18/10000,6)</f>
        <v>0</v>
      </c>
      <c r="N18" s="198">
        <f>'02 项目基础信息（输入）'!$D$4</f>
        <v>74626.7546</v>
      </c>
      <c r="O18" s="194">
        <f t="shared" si="0"/>
        <v>0</v>
      </c>
      <c r="P18" s="194">
        <f>'02 项目基础信息（输入）'!$H$69+$N$3</f>
        <v>74626.7546</v>
      </c>
      <c r="Q18" s="216">
        <f t="shared" si="1"/>
        <v>0</v>
      </c>
      <c r="S18" s="217"/>
      <c r="U18" s="220" t="s">
        <v>1446</v>
      </c>
    </row>
    <row r="19" spans="1:21" ht="20.25" customHeight="1" outlineLevel="2" collapsed="1">
      <c r="A19" s="192" t="s">
        <v>1447</v>
      </c>
      <c r="B19" s="192"/>
      <c r="C19" s="197" t="s">
        <v>256</v>
      </c>
      <c r="D19" s="198">
        <f>'02 项目基础信息（输入）'!$D$4</f>
        <v>74626.7546</v>
      </c>
      <c r="E19" s="199" t="s">
        <v>93</v>
      </c>
      <c r="F19" s="197"/>
      <c r="G19" s="199"/>
      <c r="H19" s="199"/>
      <c r="I19" s="197"/>
      <c r="J19" s="199"/>
      <c r="K19" s="197"/>
      <c r="L19" s="209"/>
      <c r="M19" s="207">
        <f>ROUND(SUM(M20),6)</f>
        <v>0</v>
      </c>
      <c r="N19" s="198">
        <f>'02 项目基础信息（输入）'!$D$4</f>
        <v>74626.7546</v>
      </c>
      <c r="O19" s="194">
        <f t="shared" si="0"/>
        <v>0</v>
      </c>
      <c r="P19" s="194">
        <f>'02 项目基础信息（输入）'!$H$69+$N$3</f>
        <v>74626.7546</v>
      </c>
      <c r="Q19" s="216">
        <f t="shared" si="1"/>
        <v>0</v>
      </c>
      <c r="S19" s="217"/>
      <c r="U19" s="220" t="s">
        <v>1448</v>
      </c>
    </row>
    <row r="20" spans="1:21" ht="20.25" hidden="1" customHeight="1" outlineLevel="4">
      <c r="A20" s="192" t="s">
        <v>1449</v>
      </c>
      <c r="B20" s="192"/>
      <c r="C20" s="197" t="s">
        <v>256</v>
      </c>
      <c r="D20" s="198">
        <f>'02 项目基础信息（输入）'!$D$4</f>
        <v>74626.7546</v>
      </c>
      <c r="E20" s="199" t="s">
        <v>93</v>
      </c>
      <c r="F20" s="197" t="s">
        <v>256</v>
      </c>
      <c r="G20" s="199">
        <v>1</v>
      </c>
      <c r="H20" s="199" t="s">
        <v>298</v>
      </c>
      <c r="I20" s="198">
        <f>'02 项目基础信息（输入）'!$D$4</f>
        <v>74626.7546</v>
      </c>
      <c r="J20" s="199" t="s">
        <v>93</v>
      </c>
      <c r="K20" s="699"/>
      <c r="L20" s="209" t="s">
        <v>675</v>
      </c>
      <c r="M20" s="207">
        <f>ROUND(K20*I20/10000,6)</f>
        <v>0</v>
      </c>
      <c r="N20" s="198">
        <f>'02 项目基础信息（输入）'!$D$4</f>
        <v>74626.7546</v>
      </c>
      <c r="O20" s="194">
        <f t="shared" si="0"/>
        <v>0</v>
      </c>
      <c r="P20" s="194">
        <f>'02 项目基础信息（输入）'!$H$69+$N$3</f>
        <v>74626.7546</v>
      </c>
      <c r="Q20" s="216">
        <f t="shared" si="1"/>
        <v>0</v>
      </c>
      <c r="S20" s="217"/>
      <c r="U20" s="220" t="s">
        <v>1450</v>
      </c>
    </row>
    <row r="21" spans="1:21" ht="20.25" customHeight="1" outlineLevel="2" collapsed="1">
      <c r="A21" s="192" t="s">
        <v>1451</v>
      </c>
      <c r="B21" s="192"/>
      <c r="C21" s="197" t="s">
        <v>256</v>
      </c>
      <c r="D21" s="198">
        <f>'02 项目基础信息（输入）'!$D$4</f>
        <v>74626.7546</v>
      </c>
      <c r="E21" s="199" t="s">
        <v>93</v>
      </c>
      <c r="F21" s="197"/>
      <c r="G21" s="199"/>
      <c r="H21" s="199"/>
      <c r="I21" s="197"/>
      <c r="J21" s="199"/>
      <c r="K21" s="197"/>
      <c r="L21" s="209"/>
      <c r="M21" s="207">
        <f>ROUND(SUM(M22),6)</f>
        <v>0</v>
      </c>
      <c r="N21" s="198">
        <f>'02 项目基础信息（输入）'!$D$4</f>
        <v>74626.7546</v>
      </c>
      <c r="O21" s="194">
        <f t="shared" si="0"/>
        <v>0</v>
      </c>
      <c r="P21" s="194">
        <f>'02 项目基础信息（输入）'!$H$69+$N$3</f>
        <v>74626.7546</v>
      </c>
      <c r="Q21" s="216">
        <f t="shared" si="1"/>
        <v>0</v>
      </c>
      <c r="S21" s="217"/>
      <c r="U21" s="220" t="s">
        <v>1452</v>
      </c>
    </row>
    <row r="22" spans="1:21" ht="20.25" hidden="1" customHeight="1" outlineLevel="4">
      <c r="A22" s="192" t="s">
        <v>1453</v>
      </c>
      <c r="B22" s="192"/>
      <c r="C22" s="197" t="s">
        <v>256</v>
      </c>
      <c r="D22" s="198">
        <f>'02 项目基础信息（输入）'!$D$4</f>
        <v>74626.7546</v>
      </c>
      <c r="E22" s="199" t="s">
        <v>93</v>
      </c>
      <c r="F22" s="197" t="s">
        <v>256</v>
      </c>
      <c r="G22" s="199">
        <v>1</v>
      </c>
      <c r="H22" s="199" t="s">
        <v>298</v>
      </c>
      <c r="I22" s="198">
        <f>'02 项目基础信息（输入）'!$D$4</f>
        <v>74626.7546</v>
      </c>
      <c r="J22" s="199" t="s">
        <v>93</v>
      </c>
      <c r="K22" s="699"/>
      <c r="L22" s="209" t="s">
        <v>675</v>
      </c>
      <c r="M22" s="207">
        <f>ROUND(K22*I22/10000,6)</f>
        <v>0</v>
      </c>
      <c r="N22" s="198">
        <f>'02 项目基础信息（输入）'!$D$4</f>
        <v>74626.7546</v>
      </c>
      <c r="O22" s="194">
        <f t="shared" si="0"/>
        <v>0</v>
      </c>
      <c r="P22" s="194">
        <f>'02 项目基础信息（输入）'!$H$69+$N$3</f>
        <v>74626.7546</v>
      </c>
      <c r="Q22" s="216">
        <f t="shared" si="1"/>
        <v>0</v>
      </c>
      <c r="S22" s="217"/>
      <c r="U22" s="220" t="s">
        <v>1454</v>
      </c>
    </row>
    <row r="23" spans="1:21" ht="20.25" customHeight="1" outlineLevel="2" collapsed="1">
      <c r="A23" s="192" t="s">
        <v>1455</v>
      </c>
      <c r="B23" s="192"/>
      <c r="C23" s="197" t="s">
        <v>256</v>
      </c>
      <c r="D23" s="198">
        <f>'02 项目基础信息（输入）'!$D$4</f>
        <v>74626.7546</v>
      </c>
      <c r="E23" s="199" t="s">
        <v>93</v>
      </c>
      <c r="F23" s="197"/>
      <c r="G23" s="199"/>
      <c r="H23" s="199"/>
      <c r="I23" s="197"/>
      <c r="J23" s="199"/>
      <c r="K23" s="197"/>
      <c r="L23" s="209"/>
      <c r="M23" s="207">
        <f>ROUND(SUM(M24),6)</f>
        <v>0</v>
      </c>
      <c r="N23" s="198">
        <f>'02 项目基础信息（输入）'!$D$4</f>
        <v>74626.7546</v>
      </c>
      <c r="O23" s="194">
        <f t="shared" si="0"/>
        <v>0</v>
      </c>
      <c r="P23" s="194">
        <f>'02 项目基础信息（输入）'!$H$69+$N$3</f>
        <v>74626.7546</v>
      </c>
      <c r="Q23" s="216">
        <f t="shared" si="1"/>
        <v>0</v>
      </c>
      <c r="S23" s="217"/>
      <c r="U23" s="220" t="s">
        <v>1456</v>
      </c>
    </row>
    <row r="24" spans="1:21" ht="20.25" hidden="1" customHeight="1" outlineLevel="4">
      <c r="A24" s="192" t="s">
        <v>1457</v>
      </c>
      <c r="B24" s="192"/>
      <c r="C24" s="197" t="s">
        <v>256</v>
      </c>
      <c r="D24" s="198">
        <f>'02 项目基础信息（输入）'!$D$4</f>
        <v>74626.7546</v>
      </c>
      <c r="E24" s="199" t="s">
        <v>93</v>
      </c>
      <c r="F24" s="197" t="s">
        <v>256</v>
      </c>
      <c r="G24" s="199">
        <v>1</v>
      </c>
      <c r="H24" s="199" t="s">
        <v>298</v>
      </c>
      <c r="I24" s="198">
        <f>'02 项目基础信息（输入）'!$D$4</f>
        <v>74626.7546</v>
      </c>
      <c r="J24" s="199" t="s">
        <v>93</v>
      </c>
      <c r="K24" s="699"/>
      <c r="L24" s="209" t="s">
        <v>675</v>
      </c>
      <c r="M24" s="207">
        <f>ROUND(K24*I24/10000,6)</f>
        <v>0</v>
      </c>
      <c r="N24" s="198">
        <f>'02 项目基础信息（输入）'!$D$4</f>
        <v>74626.7546</v>
      </c>
      <c r="O24" s="194">
        <f t="shared" si="0"/>
        <v>0</v>
      </c>
      <c r="P24" s="194">
        <f>'02 项目基础信息（输入）'!$H$69+$N$3</f>
        <v>74626.7546</v>
      </c>
      <c r="Q24" s="216">
        <f t="shared" si="1"/>
        <v>0</v>
      </c>
      <c r="S24" s="217"/>
      <c r="U24" s="220" t="s">
        <v>1458</v>
      </c>
    </row>
    <row r="25" spans="1:21" ht="20.25" customHeight="1" outlineLevel="2" collapsed="1">
      <c r="A25" s="192" t="s">
        <v>1459</v>
      </c>
      <c r="B25" s="192"/>
      <c r="C25" s="197" t="s">
        <v>256</v>
      </c>
      <c r="D25" s="198">
        <f>'02 项目基础信息（输入）'!$D$4</f>
        <v>74626.7546</v>
      </c>
      <c r="E25" s="199" t="s">
        <v>93</v>
      </c>
      <c r="F25" s="197"/>
      <c r="G25" s="199"/>
      <c r="H25" s="199"/>
      <c r="I25" s="197"/>
      <c r="J25" s="199"/>
      <c r="K25" s="197"/>
      <c r="L25" s="209"/>
      <c r="M25" s="207">
        <f>ROUND(SUM(M26),6)</f>
        <v>0</v>
      </c>
      <c r="N25" s="198">
        <f>'02 项目基础信息（输入）'!$D$4</f>
        <v>74626.7546</v>
      </c>
      <c r="O25" s="194">
        <f t="shared" si="0"/>
        <v>0</v>
      </c>
      <c r="P25" s="194">
        <f>'02 项目基础信息（输入）'!$H$69+$N$3</f>
        <v>74626.7546</v>
      </c>
      <c r="Q25" s="216">
        <f t="shared" si="1"/>
        <v>0</v>
      </c>
      <c r="S25" s="217"/>
      <c r="U25" s="220" t="s">
        <v>1460</v>
      </c>
    </row>
    <row r="26" spans="1:21" ht="20.25" hidden="1" customHeight="1" outlineLevel="4">
      <c r="A26" s="192" t="s">
        <v>1461</v>
      </c>
      <c r="B26" s="192"/>
      <c r="C26" s="197" t="s">
        <v>256</v>
      </c>
      <c r="D26" s="198">
        <f>'02 项目基础信息（输入）'!$D$4</f>
        <v>74626.7546</v>
      </c>
      <c r="E26" s="199" t="s">
        <v>93</v>
      </c>
      <c r="F26" s="197" t="s">
        <v>256</v>
      </c>
      <c r="G26" s="199">
        <v>1</v>
      </c>
      <c r="H26" s="199" t="s">
        <v>298</v>
      </c>
      <c r="I26" s="198">
        <f>'02 项目基础信息（输入）'!$D$4</f>
        <v>74626.7546</v>
      </c>
      <c r="J26" s="199" t="s">
        <v>93</v>
      </c>
      <c r="K26" s="699"/>
      <c r="L26" s="209" t="s">
        <v>675</v>
      </c>
      <c r="M26" s="207">
        <f>ROUND(K26*I26/10000,6)</f>
        <v>0</v>
      </c>
      <c r="N26" s="198">
        <f>'02 项目基础信息（输入）'!$D$4</f>
        <v>74626.7546</v>
      </c>
      <c r="O26" s="194">
        <f t="shared" si="0"/>
        <v>0</v>
      </c>
      <c r="P26" s="194">
        <f>'02 项目基础信息（输入）'!$H$69+$N$3</f>
        <v>74626.7546</v>
      </c>
      <c r="Q26" s="216">
        <f t="shared" si="1"/>
        <v>0</v>
      </c>
      <c r="S26" s="217"/>
      <c r="U26" s="220" t="s">
        <v>1462</v>
      </c>
    </row>
    <row r="27" spans="1:21" ht="20.25" customHeight="1" outlineLevel="2" collapsed="1">
      <c r="A27" s="192" t="s">
        <v>1463</v>
      </c>
      <c r="B27" s="192"/>
      <c r="C27" s="197" t="s">
        <v>256</v>
      </c>
      <c r="D27" s="198">
        <f>'02 项目基础信息（输入）'!$D$4</f>
        <v>74626.7546</v>
      </c>
      <c r="E27" s="199" t="s">
        <v>93</v>
      </c>
      <c r="F27" s="197"/>
      <c r="G27" s="199"/>
      <c r="H27" s="199"/>
      <c r="I27" s="197"/>
      <c r="J27" s="199"/>
      <c r="K27" s="197"/>
      <c r="L27" s="209"/>
      <c r="M27" s="207">
        <f>ROUND(SUM(M28),6)</f>
        <v>57</v>
      </c>
      <c r="N27" s="198">
        <f>'02 项目基础信息（输入）'!$D$4</f>
        <v>74626.7546</v>
      </c>
      <c r="O27" s="194">
        <f t="shared" si="0"/>
        <v>7.64</v>
      </c>
      <c r="P27" s="194">
        <f>'02 项目基础信息（输入）'!$H$69+$N$3</f>
        <v>74626.7546</v>
      </c>
      <c r="Q27" s="216">
        <f t="shared" si="1"/>
        <v>7.64</v>
      </c>
      <c r="S27" s="217"/>
      <c r="U27" s="220" t="s">
        <v>1464</v>
      </c>
    </row>
    <row r="28" spans="1:21" ht="57" hidden="1" customHeight="1" outlineLevel="4">
      <c r="A28" s="192" t="s">
        <v>1465</v>
      </c>
      <c r="B28" s="192"/>
      <c r="C28" s="197" t="s">
        <v>256</v>
      </c>
      <c r="D28" s="198">
        <f>'02 项目基础信息（输入）'!$D$4</f>
        <v>74626.7546</v>
      </c>
      <c r="E28" s="199" t="s">
        <v>93</v>
      </c>
      <c r="F28" s="197" t="s">
        <v>256</v>
      </c>
      <c r="G28" s="199">
        <v>1</v>
      </c>
      <c r="H28" s="199" t="s">
        <v>298</v>
      </c>
      <c r="I28" s="198">
        <f>'02 项目基础信息（输入）'!$D$4</f>
        <v>74626.7546</v>
      </c>
      <c r="J28" s="199" t="s">
        <v>93</v>
      </c>
      <c r="K28" s="1040">
        <f>570000/I28</f>
        <v>7.6380113681105994</v>
      </c>
      <c r="L28" s="209" t="s">
        <v>675</v>
      </c>
      <c r="M28" s="207">
        <f>ROUND(K28*I28/10000,6)</f>
        <v>57</v>
      </c>
      <c r="N28" s="198">
        <f>'02 项目基础信息（输入）'!$D$4</f>
        <v>74626.7546</v>
      </c>
      <c r="O28" s="194">
        <f t="shared" si="0"/>
        <v>7.64</v>
      </c>
      <c r="P28" s="194">
        <f>'02 项目基础信息（输入）'!$H$69+$N$3</f>
        <v>74626.7546</v>
      </c>
      <c r="Q28" s="216">
        <f t="shared" si="1"/>
        <v>7.64</v>
      </c>
      <c r="R28" s="1045" t="s">
        <v>7621</v>
      </c>
      <c r="S28" s="217"/>
      <c r="U28" s="220" t="s">
        <v>1466</v>
      </c>
    </row>
    <row r="29" spans="1:21" ht="20.25" customHeight="1" outlineLevel="1">
      <c r="A29" s="196" t="s">
        <v>1467</v>
      </c>
      <c r="B29" s="196"/>
      <c r="C29" s="197" t="s">
        <v>256</v>
      </c>
      <c r="D29" s="198">
        <f>'02 项目基础信息（输入）'!$D$4</f>
        <v>74626.7546</v>
      </c>
      <c r="E29" s="199" t="s">
        <v>93</v>
      </c>
      <c r="F29" s="197"/>
      <c r="G29" s="199"/>
      <c r="H29" s="199"/>
      <c r="I29" s="197"/>
      <c r="J29" s="199"/>
      <c r="K29" s="197"/>
      <c r="L29" s="209"/>
      <c r="M29" s="198">
        <f>ROUND(M30+M41+M43+M45,6)</f>
        <v>1599.557812</v>
      </c>
      <c r="N29" s="198">
        <f>'02 项目基础信息（输入）'!$D$4</f>
        <v>74626.7546</v>
      </c>
      <c r="O29" s="194">
        <f t="shared" si="0"/>
        <v>214.34</v>
      </c>
      <c r="P29" s="194">
        <f>'02 项目基础信息（输入）'!$H$69+$N$3</f>
        <v>74626.7546</v>
      </c>
      <c r="Q29" s="216">
        <f t="shared" si="1"/>
        <v>214.34</v>
      </c>
      <c r="S29" s="219" t="s">
        <v>1312</v>
      </c>
      <c r="U29" s="220" t="s">
        <v>1468</v>
      </c>
    </row>
    <row r="30" spans="1:21" ht="20.25" customHeight="1" outlineLevel="2" collapsed="1">
      <c r="A30" s="192" t="s">
        <v>1469</v>
      </c>
      <c r="B30" s="192"/>
      <c r="C30" s="197" t="s">
        <v>256</v>
      </c>
      <c r="D30" s="198">
        <f>'02 项目基础信息（输入）'!$D$4</f>
        <v>74626.7546</v>
      </c>
      <c r="E30" s="199" t="s">
        <v>93</v>
      </c>
      <c r="F30" s="197"/>
      <c r="G30" s="199"/>
      <c r="H30" s="199"/>
      <c r="I30" s="197"/>
      <c r="J30" s="199"/>
      <c r="K30" s="197"/>
      <c r="L30" s="209"/>
      <c r="M30" s="207">
        <f>ROUND(SUM(M31:M40),6)</f>
        <v>1476.852206</v>
      </c>
      <c r="N30" s="198">
        <f>'02 项目基础信息（输入）'!$D$4</f>
        <v>74626.7546</v>
      </c>
      <c r="O30" s="194">
        <f t="shared" si="0"/>
        <v>197.9</v>
      </c>
      <c r="P30" s="194">
        <f>'02 项目基础信息（输入）'!$H$69+$N$3</f>
        <v>74626.7546</v>
      </c>
      <c r="Q30" s="216">
        <f t="shared" si="1"/>
        <v>197.9</v>
      </c>
      <c r="S30" s="217"/>
      <c r="U30" s="220" t="s">
        <v>1470</v>
      </c>
    </row>
    <row r="31" spans="1:21" ht="20.25" hidden="1" customHeight="1" outlineLevel="3">
      <c r="A31" s="192" t="s">
        <v>1471</v>
      </c>
      <c r="B31" s="192"/>
      <c r="C31" s="197" t="s">
        <v>256</v>
      </c>
      <c r="D31" s="198">
        <f>'02 项目基础信息（输入）'!$D$4</f>
        <v>74626.7546</v>
      </c>
      <c r="E31" s="199" t="s">
        <v>93</v>
      </c>
      <c r="F31" s="197" t="s">
        <v>1472</v>
      </c>
      <c r="G31" s="200">
        <f t="shared" ref="G31:G40" si="2">IFERROR(I31/D31,0)</f>
        <v>0.25937078603710317</v>
      </c>
      <c r="H31" s="199" t="s">
        <v>1473</v>
      </c>
      <c r="I31" s="1352">
        <f>桩基!M15</f>
        <v>19356.000000000004</v>
      </c>
      <c r="J31" s="199" t="s">
        <v>131</v>
      </c>
      <c r="K31" s="1352">
        <f>桩基!H15</f>
        <v>762.99452655450625</v>
      </c>
      <c r="L31" s="209" t="s">
        <v>792</v>
      </c>
      <c r="M31" s="198">
        <f t="shared" ref="M31:M40" si="3">ROUND(K31*I31/10000,6)</f>
        <v>1476.852206</v>
      </c>
      <c r="N31" s="198">
        <f>'02 项目基础信息（输入）'!$D$4</f>
        <v>74626.7546</v>
      </c>
      <c r="O31" s="194">
        <f t="shared" si="0"/>
        <v>197.9</v>
      </c>
      <c r="P31" s="194">
        <f>'02 项目基础信息（输入）'!$H$69+$N$3</f>
        <v>74626.7546</v>
      </c>
      <c r="Q31" s="216">
        <f t="shared" si="1"/>
        <v>197.9</v>
      </c>
      <c r="S31" s="217"/>
      <c r="U31" s="220" t="s">
        <v>1474</v>
      </c>
    </row>
    <row r="32" spans="1:21" ht="20.25" hidden="1" customHeight="1" outlineLevel="3">
      <c r="A32" s="192" t="s">
        <v>1475</v>
      </c>
      <c r="B32" s="192"/>
      <c r="C32" s="197" t="s">
        <v>256</v>
      </c>
      <c r="D32" s="198">
        <f>'02 项目基础信息（输入）'!$D$4</f>
        <v>74626.7546</v>
      </c>
      <c r="E32" s="199" t="s">
        <v>93</v>
      </c>
      <c r="F32" s="197" t="s">
        <v>1472</v>
      </c>
      <c r="G32" s="199">
        <f t="shared" si="2"/>
        <v>0</v>
      </c>
      <c r="H32" s="199" t="s">
        <v>1473</v>
      </c>
      <c r="I32" s="699"/>
      <c r="J32" s="199" t="s">
        <v>131</v>
      </c>
      <c r="K32" s="699"/>
      <c r="L32" s="209" t="s">
        <v>792</v>
      </c>
      <c r="M32" s="198">
        <f t="shared" si="3"/>
        <v>0</v>
      </c>
      <c r="N32" s="198">
        <f>'02 项目基础信息（输入）'!$D$4</f>
        <v>74626.7546</v>
      </c>
      <c r="O32" s="194">
        <f t="shared" si="0"/>
        <v>0</v>
      </c>
      <c r="P32" s="194">
        <f>'02 项目基础信息（输入）'!$H$69+$N$3</f>
        <v>74626.7546</v>
      </c>
      <c r="Q32" s="216">
        <f t="shared" si="1"/>
        <v>0</v>
      </c>
      <c r="S32" s="217"/>
      <c r="U32" s="220" t="s">
        <v>1476</v>
      </c>
    </row>
    <row r="33" spans="1:21" ht="20.25" hidden="1" customHeight="1" outlineLevel="3">
      <c r="A33" s="192" t="s">
        <v>1477</v>
      </c>
      <c r="B33" s="192"/>
      <c r="C33" s="197" t="s">
        <v>256</v>
      </c>
      <c r="D33" s="198">
        <f>'02 项目基础信息（输入）'!$D$4</f>
        <v>74626.7546</v>
      </c>
      <c r="E33" s="199" t="s">
        <v>93</v>
      </c>
      <c r="F33" s="197" t="s">
        <v>1472</v>
      </c>
      <c r="G33" s="199">
        <f t="shared" si="2"/>
        <v>0</v>
      </c>
      <c r="H33" s="199" t="s">
        <v>1473</v>
      </c>
      <c r="I33" s="699"/>
      <c r="J33" s="199" t="s">
        <v>131</v>
      </c>
      <c r="K33" s="699"/>
      <c r="L33" s="209" t="s">
        <v>792</v>
      </c>
      <c r="M33" s="198">
        <f t="shared" si="3"/>
        <v>0</v>
      </c>
      <c r="N33" s="198">
        <f>'02 项目基础信息（输入）'!$D$4</f>
        <v>74626.7546</v>
      </c>
      <c r="O33" s="194">
        <f t="shared" si="0"/>
        <v>0</v>
      </c>
      <c r="P33" s="194">
        <f>'02 项目基础信息（输入）'!$H$69+$N$3</f>
        <v>74626.7546</v>
      </c>
      <c r="Q33" s="216">
        <f t="shared" si="1"/>
        <v>0</v>
      </c>
      <c r="S33" s="217"/>
      <c r="U33" s="220" t="s">
        <v>1478</v>
      </c>
    </row>
    <row r="34" spans="1:21" ht="20.25" hidden="1" customHeight="1" outlineLevel="3">
      <c r="A34" s="192" t="s">
        <v>1479</v>
      </c>
      <c r="B34" s="192"/>
      <c r="C34" s="197" t="s">
        <v>256</v>
      </c>
      <c r="D34" s="198">
        <f>'02 项目基础信息（输入）'!$D$4</f>
        <v>74626.7546</v>
      </c>
      <c r="E34" s="199" t="s">
        <v>93</v>
      </c>
      <c r="F34" s="197" t="s">
        <v>1472</v>
      </c>
      <c r="G34" s="199">
        <f t="shared" si="2"/>
        <v>0</v>
      </c>
      <c r="H34" s="199" t="s">
        <v>1473</v>
      </c>
      <c r="I34" s="699"/>
      <c r="J34" s="199" t="s">
        <v>131</v>
      </c>
      <c r="K34" s="699"/>
      <c r="L34" s="209" t="s">
        <v>792</v>
      </c>
      <c r="M34" s="198">
        <f t="shared" si="3"/>
        <v>0</v>
      </c>
      <c r="N34" s="198">
        <f>'02 项目基础信息（输入）'!$D$4</f>
        <v>74626.7546</v>
      </c>
      <c r="O34" s="194">
        <f t="shared" si="0"/>
        <v>0</v>
      </c>
      <c r="P34" s="194">
        <f>'02 项目基础信息（输入）'!$H$69+$N$3</f>
        <v>74626.7546</v>
      </c>
      <c r="Q34" s="216">
        <f t="shared" si="1"/>
        <v>0</v>
      </c>
      <c r="S34" s="217"/>
      <c r="U34" s="220" t="s">
        <v>1480</v>
      </c>
    </row>
    <row r="35" spans="1:21" ht="20.25" hidden="1" customHeight="1" outlineLevel="3">
      <c r="A35" s="192" t="s">
        <v>1481</v>
      </c>
      <c r="B35" s="192"/>
      <c r="C35" s="197" t="s">
        <v>256</v>
      </c>
      <c r="D35" s="198">
        <f>'02 项目基础信息（输入）'!$D$4</f>
        <v>74626.7546</v>
      </c>
      <c r="E35" s="199" t="s">
        <v>93</v>
      </c>
      <c r="F35" s="197" t="s">
        <v>1472</v>
      </c>
      <c r="G35" s="199">
        <f t="shared" si="2"/>
        <v>0</v>
      </c>
      <c r="H35" s="199" t="s">
        <v>1473</v>
      </c>
      <c r="I35" s="699"/>
      <c r="J35" s="199" t="s">
        <v>131</v>
      </c>
      <c r="K35" s="699"/>
      <c r="L35" s="209" t="s">
        <v>792</v>
      </c>
      <c r="M35" s="198">
        <f t="shared" si="3"/>
        <v>0</v>
      </c>
      <c r="N35" s="198">
        <f>'02 项目基础信息（输入）'!$D$4</f>
        <v>74626.7546</v>
      </c>
      <c r="O35" s="194">
        <f t="shared" si="0"/>
        <v>0</v>
      </c>
      <c r="P35" s="194">
        <f>'02 项目基础信息（输入）'!$H$69+$N$3</f>
        <v>74626.7546</v>
      </c>
      <c r="Q35" s="216">
        <f t="shared" si="1"/>
        <v>0</v>
      </c>
      <c r="S35" s="217"/>
      <c r="U35" s="220" t="s">
        <v>1482</v>
      </c>
    </row>
    <row r="36" spans="1:21" ht="20.25" hidden="1" customHeight="1" outlineLevel="3">
      <c r="A36" s="192" t="s">
        <v>1483</v>
      </c>
      <c r="B36" s="192"/>
      <c r="C36" s="197" t="s">
        <v>256</v>
      </c>
      <c r="D36" s="198">
        <f>'02 项目基础信息（输入）'!$D$4</f>
        <v>74626.7546</v>
      </c>
      <c r="E36" s="199" t="s">
        <v>93</v>
      </c>
      <c r="F36" s="197" t="s">
        <v>1472</v>
      </c>
      <c r="G36" s="199">
        <f t="shared" si="2"/>
        <v>0</v>
      </c>
      <c r="H36" s="199" t="s">
        <v>1473</v>
      </c>
      <c r="I36" s="699"/>
      <c r="J36" s="199" t="s">
        <v>131</v>
      </c>
      <c r="K36" s="699"/>
      <c r="L36" s="209" t="s">
        <v>792</v>
      </c>
      <c r="M36" s="198">
        <f t="shared" si="3"/>
        <v>0</v>
      </c>
      <c r="N36" s="198">
        <f>'02 项目基础信息（输入）'!$D$4</f>
        <v>74626.7546</v>
      </c>
      <c r="O36" s="194">
        <f t="shared" si="0"/>
        <v>0</v>
      </c>
      <c r="P36" s="194">
        <f>'02 项目基础信息（输入）'!$H$69+$N$3</f>
        <v>74626.7546</v>
      </c>
      <c r="Q36" s="216">
        <f t="shared" si="1"/>
        <v>0</v>
      </c>
      <c r="S36" s="217"/>
      <c r="U36" s="220" t="s">
        <v>1484</v>
      </c>
    </row>
    <row r="37" spans="1:21" ht="20.25" hidden="1" customHeight="1" outlineLevel="3">
      <c r="A37" s="192" t="s">
        <v>1485</v>
      </c>
      <c r="B37" s="192"/>
      <c r="C37" s="197" t="s">
        <v>256</v>
      </c>
      <c r="D37" s="198">
        <f>'02 项目基础信息（输入）'!$D$4</f>
        <v>74626.7546</v>
      </c>
      <c r="E37" s="199" t="s">
        <v>93</v>
      </c>
      <c r="F37" s="197" t="s">
        <v>1472</v>
      </c>
      <c r="G37" s="199">
        <f t="shared" si="2"/>
        <v>0</v>
      </c>
      <c r="H37" s="199" t="s">
        <v>1473</v>
      </c>
      <c r="I37" s="699"/>
      <c r="J37" s="199" t="s">
        <v>131</v>
      </c>
      <c r="K37" s="699"/>
      <c r="L37" s="209" t="s">
        <v>792</v>
      </c>
      <c r="M37" s="198">
        <f t="shared" si="3"/>
        <v>0</v>
      </c>
      <c r="N37" s="198">
        <f>'02 项目基础信息（输入）'!$D$4</f>
        <v>74626.7546</v>
      </c>
      <c r="O37" s="194">
        <f t="shared" si="0"/>
        <v>0</v>
      </c>
      <c r="P37" s="194">
        <f>'02 项目基础信息（输入）'!$H$69+$N$3</f>
        <v>74626.7546</v>
      </c>
      <c r="Q37" s="216">
        <f t="shared" si="1"/>
        <v>0</v>
      </c>
      <c r="S37" s="217"/>
      <c r="U37" s="220" t="s">
        <v>1486</v>
      </c>
    </row>
    <row r="38" spans="1:21" ht="20.25" hidden="1" customHeight="1" outlineLevel="3">
      <c r="A38" s="192" t="s">
        <v>1487</v>
      </c>
      <c r="B38" s="192"/>
      <c r="C38" s="197" t="s">
        <v>256</v>
      </c>
      <c r="D38" s="198">
        <f>'02 项目基础信息（输入）'!$D$4</f>
        <v>74626.7546</v>
      </c>
      <c r="E38" s="199" t="s">
        <v>93</v>
      </c>
      <c r="F38" s="197" t="s">
        <v>1472</v>
      </c>
      <c r="G38" s="199">
        <f t="shared" si="2"/>
        <v>0</v>
      </c>
      <c r="H38" s="199" t="s">
        <v>1473</v>
      </c>
      <c r="I38" s="699"/>
      <c r="J38" s="199" t="s">
        <v>131</v>
      </c>
      <c r="K38" s="699"/>
      <c r="L38" s="209" t="s">
        <v>792</v>
      </c>
      <c r="M38" s="198">
        <f t="shared" si="3"/>
        <v>0</v>
      </c>
      <c r="N38" s="198">
        <f>'02 项目基础信息（输入）'!$D$4</f>
        <v>74626.7546</v>
      </c>
      <c r="O38" s="194">
        <f t="shared" si="0"/>
        <v>0</v>
      </c>
      <c r="P38" s="194">
        <f>'02 项目基础信息（输入）'!$H$69+$N$3</f>
        <v>74626.7546</v>
      </c>
      <c r="Q38" s="216">
        <f t="shared" si="1"/>
        <v>0</v>
      </c>
      <c r="S38" s="217"/>
      <c r="U38" s="220" t="s">
        <v>1488</v>
      </c>
    </row>
    <row r="39" spans="1:21" ht="20.25" hidden="1" customHeight="1" outlineLevel="3">
      <c r="A39" s="192" t="s">
        <v>1489</v>
      </c>
      <c r="B39" s="192"/>
      <c r="C39" s="197" t="s">
        <v>256</v>
      </c>
      <c r="D39" s="198">
        <f>'02 项目基础信息（输入）'!$D$4</f>
        <v>74626.7546</v>
      </c>
      <c r="E39" s="199" t="s">
        <v>93</v>
      </c>
      <c r="F39" s="197" t="s">
        <v>1472</v>
      </c>
      <c r="G39" s="199">
        <f t="shared" si="2"/>
        <v>0</v>
      </c>
      <c r="H39" s="199" t="s">
        <v>1473</v>
      </c>
      <c r="I39" s="699"/>
      <c r="J39" s="199" t="s">
        <v>131</v>
      </c>
      <c r="K39" s="699"/>
      <c r="L39" s="209" t="s">
        <v>792</v>
      </c>
      <c r="M39" s="198">
        <f t="shared" si="3"/>
        <v>0</v>
      </c>
      <c r="N39" s="198">
        <f>'02 项目基础信息（输入）'!$D$4</f>
        <v>74626.7546</v>
      </c>
      <c r="O39" s="194">
        <f t="shared" si="0"/>
        <v>0</v>
      </c>
      <c r="P39" s="194">
        <f>'02 项目基础信息（输入）'!$H$69+$N$3</f>
        <v>74626.7546</v>
      </c>
      <c r="Q39" s="216">
        <f t="shared" si="1"/>
        <v>0</v>
      </c>
      <c r="S39" s="217"/>
      <c r="U39" s="220" t="s">
        <v>1490</v>
      </c>
    </row>
    <row r="40" spans="1:21" ht="20.25" hidden="1" customHeight="1" outlineLevel="3">
      <c r="A40" s="192" t="s">
        <v>1491</v>
      </c>
      <c r="B40" s="192"/>
      <c r="C40" s="197" t="s">
        <v>256</v>
      </c>
      <c r="D40" s="198">
        <f>'02 项目基础信息（输入）'!$D$4</f>
        <v>74626.7546</v>
      </c>
      <c r="E40" s="199" t="s">
        <v>93</v>
      </c>
      <c r="F40" s="197" t="s">
        <v>1472</v>
      </c>
      <c r="G40" s="199">
        <f t="shared" si="2"/>
        <v>0</v>
      </c>
      <c r="H40" s="199" t="s">
        <v>1473</v>
      </c>
      <c r="I40" s="699"/>
      <c r="J40" s="199" t="s">
        <v>131</v>
      </c>
      <c r="K40" s="699"/>
      <c r="L40" s="209" t="s">
        <v>792</v>
      </c>
      <c r="M40" s="198">
        <f t="shared" si="3"/>
        <v>0</v>
      </c>
      <c r="N40" s="198">
        <f>'02 项目基础信息（输入）'!$D$4</f>
        <v>74626.7546</v>
      </c>
      <c r="O40" s="194">
        <f t="shared" si="0"/>
        <v>0</v>
      </c>
      <c r="P40" s="194">
        <f>'02 项目基础信息（输入）'!$H$69+$N$3</f>
        <v>74626.7546</v>
      </c>
      <c r="Q40" s="216">
        <f t="shared" si="1"/>
        <v>0</v>
      </c>
      <c r="S40" s="217"/>
      <c r="U40" s="220" t="s">
        <v>1492</v>
      </c>
    </row>
    <row r="41" spans="1:21" ht="20.25" customHeight="1" outlineLevel="2" collapsed="1">
      <c r="A41" s="192" t="s">
        <v>1493</v>
      </c>
      <c r="B41" s="192"/>
      <c r="C41" s="197" t="s">
        <v>256</v>
      </c>
      <c r="D41" s="198">
        <f>'02 项目基础信息（输入）'!$D$4</f>
        <v>74626.7546</v>
      </c>
      <c r="E41" s="199" t="s">
        <v>93</v>
      </c>
      <c r="F41" s="197"/>
      <c r="G41" s="199"/>
      <c r="H41" s="199"/>
      <c r="I41" s="197"/>
      <c r="J41" s="199"/>
      <c r="K41" s="197"/>
      <c r="L41" s="209"/>
      <c r="M41" s="207">
        <f>ROUND(SUM(M42),6)</f>
        <v>111.511593</v>
      </c>
      <c r="N41" s="198">
        <f>'02 项目基础信息（输入）'!$D$4</f>
        <v>74626.7546</v>
      </c>
      <c r="O41" s="194">
        <f t="shared" si="0"/>
        <v>14.94</v>
      </c>
      <c r="P41" s="194">
        <f>'02 项目基础信息（输入）'!$H$69+$N$3</f>
        <v>74626.7546</v>
      </c>
      <c r="Q41" s="216">
        <f t="shared" si="1"/>
        <v>14.94</v>
      </c>
      <c r="S41" s="217"/>
      <c r="U41" s="220" t="s">
        <v>1494</v>
      </c>
    </row>
    <row r="42" spans="1:21" ht="20.25" hidden="1" customHeight="1" outlineLevel="3">
      <c r="A42" s="192" t="s">
        <v>1495</v>
      </c>
      <c r="B42" s="192"/>
      <c r="C42" s="197" t="s">
        <v>256</v>
      </c>
      <c r="D42" s="198">
        <f>'02 项目基础信息（输入）'!$D$4</f>
        <v>74626.7546</v>
      </c>
      <c r="E42" s="199" t="s">
        <v>93</v>
      </c>
      <c r="F42" s="197" t="s">
        <v>256</v>
      </c>
      <c r="G42" s="199">
        <v>1</v>
      </c>
      <c r="H42" s="199" t="s">
        <v>298</v>
      </c>
      <c r="I42" s="194">
        <f>ROUND(G42*D42,2)</f>
        <v>74626.75</v>
      </c>
      <c r="J42" s="199" t="s">
        <v>93</v>
      </c>
      <c r="K42" s="1352">
        <f>桩基!K28</f>
        <v>14.942576639933367</v>
      </c>
      <c r="L42" s="209" t="s">
        <v>675</v>
      </c>
      <c r="M42" s="198">
        <f>ROUND(K42*I42/10000,6)</f>
        <v>111.511593</v>
      </c>
      <c r="N42" s="198">
        <f>'02 项目基础信息（输入）'!$D$4</f>
        <v>74626.7546</v>
      </c>
      <c r="O42" s="194">
        <f t="shared" si="0"/>
        <v>14.94</v>
      </c>
      <c r="P42" s="194">
        <f>'02 项目基础信息（输入）'!$H$69+$N$3</f>
        <v>74626.7546</v>
      </c>
      <c r="Q42" s="216">
        <f t="shared" si="1"/>
        <v>14.94</v>
      </c>
      <c r="S42" s="217"/>
      <c r="U42" s="220" t="s">
        <v>1496</v>
      </c>
    </row>
    <row r="43" spans="1:21" ht="20.25" customHeight="1" outlineLevel="2" collapsed="1">
      <c r="A43" s="192" t="s">
        <v>1497</v>
      </c>
      <c r="B43" s="192"/>
      <c r="C43" s="197" t="s">
        <v>256</v>
      </c>
      <c r="D43" s="198">
        <f>'02 项目基础信息（输入）'!$D$4</f>
        <v>74626.7546</v>
      </c>
      <c r="E43" s="199" t="s">
        <v>93</v>
      </c>
      <c r="F43" s="197"/>
      <c r="G43" s="199"/>
      <c r="H43" s="199"/>
      <c r="I43" s="197"/>
      <c r="J43" s="199"/>
      <c r="K43" s="197"/>
      <c r="L43" s="209"/>
      <c r="M43" s="207">
        <f>ROUND(SUM(M44),6)</f>
        <v>11.194013</v>
      </c>
      <c r="N43" s="198">
        <f>'02 项目基础信息（输入）'!$D$4</f>
        <v>74626.7546</v>
      </c>
      <c r="O43" s="194">
        <f t="shared" si="0"/>
        <v>1.5</v>
      </c>
      <c r="P43" s="194">
        <f>'02 项目基础信息（输入）'!$H$69+$N$3</f>
        <v>74626.7546</v>
      </c>
      <c r="Q43" s="216">
        <f t="shared" si="1"/>
        <v>1.5</v>
      </c>
      <c r="S43" s="217"/>
      <c r="U43" s="220" t="s">
        <v>1498</v>
      </c>
    </row>
    <row r="44" spans="1:21" ht="20.25" hidden="1" customHeight="1" outlineLevel="3">
      <c r="A44" s="192" t="s">
        <v>1499</v>
      </c>
      <c r="B44" s="192"/>
      <c r="C44" s="197" t="s">
        <v>256</v>
      </c>
      <c r="D44" s="198">
        <f>'02 项目基础信息（输入）'!$D$4</f>
        <v>74626.7546</v>
      </c>
      <c r="E44" s="199" t="s">
        <v>93</v>
      </c>
      <c r="F44" s="197" t="s">
        <v>256</v>
      </c>
      <c r="G44" s="199">
        <v>1</v>
      </c>
      <c r="H44" s="199" t="s">
        <v>298</v>
      </c>
      <c r="I44" s="194">
        <f>ROUND(G44*D44,2)</f>
        <v>74626.75</v>
      </c>
      <c r="J44" s="199" t="s">
        <v>93</v>
      </c>
      <c r="K44" s="1352">
        <f>桩基!K30</f>
        <v>1.5000000000000002</v>
      </c>
      <c r="L44" s="209" t="s">
        <v>675</v>
      </c>
      <c r="M44" s="198">
        <f>ROUND(K44*I44/10000,6)</f>
        <v>11.194013</v>
      </c>
      <c r="N44" s="198">
        <f>'02 项目基础信息（输入）'!$D$4</f>
        <v>74626.7546</v>
      </c>
      <c r="O44" s="194">
        <f t="shared" si="0"/>
        <v>1.5</v>
      </c>
      <c r="P44" s="194">
        <f>'02 项目基础信息（输入）'!$H$69+$N$3</f>
        <v>74626.7546</v>
      </c>
      <c r="Q44" s="216">
        <f t="shared" si="1"/>
        <v>1.5</v>
      </c>
      <c r="S44" s="217"/>
      <c r="U44" s="220" t="s">
        <v>1500</v>
      </c>
    </row>
    <row r="45" spans="1:21" ht="20.25" customHeight="1" outlineLevel="2" collapsed="1">
      <c r="A45" s="192" t="s">
        <v>1501</v>
      </c>
      <c r="B45" s="192"/>
      <c r="C45" s="197" t="s">
        <v>256</v>
      </c>
      <c r="D45" s="198">
        <f>'02 项目基础信息（输入）'!$D$4</f>
        <v>74626.7546</v>
      </c>
      <c r="E45" s="199" t="s">
        <v>93</v>
      </c>
      <c r="F45" s="197"/>
      <c r="G45" s="199"/>
      <c r="H45" s="199"/>
      <c r="I45" s="197"/>
      <c r="J45" s="199"/>
      <c r="K45" s="197"/>
      <c r="L45" s="209"/>
      <c r="M45" s="207">
        <f>ROUND(SUM(M46),6)</f>
        <v>0</v>
      </c>
      <c r="N45" s="198">
        <f>'02 项目基础信息（输入）'!$D$4</f>
        <v>74626.7546</v>
      </c>
      <c r="O45" s="194">
        <f t="shared" si="0"/>
        <v>0</v>
      </c>
      <c r="P45" s="194">
        <f>'02 项目基础信息（输入）'!$H$69+$N$3</f>
        <v>74626.7546</v>
      </c>
      <c r="Q45" s="216">
        <f t="shared" si="1"/>
        <v>0</v>
      </c>
      <c r="S45" s="217"/>
      <c r="U45" s="220" t="s">
        <v>1502</v>
      </c>
    </row>
    <row r="46" spans="1:21" ht="20.25" hidden="1" customHeight="1" outlineLevel="3">
      <c r="A46" s="192" t="s">
        <v>1503</v>
      </c>
      <c r="B46" s="192"/>
      <c r="C46" s="197" t="s">
        <v>256</v>
      </c>
      <c r="D46" s="198">
        <f>'02 项目基础信息（输入）'!$D$4</f>
        <v>74626.7546</v>
      </c>
      <c r="E46" s="199" t="s">
        <v>93</v>
      </c>
      <c r="F46" s="197" t="s">
        <v>256</v>
      </c>
      <c r="G46" s="199">
        <v>1</v>
      </c>
      <c r="H46" s="199" t="s">
        <v>298</v>
      </c>
      <c r="I46" s="194">
        <f>ROUND(G46*D46,2)</f>
        <v>74626.75</v>
      </c>
      <c r="J46" s="199" t="s">
        <v>93</v>
      </c>
      <c r="K46" s="699"/>
      <c r="L46" s="209" t="s">
        <v>675</v>
      </c>
      <c r="M46" s="198">
        <f>ROUND(K46*I46/10000,6)</f>
        <v>0</v>
      </c>
      <c r="N46" s="198">
        <f>'02 项目基础信息（输入）'!$D$4</f>
        <v>74626.7546</v>
      </c>
      <c r="O46" s="194">
        <f t="shared" si="0"/>
        <v>0</v>
      </c>
      <c r="P46" s="194">
        <f>'02 项目基础信息（输入）'!$H$69+$N$3</f>
        <v>74626.7546</v>
      </c>
      <c r="Q46" s="216">
        <f t="shared" si="1"/>
        <v>0</v>
      </c>
      <c r="S46" s="217"/>
      <c r="U46" s="220" t="s">
        <v>1504</v>
      </c>
    </row>
    <row r="47" spans="1:21" ht="20.25" customHeight="1" outlineLevel="1">
      <c r="A47" s="196" t="s">
        <v>1505</v>
      </c>
      <c r="B47" s="196"/>
      <c r="C47" s="197" t="s">
        <v>256</v>
      </c>
      <c r="D47" s="198">
        <f>'02 项目基础信息（输入）'!$D$4</f>
        <v>74626.7546</v>
      </c>
      <c r="E47" s="199" t="s">
        <v>93</v>
      </c>
      <c r="F47" s="197"/>
      <c r="G47" s="199"/>
      <c r="H47" s="199"/>
      <c r="I47" s="197"/>
      <c r="J47" s="199"/>
      <c r="K47" s="197"/>
      <c r="L47" s="209"/>
      <c r="M47" s="198">
        <f>ROUND(M48+M61+M76+M84+M91,6)</f>
        <v>2510.434917</v>
      </c>
      <c r="N47" s="198">
        <f>'02 项目基础信息（输入）'!$D$4</f>
        <v>74626.7546</v>
      </c>
      <c r="O47" s="194">
        <f t="shared" si="0"/>
        <v>336.4</v>
      </c>
      <c r="P47" s="194">
        <f>'02 项目基础信息（输入）'!$H$69+$N$3</f>
        <v>74626.7546</v>
      </c>
      <c r="Q47" s="216">
        <f t="shared" si="1"/>
        <v>336.4</v>
      </c>
      <c r="S47" s="219" t="s">
        <v>1312</v>
      </c>
      <c r="U47" s="220" t="s">
        <v>1506</v>
      </c>
    </row>
    <row r="48" spans="1:21" ht="20.25" customHeight="1" outlineLevel="2" collapsed="1">
      <c r="A48" s="192" t="s">
        <v>1507</v>
      </c>
      <c r="B48" s="192"/>
      <c r="C48" s="197" t="s">
        <v>256</v>
      </c>
      <c r="D48" s="198">
        <f>'02 项目基础信息（输入）'!$D$4</f>
        <v>74626.7546</v>
      </c>
      <c r="E48" s="199" t="s">
        <v>93</v>
      </c>
      <c r="F48" s="197"/>
      <c r="G48" s="199"/>
      <c r="H48" s="199"/>
      <c r="I48" s="197"/>
      <c r="J48" s="199"/>
      <c r="K48" s="197"/>
      <c r="L48" s="209"/>
      <c r="M48" s="198">
        <f>ROUND(SUM(M49:M60),6)</f>
        <v>1577.11583</v>
      </c>
      <c r="N48" s="198">
        <f>'02 项目基础信息（输入）'!$D$4</f>
        <v>74626.7546</v>
      </c>
      <c r="O48" s="194">
        <f t="shared" si="0"/>
        <v>211.33</v>
      </c>
      <c r="P48" s="194">
        <f>'02 项目基础信息（输入）'!$H$69+$N$3</f>
        <v>74626.7546</v>
      </c>
      <c r="Q48" s="216">
        <f t="shared" si="1"/>
        <v>211.33</v>
      </c>
      <c r="S48" s="217"/>
      <c r="U48" s="220" t="s">
        <v>1508</v>
      </c>
    </row>
    <row r="49" spans="1:21" ht="20.25" hidden="1" customHeight="1" outlineLevel="3">
      <c r="A49" s="192" t="s">
        <v>1509</v>
      </c>
      <c r="B49" s="192"/>
      <c r="C49" s="197" t="s">
        <v>366</v>
      </c>
      <c r="D49" s="198">
        <f>'02 项目基础信息（输入）'!$D$15</f>
        <v>24661</v>
      </c>
      <c r="E49" s="199" t="s">
        <v>93</v>
      </c>
      <c r="F49" s="197" t="s">
        <v>1510</v>
      </c>
      <c r="G49" s="199">
        <f t="shared" ref="G49:G60" si="4">IFERROR(I49/D49,0)</f>
        <v>5.6324398848384076</v>
      </c>
      <c r="H49" s="199" t="s">
        <v>976</v>
      </c>
      <c r="I49" s="1352">
        <f>土方!G9</f>
        <v>138901.59999999998</v>
      </c>
      <c r="J49" s="199" t="s">
        <v>1511</v>
      </c>
      <c r="K49" s="1352">
        <f>土方!H9</f>
        <v>110</v>
      </c>
      <c r="L49" s="209" t="s">
        <v>671</v>
      </c>
      <c r="M49" s="198">
        <f t="shared" ref="M49:M60" si="5">ROUND(K49*I49/10000,6)</f>
        <v>1527.9176</v>
      </c>
      <c r="N49" s="198">
        <f>'02 项目基础信息（输入）'!$D$4</f>
        <v>74626.7546</v>
      </c>
      <c r="O49" s="194">
        <f t="shared" si="0"/>
        <v>204.74</v>
      </c>
      <c r="P49" s="194">
        <f>'02 项目基础信息（输入）'!$H$69+$N$3</f>
        <v>74626.7546</v>
      </c>
      <c r="Q49" s="216">
        <f t="shared" si="1"/>
        <v>204.74</v>
      </c>
      <c r="S49" s="217"/>
      <c r="U49" s="220" t="s">
        <v>1512</v>
      </c>
    </row>
    <row r="50" spans="1:21" ht="20.25" hidden="1" customHeight="1" outlineLevel="3">
      <c r="A50" s="192" t="s">
        <v>1513</v>
      </c>
      <c r="B50" s="192"/>
      <c r="C50" s="197" t="s">
        <v>366</v>
      </c>
      <c r="D50" s="198">
        <f>'02 项目基础信息（输入）'!$D$15</f>
        <v>24661</v>
      </c>
      <c r="E50" s="199" t="s">
        <v>93</v>
      </c>
      <c r="F50" s="197" t="s">
        <v>1510</v>
      </c>
      <c r="G50" s="199">
        <f t="shared" si="4"/>
        <v>0.26708770933863185</v>
      </c>
      <c r="H50" s="199" t="s">
        <v>698</v>
      </c>
      <c r="I50" s="1352">
        <f>土方!G11</f>
        <v>6586.65</v>
      </c>
      <c r="J50" s="199" t="s">
        <v>1511</v>
      </c>
      <c r="K50" s="1352">
        <f>土方!H11</f>
        <v>50</v>
      </c>
      <c r="L50" s="209" t="s">
        <v>671</v>
      </c>
      <c r="M50" s="198">
        <f t="shared" si="5"/>
        <v>32.933250000000001</v>
      </c>
      <c r="N50" s="198">
        <f>'02 项目基础信息（输入）'!$D$4</f>
        <v>74626.7546</v>
      </c>
      <c r="O50" s="194">
        <f t="shared" si="0"/>
        <v>4.41</v>
      </c>
      <c r="P50" s="194">
        <f>'02 项目基础信息（输入）'!$H$69+$N$3</f>
        <v>74626.7546</v>
      </c>
      <c r="Q50" s="216">
        <f t="shared" si="1"/>
        <v>4.41</v>
      </c>
      <c r="S50" s="217"/>
      <c r="U50" s="220" t="s">
        <v>1514</v>
      </c>
    </row>
    <row r="51" spans="1:21" ht="20.25" hidden="1" customHeight="1" outlineLevel="3">
      <c r="A51" s="192" t="s">
        <v>1515</v>
      </c>
      <c r="B51" s="192"/>
      <c r="C51" s="197" t="s">
        <v>366</v>
      </c>
      <c r="D51" s="198">
        <f>'02 项目基础信息（输入）'!$D$15</f>
        <v>24661</v>
      </c>
      <c r="E51" s="199" t="s">
        <v>93</v>
      </c>
      <c r="F51" s="197" t="s">
        <v>1510</v>
      </c>
      <c r="G51" s="199">
        <f t="shared" si="4"/>
        <v>1.3190851952475569</v>
      </c>
      <c r="H51" s="199" t="s">
        <v>698</v>
      </c>
      <c r="I51" s="1352">
        <f>土方!G12</f>
        <v>32529.96</v>
      </c>
      <c r="J51" s="199" t="s">
        <v>1511</v>
      </c>
      <c r="K51" s="1352">
        <f>土方!H12</f>
        <v>5</v>
      </c>
      <c r="L51" s="209" t="s">
        <v>671</v>
      </c>
      <c r="M51" s="198">
        <f t="shared" si="5"/>
        <v>16.264980000000001</v>
      </c>
      <c r="N51" s="198">
        <f>'02 项目基础信息（输入）'!$D$4</f>
        <v>74626.7546</v>
      </c>
      <c r="O51" s="194">
        <f t="shared" si="0"/>
        <v>2.1800000000000002</v>
      </c>
      <c r="P51" s="194">
        <f>'02 项目基础信息（输入）'!$H$69+$N$3</f>
        <v>74626.7546</v>
      </c>
      <c r="Q51" s="216">
        <f t="shared" si="1"/>
        <v>2.1800000000000002</v>
      </c>
      <c r="S51" s="217"/>
      <c r="U51" s="220" t="s">
        <v>1516</v>
      </c>
    </row>
    <row r="52" spans="1:21" ht="20.25" hidden="1" customHeight="1" outlineLevel="3">
      <c r="A52" s="192" t="s">
        <v>1517</v>
      </c>
      <c r="B52" s="192"/>
      <c r="C52" s="197" t="s">
        <v>366</v>
      </c>
      <c r="D52" s="198">
        <f>'02 项目基础信息（输入）'!$D$15</f>
        <v>24661</v>
      </c>
      <c r="E52" s="199" t="s">
        <v>93</v>
      </c>
      <c r="F52" s="197" t="s">
        <v>366</v>
      </c>
      <c r="G52" s="199">
        <f t="shared" si="4"/>
        <v>0</v>
      </c>
      <c r="H52" s="199" t="s">
        <v>698</v>
      </c>
      <c r="I52" s="699"/>
      <c r="J52" s="199" t="s">
        <v>1511</v>
      </c>
      <c r="K52" s="699"/>
      <c r="L52" s="209" t="s">
        <v>671</v>
      </c>
      <c r="M52" s="198">
        <f t="shared" si="5"/>
        <v>0</v>
      </c>
      <c r="N52" s="198">
        <f>'02 项目基础信息（输入）'!$D$4</f>
        <v>74626.7546</v>
      </c>
      <c r="O52" s="194">
        <f t="shared" si="0"/>
        <v>0</v>
      </c>
      <c r="P52" s="194">
        <f>'02 项目基础信息（输入）'!$H$69+$N$3</f>
        <v>74626.7546</v>
      </c>
      <c r="Q52" s="216">
        <f t="shared" si="1"/>
        <v>0</v>
      </c>
      <c r="S52" s="217"/>
      <c r="U52" s="220" t="s">
        <v>1518</v>
      </c>
    </row>
    <row r="53" spans="1:21" ht="20.25" hidden="1" customHeight="1" outlineLevel="3">
      <c r="A53" s="192" t="s">
        <v>1519</v>
      </c>
      <c r="B53" s="192"/>
      <c r="C53" s="197" t="s">
        <v>366</v>
      </c>
      <c r="D53" s="198">
        <f>'02 项目基础信息（输入）'!$D$15</f>
        <v>24661</v>
      </c>
      <c r="E53" s="199" t="s">
        <v>93</v>
      </c>
      <c r="F53" s="197" t="s">
        <v>1510</v>
      </c>
      <c r="G53" s="199">
        <f t="shared" si="4"/>
        <v>0</v>
      </c>
      <c r="H53" s="199" t="s">
        <v>698</v>
      </c>
      <c r="I53" s="699"/>
      <c r="J53" s="199" t="s">
        <v>1511</v>
      </c>
      <c r="K53" s="699"/>
      <c r="L53" s="209" t="s">
        <v>671</v>
      </c>
      <c r="M53" s="198">
        <f t="shared" si="5"/>
        <v>0</v>
      </c>
      <c r="N53" s="198">
        <f>'02 项目基础信息（输入）'!$D$4</f>
        <v>74626.7546</v>
      </c>
      <c r="O53" s="194">
        <f t="shared" si="0"/>
        <v>0</v>
      </c>
      <c r="P53" s="194">
        <f>'02 项目基础信息（输入）'!$H$69+$N$3</f>
        <v>74626.7546</v>
      </c>
      <c r="Q53" s="216">
        <f t="shared" si="1"/>
        <v>0</v>
      </c>
      <c r="S53" s="217"/>
      <c r="U53" s="220" t="s">
        <v>1520</v>
      </c>
    </row>
    <row r="54" spans="1:21" ht="20.25" hidden="1" customHeight="1" outlineLevel="3">
      <c r="A54" s="192" t="s">
        <v>1521</v>
      </c>
      <c r="B54" s="192"/>
      <c r="C54" s="197" t="s">
        <v>366</v>
      </c>
      <c r="D54" s="198">
        <f>'02 项目基础信息（输入）'!$D$15</f>
        <v>24661</v>
      </c>
      <c r="E54" s="199" t="s">
        <v>93</v>
      </c>
      <c r="F54" s="197" t="s">
        <v>1510</v>
      </c>
      <c r="G54" s="199">
        <f t="shared" si="4"/>
        <v>0</v>
      </c>
      <c r="H54" s="199" t="s">
        <v>976</v>
      </c>
      <c r="I54" s="699"/>
      <c r="J54" s="199" t="s">
        <v>1511</v>
      </c>
      <c r="K54" s="699"/>
      <c r="L54" s="209" t="s">
        <v>671</v>
      </c>
      <c r="M54" s="198">
        <f t="shared" si="5"/>
        <v>0</v>
      </c>
      <c r="N54" s="198">
        <f>'02 项目基础信息（输入）'!$D$4</f>
        <v>74626.7546</v>
      </c>
      <c r="O54" s="194">
        <f t="shared" si="0"/>
        <v>0</v>
      </c>
      <c r="P54" s="194">
        <f>'02 项目基础信息（输入）'!$H$69+$N$3</f>
        <v>74626.7546</v>
      </c>
      <c r="Q54" s="216">
        <f t="shared" si="1"/>
        <v>0</v>
      </c>
      <c r="S54" s="217"/>
      <c r="U54" s="220" t="s">
        <v>1522</v>
      </c>
    </row>
    <row r="55" spans="1:21" ht="0" hidden="1" customHeight="1" outlineLevel="3">
      <c r="A55" s="201" t="s">
        <v>1523</v>
      </c>
      <c r="B55" s="201"/>
      <c r="C55" s="202" t="s">
        <v>256</v>
      </c>
      <c r="D55" s="203">
        <f t="shared" ref="D55:D60" si="6">N55</f>
        <v>74626.7546</v>
      </c>
      <c r="E55" s="204" t="s">
        <v>93</v>
      </c>
      <c r="F55" s="202" t="s">
        <v>1510</v>
      </c>
      <c r="G55" s="205">
        <f t="shared" si="4"/>
        <v>0</v>
      </c>
      <c r="H55" s="204" t="s">
        <v>1524</v>
      </c>
      <c r="I55" s="699"/>
      <c r="J55" s="199" t="s">
        <v>1525</v>
      </c>
      <c r="K55" s="699"/>
      <c r="L55" s="210" t="s">
        <v>979</v>
      </c>
      <c r="M55" s="211">
        <f t="shared" si="5"/>
        <v>0</v>
      </c>
      <c r="N55" s="212">
        <f t="shared" ref="N55:N60" si="7">N$3</f>
        <v>74626.7546</v>
      </c>
      <c r="O55" s="194">
        <f t="shared" si="0"/>
        <v>0</v>
      </c>
      <c r="P55" s="194">
        <f>'02 项目基础信息（输入）'!$H$69+$N$3</f>
        <v>74626.7546</v>
      </c>
      <c r="Q55" s="216">
        <f t="shared" si="1"/>
        <v>0</v>
      </c>
      <c r="S55" s="221"/>
      <c r="T55" s="222"/>
      <c r="U55" s="223" t="s">
        <v>1526</v>
      </c>
    </row>
    <row r="56" spans="1:21" ht="0" hidden="1" customHeight="1" outlineLevel="3">
      <c r="A56" s="201" t="s">
        <v>1527</v>
      </c>
      <c r="B56" s="201"/>
      <c r="C56" s="202" t="s">
        <v>256</v>
      </c>
      <c r="D56" s="203">
        <f t="shared" si="6"/>
        <v>74626.7546</v>
      </c>
      <c r="E56" s="204" t="s">
        <v>93</v>
      </c>
      <c r="F56" s="202" t="s">
        <v>1510</v>
      </c>
      <c r="G56" s="205">
        <f t="shared" si="4"/>
        <v>0</v>
      </c>
      <c r="H56" s="204" t="s">
        <v>1524</v>
      </c>
      <c r="I56" s="699"/>
      <c r="J56" s="199" t="s">
        <v>1525</v>
      </c>
      <c r="K56" s="699"/>
      <c r="L56" s="210" t="s">
        <v>979</v>
      </c>
      <c r="M56" s="211">
        <f t="shared" si="5"/>
        <v>0</v>
      </c>
      <c r="N56" s="212">
        <f t="shared" si="7"/>
        <v>74626.7546</v>
      </c>
      <c r="O56" s="194">
        <f t="shared" si="0"/>
        <v>0</v>
      </c>
      <c r="P56" s="194">
        <f>'02 项目基础信息（输入）'!$H$69+$N$3</f>
        <v>74626.7546</v>
      </c>
      <c r="Q56" s="216">
        <f t="shared" si="1"/>
        <v>0</v>
      </c>
      <c r="S56" s="221"/>
      <c r="T56" s="222"/>
      <c r="U56" s="223" t="s">
        <v>1528</v>
      </c>
    </row>
    <row r="57" spans="1:21" ht="0" hidden="1" customHeight="1" outlineLevel="3">
      <c r="A57" s="201" t="s">
        <v>1529</v>
      </c>
      <c r="B57" s="201"/>
      <c r="C57" s="202" t="s">
        <v>256</v>
      </c>
      <c r="D57" s="203">
        <f t="shared" si="6"/>
        <v>74626.7546</v>
      </c>
      <c r="E57" s="204" t="s">
        <v>93</v>
      </c>
      <c r="F57" s="202" t="s">
        <v>1510</v>
      </c>
      <c r="G57" s="205">
        <f t="shared" si="4"/>
        <v>0</v>
      </c>
      <c r="H57" s="204" t="s">
        <v>1524</v>
      </c>
      <c r="I57" s="699"/>
      <c r="J57" s="199" t="s">
        <v>1525</v>
      </c>
      <c r="K57" s="699"/>
      <c r="L57" s="210" t="s">
        <v>979</v>
      </c>
      <c r="M57" s="211">
        <f t="shared" si="5"/>
        <v>0</v>
      </c>
      <c r="N57" s="212">
        <f t="shared" si="7"/>
        <v>74626.7546</v>
      </c>
      <c r="O57" s="194">
        <f t="shared" si="0"/>
        <v>0</v>
      </c>
      <c r="P57" s="194">
        <f>'02 项目基础信息（输入）'!$H$69+$N$3</f>
        <v>74626.7546</v>
      </c>
      <c r="Q57" s="216">
        <f t="shared" si="1"/>
        <v>0</v>
      </c>
      <c r="S57" s="221"/>
      <c r="T57" s="222"/>
      <c r="U57" s="223" t="s">
        <v>1530</v>
      </c>
    </row>
    <row r="58" spans="1:21" ht="0" hidden="1" customHeight="1" outlineLevel="3">
      <c r="A58" s="201" t="s">
        <v>1531</v>
      </c>
      <c r="B58" s="201"/>
      <c r="C58" s="202" t="s">
        <v>256</v>
      </c>
      <c r="D58" s="203">
        <f t="shared" si="6"/>
        <v>74626.7546</v>
      </c>
      <c r="E58" s="204" t="s">
        <v>93</v>
      </c>
      <c r="F58" s="202" t="s">
        <v>1532</v>
      </c>
      <c r="G58" s="205">
        <f t="shared" si="4"/>
        <v>0</v>
      </c>
      <c r="H58" s="204" t="s">
        <v>1524</v>
      </c>
      <c r="I58" s="616"/>
      <c r="J58" s="204" t="s">
        <v>1525</v>
      </c>
      <c r="K58" s="616"/>
      <c r="L58" s="210" t="s">
        <v>979</v>
      </c>
      <c r="M58" s="211">
        <f t="shared" si="5"/>
        <v>0</v>
      </c>
      <c r="N58" s="212">
        <f t="shared" si="7"/>
        <v>74626.7546</v>
      </c>
      <c r="O58" s="194">
        <f t="shared" si="0"/>
        <v>0</v>
      </c>
      <c r="P58" s="194">
        <f>'02 项目基础信息（输入）'!$H$69+$N$3</f>
        <v>74626.7546</v>
      </c>
      <c r="Q58" s="216">
        <f t="shared" si="1"/>
        <v>0</v>
      </c>
      <c r="S58" s="221"/>
      <c r="T58" s="222"/>
      <c r="U58" s="223" t="s">
        <v>1533</v>
      </c>
    </row>
    <row r="59" spans="1:21" ht="0" hidden="1" customHeight="1" outlineLevel="3">
      <c r="A59" s="201" t="s">
        <v>1534</v>
      </c>
      <c r="B59" s="201"/>
      <c r="C59" s="202" t="s">
        <v>256</v>
      </c>
      <c r="D59" s="203">
        <f t="shared" si="6"/>
        <v>74626.7546</v>
      </c>
      <c r="E59" s="204" t="s">
        <v>93</v>
      </c>
      <c r="F59" s="202" t="s">
        <v>1510</v>
      </c>
      <c r="G59" s="205">
        <f t="shared" si="4"/>
        <v>0</v>
      </c>
      <c r="H59" s="204" t="s">
        <v>1524</v>
      </c>
      <c r="I59" s="616"/>
      <c r="J59" s="204" t="s">
        <v>1525</v>
      </c>
      <c r="K59" s="616"/>
      <c r="L59" s="210" t="s">
        <v>979</v>
      </c>
      <c r="M59" s="211">
        <f t="shared" si="5"/>
        <v>0</v>
      </c>
      <c r="N59" s="212">
        <f t="shared" si="7"/>
        <v>74626.7546</v>
      </c>
      <c r="O59" s="194">
        <f t="shared" si="0"/>
        <v>0</v>
      </c>
      <c r="P59" s="194">
        <f>'02 项目基础信息（输入）'!$H$69+$N$3</f>
        <v>74626.7546</v>
      </c>
      <c r="Q59" s="216">
        <f t="shared" si="1"/>
        <v>0</v>
      </c>
      <c r="S59" s="221"/>
      <c r="T59" s="222"/>
      <c r="U59" s="223" t="s">
        <v>1535</v>
      </c>
    </row>
    <row r="60" spans="1:21" ht="0" hidden="1" customHeight="1" outlineLevel="3">
      <c r="A60" s="201" t="s">
        <v>1536</v>
      </c>
      <c r="B60" s="201"/>
      <c r="C60" s="202" t="s">
        <v>256</v>
      </c>
      <c r="D60" s="203">
        <f t="shared" si="6"/>
        <v>74626.7546</v>
      </c>
      <c r="E60" s="204" t="s">
        <v>93</v>
      </c>
      <c r="F60" s="202" t="s">
        <v>1510</v>
      </c>
      <c r="G60" s="205">
        <f t="shared" si="4"/>
        <v>0</v>
      </c>
      <c r="H60" s="204" t="s">
        <v>1524</v>
      </c>
      <c r="I60" s="616"/>
      <c r="J60" s="204" t="s">
        <v>1525</v>
      </c>
      <c r="K60" s="616"/>
      <c r="L60" s="210" t="s">
        <v>979</v>
      </c>
      <c r="M60" s="211">
        <f t="shared" si="5"/>
        <v>0</v>
      </c>
      <c r="N60" s="212">
        <f t="shared" si="7"/>
        <v>74626.7546</v>
      </c>
      <c r="O60" s="194">
        <f t="shared" si="0"/>
        <v>0</v>
      </c>
      <c r="P60" s="194">
        <f>'02 项目基础信息（输入）'!$H$69+$N$3</f>
        <v>74626.7546</v>
      </c>
      <c r="Q60" s="216">
        <f t="shared" si="1"/>
        <v>0</v>
      </c>
      <c r="S60" s="221"/>
      <c r="T60" s="222"/>
      <c r="U60" s="223" t="s">
        <v>1537</v>
      </c>
    </row>
    <row r="61" spans="1:21" ht="20.25" customHeight="1" outlineLevel="2" collapsed="1">
      <c r="A61" s="192" t="s">
        <v>1538</v>
      </c>
      <c r="B61" s="192"/>
      <c r="C61" s="197" t="s">
        <v>256</v>
      </c>
      <c r="D61" s="198">
        <f>'02 项目基础信息（输入）'!$D$4</f>
        <v>74626.7546</v>
      </c>
      <c r="E61" s="199" t="s">
        <v>93</v>
      </c>
      <c r="F61" s="197"/>
      <c r="G61" s="199"/>
      <c r="H61" s="199"/>
      <c r="I61" s="197"/>
      <c r="J61" s="199"/>
      <c r="K61" s="197"/>
      <c r="L61" s="209"/>
      <c r="M61" s="198">
        <f>ROUND(SUM(M62:M75),6)</f>
        <v>933.31908699999997</v>
      </c>
      <c r="N61" s="198">
        <f>'02 项目基础信息（输入）'!$D$4</f>
        <v>74626.7546</v>
      </c>
      <c r="O61" s="194">
        <f t="shared" si="0"/>
        <v>125.06</v>
      </c>
      <c r="P61" s="194">
        <f>'02 项目基础信息（输入）'!$H$69+$N$3</f>
        <v>74626.7546</v>
      </c>
      <c r="Q61" s="216">
        <f t="shared" si="1"/>
        <v>125.06</v>
      </c>
      <c r="S61" s="217"/>
      <c r="U61" s="220" t="s">
        <v>1539</v>
      </c>
    </row>
    <row r="62" spans="1:21" ht="20.25" hidden="1" customHeight="1" outlineLevel="3">
      <c r="A62" s="192" t="s">
        <v>1540</v>
      </c>
      <c r="B62" s="192"/>
      <c r="C62" s="197" t="s">
        <v>375</v>
      </c>
      <c r="D62" s="197">
        <f>'02 项目基础信息（输入）'!$D$16</f>
        <v>861</v>
      </c>
      <c r="E62" s="199" t="s">
        <v>376</v>
      </c>
      <c r="F62" s="197" t="s">
        <v>1541</v>
      </c>
      <c r="G62" s="199">
        <f t="shared" ref="G62:G72" si="8">IFERROR(I62/D62,0)</f>
        <v>1</v>
      </c>
      <c r="H62" s="199" t="s">
        <v>1542</v>
      </c>
      <c r="I62" s="699">
        <f>D62</f>
        <v>861</v>
      </c>
      <c r="J62" s="199" t="s">
        <v>131</v>
      </c>
      <c r="K62" s="699">
        <f>支护!P23</f>
        <v>9513.8022792238498</v>
      </c>
      <c r="L62" s="209" t="s">
        <v>792</v>
      </c>
      <c r="M62" s="198">
        <f t="shared" ref="M62:M75" si="9">ROUND(K62*I62/10000,6)</f>
        <v>819.13837599999999</v>
      </c>
      <c r="N62" s="198">
        <f>'02 项目基础信息（输入）'!$D$4</f>
        <v>74626.7546</v>
      </c>
      <c r="O62" s="194">
        <f t="shared" si="0"/>
        <v>109.76</v>
      </c>
      <c r="P62" s="194">
        <f>'02 项目基础信息（输入）'!$H$69+$N$3</f>
        <v>74626.7546</v>
      </c>
      <c r="Q62" s="216">
        <f t="shared" si="1"/>
        <v>109.76</v>
      </c>
      <c r="S62" s="217"/>
      <c r="U62" s="220" t="s">
        <v>1543</v>
      </c>
    </row>
    <row r="63" spans="1:21" ht="20.25" hidden="1" customHeight="1" outlineLevel="3">
      <c r="A63" s="192" t="s">
        <v>1544</v>
      </c>
      <c r="B63" s="192"/>
      <c r="C63" s="197" t="s">
        <v>375</v>
      </c>
      <c r="D63" s="197">
        <f>'02 项目基础信息（输入）'!$D$16</f>
        <v>861</v>
      </c>
      <c r="E63" s="199" t="s">
        <v>376</v>
      </c>
      <c r="F63" s="197" t="s">
        <v>1541</v>
      </c>
      <c r="G63" s="199">
        <f t="shared" si="8"/>
        <v>0</v>
      </c>
      <c r="H63" s="199" t="s">
        <v>1542</v>
      </c>
      <c r="I63" s="699"/>
      <c r="J63" s="199" t="s">
        <v>131</v>
      </c>
      <c r="K63" s="699"/>
      <c r="L63" s="209" t="s">
        <v>792</v>
      </c>
      <c r="M63" s="198">
        <f t="shared" si="9"/>
        <v>0</v>
      </c>
      <c r="N63" s="198">
        <f>'02 项目基础信息（输入）'!$D$4</f>
        <v>74626.7546</v>
      </c>
      <c r="O63" s="194">
        <f t="shared" si="0"/>
        <v>0</v>
      </c>
      <c r="P63" s="194">
        <f>'02 项目基础信息（输入）'!$H$69+$N$3</f>
        <v>74626.7546</v>
      </c>
      <c r="Q63" s="216">
        <f t="shared" si="1"/>
        <v>0</v>
      </c>
      <c r="S63" s="217"/>
      <c r="U63" s="220" t="s">
        <v>1545</v>
      </c>
    </row>
    <row r="64" spans="1:21" ht="20.25" hidden="1" customHeight="1" outlineLevel="3">
      <c r="A64" s="192" t="s">
        <v>1546</v>
      </c>
      <c r="B64" s="192"/>
      <c r="C64" s="197" t="s">
        <v>375</v>
      </c>
      <c r="D64" s="197">
        <f>'02 项目基础信息（输入）'!$D$16</f>
        <v>861</v>
      </c>
      <c r="E64" s="199" t="s">
        <v>376</v>
      </c>
      <c r="F64" s="197" t="s">
        <v>1541</v>
      </c>
      <c r="G64" s="199">
        <f t="shared" si="8"/>
        <v>0</v>
      </c>
      <c r="H64" s="199" t="s">
        <v>1542</v>
      </c>
      <c r="I64" s="699"/>
      <c r="J64" s="199" t="s">
        <v>131</v>
      </c>
      <c r="K64" s="699"/>
      <c r="L64" s="209" t="s">
        <v>792</v>
      </c>
      <c r="M64" s="198">
        <f t="shared" si="9"/>
        <v>0</v>
      </c>
      <c r="N64" s="198">
        <f>'02 项目基础信息（输入）'!$D$4</f>
        <v>74626.7546</v>
      </c>
      <c r="O64" s="194">
        <f t="shared" si="0"/>
        <v>0</v>
      </c>
      <c r="P64" s="194">
        <f>'02 项目基础信息（输入）'!$H$69+$N$3</f>
        <v>74626.7546</v>
      </c>
      <c r="Q64" s="216">
        <f t="shared" si="1"/>
        <v>0</v>
      </c>
      <c r="S64" s="217"/>
      <c r="U64" s="220" t="s">
        <v>1547</v>
      </c>
    </row>
    <row r="65" spans="1:21" ht="20.25" hidden="1" customHeight="1" outlineLevel="3">
      <c r="A65" s="192" t="s">
        <v>1548</v>
      </c>
      <c r="B65" s="192"/>
      <c r="C65" s="197" t="s">
        <v>375</v>
      </c>
      <c r="D65" s="197">
        <f>'02 项目基础信息（输入）'!$D$16</f>
        <v>861</v>
      </c>
      <c r="E65" s="199" t="s">
        <v>376</v>
      </c>
      <c r="F65" s="197" t="s">
        <v>1541</v>
      </c>
      <c r="G65" s="199">
        <f t="shared" si="8"/>
        <v>0</v>
      </c>
      <c r="H65" s="199" t="s">
        <v>1542</v>
      </c>
      <c r="I65" s="699"/>
      <c r="J65" s="199" t="s">
        <v>131</v>
      </c>
      <c r="K65" s="699"/>
      <c r="L65" s="209" t="s">
        <v>792</v>
      </c>
      <c r="M65" s="198">
        <f t="shared" si="9"/>
        <v>0</v>
      </c>
      <c r="N65" s="198">
        <f>'02 项目基础信息（输入）'!$D$4</f>
        <v>74626.7546</v>
      </c>
      <c r="O65" s="194">
        <f t="shared" si="0"/>
        <v>0</v>
      </c>
      <c r="P65" s="194">
        <f>'02 项目基础信息（输入）'!$H$69+$N$3</f>
        <v>74626.7546</v>
      </c>
      <c r="Q65" s="216">
        <f t="shared" si="1"/>
        <v>0</v>
      </c>
      <c r="S65" s="217"/>
      <c r="U65" s="220" t="s">
        <v>1549</v>
      </c>
    </row>
    <row r="66" spans="1:21" ht="20.25" hidden="1" customHeight="1" outlineLevel="3">
      <c r="A66" s="192" t="s">
        <v>1550</v>
      </c>
      <c r="B66" s="192"/>
      <c r="C66" s="197" t="s">
        <v>375</v>
      </c>
      <c r="D66" s="197">
        <f>'02 项目基础信息（输入）'!$D$16</f>
        <v>861</v>
      </c>
      <c r="E66" s="199" t="s">
        <v>376</v>
      </c>
      <c r="F66" s="197" t="s">
        <v>1541</v>
      </c>
      <c r="G66" s="199">
        <f t="shared" si="8"/>
        <v>0</v>
      </c>
      <c r="H66" s="199" t="s">
        <v>1542</v>
      </c>
      <c r="I66" s="699"/>
      <c r="J66" s="199" t="s">
        <v>131</v>
      </c>
      <c r="K66" s="699"/>
      <c r="L66" s="209" t="s">
        <v>792</v>
      </c>
      <c r="M66" s="198">
        <f t="shared" si="9"/>
        <v>0</v>
      </c>
      <c r="N66" s="198">
        <f>'02 项目基础信息（输入）'!$D$4</f>
        <v>74626.7546</v>
      </c>
      <c r="O66" s="194">
        <f t="shared" si="0"/>
        <v>0</v>
      </c>
      <c r="P66" s="194">
        <f>'02 项目基础信息（输入）'!$H$69+$N$3</f>
        <v>74626.7546</v>
      </c>
      <c r="Q66" s="216">
        <f t="shared" si="1"/>
        <v>0</v>
      </c>
      <c r="S66" s="217"/>
      <c r="U66" s="220" t="s">
        <v>1551</v>
      </c>
    </row>
    <row r="67" spans="1:21" ht="20.25" hidden="1" customHeight="1" outlineLevel="3">
      <c r="A67" s="192" t="s">
        <v>1552</v>
      </c>
      <c r="B67" s="192"/>
      <c r="C67" s="197" t="s">
        <v>375</v>
      </c>
      <c r="D67" s="197">
        <f>'02 项目基础信息（输入）'!$D$16</f>
        <v>861</v>
      </c>
      <c r="E67" s="199" t="s">
        <v>376</v>
      </c>
      <c r="F67" s="197" t="s">
        <v>1541</v>
      </c>
      <c r="G67" s="199">
        <f t="shared" si="8"/>
        <v>0</v>
      </c>
      <c r="H67" s="199" t="s">
        <v>1542</v>
      </c>
      <c r="I67" s="699"/>
      <c r="J67" s="199" t="s">
        <v>131</v>
      </c>
      <c r="K67" s="699"/>
      <c r="L67" s="209" t="s">
        <v>792</v>
      </c>
      <c r="M67" s="198">
        <f t="shared" si="9"/>
        <v>0</v>
      </c>
      <c r="N67" s="198">
        <f>'02 项目基础信息（输入）'!$D$4</f>
        <v>74626.7546</v>
      </c>
      <c r="O67" s="194">
        <f t="shared" ref="O67:O130" si="10">ROUND(IFERROR(M67*10000/N67,0),2)</f>
        <v>0</v>
      </c>
      <c r="P67" s="194">
        <f>'02 项目基础信息（输入）'!$H$69+$N$3</f>
        <v>74626.7546</v>
      </c>
      <c r="Q67" s="216">
        <f t="shared" ref="Q67:Q130" si="11">ROUND(IFERROR(M67*10000/P67,0),2)</f>
        <v>0</v>
      </c>
      <c r="S67" s="217"/>
      <c r="U67" s="220" t="s">
        <v>1553</v>
      </c>
    </row>
    <row r="68" spans="1:21" ht="20.25" hidden="1" customHeight="1" outlineLevel="3">
      <c r="A68" s="192" t="s">
        <v>1554</v>
      </c>
      <c r="B68" s="192"/>
      <c r="C68" s="197" t="s">
        <v>375</v>
      </c>
      <c r="D68" s="197">
        <f>'02 项目基础信息（输入）'!$D$16</f>
        <v>861</v>
      </c>
      <c r="E68" s="199" t="s">
        <v>376</v>
      </c>
      <c r="F68" s="197" t="s">
        <v>1541</v>
      </c>
      <c r="G68" s="199">
        <f t="shared" si="8"/>
        <v>0</v>
      </c>
      <c r="H68" s="199" t="s">
        <v>1542</v>
      </c>
      <c r="I68" s="699"/>
      <c r="J68" s="199" t="s">
        <v>131</v>
      </c>
      <c r="K68" s="699"/>
      <c r="L68" s="209" t="s">
        <v>792</v>
      </c>
      <c r="M68" s="198">
        <f t="shared" si="9"/>
        <v>0</v>
      </c>
      <c r="N68" s="198">
        <f>'02 项目基础信息（输入）'!$D$4</f>
        <v>74626.7546</v>
      </c>
      <c r="O68" s="194">
        <f t="shared" si="10"/>
        <v>0</v>
      </c>
      <c r="P68" s="194">
        <f>'02 项目基础信息（输入）'!$H$69+$N$3</f>
        <v>74626.7546</v>
      </c>
      <c r="Q68" s="216">
        <f t="shared" si="11"/>
        <v>0</v>
      </c>
      <c r="S68" s="217"/>
      <c r="U68" s="220" t="s">
        <v>1555</v>
      </c>
    </row>
    <row r="69" spans="1:21" ht="20.25" hidden="1" customHeight="1" outlineLevel="3">
      <c r="A69" s="192" t="s">
        <v>1556</v>
      </c>
      <c r="B69" s="192"/>
      <c r="C69" s="197" t="s">
        <v>375</v>
      </c>
      <c r="D69" s="197">
        <f>'02 项目基础信息（输入）'!$D$16</f>
        <v>861</v>
      </c>
      <c r="E69" s="199" t="s">
        <v>376</v>
      </c>
      <c r="F69" s="197" t="s">
        <v>1541</v>
      </c>
      <c r="G69" s="199">
        <f t="shared" si="8"/>
        <v>0</v>
      </c>
      <c r="H69" s="199" t="s">
        <v>1542</v>
      </c>
      <c r="I69" s="699"/>
      <c r="J69" s="199" t="s">
        <v>131</v>
      </c>
      <c r="K69" s="699"/>
      <c r="L69" s="209" t="s">
        <v>792</v>
      </c>
      <c r="M69" s="198">
        <f t="shared" si="9"/>
        <v>0</v>
      </c>
      <c r="N69" s="198">
        <f>'02 项目基础信息（输入）'!$D$4</f>
        <v>74626.7546</v>
      </c>
      <c r="O69" s="194">
        <f t="shared" si="10"/>
        <v>0</v>
      </c>
      <c r="P69" s="194">
        <f>'02 项目基础信息（输入）'!$H$69+$N$3</f>
        <v>74626.7546</v>
      </c>
      <c r="Q69" s="216">
        <f t="shared" si="11"/>
        <v>0</v>
      </c>
      <c r="S69" s="217"/>
      <c r="U69" s="220" t="s">
        <v>1557</v>
      </c>
    </row>
    <row r="70" spans="1:21" ht="20.25" hidden="1" customHeight="1" outlineLevel="3">
      <c r="A70" s="192" t="s">
        <v>1558</v>
      </c>
      <c r="B70" s="192"/>
      <c r="C70" s="197" t="s">
        <v>375</v>
      </c>
      <c r="D70" s="197">
        <f>'02 项目基础信息（输入）'!$D$16</f>
        <v>861</v>
      </c>
      <c r="E70" s="199" t="s">
        <v>376</v>
      </c>
      <c r="F70" s="197" t="s">
        <v>1541</v>
      </c>
      <c r="G70" s="199">
        <f t="shared" si="8"/>
        <v>0</v>
      </c>
      <c r="H70" s="199" t="s">
        <v>1542</v>
      </c>
      <c r="I70" s="699"/>
      <c r="J70" s="199" t="s">
        <v>131</v>
      </c>
      <c r="K70" s="699"/>
      <c r="L70" s="209" t="s">
        <v>792</v>
      </c>
      <c r="M70" s="198">
        <f t="shared" si="9"/>
        <v>0</v>
      </c>
      <c r="N70" s="198">
        <f>'02 项目基础信息（输入）'!$D$4</f>
        <v>74626.7546</v>
      </c>
      <c r="O70" s="194">
        <f t="shared" si="10"/>
        <v>0</v>
      </c>
      <c r="P70" s="194">
        <f>'02 项目基础信息（输入）'!$H$69+$N$3</f>
        <v>74626.7546</v>
      </c>
      <c r="Q70" s="216">
        <f t="shared" si="11"/>
        <v>0</v>
      </c>
      <c r="S70" s="217"/>
      <c r="U70" s="220" t="s">
        <v>1559</v>
      </c>
    </row>
    <row r="71" spans="1:21" ht="20.25" hidden="1" customHeight="1" outlineLevel="3">
      <c r="A71" s="192" t="s">
        <v>1560</v>
      </c>
      <c r="B71" s="192"/>
      <c r="C71" s="197" t="s">
        <v>375</v>
      </c>
      <c r="D71" s="197">
        <f>'02 项目基础信息（输入）'!$D$16</f>
        <v>861</v>
      </c>
      <c r="E71" s="199" t="s">
        <v>376</v>
      </c>
      <c r="F71" s="197" t="s">
        <v>1541</v>
      </c>
      <c r="G71" s="199">
        <f t="shared" si="8"/>
        <v>0</v>
      </c>
      <c r="H71" s="199" t="s">
        <v>1542</v>
      </c>
      <c r="I71" s="699"/>
      <c r="J71" s="199" t="s">
        <v>131</v>
      </c>
      <c r="K71" s="699"/>
      <c r="L71" s="209" t="s">
        <v>792</v>
      </c>
      <c r="M71" s="198">
        <f t="shared" si="9"/>
        <v>0</v>
      </c>
      <c r="N71" s="198">
        <f>'02 项目基础信息（输入）'!$D$4</f>
        <v>74626.7546</v>
      </c>
      <c r="O71" s="194">
        <f t="shared" si="10"/>
        <v>0</v>
      </c>
      <c r="P71" s="194">
        <f>'02 项目基础信息（输入）'!$H$69+$N$3</f>
        <v>74626.7546</v>
      </c>
      <c r="Q71" s="216">
        <f t="shared" si="11"/>
        <v>0</v>
      </c>
      <c r="S71" s="217"/>
      <c r="U71" s="220" t="s">
        <v>1561</v>
      </c>
    </row>
    <row r="72" spans="1:21" ht="20.25" hidden="1" customHeight="1" outlineLevel="3">
      <c r="A72" s="192" t="s">
        <v>1562</v>
      </c>
      <c r="B72" s="192"/>
      <c r="C72" s="197" t="s">
        <v>375</v>
      </c>
      <c r="D72" s="197">
        <f>'02 项目基础信息（输入）'!$D$16</f>
        <v>861</v>
      </c>
      <c r="E72" s="199" t="s">
        <v>376</v>
      </c>
      <c r="F72" s="197" t="s">
        <v>1541</v>
      </c>
      <c r="G72" s="209">
        <f t="shared" si="8"/>
        <v>0</v>
      </c>
      <c r="H72" s="199" t="s">
        <v>1542</v>
      </c>
      <c r="I72" s="699"/>
      <c r="J72" s="199" t="s">
        <v>131</v>
      </c>
      <c r="K72" s="699"/>
      <c r="L72" s="209" t="s">
        <v>792</v>
      </c>
      <c r="M72" s="198">
        <f t="shared" si="9"/>
        <v>0</v>
      </c>
      <c r="N72" s="198">
        <f>'02 项目基础信息（输入）'!$D$4</f>
        <v>74626.7546</v>
      </c>
      <c r="O72" s="194">
        <f t="shared" si="10"/>
        <v>0</v>
      </c>
      <c r="P72" s="194">
        <f>'02 项目基础信息（输入）'!$H$69+$N$3</f>
        <v>74626.7546</v>
      </c>
      <c r="Q72" s="216">
        <f t="shared" si="11"/>
        <v>0</v>
      </c>
      <c r="S72" s="217"/>
      <c r="U72" s="220" t="s">
        <v>1563</v>
      </c>
    </row>
    <row r="73" spans="1:21" ht="20.25" hidden="1" customHeight="1" outlineLevel="3">
      <c r="A73" s="192" t="s">
        <v>1564</v>
      </c>
      <c r="B73" s="192"/>
      <c r="C73" s="197" t="s">
        <v>256</v>
      </c>
      <c r="D73" s="198">
        <f>'02 项目基础信息（输入）'!$D$4</f>
        <v>74626.7546</v>
      </c>
      <c r="E73" s="199" t="s">
        <v>93</v>
      </c>
      <c r="F73" s="197" t="s">
        <v>256</v>
      </c>
      <c r="G73" s="199">
        <v>1</v>
      </c>
      <c r="H73" s="199" t="s">
        <v>298</v>
      </c>
      <c r="I73" s="699"/>
      <c r="J73" s="199" t="s">
        <v>93</v>
      </c>
      <c r="K73" s="699"/>
      <c r="L73" s="209" t="s">
        <v>675</v>
      </c>
      <c r="M73" s="198">
        <f t="shared" si="9"/>
        <v>0</v>
      </c>
      <c r="N73" s="198">
        <f>'02 项目基础信息（输入）'!$D$4</f>
        <v>74626.7546</v>
      </c>
      <c r="O73" s="194">
        <f t="shared" si="10"/>
        <v>0</v>
      </c>
      <c r="P73" s="194">
        <f>'02 项目基础信息（输入）'!$H$69+$N$3</f>
        <v>74626.7546</v>
      </c>
      <c r="Q73" s="216">
        <f t="shared" si="11"/>
        <v>0</v>
      </c>
      <c r="S73" s="217"/>
      <c r="U73" s="220" t="s">
        <v>1565</v>
      </c>
    </row>
    <row r="74" spans="1:21" ht="20.25" hidden="1" customHeight="1" outlineLevel="3">
      <c r="A74" s="192" t="s">
        <v>1566</v>
      </c>
      <c r="B74" s="192"/>
      <c r="C74" s="197" t="s">
        <v>256</v>
      </c>
      <c r="D74" s="198">
        <f>'02 项目基础信息（输入）'!$D$4</f>
        <v>74626.7546</v>
      </c>
      <c r="E74" s="199" t="s">
        <v>93</v>
      </c>
      <c r="F74" s="197" t="s">
        <v>256</v>
      </c>
      <c r="G74" s="199">
        <v>1</v>
      </c>
      <c r="H74" s="199" t="s">
        <v>298</v>
      </c>
      <c r="I74" s="699">
        <f>D74</f>
        <v>74626.7546</v>
      </c>
      <c r="J74" s="199" t="s">
        <v>93</v>
      </c>
      <c r="K74" s="699">
        <f>支护!D29</f>
        <v>15.300238095238095</v>
      </c>
      <c r="L74" s="209" t="s">
        <v>675</v>
      </c>
      <c r="M74" s="198">
        <f t="shared" si="9"/>
        <v>114.180711</v>
      </c>
      <c r="N74" s="198">
        <f>'02 项目基础信息（输入）'!$D$4</f>
        <v>74626.7546</v>
      </c>
      <c r="O74" s="194">
        <f t="shared" si="10"/>
        <v>15.3</v>
      </c>
      <c r="P74" s="194">
        <f>'02 项目基础信息（输入）'!$H$69+$N$3</f>
        <v>74626.7546</v>
      </c>
      <c r="Q74" s="216">
        <f t="shared" si="11"/>
        <v>15.3</v>
      </c>
      <c r="S74" s="217"/>
      <c r="U74" s="220" t="s">
        <v>1567</v>
      </c>
    </row>
    <row r="75" spans="1:21" ht="20.25" hidden="1" customHeight="1" outlineLevel="3">
      <c r="A75" s="192" t="s">
        <v>1568</v>
      </c>
      <c r="B75" s="192"/>
      <c r="C75" s="197" t="s">
        <v>318</v>
      </c>
      <c r="D75" s="198">
        <f>'02 项目基础信息（输入）'!$D$4</f>
        <v>74626.7546</v>
      </c>
      <c r="E75" s="199" t="s">
        <v>93</v>
      </c>
      <c r="F75" s="197" t="s">
        <v>256</v>
      </c>
      <c r="G75" s="199">
        <v>1</v>
      </c>
      <c r="H75" s="199" t="s">
        <v>298</v>
      </c>
      <c r="I75" s="699"/>
      <c r="J75" s="199" t="s">
        <v>93</v>
      </c>
      <c r="K75" s="699"/>
      <c r="L75" s="209" t="s">
        <v>675</v>
      </c>
      <c r="M75" s="198">
        <f t="shared" si="9"/>
        <v>0</v>
      </c>
      <c r="N75" s="198">
        <f>'02 项目基础信息（输入）'!$D$4</f>
        <v>74626.7546</v>
      </c>
      <c r="O75" s="194">
        <f t="shared" si="10"/>
        <v>0</v>
      </c>
      <c r="P75" s="194">
        <f>'02 项目基础信息（输入）'!$H$69+$N$3</f>
        <v>74626.7546</v>
      </c>
      <c r="Q75" s="216">
        <f t="shared" si="11"/>
        <v>0</v>
      </c>
      <c r="S75" s="217"/>
      <c r="U75" s="232" t="s">
        <v>1569</v>
      </c>
    </row>
    <row r="76" spans="1:21" ht="20.25" customHeight="1" outlineLevel="2" collapsed="1">
      <c r="A76" s="192" t="s">
        <v>1570</v>
      </c>
      <c r="B76" s="192"/>
      <c r="C76" s="197" t="s">
        <v>256</v>
      </c>
      <c r="D76" s="198">
        <f>'02 项目基础信息（输入）'!$D$4</f>
        <v>74626.7546</v>
      </c>
      <c r="E76" s="199" t="s">
        <v>93</v>
      </c>
      <c r="F76" s="197"/>
      <c r="G76" s="199"/>
      <c r="H76" s="199"/>
      <c r="I76" s="197"/>
      <c r="J76" s="199"/>
      <c r="K76" s="197"/>
      <c r="L76" s="209"/>
      <c r="M76" s="198">
        <f>ROUND(SUM(M77:M83),6)</f>
        <v>0</v>
      </c>
      <c r="N76" s="198">
        <f>'02 项目基础信息（输入）'!$D$4</f>
        <v>74626.7546</v>
      </c>
      <c r="O76" s="194">
        <f t="shared" si="10"/>
        <v>0</v>
      </c>
      <c r="P76" s="194">
        <f>'02 项目基础信息（输入）'!$H$69+$N$3</f>
        <v>74626.7546</v>
      </c>
      <c r="Q76" s="216">
        <f t="shared" si="11"/>
        <v>0</v>
      </c>
      <c r="S76" s="217"/>
      <c r="U76" s="220" t="s">
        <v>1571</v>
      </c>
    </row>
    <row r="77" spans="1:21" ht="20.25" hidden="1" customHeight="1" outlineLevel="3">
      <c r="A77" s="192" t="s">
        <v>1572</v>
      </c>
      <c r="B77" s="192"/>
      <c r="C77" s="197" t="s">
        <v>375</v>
      </c>
      <c r="D77" s="197">
        <f>'02 项目基础信息（输入）'!$D$16</f>
        <v>861</v>
      </c>
      <c r="E77" s="199" t="s">
        <v>376</v>
      </c>
      <c r="F77" s="197" t="s">
        <v>1573</v>
      </c>
      <c r="G77" s="199">
        <f>IFERROR(I77/D77,0)</f>
        <v>0</v>
      </c>
      <c r="H77" s="199" t="s">
        <v>1473</v>
      </c>
      <c r="I77" s="699"/>
      <c r="J77" s="199" t="s">
        <v>131</v>
      </c>
      <c r="K77" s="699"/>
      <c r="L77" s="209" t="s">
        <v>792</v>
      </c>
      <c r="M77" s="198">
        <f t="shared" ref="M77:M83" si="12">ROUND(K77*I77/10000,6)</f>
        <v>0</v>
      </c>
      <c r="N77" s="198">
        <f>'02 项目基础信息（输入）'!$D$4</f>
        <v>74626.7546</v>
      </c>
      <c r="O77" s="194">
        <f t="shared" si="10"/>
        <v>0</v>
      </c>
      <c r="P77" s="194">
        <f>'02 项目基础信息（输入）'!$H$69+$N$3</f>
        <v>74626.7546</v>
      </c>
      <c r="Q77" s="216">
        <f t="shared" si="11"/>
        <v>0</v>
      </c>
      <c r="S77" s="217"/>
      <c r="U77" s="220" t="s">
        <v>1574</v>
      </c>
    </row>
    <row r="78" spans="1:21" ht="20.25" hidden="1" customHeight="1" outlineLevel="3">
      <c r="A78" s="192" t="s">
        <v>1575</v>
      </c>
      <c r="B78" s="192"/>
      <c r="C78" s="197" t="s">
        <v>375</v>
      </c>
      <c r="D78" s="197">
        <f>'02 项目基础信息（输入）'!$D$16</f>
        <v>861</v>
      </c>
      <c r="E78" s="199" t="s">
        <v>376</v>
      </c>
      <c r="F78" s="197" t="s">
        <v>1573</v>
      </c>
      <c r="G78" s="199">
        <f>IFERROR(I78/D78,0)</f>
        <v>0</v>
      </c>
      <c r="H78" s="199" t="s">
        <v>1473</v>
      </c>
      <c r="I78" s="699"/>
      <c r="J78" s="199" t="s">
        <v>131</v>
      </c>
      <c r="K78" s="699"/>
      <c r="L78" s="209" t="s">
        <v>792</v>
      </c>
      <c r="M78" s="198">
        <f t="shared" si="12"/>
        <v>0</v>
      </c>
      <c r="N78" s="198">
        <f>'02 项目基础信息（输入）'!$D$4</f>
        <v>74626.7546</v>
      </c>
      <c r="O78" s="194">
        <f t="shared" si="10"/>
        <v>0</v>
      </c>
      <c r="P78" s="194">
        <f>'02 项目基础信息（输入）'!$H$69+$N$3</f>
        <v>74626.7546</v>
      </c>
      <c r="Q78" s="216">
        <f t="shared" si="11"/>
        <v>0</v>
      </c>
      <c r="S78" s="217"/>
      <c r="U78" s="220" t="s">
        <v>1576</v>
      </c>
    </row>
    <row r="79" spans="1:21" ht="20.25" hidden="1" customHeight="1" outlineLevel="3">
      <c r="A79" s="192" t="s">
        <v>1577</v>
      </c>
      <c r="B79" s="192"/>
      <c r="C79" s="197" t="s">
        <v>375</v>
      </c>
      <c r="D79" s="197">
        <f>'02 项目基础信息（输入）'!$D$16</f>
        <v>861</v>
      </c>
      <c r="E79" s="199" t="s">
        <v>376</v>
      </c>
      <c r="F79" s="197" t="s">
        <v>1573</v>
      </c>
      <c r="G79" s="199">
        <f>IFERROR(I79/D79,0)</f>
        <v>0</v>
      </c>
      <c r="H79" s="199" t="s">
        <v>1473</v>
      </c>
      <c r="I79" s="699"/>
      <c r="J79" s="199" t="s">
        <v>131</v>
      </c>
      <c r="K79" s="699"/>
      <c r="L79" s="209" t="s">
        <v>792</v>
      </c>
      <c r="M79" s="198">
        <f t="shared" si="12"/>
        <v>0</v>
      </c>
      <c r="N79" s="198">
        <f>'02 项目基础信息（输入）'!$D$4</f>
        <v>74626.7546</v>
      </c>
      <c r="O79" s="194">
        <f t="shared" si="10"/>
        <v>0</v>
      </c>
      <c r="P79" s="194">
        <f>'02 项目基础信息（输入）'!$H$69+$N$3</f>
        <v>74626.7546</v>
      </c>
      <c r="Q79" s="216">
        <f t="shared" si="11"/>
        <v>0</v>
      </c>
      <c r="S79" s="217"/>
      <c r="U79" s="220" t="s">
        <v>1578</v>
      </c>
    </row>
    <row r="80" spans="1:21" ht="20.25" hidden="1" customHeight="1" outlineLevel="3">
      <c r="A80" s="192" t="s">
        <v>1579</v>
      </c>
      <c r="B80" s="192"/>
      <c r="C80" s="197" t="s">
        <v>375</v>
      </c>
      <c r="D80" s="197">
        <f>'02 项目基础信息（输入）'!$D$16</f>
        <v>861</v>
      </c>
      <c r="E80" s="199" t="s">
        <v>376</v>
      </c>
      <c r="F80" s="197" t="s">
        <v>1573</v>
      </c>
      <c r="G80" s="199">
        <f>IFERROR(I80/D80,0)</f>
        <v>0</v>
      </c>
      <c r="H80" s="199" t="s">
        <v>1473</v>
      </c>
      <c r="I80" s="699"/>
      <c r="J80" s="199" t="s">
        <v>131</v>
      </c>
      <c r="K80" s="699"/>
      <c r="L80" s="209" t="s">
        <v>792</v>
      </c>
      <c r="M80" s="198">
        <f t="shared" si="12"/>
        <v>0</v>
      </c>
      <c r="N80" s="198">
        <f>'02 项目基础信息（输入）'!$D$4</f>
        <v>74626.7546</v>
      </c>
      <c r="O80" s="194">
        <f t="shared" si="10"/>
        <v>0</v>
      </c>
      <c r="P80" s="194">
        <f>'02 项目基础信息（输入）'!$H$69+$N$3</f>
        <v>74626.7546</v>
      </c>
      <c r="Q80" s="216">
        <f t="shared" si="11"/>
        <v>0</v>
      </c>
      <c r="S80" s="217"/>
      <c r="U80" s="220" t="s">
        <v>1580</v>
      </c>
    </row>
    <row r="81" spans="1:28" ht="20.25" hidden="1" customHeight="1" outlineLevel="3">
      <c r="A81" s="192" t="s">
        <v>1581</v>
      </c>
      <c r="B81" s="192"/>
      <c r="C81" s="197" t="s">
        <v>375</v>
      </c>
      <c r="D81" s="197">
        <f>'02 项目基础信息（输入）'!$D$16</f>
        <v>861</v>
      </c>
      <c r="E81" s="199" t="s">
        <v>376</v>
      </c>
      <c r="F81" s="197" t="s">
        <v>1573</v>
      </c>
      <c r="G81" s="199">
        <f>IFERROR(I81/D81,0)</f>
        <v>0</v>
      </c>
      <c r="H81" s="199" t="s">
        <v>1473</v>
      </c>
      <c r="I81" s="699"/>
      <c r="J81" s="199" t="s">
        <v>131</v>
      </c>
      <c r="K81" s="699"/>
      <c r="L81" s="209" t="s">
        <v>792</v>
      </c>
      <c r="M81" s="198">
        <f t="shared" si="12"/>
        <v>0</v>
      </c>
      <c r="N81" s="198">
        <f>'02 项目基础信息（输入）'!$D$4</f>
        <v>74626.7546</v>
      </c>
      <c r="O81" s="194">
        <f t="shared" si="10"/>
        <v>0</v>
      </c>
      <c r="P81" s="194">
        <f>'02 项目基础信息（输入）'!$H$69+$N$3</f>
        <v>74626.7546</v>
      </c>
      <c r="Q81" s="216">
        <f t="shared" si="11"/>
        <v>0</v>
      </c>
      <c r="S81" s="217"/>
      <c r="U81" s="220" t="s">
        <v>1582</v>
      </c>
    </row>
    <row r="82" spans="1:28" ht="20.25" hidden="1" customHeight="1" outlineLevel="3">
      <c r="A82" s="192" t="s">
        <v>1583</v>
      </c>
      <c r="B82" s="192"/>
      <c r="C82" s="197" t="s">
        <v>256</v>
      </c>
      <c r="D82" s="198">
        <f>'02 项目基础信息（输入）'!$D$4</f>
        <v>74626.7546</v>
      </c>
      <c r="E82" s="199" t="s">
        <v>93</v>
      </c>
      <c r="F82" s="197" t="s">
        <v>256</v>
      </c>
      <c r="G82" s="199">
        <v>1</v>
      </c>
      <c r="H82" s="199" t="s">
        <v>298</v>
      </c>
      <c r="I82" s="699"/>
      <c r="J82" s="199" t="s">
        <v>93</v>
      </c>
      <c r="K82" s="699"/>
      <c r="L82" s="209" t="s">
        <v>675</v>
      </c>
      <c r="M82" s="198">
        <f t="shared" si="12"/>
        <v>0</v>
      </c>
      <c r="N82" s="198">
        <f>'02 项目基础信息（输入）'!$D$4</f>
        <v>74626.7546</v>
      </c>
      <c r="O82" s="194">
        <f t="shared" si="10"/>
        <v>0</v>
      </c>
      <c r="P82" s="194">
        <f>'02 项目基础信息（输入）'!$H$69+$N$3</f>
        <v>74626.7546</v>
      </c>
      <c r="Q82" s="216">
        <f t="shared" si="11"/>
        <v>0</v>
      </c>
      <c r="S82" s="217"/>
      <c r="U82" s="220" t="s">
        <v>1584</v>
      </c>
    </row>
    <row r="83" spans="1:28" ht="20.25" hidden="1" customHeight="1" outlineLevel="3">
      <c r="A83" s="192" t="s">
        <v>1585</v>
      </c>
      <c r="B83" s="192"/>
      <c r="C83" s="197" t="s">
        <v>256</v>
      </c>
      <c r="D83" s="198">
        <f>'02 项目基础信息（输入）'!$D$4</f>
        <v>74626.7546</v>
      </c>
      <c r="E83" s="199" t="s">
        <v>93</v>
      </c>
      <c r="F83" s="197" t="s">
        <v>256</v>
      </c>
      <c r="G83" s="199">
        <v>1</v>
      </c>
      <c r="H83" s="199" t="s">
        <v>298</v>
      </c>
      <c r="I83" s="699"/>
      <c r="J83" s="199" t="s">
        <v>93</v>
      </c>
      <c r="K83" s="699"/>
      <c r="L83" s="209" t="s">
        <v>675</v>
      </c>
      <c r="M83" s="198">
        <f t="shared" si="12"/>
        <v>0</v>
      </c>
      <c r="N83" s="198">
        <f>'02 项目基础信息（输入）'!$D$4</f>
        <v>74626.7546</v>
      </c>
      <c r="O83" s="194">
        <f t="shared" si="10"/>
        <v>0</v>
      </c>
      <c r="P83" s="194">
        <f>'02 项目基础信息（输入）'!$H$69+$N$3</f>
        <v>74626.7546</v>
      </c>
      <c r="Q83" s="216">
        <f t="shared" si="11"/>
        <v>0</v>
      </c>
      <c r="S83" s="217"/>
      <c r="U83" s="220" t="s">
        <v>1586</v>
      </c>
    </row>
    <row r="84" spans="1:28" ht="20.25" customHeight="1" outlineLevel="2" collapsed="1">
      <c r="A84" s="192" t="s">
        <v>1587</v>
      </c>
      <c r="B84" s="192"/>
      <c r="C84" s="197" t="s">
        <v>256</v>
      </c>
      <c r="D84" s="198">
        <f>'02 项目基础信息（输入）'!$D$4</f>
        <v>74626.7546</v>
      </c>
      <c r="E84" s="199" t="s">
        <v>93</v>
      </c>
      <c r="F84" s="197"/>
      <c r="G84" s="199"/>
      <c r="H84" s="199"/>
      <c r="I84" s="197"/>
      <c r="J84" s="199"/>
      <c r="K84" s="197"/>
      <c r="L84" s="209"/>
      <c r="M84" s="198">
        <f>ROUND(SUM(M85:M88),6)</f>
        <v>0</v>
      </c>
      <c r="N84" s="198">
        <f>'02 项目基础信息（输入）'!$D$4</f>
        <v>74626.7546</v>
      </c>
      <c r="O84" s="194">
        <f t="shared" si="10"/>
        <v>0</v>
      </c>
      <c r="P84" s="194">
        <f>'02 项目基础信息（输入）'!$H$69+$N$3</f>
        <v>74626.7546</v>
      </c>
      <c r="Q84" s="216">
        <f t="shared" si="11"/>
        <v>0</v>
      </c>
      <c r="S84" s="217"/>
      <c r="U84" s="220" t="s">
        <v>1588</v>
      </c>
    </row>
    <row r="85" spans="1:28" ht="20.25" hidden="1" customHeight="1" outlineLevel="3">
      <c r="A85" s="192" t="s">
        <v>1589</v>
      </c>
      <c r="B85" s="192"/>
      <c r="C85" s="197" t="s">
        <v>256</v>
      </c>
      <c r="D85" s="198">
        <f>'02 项目基础信息（输入）'!$D$4</f>
        <v>74626.7546</v>
      </c>
      <c r="E85" s="199" t="s">
        <v>93</v>
      </c>
      <c r="F85" s="197" t="s">
        <v>256</v>
      </c>
      <c r="G85" s="199">
        <v>1</v>
      </c>
      <c r="H85" s="199" t="s">
        <v>298</v>
      </c>
      <c r="I85" s="198">
        <f>G85*D85</f>
        <v>74626.7546</v>
      </c>
      <c r="J85" s="199" t="s">
        <v>93</v>
      </c>
      <c r="K85" s="699"/>
      <c r="L85" s="209" t="s">
        <v>675</v>
      </c>
      <c r="M85" s="198">
        <f>ROUND(K85*I85/10000,6)</f>
        <v>0</v>
      </c>
      <c r="N85" s="198">
        <f>'02 项目基础信息（输入）'!$D$4</f>
        <v>74626.7546</v>
      </c>
      <c r="O85" s="194">
        <f t="shared" si="10"/>
        <v>0</v>
      </c>
      <c r="P85" s="194">
        <f>'02 项目基础信息（输入）'!$H$69+$N$3</f>
        <v>74626.7546</v>
      </c>
      <c r="Q85" s="216">
        <f t="shared" si="11"/>
        <v>0</v>
      </c>
      <c r="S85" s="217"/>
      <c r="U85" s="220" t="s">
        <v>1590</v>
      </c>
    </row>
    <row r="86" spans="1:28" ht="20.25" hidden="1" customHeight="1" outlineLevel="3">
      <c r="A86" s="192" t="s">
        <v>1591</v>
      </c>
      <c r="B86" s="192"/>
      <c r="C86" s="197" t="s">
        <v>256</v>
      </c>
      <c r="D86" s="198">
        <f>'02 项目基础信息（输入）'!$D$4</f>
        <v>74626.7546</v>
      </c>
      <c r="E86" s="199" t="s">
        <v>93</v>
      </c>
      <c r="F86" s="197" t="s">
        <v>256</v>
      </c>
      <c r="G86" s="199">
        <v>1</v>
      </c>
      <c r="H86" s="199" t="s">
        <v>298</v>
      </c>
      <c r="I86" s="198">
        <f>G86*D86</f>
        <v>74626.7546</v>
      </c>
      <c r="J86" s="199" t="s">
        <v>93</v>
      </c>
      <c r="K86" s="699"/>
      <c r="L86" s="209" t="s">
        <v>675</v>
      </c>
      <c r="M86" s="198">
        <f>ROUND(K86*I86/10000,6)</f>
        <v>0</v>
      </c>
      <c r="N86" s="198">
        <f>'02 项目基础信息（输入）'!$D$4</f>
        <v>74626.7546</v>
      </c>
      <c r="O86" s="194">
        <f t="shared" si="10"/>
        <v>0</v>
      </c>
      <c r="P86" s="194">
        <f>'02 项目基础信息（输入）'!$H$69+$N$3</f>
        <v>74626.7546</v>
      </c>
      <c r="Q86" s="216">
        <f t="shared" si="11"/>
        <v>0</v>
      </c>
      <c r="S86" s="217"/>
      <c r="U86" s="220" t="s">
        <v>1592</v>
      </c>
    </row>
    <row r="87" spans="1:28" ht="20.25" hidden="1" customHeight="1" outlineLevel="3">
      <c r="A87" s="192" t="s">
        <v>1593</v>
      </c>
      <c r="B87" s="192"/>
      <c r="C87" s="197" t="s">
        <v>256</v>
      </c>
      <c r="D87" s="198">
        <f>'02 项目基础信息（输入）'!$D$4</f>
        <v>74626.7546</v>
      </c>
      <c r="E87" s="199" t="s">
        <v>93</v>
      </c>
      <c r="F87" s="197" t="s">
        <v>256</v>
      </c>
      <c r="G87" s="199">
        <v>1</v>
      </c>
      <c r="H87" s="199" t="s">
        <v>298</v>
      </c>
      <c r="I87" s="198">
        <f>G87*D87</f>
        <v>74626.7546</v>
      </c>
      <c r="J87" s="199" t="s">
        <v>93</v>
      </c>
      <c r="K87" s="699"/>
      <c r="L87" s="209" t="s">
        <v>675</v>
      </c>
      <c r="M87" s="198">
        <f>ROUND(K87*I87/10000,6)</f>
        <v>0</v>
      </c>
      <c r="N87" s="198">
        <f>'02 项目基础信息（输入）'!$D$4</f>
        <v>74626.7546</v>
      </c>
      <c r="O87" s="194">
        <f t="shared" si="10"/>
        <v>0</v>
      </c>
      <c r="P87" s="194">
        <f>'02 项目基础信息（输入）'!$H$69+$N$3</f>
        <v>74626.7546</v>
      </c>
      <c r="Q87" s="216">
        <f t="shared" si="11"/>
        <v>0</v>
      </c>
      <c r="S87" s="217"/>
      <c r="U87" s="220" t="s">
        <v>1594</v>
      </c>
    </row>
    <row r="88" spans="1:28" ht="20.25" hidden="1" customHeight="1" outlineLevel="3">
      <c r="A88" s="192" t="s">
        <v>1595</v>
      </c>
      <c r="B88" s="192"/>
      <c r="C88" s="197"/>
      <c r="D88" s="197">
        <v>0</v>
      </c>
      <c r="E88" s="199"/>
      <c r="F88" s="197"/>
      <c r="G88" s="199"/>
      <c r="H88" s="199"/>
      <c r="I88" s="193"/>
      <c r="J88" s="199"/>
      <c r="K88" s="197"/>
      <c r="L88" s="209"/>
      <c r="M88" s="198">
        <f>ROUND(SUM(M89:M90),6)</f>
        <v>0</v>
      </c>
      <c r="N88" s="198">
        <f>'02 项目基础信息（输入）'!$D$4</f>
        <v>74626.7546</v>
      </c>
      <c r="O88" s="194">
        <f t="shared" si="10"/>
        <v>0</v>
      </c>
      <c r="P88" s="194">
        <f>'02 项目基础信息（输入）'!$H$69+$N$3</f>
        <v>74626.7546</v>
      </c>
      <c r="Q88" s="216">
        <f t="shared" si="11"/>
        <v>0</v>
      </c>
      <c r="S88" s="217"/>
      <c r="U88" s="220" t="s">
        <v>1596</v>
      </c>
    </row>
    <row r="89" spans="1:28" ht="20.25" hidden="1" customHeight="1" outlineLevel="4">
      <c r="A89" s="192" t="s">
        <v>1597</v>
      </c>
      <c r="B89" s="192"/>
      <c r="C89" s="197" t="s">
        <v>256</v>
      </c>
      <c r="D89" s="198">
        <f>'02 项目基础信息（输入）'!$D$4</f>
        <v>74626.7546</v>
      </c>
      <c r="E89" s="199" t="s">
        <v>93</v>
      </c>
      <c r="F89" s="197" t="s">
        <v>256</v>
      </c>
      <c r="G89" s="199">
        <v>1</v>
      </c>
      <c r="H89" s="199" t="s">
        <v>675</v>
      </c>
      <c r="I89" s="194">
        <f>G89*D89</f>
        <v>74626.7546</v>
      </c>
      <c r="J89" s="199" t="s">
        <v>1511</v>
      </c>
      <c r="K89" s="699"/>
      <c r="L89" s="209" t="s">
        <v>671</v>
      </c>
      <c r="M89" s="198">
        <f>ROUND(K89*I89/10000,6)</f>
        <v>0</v>
      </c>
      <c r="N89" s="198">
        <f>'02 项目基础信息（输入）'!$D$4</f>
        <v>74626.7546</v>
      </c>
      <c r="O89" s="194">
        <f t="shared" si="10"/>
        <v>0</v>
      </c>
      <c r="P89" s="194">
        <f>'02 项目基础信息（输入）'!$H$69+$N$3</f>
        <v>74626.7546</v>
      </c>
      <c r="Q89" s="216">
        <f t="shared" si="11"/>
        <v>0</v>
      </c>
      <c r="S89" s="217"/>
      <c r="U89" s="220" t="s">
        <v>1598</v>
      </c>
    </row>
    <row r="90" spans="1:28" ht="20.25" hidden="1" customHeight="1" outlineLevel="4">
      <c r="A90" s="192" t="s">
        <v>1599</v>
      </c>
      <c r="B90" s="192"/>
      <c r="C90" s="197" t="s">
        <v>256</v>
      </c>
      <c r="D90" s="198">
        <f>'02 项目基础信息（输入）'!$D$4</f>
        <v>74626.7546</v>
      </c>
      <c r="E90" s="199" t="s">
        <v>93</v>
      </c>
      <c r="F90" s="197" t="s">
        <v>256</v>
      </c>
      <c r="G90" s="199">
        <v>1</v>
      </c>
      <c r="H90" s="199" t="s">
        <v>675</v>
      </c>
      <c r="I90" s="194">
        <f>G90*D90</f>
        <v>74626.7546</v>
      </c>
      <c r="J90" s="199" t="s">
        <v>1600</v>
      </c>
      <c r="K90" s="699"/>
      <c r="L90" s="209" t="s">
        <v>1601</v>
      </c>
      <c r="M90" s="198">
        <f>ROUND(K90*I90/10000,6)</f>
        <v>0</v>
      </c>
      <c r="N90" s="198">
        <f>'02 项目基础信息（输入）'!$D$4</f>
        <v>74626.7546</v>
      </c>
      <c r="O90" s="194">
        <f t="shared" si="10"/>
        <v>0</v>
      </c>
      <c r="P90" s="194">
        <f>'02 项目基础信息（输入）'!$H$69+$N$3</f>
        <v>74626.7546</v>
      </c>
      <c r="Q90" s="216">
        <f t="shared" si="11"/>
        <v>0</v>
      </c>
      <c r="S90" s="217"/>
      <c r="U90" s="220" t="s">
        <v>1602</v>
      </c>
    </row>
    <row r="91" spans="1:28" ht="20.25" customHeight="1" outlineLevel="2" collapsed="1">
      <c r="A91" s="192" t="s">
        <v>1603</v>
      </c>
      <c r="B91" s="192"/>
      <c r="C91" s="197" t="s">
        <v>256</v>
      </c>
      <c r="D91" s="198">
        <f>'02 项目基础信息（输入）'!$D$4</f>
        <v>74626.7546</v>
      </c>
      <c r="E91" s="199" t="s">
        <v>93</v>
      </c>
      <c r="F91" s="197"/>
      <c r="G91" s="199"/>
      <c r="H91" s="199"/>
      <c r="I91" s="193"/>
      <c r="J91" s="199"/>
      <c r="K91" s="197"/>
      <c r="L91" s="209"/>
      <c r="M91" s="198">
        <f>ROUND(SUM(M92),6)</f>
        <v>0</v>
      </c>
      <c r="N91" s="198">
        <f>'02 项目基础信息（输入）'!$D$4</f>
        <v>74626.7546</v>
      </c>
      <c r="O91" s="194">
        <f t="shared" si="10"/>
        <v>0</v>
      </c>
      <c r="P91" s="194">
        <f>'02 项目基础信息（输入）'!$H$69+$N$3</f>
        <v>74626.7546</v>
      </c>
      <c r="Q91" s="216">
        <f t="shared" si="11"/>
        <v>0</v>
      </c>
      <c r="S91" s="217"/>
      <c r="U91" s="220" t="s">
        <v>1604</v>
      </c>
    </row>
    <row r="92" spans="1:28" ht="20.25" hidden="1" customHeight="1" outlineLevel="3">
      <c r="A92" s="192" t="s">
        <v>1605</v>
      </c>
      <c r="B92" s="192"/>
      <c r="C92" s="197" t="s">
        <v>256</v>
      </c>
      <c r="D92" s="198">
        <f>'02 项目基础信息（输入）'!$D$4</f>
        <v>74626.7546</v>
      </c>
      <c r="E92" s="199" t="s">
        <v>93</v>
      </c>
      <c r="F92" s="197" t="s">
        <v>256</v>
      </c>
      <c r="G92" s="199">
        <v>1</v>
      </c>
      <c r="H92" s="199" t="s">
        <v>298</v>
      </c>
      <c r="I92" s="194">
        <f>ROUND(G92*D92,2)</f>
        <v>74626.75</v>
      </c>
      <c r="J92" s="199" t="s">
        <v>93</v>
      </c>
      <c r="K92" s="699"/>
      <c r="L92" s="209" t="s">
        <v>675</v>
      </c>
      <c r="M92" s="198">
        <f>ROUND(K92*I92/10000,6)</f>
        <v>0</v>
      </c>
      <c r="N92" s="198">
        <f>'02 项目基础信息（输入）'!$D$4</f>
        <v>74626.7546</v>
      </c>
      <c r="O92" s="194">
        <f t="shared" si="10"/>
        <v>0</v>
      </c>
      <c r="P92" s="194">
        <f>'02 项目基础信息（输入）'!$H$69+$N$3</f>
        <v>74626.7546</v>
      </c>
      <c r="Q92" s="216">
        <f t="shared" si="11"/>
        <v>0</v>
      </c>
      <c r="S92" s="217"/>
      <c r="U92" s="220" t="s">
        <v>1606</v>
      </c>
    </row>
    <row r="93" spans="1:28" ht="20.25" customHeight="1" outlineLevel="1">
      <c r="A93" s="196" t="s">
        <v>1607</v>
      </c>
      <c r="B93" s="196"/>
      <c r="C93" s="197" t="s">
        <v>256</v>
      </c>
      <c r="D93" s="198">
        <f>'02 项目基础信息（输入）'!$D$4</f>
        <v>74626.7546</v>
      </c>
      <c r="E93" s="199" t="s">
        <v>93</v>
      </c>
      <c r="F93" s="197"/>
      <c r="G93" s="199"/>
      <c r="H93" s="199"/>
      <c r="I93" s="197"/>
      <c r="J93" s="199"/>
      <c r="K93" s="197"/>
      <c r="L93" s="209"/>
      <c r="M93" s="198">
        <f>ROUND(M94+M255+M448+M641+M834+M1027+M1220+M1413+M1606+M1799+M1992+M2185+M2378+M2485+M2713+M2940+M3211+M3439+M3666+M3893,6)</f>
        <v>26554.992087999999</v>
      </c>
      <c r="N93" s="198">
        <f>'02 项目基础信息（输入）'!$D$4</f>
        <v>74626.7546</v>
      </c>
      <c r="O93" s="198">
        <f t="shared" si="10"/>
        <v>3558.37</v>
      </c>
      <c r="P93" s="194">
        <f>'02 项目基础信息（输入）'!$H$69+$N$3</f>
        <v>74626.7546</v>
      </c>
      <c r="Q93" s="233">
        <f t="shared" si="11"/>
        <v>3558.37</v>
      </c>
      <c r="S93" s="217"/>
      <c r="U93" s="220" t="s">
        <v>1608</v>
      </c>
      <c r="V93" s="1192" t="s">
        <v>7898</v>
      </c>
      <c r="W93" s="1192" t="s">
        <v>7899</v>
      </c>
      <c r="X93" s="1193" t="s">
        <v>7900</v>
      </c>
    </row>
    <row r="94" spans="1:28" ht="20.25" customHeight="1" outlineLevel="1">
      <c r="A94" s="196" t="s">
        <v>481</v>
      </c>
      <c r="B94" s="196"/>
      <c r="C94" s="197" t="s">
        <v>1609</v>
      </c>
      <c r="D94" s="198">
        <f>'02 项目基础信息（输入）'!$C$32</f>
        <v>21931.919999999998</v>
      </c>
      <c r="E94" s="199" t="s">
        <v>93</v>
      </c>
      <c r="F94" s="197"/>
      <c r="G94" s="199"/>
      <c r="H94" s="199"/>
      <c r="I94" s="197"/>
      <c r="J94" s="199"/>
      <c r="K94" s="197"/>
      <c r="L94" s="209"/>
      <c r="M94" s="198">
        <f>ROUND(M95+M116+M119+M128+M131+M134+M153+M165+M167+M169+M171+M176+M193+M196+M208+M210+M214+M216+M222+M229+M233+M236+M238+M239+M240+M241+M244+M246+M251+M253,6)</f>
        <v>6146.9459319999996</v>
      </c>
      <c r="N94" s="198">
        <f>'02 项目基础信息（输入）'!$C$32</f>
        <v>21931.919999999998</v>
      </c>
      <c r="O94" s="198">
        <f t="shared" si="10"/>
        <v>2802.74</v>
      </c>
      <c r="P94" s="198">
        <f>'02 项目基础信息（输入）'!$I$32</f>
        <v>21931.919999999998</v>
      </c>
      <c r="Q94" s="233">
        <f t="shared" si="11"/>
        <v>2802.74</v>
      </c>
      <c r="S94" s="217"/>
      <c r="U94" s="220" t="s">
        <v>1610</v>
      </c>
      <c r="V94" s="1190">
        <v>3347.7808</v>
      </c>
      <c r="W94" s="1190">
        <v>3211.5796</v>
      </c>
      <c r="X94" s="1190">
        <v>2535.0409</v>
      </c>
    </row>
    <row r="95" spans="1:28" ht="20.25" customHeight="1" outlineLevel="2">
      <c r="A95" s="192" t="s">
        <v>1611</v>
      </c>
      <c r="B95" s="192"/>
      <c r="C95" s="197" t="s">
        <v>1609</v>
      </c>
      <c r="D95" s="198">
        <f>'02 项目基础信息（输入）'!$C$32</f>
        <v>21931.919999999998</v>
      </c>
      <c r="E95" s="199" t="s">
        <v>93</v>
      </c>
      <c r="F95" s="197"/>
      <c r="G95" s="199"/>
      <c r="H95" s="199"/>
      <c r="I95" s="197"/>
      <c r="J95" s="199"/>
      <c r="K95" s="197"/>
      <c r="L95" s="209"/>
      <c r="M95" s="198">
        <f>ROUND(M96+M99+M100+M105+M106+M111+M112+M115,6)</f>
        <v>4256.7178350000004</v>
      </c>
      <c r="N95" s="198">
        <f>'02 项目基础信息（输入）'!$C$32</f>
        <v>21931.919999999998</v>
      </c>
      <c r="O95" s="198">
        <f t="shared" si="10"/>
        <v>1940.88</v>
      </c>
      <c r="P95" s="198">
        <f>'02 项目基础信息（输入）'!$I$32</f>
        <v>21931.919999999998</v>
      </c>
      <c r="Q95" s="233">
        <f t="shared" si="11"/>
        <v>1940.88</v>
      </c>
      <c r="S95" s="234" t="s">
        <v>1313</v>
      </c>
      <c r="U95" s="220" t="s">
        <v>1612</v>
      </c>
      <c r="V95" s="1190">
        <v>2569.4375</v>
      </c>
      <c r="W95" s="1190">
        <v>2292.3425999999999</v>
      </c>
      <c r="X95" s="1190">
        <v>2013.5234</v>
      </c>
      <c r="Z95">
        <v>1979.82</v>
      </c>
      <c r="AB95" s="1356">
        <f t="shared" ref="AB95:AB158" si="13">O95-Z95</f>
        <v>-38.939999999999827</v>
      </c>
    </row>
    <row r="96" spans="1:28" ht="20.25" customHeight="1" outlineLevel="3">
      <c r="A96" s="192" t="s">
        <v>1613</v>
      </c>
      <c r="B96" s="192"/>
      <c r="C96" s="197"/>
      <c r="D96" s="198">
        <f>'02 项目基础信息（输入）'!$C$32</f>
        <v>21931.919999999998</v>
      </c>
      <c r="E96" s="199"/>
      <c r="F96" s="197"/>
      <c r="G96" s="199"/>
      <c r="H96" s="199"/>
      <c r="I96" s="197">
        <v>0</v>
      </c>
      <c r="J96" s="199"/>
      <c r="K96" s="197"/>
      <c r="L96" s="209"/>
      <c r="M96" s="198">
        <f>ROUND(SUM(M97:M98),6)</f>
        <v>1311.530534</v>
      </c>
      <c r="N96" s="198">
        <f>'02 项目基础信息（输入）'!$C$32</f>
        <v>21931.919999999998</v>
      </c>
      <c r="O96" s="198">
        <f t="shared" si="10"/>
        <v>598</v>
      </c>
      <c r="P96" s="198">
        <f>'02 项目基础信息（输入）'!$I$32</f>
        <v>21931.919999999998</v>
      </c>
      <c r="Q96" s="233">
        <f t="shared" si="11"/>
        <v>598</v>
      </c>
      <c r="S96" s="217"/>
      <c r="U96" s="220" t="s">
        <v>1614</v>
      </c>
      <c r="V96" s="1190">
        <v>738.34209999999996</v>
      </c>
      <c r="W96" s="1190">
        <v>659.47519999999997</v>
      </c>
      <c r="X96" s="1190">
        <v>664.91070000000002</v>
      </c>
      <c r="Z96">
        <v>643.11</v>
      </c>
      <c r="AB96" s="1356">
        <f t="shared" si="13"/>
        <v>-45.110000000000014</v>
      </c>
    </row>
    <row r="97" spans="1:28" ht="20.25" customHeight="1" outlineLevel="4">
      <c r="A97" s="192" t="s">
        <v>1615</v>
      </c>
      <c r="B97" s="192"/>
      <c r="C97" s="197" t="s">
        <v>1609</v>
      </c>
      <c r="D97" s="198">
        <f>'02 项目基础信息（输入）'!$C$32</f>
        <v>21931.919999999998</v>
      </c>
      <c r="E97" s="199" t="s">
        <v>93</v>
      </c>
      <c r="F97" s="197" t="s">
        <v>1616</v>
      </c>
      <c r="G97" s="1215">
        <f>'03 成本测算（输入）'!D14</f>
        <v>117.94887244174295</v>
      </c>
      <c r="H97" s="199" t="s">
        <v>966</v>
      </c>
      <c r="I97" s="198">
        <f>G97*D97</f>
        <v>2586845.2344825109</v>
      </c>
      <c r="J97" s="199" t="s">
        <v>1617</v>
      </c>
      <c r="K97" s="700">
        <f>'03 成本测算（输入）'!$D$11</f>
        <v>3.36</v>
      </c>
      <c r="L97" s="209" t="s">
        <v>664</v>
      </c>
      <c r="M97" s="198">
        <f>ROUND(K97*I97/10000,6)</f>
        <v>869.17999899999995</v>
      </c>
      <c r="N97" s="198">
        <f>'02 项目基础信息（输入）'!$C$32</f>
        <v>21931.919999999998</v>
      </c>
      <c r="O97" s="198">
        <f t="shared" si="10"/>
        <v>396.31</v>
      </c>
      <c r="P97" s="198">
        <f>'02 项目基础信息（输入）'!$I$32</f>
        <v>21931.919999999998</v>
      </c>
      <c r="Q97" s="233">
        <f t="shared" si="11"/>
        <v>396.31</v>
      </c>
      <c r="S97" s="217"/>
      <c r="U97" s="220" t="s">
        <v>1618</v>
      </c>
      <c r="V97" s="1190">
        <v>495.10849999999999</v>
      </c>
      <c r="W97" s="1190">
        <v>466.8383</v>
      </c>
      <c r="X97" s="1190">
        <v>474.25909999999999</v>
      </c>
      <c r="Z97">
        <v>445.52</v>
      </c>
      <c r="AB97" s="1356">
        <f t="shared" si="13"/>
        <v>-49.20999999999998</v>
      </c>
    </row>
    <row r="98" spans="1:28" ht="20.25" customHeight="1" outlineLevel="4">
      <c r="A98" s="192" t="s">
        <v>1619</v>
      </c>
      <c r="B98" s="192"/>
      <c r="C98" s="197" t="s">
        <v>1609</v>
      </c>
      <c r="D98" s="198">
        <f>'02 项目基础信息（输入）'!$C$32</f>
        <v>21931.919999999998</v>
      </c>
      <c r="E98" s="199" t="s">
        <v>93</v>
      </c>
      <c r="F98" s="197" t="s">
        <v>1616</v>
      </c>
      <c r="G98" s="227">
        <f>G97</f>
        <v>117.94887244174295</v>
      </c>
      <c r="H98" s="199" t="s">
        <v>966</v>
      </c>
      <c r="I98" s="198">
        <f>G98*D98</f>
        <v>2586845.2344825109</v>
      </c>
      <c r="J98" s="199" t="s">
        <v>1617</v>
      </c>
      <c r="K98" s="1040">
        <v>1.71</v>
      </c>
      <c r="L98" s="209" t="s">
        <v>664</v>
      </c>
      <c r="M98" s="198">
        <f>ROUND(K98*I98/10000,6)</f>
        <v>442.35053499999998</v>
      </c>
      <c r="N98" s="198">
        <f>'02 项目基础信息（输入）'!$C$32</f>
        <v>21931.919999999998</v>
      </c>
      <c r="O98" s="198">
        <f t="shared" si="10"/>
        <v>201.69</v>
      </c>
      <c r="P98" s="198">
        <f>'02 项目基础信息（输入）'!$I$32</f>
        <v>21931.919999999998</v>
      </c>
      <c r="Q98" s="233">
        <f t="shared" si="11"/>
        <v>201.69</v>
      </c>
      <c r="S98" s="217"/>
      <c r="U98" s="220" t="s">
        <v>1620</v>
      </c>
      <c r="V98" s="1190">
        <v>243.23349999999999</v>
      </c>
      <c r="W98" s="1190">
        <v>192.63679999999999</v>
      </c>
      <c r="X98" s="1190">
        <v>190.6515</v>
      </c>
      <c r="Z98">
        <v>197.58</v>
      </c>
      <c r="AB98" s="1356">
        <f t="shared" si="13"/>
        <v>4.1099999999999852</v>
      </c>
    </row>
    <row r="99" spans="1:28" ht="20.25" customHeight="1" outlineLevel="3">
      <c r="A99" s="192" t="s">
        <v>1621</v>
      </c>
      <c r="B99" s="192"/>
      <c r="C99" s="197" t="s">
        <v>1609</v>
      </c>
      <c r="D99" s="198">
        <f>'02 项目基础信息（输入）'!$C$32</f>
        <v>21931.919999999998</v>
      </c>
      <c r="E99" s="199" t="s">
        <v>93</v>
      </c>
      <c r="F99" s="197" t="s">
        <v>1622</v>
      </c>
      <c r="G99" s="1194">
        <v>2.21</v>
      </c>
      <c r="H99" s="199" t="s">
        <v>298</v>
      </c>
      <c r="I99" s="198">
        <f>G99*D99</f>
        <v>48469.543199999993</v>
      </c>
      <c r="J99" s="199" t="s">
        <v>93</v>
      </c>
      <c r="K99" s="1195">
        <v>97.51</v>
      </c>
      <c r="L99" s="209" t="s">
        <v>675</v>
      </c>
      <c r="M99" s="198">
        <f>ROUND(K99*I99/10000,6)</f>
        <v>472.62651599999998</v>
      </c>
      <c r="N99" s="198">
        <f>'02 项目基础信息（输入）'!$C$32</f>
        <v>21931.919999999998</v>
      </c>
      <c r="O99" s="198">
        <f t="shared" si="10"/>
        <v>215.5</v>
      </c>
      <c r="P99" s="198">
        <f>'02 项目基础信息（输入）'!$I$32</f>
        <v>21931.919999999998</v>
      </c>
      <c r="Q99" s="233">
        <f t="shared" si="11"/>
        <v>215.5</v>
      </c>
      <c r="S99" s="217"/>
      <c r="U99" s="220" t="s">
        <v>1623</v>
      </c>
      <c r="V99" s="1190">
        <v>268.89830000000001</v>
      </c>
      <c r="W99" s="1190">
        <v>264.26089999999999</v>
      </c>
      <c r="X99" s="1190">
        <v>218.87260000000001</v>
      </c>
      <c r="Z99">
        <v>215.5</v>
      </c>
      <c r="AB99" s="1356">
        <f t="shared" si="13"/>
        <v>0</v>
      </c>
    </row>
    <row r="100" spans="1:28" ht="20.25" customHeight="1" outlineLevel="3">
      <c r="A100" s="192" t="s">
        <v>1624</v>
      </c>
      <c r="B100" s="192"/>
      <c r="C100" s="197"/>
      <c r="D100" s="198">
        <f>'02 项目基础信息（输入）'!$C$32</f>
        <v>21931.919999999998</v>
      </c>
      <c r="E100" s="199"/>
      <c r="F100" s="197"/>
      <c r="G100" s="199"/>
      <c r="H100" s="199"/>
      <c r="I100" s="197">
        <v>0</v>
      </c>
      <c r="J100" s="199"/>
      <c r="K100" s="207"/>
      <c r="L100" s="209"/>
      <c r="M100" s="198">
        <f>ROUND(SUM(M101:M104),6)</f>
        <v>1225.6318900000001</v>
      </c>
      <c r="N100" s="198">
        <f>'02 项目基础信息（输入）'!$C$32</f>
        <v>21931.919999999998</v>
      </c>
      <c r="O100" s="198">
        <f t="shared" si="10"/>
        <v>558.83000000000004</v>
      </c>
      <c r="P100" s="198">
        <f>'02 项目基础信息（输入）'!$I$32</f>
        <v>21931.919999999998</v>
      </c>
      <c r="Q100" s="233">
        <f t="shared" si="11"/>
        <v>558.83000000000004</v>
      </c>
      <c r="S100" s="217"/>
      <c r="U100" s="220" t="s">
        <v>1625</v>
      </c>
      <c r="V100" s="1190">
        <v>738.66200000000003</v>
      </c>
      <c r="W100" s="1190">
        <v>533.69510000000002</v>
      </c>
      <c r="X100" s="1190">
        <v>557.28089999999997</v>
      </c>
      <c r="Z100">
        <v>552.67999999999995</v>
      </c>
      <c r="AB100" s="1356">
        <f t="shared" si="13"/>
        <v>6.1500000000000909</v>
      </c>
    </row>
    <row r="101" spans="1:28" ht="20.25" customHeight="1" outlineLevel="4">
      <c r="A101" s="192" t="s">
        <v>1626</v>
      </c>
      <c r="B101" s="192"/>
      <c r="C101" s="197" t="s">
        <v>1609</v>
      </c>
      <c r="D101" s="198">
        <f>'02 项目基础信息（输入）'!$C$32</f>
        <v>21931.919999999998</v>
      </c>
      <c r="E101" s="199" t="s">
        <v>93</v>
      </c>
      <c r="F101" s="197" t="s">
        <v>1627</v>
      </c>
      <c r="G101" s="1215">
        <f>'03 成本测算（输入）'!D15</f>
        <v>1.2242690421581022</v>
      </c>
      <c r="H101" s="199" t="s">
        <v>976</v>
      </c>
      <c r="I101" s="198">
        <f>G101*D101</f>
        <v>26850.570691088124</v>
      </c>
      <c r="J101" s="199" t="s">
        <v>1511</v>
      </c>
      <c r="K101" s="700">
        <f>'03 成本测算（输入）'!$D$12</f>
        <v>367.07400000000001</v>
      </c>
      <c r="L101" s="209" t="s">
        <v>671</v>
      </c>
      <c r="M101" s="198">
        <f>ROUND(K101*I101/10000,6)</f>
        <v>985.61463900000001</v>
      </c>
      <c r="N101" s="198">
        <f>'02 项目基础信息（输入）'!$C$32</f>
        <v>21931.919999999998</v>
      </c>
      <c r="O101" s="198">
        <f t="shared" si="10"/>
        <v>449.4</v>
      </c>
      <c r="P101" s="198">
        <f>'02 项目基础信息（输入）'!$I$32</f>
        <v>21931.919999999998</v>
      </c>
      <c r="Q101" s="233">
        <f t="shared" si="11"/>
        <v>449.4</v>
      </c>
      <c r="S101" s="217"/>
      <c r="U101" s="220" t="s">
        <v>1628</v>
      </c>
      <c r="V101" s="1190">
        <v>517.06290000000001</v>
      </c>
      <c r="W101" s="1190">
        <v>424.51260000000002</v>
      </c>
      <c r="X101" s="1190">
        <v>475.16809999999998</v>
      </c>
      <c r="Z101">
        <v>460.61</v>
      </c>
      <c r="AB101" s="1356">
        <f t="shared" si="13"/>
        <v>-11.210000000000036</v>
      </c>
    </row>
    <row r="102" spans="1:28" ht="20.25" customHeight="1" outlineLevel="4">
      <c r="A102" s="192" t="s">
        <v>1629</v>
      </c>
      <c r="B102" s="192"/>
      <c r="C102" s="197" t="s">
        <v>1609</v>
      </c>
      <c r="D102" s="198">
        <f>'02 项目基础信息（输入）'!$C$32</f>
        <v>21931.919999999998</v>
      </c>
      <c r="E102" s="199" t="s">
        <v>93</v>
      </c>
      <c r="F102" s="197" t="s">
        <v>1627</v>
      </c>
      <c r="G102" s="227">
        <f>G101</f>
        <v>1.2242690421581022</v>
      </c>
      <c r="H102" s="199" t="s">
        <v>976</v>
      </c>
      <c r="I102" s="198">
        <f>G102*D102</f>
        <v>26850.570691088124</v>
      </c>
      <c r="J102" s="199" t="s">
        <v>1511</v>
      </c>
      <c r="K102" s="1040">
        <v>89.39</v>
      </c>
      <c r="L102" s="209" t="s">
        <v>671</v>
      </c>
      <c r="M102" s="198">
        <f>ROUND(K102*I102/10000,6)</f>
        <v>240.01725099999999</v>
      </c>
      <c r="N102" s="198">
        <f>'02 项目基础信息（输入）'!$C$32</f>
        <v>21931.919999999998</v>
      </c>
      <c r="O102" s="198">
        <f t="shared" si="10"/>
        <v>109.44</v>
      </c>
      <c r="P102" s="198">
        <f>'02 项目基础信息（输入）'!$I$32</f>
        <v>21931.919999999998</v>
      </c>
      <c r="Q102" s="233">
        <f t="shared" si="11"/>
        <v>109.44</v>
      </c>
      <c r="S102" s="217"/>
      <c r="U102" s="220" t="s">
        <v>1630</v>
      </c>
      <c r="V102" s="1190">
        <v>221.59909999999999</v>
      </c>
      <c r="W102" s="1190">
        <v>109.1825</v>
      </c>
      <c r="X102" s="1190">
        <v>82.112799999999993</v>
      </c>
      <c r="Z102">
        <v>92.07</v>
      </c>
      <c r="AB102" s="1356">
        <f t="shared" si="13"/>
        <v>17.370000000000005</v>
      </c>
    </row>
    <row r="103" spans="1:28" ht="20.25" customHeight="1" outlineLevel="4">
      <c r="A103" s="192" t="s">
        <v>1631</v>
      </c>
      <c r="B103" s="192"/>
      <c r="C103" s="197" t="s">
        <v>1609</v>
      </c>
      <c r="D103" s="198">
        <f>'02 项目基础信息（输入）'!$C$32</f>
        <v>21931.919999999998</v>
      </c>
      <c r="E103" s="199" t="s">
        <v>93</v>
      </c>
      <c r="F103" s="197" t="s">
        <v>1632</v>
      </c>
      <c r="G103" s="199"/>
      <c r="H103" s="199" t="s">
        <v>976</v>
      </c>
      <c r="I103" s="198">
        <f>G103*D103</f>
        <v>0</v>
      </c>
      <c r="J103" s="199" t="s">
        <v>93</v>
      </c>
      <c r="K103" s="207"/>
      <c r="L103" s="209" t="s">
        <v>675</v>
      </c>
      <c r="M103" s="198">
        <f>ROUND(K103*I103/10000,6)</f>
        <v>0</v>
      </c>
      <c r="N103" s="198">
        <f>'02 项目基础信息（输入）'!$C$32</f>
        <v>21931.919999999998</v>
      </c>
      <c r="O103" s="198">
        <f t="shared" si="10"/>
        <v>0</v>
      </c>
      <c r="P103" s="198">
        <f>'02 项目基础信息（输入）'!$I$32</f>
        <v>21931.919999999998</v>
      </c>
      <c r="Q103" s="233">
        <f t="shared" si="11"/>
        <v>0</v>
      </c>
      <c r="S103" s="217"/>
      <c r="U103" s="220" t="s">
        <v>1633</v>
      </c>
      <c r="V103" s="1190">
        <v>0</v>
      </c>
      <c r="W103" s="1190">
        <v>0</v>
      </c>
      <c r="X103" s="1190">
        <v>0</v>
      </c>
      <c r="Z103">
        <v>0</v>
      </c>
      <c r="AB103" s="1356">
        <f t="shared" si="13"/>
        <v>0</v>
      </c>
    </row>
    <row r="104" spans="1:28" ht="20.25" customHeight="1" outlineLevel="4">
      <c r="A104" s="192" t="s">
        <v>1634</v>
      </c>
      <c r="B104" s="192"/>
      <c r="C104" s="197" t="s">
        <v>1609</v>
      </c>
      <c r="D104" s="198">
        <f>'02 项目基础信息（输入）'!$C$32</f>
        <v>21931.919999999998</v>
      </c>
      <c r="E104" s="199" t="s">
        <v>93</v>
      </c>
      <c r="F104" s="197" t="s">
        <v>1632</v>
      </c>
      <c r="G104" s="199"/>
      <c r="H104" s="199" t="s">
        <v>976</v>
      </c>
      <c r="I104" s="198">
        <f>G104*D104</f>
        <v>0</v>
      </c>
      <c r="J104" s="199" t="s">
        <v>93</v>
      </c>
      <c r="K104" s="207"/>
      <c r="L104" s="209" t="s">
        <v>675</v>
      </c>
      <c r="M104" s="198">
        <f>ROUND(K104*I104/10000,6)</f>
        <v>0</v>
      </c>
      <c r="N104" s="198">
        <f>'02 项目基础信息（输入）'!$C$32</f>
        <v>21931.919999999998</v>
      </c>
      <c r="O104" s="198">
        <f t="shared" si="10"/>
        <v>0</v>
      </c>
      <c r="P104" s="198">
        <f>'02 项目基础信息（输入）'!$I$32</f>
        <v>21931.919999999998</v>
      </c>
      <c r="Q104" s="233">
        <f t="shared" si="11"/>
        <v>0</v>
      </c>
      <c r="S104" s="217"/>
      <c r="U104" s="220" t="s">
        <v>1635</v>
      </c>
      <c r="V104" s="1190">
        <v>0</v>
      </c>
      <c r="W104" s="1190">
        <v>0</v>
      </c>
      <c r="X104" s="1190">
        <v>0</v>
      </c>
      <c r="Z104">
        <v>0</v>
      </c>
      <c r="AB104" s="1356">
        <f t="shared" si="13"/>
        <v>0</v>
      </c>
    </row>
    <row r="105" spans="1:28" ht="20.25" customHeight="1" outlineLevel="3">
      <c r="A105" s="192" t="s">
        <v>1636</v>
      </c>
      <c r="B105" s="192"/>
      <c r="C105" s="197" t="s">
        <v>1609</v>
      </c>
      <c r="D105" s="198">
        <f>'02 项目基础信息（输入）'!$C$32</f>
        <v>21931.919999999998</v>
      </c>
      <c r="E105" s="199" t="s">
        <v>93</v>
      </c>
      <c r="F105" s="197" t="s">
        <v>1637</v>
      </c>
      <c r="G105" s="1042">
        <v>5.45E-2</v>
      </c>
      <c r="H105" s="199" t="s">
        <v>976</v>
      </c>
      <c r="I105" s="198">
        <f>G105*D105</f>
        <v>1195.28964</v>
      </c>
      <c r="J105" s="199" t="s">
        <v>1511</v>
      </c>
      <c r="K105" s="1040" t="s">
        <v>1638</v>
      </c>
      <c r="L105" s="209" t="s">
        <v>671</v>
      </c>
      <c r="M105" s="198">
        <f>ROUND(K105*I105/10000,6)</f>
        <v>107.348963</v>
      </c>
      <c r="N105" s="198">
        <f>'02 项目基础信息（输入）'!$C$32</f>
        <v>21931.919999999998</v>
      </c>
      <c r="O105" s="198">
        <f t="shared" si="10"/>
        <v>48.95</v>
      </c>
      <c r="P105" s="198">
        <f>'02 项目基础信息（输入）'!$I$32</f>
        <v>21931.919999999998</v>
      </c>
      <c r="Q105" s="233">
        <f t="shared" si="11"/>
        <v>48.95</v>
      </c>
      <c r="S105" s="217"/>
      <c r="U105" s="220" t="s">
        <v>1639</v>
      </c>
      <c r="V105" s="1190">
        <v>39.292200000000001</v>
      </c>
      <c r="W105" s="1190">
        <v>38.540799999999997</v>
      </c>
      <c r="X105" s="1190">
        <v>51.736899999999999</v>
      </c>
      <c r="Z105">
        <v>48.95</v>
      </c>
      <c r="AB105" s="1356">
        <f t="shared" si="13"/>
        <v>0</v>
      </c>
    </row>
    <row r="106" spans="1:28" ht="20.25" customHeight="1" outlineLevel="3">
      <c r="A106" s="192" t="s">
        <v>1640</v>
      </c>
      <c r="B106" s="192"/>
      <c r="C106" s="197"/>
      <c r="D106" s="198">
        <f>'02 项目基础信息（输入）'!$C$32</f>
        <v>21931.919999999998</v>
      </c>
      <c r="E106" s="199"/>
      <c r="F106" s="197"/>
      <c r="G106" s="199"/>
      <c r="H106" s="199"/>
      <c r="I106" s="197">
        <v>0</v>
      </c>
      <c r="J106" s="199"/>
      <c r="K106" s="207"/>
      <c r="L106" s="209"/>
      <c r="M106" s="198">
        <f>ROUND(SUM(M107:M110),6)</f>
        <v>378.67653100000001</v>
      </c>
      <c r="N106" s="198">
        <f>'02 项目基础信息（输入）'!$C$32</f>
        <v>21931.919999999998</v>
      </c>
      <c r="O106" s="198">
        <f t="shared" si="10"/>
        <v>172.66</v>
      </c>
      <c r="P106" s="198">
        <f>'02 项目基础信息（输入）'!$I$32</f>
        <v>21931.919999999998</v>
      </c>
      <c r="Q106" s="233">
        <f t="shared" si="11"/>
        <v>172.66</v>
      </c>
      <c r="S106" s="217"/>
      <c r="U106" s="220" t="s">
        <v>1641</v>
      </c>
      <c r="V106" s="1190">
        <v>221.93379999999999</v>
      </c>
      <c r="W106" s="1190">
        <v>259.25279999999998</v>
      </c>
      <c r="X106" s="1190">
        <v>178.57900000000001</v>
      </c>
      <c r="Z106">
        <v>172.66</v>
      </c>
      <c r="AB106" s="1356">
        <f t="shared" si="13"/>
        <v>0</v>
      </c>
    </row>
    <row r="107" spans="1:28" ht="20.25" customHeight="1" outlineLevel="4">
      <c r="A107" s="192" t="s">
        <v>1642</v>
      </c>
      <c r="B107" s="192"/>
      <c r="C107" s="197" t="s">
        <v>1609</v>
      </c>
      <c r="D107" s="198">
        <f>'02 项目基础信息（输入）'!$C$32</f>
        <v>21931.919999999998</v>
      </c>
      <c r="E107" s="199" t="s">
        <v>93</v>
      </c>
      <c r="F107" s="197" t="s">
        <v>1609</v>
      </c>
      <c r="G107" s="199">
        <v>1</v>
      </c>
      <c r="H107" s="199" t="s">
        <v>298</v>
      </c>
      <c r="I107" s="198">
        <f>G107*D107</f>
        <v>21931.919999999998</v>
      </c>
      <c r="J107" s="199" t="s">
        <v>93</v>
      </c>
      <c r="K107" s="1040" t="s">
        <v>1643</v>
      </c>
      <c r="L107" s="209" t="s">
        <v>675</v>
      </c>
      <c r="M107" s="198">
        <f>ROUND(K107*I107/10000,6)</f>
        <v>378.67653100000001</v>
      </c>
      <c r="N107" s="198">
        <f>'02 项目基础信息（输入）'!$C$32</f>
        <v>21931.919999999998</v>
      </c>
      <c r="O107" s="198">
        <f t="shared" si="10"/>
        <v>172.66</v>
      </c>
      <c r="P107" s="198">
        <f>'02 项目基础信息（输入）'!$I$32</f>
        <v>21931.919999999998</v>
      </c>
      <c r="Q107" s="233">
        <f t="shared" si="11"/>
        <v>172.66</v>
      </c>
      <c r="S107" s="217"/>
      <c r="U107" s="220" t="s">
        <v>1644</v>
      </c>
      <c r="V107" s="1190">
        <v>220.68620000000001</v>
      </c>
      <c r="W107" s="1190">
        <v>255.0831</v>
      </c>
      <c r="X107" s="1190">
        <v>171.39699999999999</v>
      </c>
      <c r="Z107">
        <v>172.66</v>
      </c>
      <c r="AB107" s="1356">
        <f t="shared" si="13"/>
        <v>0</v>
      </c>
    </row>
    <row r="108" spans="1:28" ht="20.25" customHeight="1" outlineLevel="4">
      <c r="A108" s="192" t="s">
        <v>1645</v>
      </c>
      <c r="B108" s="192"/>
      <c r="C108" s="197" t="s">
        <v>1609</v>
      </c>
      <c r="D108" s="198">
        <f>'02 项目基础信息（输入）'!$C$32</f>
        <v>21931.919999999998</v>
      </c>
      <c r="E108" s="199" t="s">
        <v>93</v>
      </c>
      <c r="F108" s="197" t="s">
        <v>1609</v>
      </c>
      <c r="G108" s="199">
        <v>1</v>
      </c>
      <c r="H108" s="199" t="s">
        <v>298</v>
      </c>
      <c r="I108" s="198">
        <f>G108*D108</f>
        <v>21931.919999999998</v>
      </c>
      <c r="J108" s="199" t="s">
        <v>93</v>
      </c>
      <c r="K108" s="700">
        <f>'03 成本测算（输入）'!$D$16</f>
        <v>0</v>
      </c>
      <c r="L108" s="209" t="s">
        <v>675</v>
      </c>
      <c r="M108" s="198">
        <f>ROUND(K108*I108/10000,6)</f>
        <v>0</v>
      </c>
      <c r="N108" s="198">
        <f>'02 项目基础信息（输入）'!$C$32</f>
        <v>21931.919999999998</v>
      </c>
      <c r="O108" s="198">
        <f t="shared" si="10"/>
        <v>0</v>
      </c>
      <c r="P108" s="198">
        <f>'02 项目基础信息（输入）'!$I$32</f>
        <v>21931.919999999998</v>
      </c>
      <c r="Q108" s="233">
        <f t="shared" si="11"/>
        <v>0</v>
      </c>
      <c r="S108" s="217"/>
      <c r="U108" s="220" t="s">
        <v>1646</v>
      </c>
      <c r="V108" s="1190">
        <v>0</v>
      </c>
      <c r="W108" s="1190">
        <v>0</v>
      </c>
      <c r="X108" s="1190">
        <v>0</v>
      </c>
      <c r="Z108">
        <v>0</v>
      </c>
      <c r="AB108" s="1356">
        <f t="shared" si="13"/>
        <v>0</v>
      </c>
    </row>
    <row r="109" spans="1:28" ht="20.25" customHeight="1" outlineLevel="4">
      <c r="A109" s="192" t="s">
        <v>1647</v>
      </c>
      <c r="B109" s="192"/>
      <c r="C109" s="197" t="s">
        <v>1609</v>
      </c>
      <c r="D109" s="198">
        <f>'02 项目基础信息（输入）'!$C$32</f>
        <v>21931.919999999998</v>
      </c>
      <c r="E109" s="199" t="s">
        <v>93</v>
      </c>
      <c r="F109" s="197" t="s">
        <v>1648</v>
      </c>
      <c r="G109" s="199">
        <v>1</v>
      </c>
      <c r="H109" s="199" t="s">
        <v>298</v>
      </c>
      <c r="I109" s="198">
        <f>G109*D109</f>
        <v>21931.919999999998</v>
      </c>
      <c r="J109" s="199" t="s">
        <v>93</v>
      </c>
      <c r="K109" s="207">
        <v>0</v>
      </c>
      <c r="L109" s="209" t="s">
        <v>675</v>
      </c>
      <c r="M109" s="198">
        <f>ROUND(K109*I109/10000,6)</f>
        <v>0</v>
      </c>
      <c r="N109" s="198">
        <f>'02 项目基础信息（输入）'!$C$32</f>
        <v>21931.919999999998</v>
      </c>
      <c r="O109" s="198">
        <f t="shared" si="10"/>
        <v>0</v>
      </c>
      <c r="P109" s="198">
        <f>'02 项目基础信息（输入）'!$I$32</f>
        <v>21931.919999999998</v>
      </c>
      <c r="Q109" s="233">
        <f t="shared" si="11"/>
        <v>0</v>
      </c>
      <c r="S109" s="217"/>
      <c r="U109" s="220" t="s">
        <v>1649</v>
      </c>
      <c r="V109" s="1190">
        <v>0</v>
      </c>
      <c r="W109" s="1190">
        <v>4.1696</v>
      </c>
      <c r="X109" s="1190">
        <v>7.1818999999999997</v>
      </c>
      <c r="Z109">
        <v>0</v>
      </c>
      <c r="AB109" s="1356">
        <f t="shared" si="13"/>
        <v>0</v>
      </c>
    </row>
    <row r="110" spans="1:28" ht="20.25" customHeight="1" outlineLevel="4">
      <c r="A110" s="192" t="s">
        <v>1650</v>
      </c>
      <c r="B110" s="192"/>
      <c r="C110" s="197" t="s">
        <v>1609</v>
      </c>
      <c r="D110" s="198">
        <f>'02 项目基础信息（输入）'!$C$32</f>
        <v>21931.919999999998</v>
      </c>
      <c r="E110" s="199" t="s">
        <v>93</v>
      </c>
      <c r="F110" s="197" t="s">
        <v>1609</v>
      </c>
      <c r="G110" s="199">
        <v>1</v>
      </c>
      <c r="H110" s="199" t="s">
        <v>298</v>
      </c>
      <c r="I110" s="198">
        <f>G110*D110</f>
        <v>21931.919999999998</v>
      </c>
      <c r="J110" s="199" t="s">
        <v>93</v>
      </c>
      <c r="K110" s="207">
        <v>0</v>
      </c>
      <c r="L110" s="209" t="s">
        <v>675</v>
      </c>
      <c r="M110" s="198">
        <f>ROUND(K110*I110/10000,6)</f>
        <v>0</v>
      </c>
      <c r="N110" s="198">
        <f>'02 项目基础信息（输入）'!$C$32</f>
        <v>21931.919999999998</v>
      </c>
      <c r="O110" s="198">
        <f t="shared" si="10"/>
        <v>0</v>
      </c>
      <c r="P110" s="198">
        <f>'02 项目基础信息（输入）'!$I$32</f>
        <v>21931.919999999998</v>
      </c>
      <c r="Q110" s="233">
        <f t="shared" si="11"/>
        <v>0</v>
      </c>
      <c r="S110" s="217"/>
      <c r="U110" s="220" t="s">
        <v>1651</v>
      </c>
      <c r="V110" s="1190">
        <v>1.2475000000000001</v>
      </c>
      <c r="W110" s="1190">
        <v>0</v>
      </c>
      <c r="X110" s="1190">
        <v>0</v>
      </c>
      <c r="Z110">
        <v>0</v>
      </c>
      <c r="AB110" s="1356">
        <f t="shared" si="13"/>
        <v>0</v>
      </c>
    </row>
    <row r="111" spans="1:28" ht="20.25" customHeight="1" outlineLevel="3">
      <c r="A111" s="192" t="s">
        <v>1652</v>
      </c>
      <c r="B111" s="192"/>
      <c r="C111" s="197" t="s">
        <v>1609</v>
      </c>
      <c r="D111" s="198">
        <f>'02 项目基础信息（输入）'!$C$32</f>
        <v>21931.919999999998</v>
      </c>
      <c r="E111" s="199" t="s">
        <v>93</v>
      </c>
      <c r="F111" s="197" t="s">
        <v>1648</v>
      </c>
      <c r="G111" s="199">
        <v>1</v>
      </c>
      <c r="H111" s="199" t="s">
        <v>298</v>
      </c>
      <c r="I111" s="198">
        <f>G111*D111</f>
        <v>21931.919999999998</v>
      </c>
      <c r="J111" s="199" t="s">
        <v>93</v>
      </c>
      <c r="K111" s="207">
        <v>0</v>
      </c>
      <c r="L111" s="209" t="s">
        <v>675</v>
      </c>
      <c r="M111" s="198">
        <f>ROUND(K111*I111/10000,6)</f>
        <v>0</v>
      </c>
      <c r="N111" s="198">
        <f>'02 项目基础信息（输入）'!$C$32</f>
        <v>21931.919999999998</v>
      </c>
      <c r="O111" s="198">
        <f t="shared" si="10"/>
        <v>0</v>
      </c>
      <c r="P111" s="198">
        <f>'02 项目基础信息（输入）'!$I$32</f>
        <v>21931.919999999998</v>
      </c>
      <c r="Q111" s="233">
        <f t="shared" si="11"/>
        <v>0</v>
      </c>
      <c r="S111" s="217"/>
      <c r="U111" s="220" t="s">
        <v>1653</v>
      </c>
      <c r="V111" s="1190">
        <v>0</v>
      </c>
      <c r="W111" s="1190">
        <v>0</v>
      </c>
      <c r="X111" s="1190">
        <v>0</v>
      </c>
      <c r="Z111">
        <v>0</v>
      </c>
      <c r="AB111" s="1356">
        <f t="shared" si="13"/>
        <v>0</v>
      </c>
    </row>
    <row r="112" spans="1:28" ht="20.25" customHeight="1" outlineLevel="3">
      <c r="A112" s="192" t="s">
        <v>1654</v>
      </c>
      <c r="B112" s="192"/>
      <c r="C112" s="197"/>
      <c r="D112" s="198">
        <f>'02 项目基础信息（输入）'!$C$32</f>
        <v>21931.919999999998</v>
      </c>
      <c r="E112" s="199"/>
      <c r="F112" s="197"/>
      <c r="G112" s="199"/>
      <c r="H112" s="199"/>
      <c r="I112" s="197">
        <v>0</v>
      </c>
      <c r="J112" s="199"/>
      <c r="K112" s="207"/>
      <c r="L112" s="209"/>
      <c r="M112" s="198">
        <f>ROUND(SUM(M113:M114),6)</f>
        <v>124.59523799999999</v>
      </c>
      <c r="N112" s="198">
        <f>'02 项目基础信息（输入）'!$C$32</f>
        <v>21931.919999999998</v>
      </c>
      <c r="O112" s="198">
        <f t="shared" si="10"/>
        <v>56.81</v>
      </c>
      <c r="P112" s="198">
        <f>'02 项目基础信息（输入）'!$I$32</f>
        <v>21931.919999999998</v>
      </c>
      <c r="Q112" s="233">
        <f t="shared" si="11"/>
        <v>56.81</v>
      </c>
      <c r="S112" s="217"/>
      <c r="U112" s="220" t="s">
        <v>1655</v>
      </c>
      <c r="V112" s="1190">
        <v>36.987900000000003</v>
      </c>
      <c r="W112" s="1190">
        <v>66.575400000000002</v>
      </c>
      <c r="X112" s="1190">
        <v>57.094099999999997</v>
      </c>
      <c r="Z112">
        <v>56.81</v>
      </c>
      <c r="AB112" s="1356">
        <f t="shared" si="13"/>
        <v>0</v>
      </c>
    </row>
    <row r="113" spans="1:28" ht="20.25" customHeight="1" outlineLevel="4">
      <c r="A113" s="192" t="s">
        <v>1656</v>
      </c>
      <c r="B113" s="192"/>
      <c r="C113" s="197" t="s">
        <v>1609</v>
      </c>
      <c r="D113" s="198">
        <f>'02 项目基础信息（输入）'!$C$32</f>
        <v>21931.919999999998</v>
      </c>
      <c r="E113" s="199" t="s">
        <v>93</v>
      </c>
      <c r="F113" s="197" t="s">
        <v>1657</v>
      </c>
      <c r="G113" s="701"/>
      <c r="H113" s="199" t="s">
        <v>1658</v>
      </c>
      <c r="I113" s="198">
        <f>G113*D113</f>
        <v>0</v>
      </c>
      <c r="J113" s="199" t="s">
        <v>376</v>
      </c>
      <c r="K113" s="699"/>
      <c r="L113" s="209" t="s">
        <v>1659</v>
      </c>
      <c r="M113" s="198">
        <f>ROUND(K113*I113/10000,6)</f>
        <v>0</v>
      </c>
      <c r="N113" s="198">
        <f>'02 项目基础信息（输入）'!$C$32</f>
        <v>21931.919999999998</v>
      </c>
      <c r="O113" s="198">
        <f t="shared" si="10"/>
        <v>0</v>
      </c>
      <c r="P113" s="198">
        <f>'02 项目基础信息（输入）'!$I$32</f>
        <v>21931.919999999998</v>
      </c>
      <c r="Q113" s="233">
        <f t="shared" si="11"/>
        <v>0</v>
      </c>
      <c r="S113" s="217"/>
      <c r="U113" s="220" t="s">
        <v>1660</v>
      </c>
      <c r="V113" s="1190">
        <v>0</v>
      </c>
      <c r="W113" s="1190">
        <v>0</v>
      </c>
      <c r="X113" s="1190">
        <v>0</v>
      </c>
      <c r="Z113">
        <v>0</v>
      </c>
      <c r="AB113" s="1356">
        <f t="shared" si="13"/>
        <v>0</v>
      </c>
    </row>
    <row r="114" spans="1:28" ht="20.25" customHeight="1" outlineLevel="4">
      <c r="A114" s="192" t="s">
        <v>1661</v>
      </c>
      <c r="B114" s="192"/>
      <c r="C114" s="197" t="s">
        <v>1609</v>
      </c>
      <c r="D114" s="198">
        <f>'02 项目基础信息（输入）'!$C$32</f>
        <v>21931.919999999998</v>
      </c>
      <c r="E114" s="199" t="s">
        <v>93</v>
      </c>
      <c r="F114" s="197" t="s">
        <v>1609</v>
      </c>
      <c r="G114" s="199">
        <v>1</v>
      </c>
      <c r="H114" s="199" t="s">
        <v>298</v>
      </c>
      <c r="I114" s="198">
        <f>G114*D114</f>
        <v>21931.919999999998</v>
      </c>
      <c r="J114" s="199" t="s">
        <v>93</v>
      </c>
      <c r="K114" s="1040" t="s">
        <v>1662</v>
      </c>
      <c r="L114" s="209" t="s">
        <v>675</v>
      </c>
      <c r="M114" s="198">
        <f>ROUND(K114*I114/10000,6)</f>
        <v>124.59523799999999</v>
      </c>
      <c r="N114" s="198">
        <f>'02 项目基础信息（输入）'!$C$32</f>
        <v>21931.919999999998</v>
      </c>
      <c r="O114" s="198">
        <f t="shared" si="10"/>
        <v>56.81</v>
      </c>
      <c r="P114" s="198">
        <f>'02 项目基础信息（输入）'!$I$32</f>
        <v>21931.919999999998</v>
      </c>
      <c r="Q114" s="233">
        <f t="shared" si="11"/>
        <v>56.81</v>
      </c>
      <c r="S114" s="217"/>
      <c r="U114" s="220" t="s">
        <v>1663</v>
      </c>
      <c r="V114" s="1190">
        <v>36.987900000000003</v>
      </c>
      <c r="W114" s="1190">
        <v>66.575400000000002</v>
      </c>
      <c r="X114" s="1190">
        <v>57.094099999999997</v>
      </c>
      <c r="Z114">
        <v>56.81</v>
      </c>
      <c r="AB114" s="1356">
        <f t="shared" si="13"/>
        <v>0</v>
      </c>
    </row>
    <row r="115" spans="1:28" ht="20.25" customHeight="1" outlineLevel="3">
      <c r="A115" s="192" t="s">
        <v>1664</v>
      </c>
      <c r="B115" s="192"/>
      <c r="C115" s="197" t="s">
        <v>1665</v>
      </c>
      <c r="D115" s="198">
        <f>SUM(M96+M99+M100+M105+M106+M111+M112)*10000</f>
        <v>36204096.719999999</v>
      </c>
      <c r="E115" s="199" t="s">
        <v>1666</v>
      </c>
      <c r="F115" s="193" t="s">
        <v>1667</v>
      </c>
      <c r="G115" s="226">
        <f>IFERROR(I115/D115*100,0)</f>
        <v>17.57558455471942</v>
      </c>
      <c r="H115" s="195" t="s">
        <v>123</v>
      </c>
      <c r="I115" s="194">
        <f>K115*N115</f>
        <v>6363081.6312959995</v>
      </c>
      <c r="J115" s="195" t="s">
        <v>1666</v>
      </c>
      <c r="K115" s="1040" t="s">
        <v>1668</v>
      </c>
      <c r="L115" s="230" t="s">
        <v>1669</v>
      </c>
      <c r="M115" s="231">
        <f>ROUND(I115/10000,6)</f>
        <v>636.30816300000004</v>
      </c>
      <c r="N115" s="198">
        <f>'02 项目基础信息（输入）'!$C$32</f>
        <v>21931.919999999998</v>
      </c>
      <c r="O115" s="198">
        <f t="shared" si="10"/>
        <v>290.13</v>
      </c>
      <c r="P115" s="198">
        <f>'02 项目基础信息（输入）'!$I$32</f>
        <v>21931.919999999998</v>
      </c>
      <c r="Q115" s="233">
        <f t="shared" si="11"/>
        <v>290.13</v>
      </c>
      <c r="S115" s="217"/>
      <c r="U115" s="220" t="s">
        <v>1670</v>
      </c>
      <c r="V115" s="1190">
        <v>525.32090000000005</v>
      </c>
      <c r="W115" s="1190">
        <v>470.5421</v>
      </c>
      <c r="X115" s="1190">
        <v>285.04899999999998</v>
      </c>
      <c r="Z115">
        <v>290.13</v>
      </c>
      <c r="AB115" s="1356">
        <f t="shared" si="13"/>
        <v>0</v>
      </c>
    </row>
    <row r="116" spans="1:28" ht="20.25" customHeight="1" outlineLevel="2" collapsed="1">
      <c r="A116" s="192" t="s">
        <v>1671</v>
      </c>
      <c r="B116" s="192"/>
      <c r="C116" s="197" t="s">
        <v>1609</v>
      </c>
      <c r="D116" s="198">
        <f>'02 项目基础信息（输入）'!$C$32</f>
        <v>21931.919999999998</v>
      </c>
      <c r="E116" s="199" t="s">
        <v>93</v>
      </c>
      <c r="F116" s="197"/>
      <c r="G116" s="199"/>
      <c r="H116" s="199"/>
      <c r="I116" s="197"/>
      <c r="J116" s="199"/>
      <c r="K116" s="207"/>
      <c r="L116" s="209"/>
      <c r="M116" s="198">
        <f>ROUND(SUM(M117:M118),6)</f>
        <v>40.860419999999998</v>
      </c>
      <c r="N116" s="198">
        <f>'02 项目基础信息（输入）'!$C$32</f>
        <v>21931.919999999998</v>
      </c>
      <c r="O116" s="198">
        <f t="shared" si="10"/>
        <v>18.63</v>
      </c>
      <c r="P116" s="198">
        <f>'02 项目基础信息（输入）'!$I$32</f>
        <v>21931.919999999998</v>
      </c>
      <c r="Q116" s="233">
        <f t="shared" si="11"/>
        <v>18.63</v>
      </c>
      <c r="S116" s="234" t="s">
        <v>1313</v>
      </c>
      <c r="U116" s="220" t="s">
        <v>1672</v>
      </c>
      <c r="V116" s="1190">
        <v>59.434399999999997</v>
      </c>
      <c r="W116" s="1190">
        <v>86.758399999999995</v>
      </c>
      <c r="X116" s="1190">
        <v>56.834200000000003</v>
      </c>
      <c r="Z116">
        <v>57.08</v>
      </c>
      <c r="AB116" s="1356">
        <f t="shared" si="13"/>
        <v>-38.450000000000003</v>
      </c>
    </row>
    <row r="117" spans="1:28" ht="20.25" hidden="1" customHeight="1" outlineLevel="3">
      <c r="A117" s="192" t="s">
        <v>1673</v>
      </c>
      <c r="B117" s="192"/>
      <c r="C117" s="197" t="s">
        <v>1609</v>
      </c>
      <c r="D117" s="198">
        <f>'02 项目基础信息（输入）'!$C$32</f>
        <v>21931.919999999998</v>
      </c>
      <c r="E117" s="199" t="s">
        <v>93</v>
      </c>
      <c r="F117" s="197" t="s">
        <v>705</v>
      </c>
      <c r="G117" s="227">
        <f>'03 成本测算（输入）'!D17</f>
        <v>8.1002484050644002E-2</v>
      </c>
      <c r="H117" s="199" t="s">
        <v>298</v>
      </c>
      <c r="I117" s="198">
        <f>G117*D117</f>
        <v>1776.54</v>
      </c>
      <c r="J117" s="199" t="s">
        <v>93</v>
      </c>
      <c r="K117" s="1040" t="s">
        <v>1674</v>
      </c>
      <c r="L117" s="209" t="s">
        <v>675</v>
      </c>
      <c r="M117" s="198">
        <f>ROUND(K117*I117/10000,6)</f>
        <v>21.318480000000001</v>
      </c>
      <c r="N117" s="198">
        <f>'02 项目基础信息（输入）'!$C$32</f>
        <v>21931.919999999998</v>
      </c>
      <c r="O117" s="198">
        <f t="shared" si="10"/>
        <v>9.7200000000000006</v>
      </c>
      <c r="P117" s="198">
        <f>'02 项目基础信息（输入）'!$I$32</f>
        <v>21931.919999999998</v>
      </c>
      <c r="Q117" s="233">
        <f t="shared" si="11"/>
        <v>9.7200000000000006</v>
      </c>
      <c r="S117" s="234"/>
      <c r="U117" s="220" t="s">
        <v>1675</v>
      </c>
      <c r="V117" s="1190">
        <v>25.6874</v>
      </c>
      <c r="W117" s="1190">
        <v>63.939399999999999</v>
      </c>
      <c r="X117" s="1190">
        <v>37.0884</v>
      </c>
      <c r="Z117">
        <v>29.78</v>
      </c>
      <c r="AB117" s="1356">
        <f t="shared" si="13"/>
        <v>-20.060000000000002</v>
      </c>
    </row>
    <row r="118" spans="1:28" ht="20.25" hidden="1" customHeight="1" outlineLevel="3">
      <c r="A118" s="192" t="s">
        <v>1676</v>
      </c>
      <c r="B118" s="192"/>
      <c r="C118" s="197" t="s">
        <v>1609</v>
      </c>
      <c r="D118" s="198">
        <f>'02 项目基础信息（输入）'!$C$32</f>
        <v>21931.919999999998</v>
      </c>
      <c r="E118" s="199" t="s">
        <v>93</v>
      </c>
      <c r="F118" s="197" t="s">
        <v>705</v>
      </c>
      <c r="G118" s="227">
        <f>G117</f>
        <v>8.1002484050644002E-2</v>
      </c>
      <c r="H118" s="199" t="s">
        <v>298</v>
      </c>
      <c r="I118" s="198">
        <f>G118*D118</f>
        <v>1776.54</v>
      </c>
      <c r="J118" s="199" t="s">
        <v>93</v>
      </c>
      <c r="K118" s="1040" t="s">
        <v>1677</v>
      </c>
      <c r="L118" s="209" t="s">
        <v>675</v>
      </c>
      <c r="M118" s="198">
        <f>ROUND(K118*I118/10000,6)</f>
        <v>19.54194</v>
      </c>
      <c r="N118" s="198">
        <f>'02 项目基础信息（输入）'!$C$32</f>
        <v>21931.919999999998</v>
      </c>
      <c r="O118" s="198">
        <f t="shared" si="10"/>
        <v>8.91</v>
      </c>
      <c r="P118" s="198">
        <f>'02 项目基础信息（输入）'!$I$32</f>
        <v>21931.919999999998</v>
      </c>
      <c r="Q118" s="233">
        <f t="shared" si="11"/>
        <v>8.91</v>
      </c>
      <c r="S118" s="234"/>
      <c r="U118" s="220" t="s">
        <v>1678</v>
      </c>
      <c r="V118" s="1190">
        <v>33.747</v>
      </c>
      <c r="W118" s="1190">
        <v>22.818899999999999</v>
      </c>
      <c r="X118" s="1190">
        <v>19.745699999999999</v>
      </c>
      <c r="Z118">
        <v>27.3</v>
      </c>
      <c r="AB118" s="1356">
        <f t="shared" si="13"/>
        <v>-18.39</v>
      </c>
    </row>
    <row r="119" spans="1:28" ht="20.25" customHeight="1" outlineLevel="2" collapsed="1">
      <c r="A119" s="192" t="s">
        <v>1679</v>
      </c>
      <c r="B119" s="192"/>
      <c r="C119" s="197" t="s">
        <v>1609</v>
      </c>
      <c r="D119" s="198">
        <f>'02 项目基础信息（输入）'!$C$32</f>
        <v>21931.919999999998</v>
      </c>
      <c r="E119" s="199" t="s">
        <v>93</v>
      </c>
      <c r="F119" s="197"/>
      <c r="G119" s="199"/>
      <c r="H119" s="199"/>
      <c r="I119" s="197"/>
      <c r="J119" s="199"/>
      <c r="K119" s="207"/>
      <c r="L119" s="209"/>
      <c r="M119" s="198">
        <f>ROUND(SUM(M120:M127),6)</f>
        <v>303.73735299999998</v>
      </c>
      <c r="N119" s="198">
        <f>'02 项目基础信息（输入）'!$C$32</f>
        <v>21931.919999999998</v>
      </c>
      <c r="O119" s="198">
        <f t="shared" si="10"/>
        <v>138.49</v>
      </c>
      <c r="P119" s="198">
        <f>'02 项目基础信息（输入）'!$I$32</f>
        <v>21931.919999999998</v>
      </c>
      <c r="Q119" s="233">
        <f t="shared" si="11"/>
        <v>138.49</v>
      </c>
      <c r="S119" s="234" t="s">
        <v>1313</v>
      </c>
      <c r="U119" s="220" t="s">
        <v>1680</v>
      </c>
      <c r="V119" s="1190">
        <v>166.09270000000001</v>
      </c>
      <c r="W119" s="1190">
        <v>145.77699999999999</v>
      </c>
      <c r="X119" s="1190">
        <v>99.723399999999998</v>
      </c>
      <c r="Z119">
        <v>101.02</v>
      </c>
      <c r="AB119" s="1356">
        <f t="shared" si="13"/>
        <v>37.470000000000013</v>
      </c>
    </row>
    <row r="120" spans="1:28" ht="20.25" hidden="1" customHeight="1" outlineLevel="3">
      <c r="A120" s="192" t="s">
        <v>1681</v>
      </c>
      <c r="B120" s="192"/>
      <c r="C120" s="197" t="s">
        <v>1609</v>
      </c>
      <c r="D120" s="198">
        <f>'02 项目基础信息（输入）'!$C$32</f>
        <v>21931.919999999998</v>
      </c>
      <c r="E120" s="199" t="s">
        <v>93</v>
      </c>
      <c r="F120" s="197" t="s">
        <v>1682</v>
      </c>
      <c r="G120" s="1042" t="s">
        <v>870</v>
      </c>
      <c r="H120" s="199" t="s">
        <v>298</v>
      </c>
      <c r="I120" s="198">
        <f t="shared" ref="I120:I127" si="14">G120*D120</f>
        <v>21931.919999999998</v>
      </c>
      <c r="J120" s="199" t="s">
        <v>93</v>
      </c>
      <c r="K120" s="1043">
        <f>145.78*0.95</f>
        <v>138.49099999999999</v>
      </c>
      <c r="L120" s="209" t="s">
        <v>675</v>
      </c>
      <c r="M120" s="198">
        <f t="shared" ref="M120:M127" si="15">ROUND(K120*I120/10000,6)</f>
        <v>303.73735299999998</v>
      </c>
      <c r="N120" s="198">
        <f>'02 项目基础信息（输入）'!$C$32</f>
        <v>21931.919999999998</v>
      </c>
      <c r="O120" s="198">
        <f t="shared" si="10"/>
        <v>138.49</v>
      </c>
      <c r="P120" s="198">
        <f>'02 项目基础信息（输入）'!$I$32</f>
        <v>21931.919999999998</v>
      </c>
      <c r="Q120" s="233">
        <f t="shared" si="11"/>
        <v>138.49</v>
      </c>
      <c r="R120" s="188" t="s">
        <v>7902</v>
      </c>
      <c r="S120" s="234"/>
      <c r="U120" s="220" t="s">
        <v>1683</v>
      </c>
      <c r="V120" s="1190">
        <v>5.0315000000000003</v>
      </c>
      <c r="W120" s="1190">
        <v>0</v>
      </c>
      <c r="X120" s="1190">
        <v>25.898900000000001</v>
      </c>
      <c r="Z120">
        <v>25.72</v>
      </c>
      <c r="AB120" s="1356">
        <f t="shared" si="13"/>
        <v>112.77000000000001</v>
      </c>
    </row>
    <row r="121" spans="1:28" ht="20.25" hidden="1" customHeight="1" outlineLevel="3">
      <c r="A121" s="192" t="s">
        <v>1684</v>
      </c>
      <c r="B121" s="192"/>
      <c r="C121" s="197" t="s">
        <v>1609</v>
      </c>
      <c r="D121" s="198">
        <f>'02 项目基础信息（输入）'!$C$32</f>
        <v>21931.919999999998</v>
      </c>
      <c r="E121" s="199" t="s">
        <v>93</v>
      </c>
      <c r="F121" s="197" t="s">
        <v>1682</v>
      </c>
      <c r="G121" s="701"/>
      <c r="H121" s="199" t="s">
        <v>298</v>
      </c>
      <c r="I121" s="198">
        <f t="shared" si="14"/>
        <v>0</v>
      </c>
      <c r="J121" s="199" t="s">
        <v>93</v>
      </c>
      <c r="K121" s="699"/>
      <c r="L121" s="209" t="s">
        <v>675</v>
      </c>
      <c r="M121" s="198">
        <f t="shared" si="15"/>
        <v>0</v>
      </c>
      <c r="N121" s="198">
        <f>'02 项目基础信息（输入）'!$C$32</f>
        <v>21931.919999999998</v>
      </c>
      <c r="O121" s="198">
        <f t="shared" si="10"/>
        <v>0</v>
      </c>
      <c r="P121" s="198">
        <f>'02 项目基础信息（输入）'!$I$32</f>
        <v>21931.919999999998</v>
      </c>
      <c r="Q121" s="233">
        <f t="shared" si="11"/>
        <v>0</v>
      </c>
      <c r="S121" s="234"/>
      <c r="U121" s="220" t="s">
        <v>1685</v>
      </c>
      <c r="V121" s="1190">
        <v>0</v>
      </c>
      <c r="W121" s="1190">
        <v>0</v>
      </c>
      <c r="X121" s="1190">
        <v>73.824399999999997</v>
      </c>
      <c r="Z121">
        <v>0</v>
      </c>
      <c r="AB121" s="1356">
        <f t="shared" si="13"/>
        <v>0</v>
      </c>
    </row>
    <row r="122" spans="1:28" ht="20.25" hidden="1" customHeight="1" outlineLevel="3">
      <c r="A122" s="192" t="s">
        <v>1686</v>
      </c>
      <c r="B122" s="192"/>
      <c r="C122" s="197" t="s">
        <v>1609</v>
      </c>
      <c r="D122" s="198">
        <f>'02 项目基础信息（输入）'!$C$32</f>
        <v>21931.919999999998</v>
      </c>
      <c r="E122" s="199" t="s">
        <v>93</v>
      </c>
      <c r="F122" s="197" t="s">
        <v>1682</v>
      </c>
      <c r="G122" s="701"/>
      <c r="H122" s="199" t="s">
        <v>298</v>
      </c>
      <c r="I122" s="198">
        <f t="shared" si="14"/>
        <v>0</v>
      </c>
      <c r="J122" s="199" t="s">
        <v>93</v>
      </c>
      <c r="K122" s="699"/>
      <c r="L122" s="209" t="s">
        <v>675</v>
      </c>
      <c r="M122" s="198">
        <f t="shared" si="15"/>
        <v>0</v>
      </c>
      <c r="N122" s="198">
        <f>'02 项目基础信息（输入）'!$C$32</f>
        <v>21931.919999999998</v>
      </c>
      <c r="O122" s="198">
        <f t="shared" si="10"/>
        <v>0</v>
      </c>
      <c r="P122" s="198">
        <f>'02 项目基础信息（输入）'!$I$32</f>
        <v>21931.919999999998</v>
      </c>
      <c r="Q122" s="233">
        <f t="shared" si="11"/>
        <v>0</v>
      </c>
      <c r="S122" s="234"/>
      <c r="U122" s="220" t="s">
        <v>1687</v>
      </c>
      <c r="V122" s="1190">
        <v>34.896000000000001</v>
      </c>
      <c r="W122" s="1190">
        <v>0</v>
      </c>
      <c r="X122" s="1190">
        <v>0</v>
      </c>
      <c r="Z122">
        <v>0</v>
      </c>
      <c r="AB122" s="1356">
        <f t="shared" si="13"/>
        <v>0</v>
      </c>
    </row>
    <row r="123" spans="1:28" ht="20.25" hidden="1" customHeight="1" outlineLevel="3">
      <c r="A123" s="192" t="s">
        <v>1688</v>
      </c>
      <c r="B123" s="192"/>
      <c r="C123" s="197" t="s">
        <v>1609</v>
      </c>
      <c r="D123" s="198">
        <f>'02 项目基础信息（输入）'!$C$32</f>
        <v>21931.919999999998</v>
      </c>
      <c r="E123" s="199" t="s">
        <v>93</v>
      </c>
      <c r="F123" s="197" t="s">
        <v>1682</v>
      </c>
      <c r="G123" s="701"/>
      <c r="H123" s="199" t="s">
        <v>298</v>
      </c>
      <c r="I123" s="198">
        <f t="shared" si="14"/>
        <v>0</v>
      </c>
      <c r="J123" s="199" t="s">
        <v>93</v>
      </c>
      <c r="K123" s="699"/>
      <c r="L123" s="209" t="s">
        <v>675</v>
      </c>
      <c r="M123" s="198">
        <f t="shared" si="15"/>
        <v>0</v>
      </c>
      <c r="N123" s="198">
        <f>'02 项目基础信息（输入）'!$C$32</f>
        <v>21931.919999999998</v>
      </c>
      <c r="O123" s="198">
        <f t="shared" si="10"/>
        <v>0</v>
      </c>
      <c r="P123" s="198">
        <f>'02 项目基础信息（输入）'!$I$32</f>
        <v>21931.919999999998</v>
      </c>
      <c r="Q123" s="233">
        <f t="shared" si="11"/>
        <v>0</v>
      </c>
      <c r="S123" s="234"/>
      <c r="U123" s="220" t="s">
        <v>1689</v>
      </c>
      <c r="V123" s="1190">
        <v>99.279399999999995</v>
      </c>
      <c r="W123" s="1190">
        <v>101.1028</v>
      </c>
      <c r="X123" s="1190">
        <v>0</v>
      </c>
      <c r="Z123">
        <v>75.3</v>
      </c>
      <c r="AB123" s="1356">
        <f t="shared" si="13"/>
        <v>-75.3</v>
      </c>
    </row>
    <row r="124" spans="1:28" ht="20.25" hidden="1" customHeight="1" outlineLevel="3">
      <c r="A124" s="192" t="s">
        <v>1690</v>
      </c>
      <c r="B124" s="192"/>
      <c r="C124" s="197" t="s">
        <v>1609</v>
      </c>
      <c r="D124" s="198">
        <f>'02 项目基础信息（输入）'!$C$32</f>
        <v>21931.919999999998</v>
      </c>
      <c r="E124" s="199" t="s">
        <v>93</v>
      </c>
      <c r="F124" s="197" t="s">
        <v>1682</v>
      </c>
      <c r="G124" s="701"/>
      <c r="H124" s="199" t="s">
        <v>298</v>
      </c>
      <c r="I124" s="198">
        <f t="shared" si="14"/>
        <v>0</v>
      </c>
      <c r="J124" s="199" t="s">
        <v>93</v>
      </c>
      <c r="K124" s="699"/>
      <c r="L124" s="209" t="s">
        <v>675</v>
      </c>
      <c r="M124" s="198">
        <f t="shared" si="15"/>
        <v>0</v>
      </c>
      <c r="N124" s="198">
        <f>'02 项目基础信息（输入）'!$C$32</f>
        <v>21931.919999999998</v>
      </c>
      <c r="O124" s="198">
        <f t="shared" si="10"/>
        <v>0</v>
      </c>
      <c r="P124" s="198">
        <f>'02 项目基础信息（输入）'!$I$32</f>
        <v>21931.919999999998</v>
      </c>
      <c r="Q124" s="233">
        <f t="shared" si="11"/>
        <v>0</v>
      </c>
      <c r="S124" s="234"/>
      <c r="U124" s="220" t="s">
        <v>1691</v>
      </c>
      <c r="V124" s="1190">
        <v>21.332599999999999</v>
      </c>
      <c r="W124" s="1190">
        <v>0</v>
      </c>
      <c r="X124" s="1190">
        <v>0</v>
      </c>
      <c r="Z124">
        <v>0</v>
      </c>
      <c r="AB124" s="1356">
        <f t="shared" si="13"/>
        <v>0</v>
      </c>
    </row>
    <row r="125" spans="1:28" ht="20.25" hidden="1" customHeight="1" outlineLevel="3">
      <c r="A125" s="192" t="s">
        <v>1692</v>
      </c>
      <c r="B125" s="192"/>
      <c r="C125" s="197" t="s">
        <v>1609</v>
      </c>
      <c r="D125" s="198">
        <f>'02 项目基础信息（输入）'!$C$32</f>
        <v>21931.919999999998</v>
      </c>
      <c r="E125" s="199" t="s">
        <v>93</v>
      </c>
      <c r="F125" s="197" t="s">
        <v>1682</v>
      </c>
      <c r="G125" s="701"/>
      <c r="H125" s="199" t="s">
        <v>298</v>
      </c>
      <c r="I125" s="198">
        <f t="shared" si="14"/>
        <v>0</v>
      </c>
      <c r="J125" s="199" t="s">
        <v>93</v>
      </c>
      <c r="K125" s="699"/>
      <c r="L125" s="209" t="s">
        <v>675</v>
      </c>
      <c r="M125" s="207">
        <f t="shared" si="15"/>
        <v>0</v>
      </c>
      <c r="N125" s="198">
        <f>'02 项目基础信息（输入）'!$C$32</f>
        <v>21931.919999999998</v>
      </c>
      <c r="O125" s="198">
        <f t="shared" si="10"/>
        <v>0</v>
      </c>
      <c r="P125" s="198">
        <f>'02 项目基础信息（输入）'!$I$32</f>
        <v>21931.919999999998</v>
      </c>
      <c r="Q125" s="233">
        <f t="shared" si="11"/>
        <v>0</v>
      </c>
      <c r="S125" s="234"/>
      <c r="U125" s="220" t="s">
        <v>1693</v>
      </c>
      <c r="V125" s="1190">
        <v>0</v>
      </c>
      <c r="W125" s="1190">
        <v>0</v>
      </c>
      <c r="X125" s="1190">
        <v>0</v>
      </c>
      <c r="Z125">
        <v>0</v>
      </c>
      <c r="AB125" s="1356">
        <f t="shared" si="13"/>
        <v>0</v>
      </c>
    </row>
    <row r="126" spans="1:28" ht="20.25" hidden="1" customHeight="1" outlineLevel="3">
      <c r="A126" s="192" t="s">
        <v>1694</v>
      </c>
      <c r="B126" s="192"/>
      <c r="C126" s="197" t="s">
        <v>1609</v>
      </c>
      <c r="D126" s="198">
        <f>'02 项目基础信息（输入）'!$C$32</f>
        <v>21931.919999999998</v>
      </c>
      <c r="E126" s="199" t="s">
        <v>93</v>
      </c>
      <c r="F126" s="197" t="s">
        <v>1682</v>
      </c>
      <c r="G126" s="701"/>
      <c r="H126" s="199" t="s">
        <v>298</v>
      </c>
      <c r="I126" s="198">
        <f t="shared" si="14"/>
        <v>0</v>
      </c>
      <c r="J126" s="199" t="s">
        <v>93</v>
      </c>
      <c r="K126" s="699"/>
      <c r="L126" s="209" t="s">
        <v>675</v>
      </c>
      <c r="M126" s="198">
        <f t="shared" si="15"/>
        <v>0</v>
      </c>
      <c r="N126" s="198">
        <f>'02 项目基础信息（输入）'!$C$32</f>
        <v>21931.919999999998</v>
      </c>
      <c r="O126" s="198">
        <f t="shared" si="10"/>
        <v>0</v>
      </c>
      <c r="P126" s="198">
        <f>'02 项目基础信息（输入）'!$I$32</f>
        <v>21931.919999999998</v>
      </c>
      <c r="Q126" s="233">
        <f t="shared" si="11"/>
        <v>0</v>
      </c>
      <c r="S126" s="234"/>
      <c r="U126" s="220" t="s">
        <v>1695</v>
      </c>
      <c r="V126" s="1190">
        <v>5.5530999999999997</v>
      </c>
      <c r="W126" s="1190">
        <v>44.674100000000003</v>
      </c>
      <c r="X126" s="1190">
        <v>0</v>
      </c>
      <c r="Z126">
        <v>0</v>
      </c>
      <c r="AB126" s="1356">
        <f t="shared" si="13"/>
        <v>0</v>
      </c>
    </row>
    <row r="127" spans="1:28" ht="20.25" hidden="1" customHeight="1" outlineLevel="3">
      <c r="A127" s="192" t="s">
        <v>1696</v>
      </c>
      <c r="B127" s="192"/>
      <c r="C127" s="197" t="s">
        <v>1609</v>
      </c>
      <c r="D127" s="198">
        <f>'02 项目基础信息（输入）'!$C$32</f>
        <v>21931.919999999998</v>
      </c>
      <c r="E127" s="199" t="s">
        <v>93</v>
      </c>
      <c r="F127" s="197" t="s">
        <v>1682</v>
      </c>
      <c r="G127" s="701"/>
      <c r="H127" s="199" t="s">
        <v>298</v>
      </c>
      <c r="I127" s="198">
        <f t="shared" si="14"/>
        <v>0</v>
      </c>
      <c r="J127" s="199" t="s">
        <v>93</v>
      </c>
      <c r="K127" s="699"/>
      <c r="L127" s="209" t="s">
        <v>675</v>
      </c>
      <c r="M127" s="198">
        <f t="shared" si="15"/>
        <v>0</v>
      </c>
      <c r="N127" s="198">
        <f>'02 项目基础信息（输入）'!$C$32</f>
        <v>21931.919999999998</v>
      </c>
      <c r="O127" s="198">
        <f t="shared" si="10"/>
        <v>0</v>
      </c>
      <c r="P127" s="198">
        <f>'02 项目基础信息（输入）'!$I$32</f>
        <v>21931.919999999998</v>
      </c>
      <c r="Q127" s="233">
        <f t="shared" si="11"/>
        <v>0</v>
      </c>
      <c r="S127" s="234"/>
      <c r="U127" s="220" t="s">
        <v>1697</v>
      </c>
      <c r="V127" s="1190">
        <v>0</v>
      </c>
      <c r="W127" s="1190">
        <v>0</v>
      </c>
      <c r="X127" s="1190">
        <v>0</v>
      </c>
      <c r="Z127">
        <v>0</v>
      </c>
      <c r="AB127" s="1356">
        <f t="shared" si="13"/>
        <v>0</v>
      </c>
    </row>
    <row r="128" spans="1:28" ht="20.25" customHeight="1" outlineLevel="2" collapsed="1">
      <c r="A128" s="192" t="s">
        <v>1698</v>
      </c>
      <c r="B128" s="192"/>
      <c r="C128" s="197" t="s">
        <v>1609</v>
      </c>
      <c r="D128" s="198">
        <f>'02 项目基础信息（输入）'!$C$32</f>
        <v>21931.919999999998</v>
      </c>
      <c r="E128" s="199" t="s">
        <v>93</v>
      </c>
      <c r="F128" s="197"/>
      <c r="G128" s="199"/>
      <c r="H128" s="199"/>
      <c r="I128" s="197"/>
      <c r="J128" s="199"/>
      <c r="K128" s="207"/>
      <c r="L128" s="209"/>
      <c r="M128" s="198">
        <f>ROUND(SUM(M129:M130),6)</f>
        <v>24.696798000000001</v>
      </c>
      <c r="N128" s="198">
        <f>'02 项目基础信息（输入）'!$C$32</f>
        <v>21931.919999999998</v>
      </c>
      <c r="O128" s="198">
        <f t="shared" si="10"/>
        <v>11.26</v>
      </c>
      <c r="P128" s="198">
        <f>'02 项目基础信息（输入）'!$I$32</f>
        <v>21931.919999999998</v>
      </c>
      <c r="Q128" s="233">
        <f t="shared" si="11"/>
        <v>11.26</v>
      </c>
      <c r="S128" s="234" t="s">
        <v>1313</v>
      </c>
      <c r="U128" s="220" t="s">
        <v>1699</v>
      </c>
      <c r="V128" s="1190">
        <v>49.8919</v>
      </c>
      <c r="W128" s="1190">
        <v>7.9516999999999998</v>
      </c>
      <c r="X128" s="1190">
        <v>11.6374</v>
      </c>
      <c r="Z128">
        <v>11.26</v>
      </c>
      <c r="AB128" s="1356">
        <f t="shared" si="13"/>
        <v>0</v>
      </c>
    </row>
    <row r="129" spans="1:28" ht="20.25" hidden="1" customHeight="1" outlineLevel="3">
      <c r="A129" s="192" t="s">
        <v>1700</v>
      </c>
      <c r="B129" s="192"/>
      <c r="C129" s="197" t="s">
        <v>1609</v>
      </c>
      <c r="D129" s="198">
        <f>'02 项目基础信息（输入）'!$C$32</f>
        <v>21931.919999999998</v>
      </c>
      <c r="E129" s="199" t="s">
        <v>93</v>
      </c>
      <c r="F129" s="197" t="s">
        <v>1701</v>
      </c>
      <c r="G129" s="1042" t="s">
        <v>870</v>
      </c>
      <c r="H129" s="199" t="s">
        <v>298</v>
      </c>
      <c r="I129" s="198">
        <f>G129*D129</f>
        <v>21931.919999999998</v>
      </c>
      <c r="J129" s="199" t="s">
        <v>93</v>
      </c>
      <c r="K129" s="1040">
        <v>4.62158552024807</v>
      </c>
      <c r="L129" s="209" t="s">
        <v>675</v>
      </c>
      <c r="M129" s="198">
        <f>ROUND(K129*I129/10000,6)</f>
        <v>10.136024000000001</v>
      </c>
      <c r="N129" s="198">
        <f>'02 项目基础信息（输入）'!$C$32</f>
        <v>21931.919999999998</v>
      </c>
      <c r="O129" s="198">
        <f t="shared" si="10"/>
        <v>4.62</v>
      </c>
      <c r="P129" s="198">
        <f>'02 项目基础信息（输入）'!$I$32</f>
        <v>21931.919999999998</v>
      </c>
      <c r="Q129" s="233">
        <f t="shared" si="11"/>
        <v>4.62</v>
      </c>
      <c r="S129" s="234"/>
      <c r="U129" s="220" t="s">
        <v>1702</v>
      </c>
      <c r="V129" s="1190">
        <v>43.89</v>
      </c>
      <c r="W129" s="1190">
        <v>7.9516999999999998</v>
      </c>
      <c r="X129" s="1190">
        <v>4.7747000000000002</v>
      </c>
      <c r="Z129">
        <v>4.62</v>
      </c>
      <c r="AB129" s="1356">
        <f t="shared" si="13"/>
        <v>0</v>
      </c>
    </row>
    <row r="130" spans="1:28" ht="20.25" hidden="1" customHeight="1" outlineLevel="3">
      <c r="A130" s="192" t="s">
        <v>1703</v>
      </c>
      <c r="B130" s="192"/>
      <c r="C130" s="197" t="s">
        <v>1609</v>
      </c>
      <c r="D130" s="198">
        <f>'02 项目基础信息（输入）'!$C$32</f>
        <v>21931.919999999998</v>
      </c>
      <c r="E130" s="199" t="s">
        <v>93</v>
      </c>
      <c r="F130" s="197" t="s">
        <v>1704</v>
      </c>
      <c r="G130" s="1042" t="s">
        <v>870</v>
      </c>
      <c r="H130" s="199" t="s">
        <v>298</v>
      </c>
      <c r="I130" s="198">
        <f>G130*D130</f>
        <v>21931.919999999998</v>
      </c>
      <c r="J130" s="199" t="s">
        <v>93</v>
      </c>
      <c r="K130" s="1040">
        <v>6.6390785788463296</v>
      </c>
      <c r="L130" s="209" t="s">
        <v>675</v>
      </c>
      <c r="M130" s="198">
        <f>ROUND(K130*I130/10000,6)</f>
        <v>14.560774</v>
      </c>
      <c r="N130" s="198">
        <f>'02 项目基础信息（输入）'!$C$32</f>
        <v>21931.919999999998</v>
      </c>
      <c r="O130" s="198">
        <f t="shared" si="10"/>
        <v>6.64</v>
      </c>
      <c r="P130" s="198">
        <f>'02 项目基础信息（输入）'!$I$32</f>
        <v>21931.919999999998</v>
      </c>
      <c r="Q130" s="233">
        <f t="shared" si="11"/>
        <v>6.64</v>
      </c>
      <c r="S130" s="234"/>
      <c r="U130" s="220" t="s">
        <v>1705</v>
      </c>
      <c r="V130" s="1190">
        <v>6.0019</v>
      </c>
      <c r="W130" s="1190">
        <v>0</v>
      </c>
      <c r="X130" s="1190">
        <v>6.8625999999999996</v>
      </c>
      <c r="Z130">
        <v>6.64</v>
      </c>
      <c r="AB130" s="1356">
        <f t="shared" si="13"/>
        <v>0</v>
      </c>
    </row>
    <row r="131" spans="1:28" ht="20.25" customHeight="1" outlineLevel="2" collapsed="1">
      <c r="A131" s="192" t="s">
        <v>1706</v>
      </c>
      <c r="B131" s="192"/>
      <c r="C131" s="197" t="s">
        <v>1609</v>
      </c>
      <c r="D131" s="198">
        <f>'02 项目基础信息（输入）'!$C$32</f>
        <v>21931.919999999998</v>
      </c>
      <c r="E131" s="199" t="s">
        <v>93</v>
      </c>
      <c r="F131" s="197"/>
      <c r="G131" s="199"/>
      <c r="H131" s="199"/>
      <c r="I131" s="197"/>
      <c r="J131" s="199"/>
      <c r="K131" s="207"/>
      <c r="L131" s="209"/>
      <c r="M131" s="198">
        <f>ROUND(SUM(M132:M133),6)</f>
        <v>0</v>
      </c>
      <c r="N131" s="198">
        <f>'02 项目基础信息（输入）'!$C$32</f>
        <v>21931.919999999998</v>
      </c>
      <c r="O131" s="198">
        <f t="shared" ref="O131:O194" si="16">ROUND(IFERROR(M131*10000/N131,0),2)</f>
        <v>0</v>
      </c>
      <c r="P131" s="198">
        <f>'02 项目基础信息（输入）'!$I$32</f>
        <v>21931.919999999998</v>
      </c>
      <c r="Q131" s="233">
        <f t="shared" ref="Q131:Q194" si="17">ROUND(IFERROR(M131*10000/P131,0),2)</f>
        <v>0</v>
      </c>
      <c r="S131" s="234" t="s">
        <v>1313</v>
      </c>
      <c r="U131" s="220" t="s">
        <v>1707</v>
      </c>
      <c r="V131" s="1190">
        <v>0</v>
      </c>
      <c r="W131" s="1190">
        <v>0</v>
      </c>
      <c r="X131" s="1190">
        <v>0</v>
      </c>
      <c r="Z131">
        <v>0</v>
      </c>
      <c r="AB131" s="1356">
        <f t="shared" si="13"/>
        <v>0</v>
      </c>
    </row>
    <row r="132" spans="1:28" ht="20.25" hidden="1" customHeight="1" outlineLevel="3">
      <c r="A132" s="192" t="s">
        <v>1708</v>
      </c>
      <c r="B132" s="192"/>
      <c r="C132" s="197" t="s">
        <v>1609</v>
      </c>
      <c r="D132" s="198">
        <f>'02 项目基础信息（输入）'!$C$32</f>
        <v>21931.919999999998</v>
      </c>
      <c r="E132" s="199" t="s">
        <v>93</v>
      </c>
      <c r="F132" s="197" t="s">
        <v>1648</v>
      </c>
      <c r="G132" s="701"/>
      <c r="H132" s="199" t="s">
        <v>298</v>
      </c>
      <c r="I132" s="198">
        <f>G132*D132</f>
        <v>0</v>
      </c>
      <c r="J132" s="199" t="s">
        <v>93</v>
      </c>
      <c r="K132" s="699"/>
      <c r="L132" s="209" t="s">
        <v>675</v>
      </c>
      <c r="M132" s="198">
        <f>ROUND(K132*I132/10000,6)</f>
        <v>0</v>
      </c>
      <c r="N132" s="198">
        <f>'02 项目基础信息（输入）'!$C$32</f>
        <v>21931.919999999998</v>
      </c>
      <c r="O132" s="198">
        <f t="shared" si="16"/>
        <v>0</v>
      </c>
      <c r="P132" s="198">
        <f>'02 项目基础信息（输入）'!$I$32</f>
        <v>21931.919999999998</v>
      </c>
      <c r="Q132" s="233">
        <f t="shared" si="17"/>
        <v>0</v>
      </c>
      <c r="S132" s="234"/>
      <c r="U132" s="220" t="s">
        <v>1709</v>
      </c>
      <c r="V132" s="1190">
        <v>0</v>
      </c>
      <c r="W132" s="1190">
        <v>0</v>
      </c>
      <c r="X132" s="1190">
        <v>0</v>
      </c>
      <c r="Z132">
        <v>0</v>
      </c>
      <c r="AB132" s="1356">
        <f t="shared" si="13"/>
        <v>0</v>
      </c>
    </row>
    <row r="133" spans="1:28" ht="20.25" hidden="1" customHeight="1" outlineLevel="3">
      <c r="A133" s="192" t="s">
        <v>1710</v>
      </c>
      <c r="B133" s="192"/>
      <c r="C133" s="197" t="s">
        <v>1609</v>
      </c>
      <c r="D133" s="198">
        <f>'02 项目基础信息（输入）'!$C$32</f>
        <v>21931.919999999998</v>
      </c>
      <c r="E133" s="199" t="s">
        <v>93</v>
      </c>
      <c r="F133" s="197" t="s">
        <v>1648</v>
      </c>
      <c r="G133" s="701"/>
      <c r="H133" s="199" t="s">
        <v>298</v>
      </c>
      <c r="I133" s="198">
        <f>G133*D133</f>
        <v>0</v>
      </c>
      <c r="J133" s="199" t="s">
        <v>93</v>
      </c>
      <c r="K133" s="699"/>
      <c r="L133" s="209" t="s">
        <v>675</v>
      </c>
      <c r="M133" s="198">
        <f>ROUND(K133*I133/10000,6)</f>
        <v>0</v>
      </c>
      <c r="N133" s="198">
        <f>'02 项目基础信息（输入）'!$C$32</f>
        <v>21931.919999999998</v>
      </c>
      <c r="O133" s="198">
        <f t="shared" si="16"/>
        <v>0</v>
      </c>
      <c r="P133" s="198">
        <f>'02 项目基础信息（输入）'!$I$32</f>
        <v>21931.919999999998</v>
      </c>
      <c r="Q133" s="233">
        <f t="shared" si="17"/>
        <v>0</v>
      </c>
      <c r="S133" s="234"/>
      <c r="U133" s="220" t="s">
        <v>1711</v>
      </c>
      <c r="V133" s="1190">
        <v>0</v>
      </c>
      <c r="W133" s="1190">
        <v>0</v>
      </c>
      <c r="X133" s="1190">
        <v>0</v>
      </c>
      <c r="Z133">
        <v>0</v>
      </c>
      <c r="AB133" s="1356">
        <f t="shared" si="13"/>
        <v>0</v>
      </c>
    </row>
    <row r="134" spans="1:28" ht="20.25" customHeight="1" outlineLevel="2" collapsed="1">
      <c r="A134" s="192" t="s">
        <v>1712</v>
      </c>
      <c r="B134" s="192"/>
      <c r="C134" s="197" t="s">
        <v>1609</v>
      </c>
      <c r="D134" s="198">
        <f>'02 项目基础信息（输入）'!$C$32</f>
        <v>21931.919999999998</v>
      </c>
      <c r="E134" s="199" t="s">
        <v>93</v>
      </c>
      <c r="F134" s="197"/>
      <c r="G134" s="199"/>
      <c r="H134" s="199"/>
      <c r="I134" s="197"/>
      <c r="J134" s="199"/>
      <c r="K134" s="207"/>
      <c r="L134" s="209"/>
      <c r="M134" s="198">
        <f>ROUND(SUM(M135:M152),6)</f>
        <v>669.90417400000001</v>
      </c>
      <c r="N134" s="198">
        <f>'02 项目基础信息（输入）'!$C$32</f>
        <v>21931.919999999998</v>
      </c>
      <c r="O134" s="198">
        <f t="shared" si="16"/>
        <v>305.45</v>
      </c>
      <c r="P134" s="198">
        <f>'02 项目基础信息（输入）'!$I$32</f>
        <v>21931.919999999998</v>
      </c>
      <c r="Q134" s="233">
        <f t="shared" si="17"/>
        <v>305.45</v>
      </c>
      <c r="S134" s="234" t="s">
        <v>1313</v>
      </c>
      <c r="U134" s="220" t="s">
        <v>1713</v>
      </c>
      <c r="V134" s="1190">
        <v>273.3032</v>
      </c>
      <c r="W134" s="1190">
        <v>381.05419999999998</v>
      </c>
      <c r="X134" s="1190">
        <v>218.3964</v>
      </c>
      <c r="Z134">
        <v>298.3</v>
      </c>
      <c r="AB134" s="1356">
        <f t="shared" si="13"/>
        <v>7.1499999999999773</v>
      </c>
    </row>
    <row r="135" spans="1:28" ht="20.25" hidden="1" customHeight="1" outlineLevel="3">
      <c r="A135" s="192" t="s">
        <v>1714</v>
      </c>
      <c r="B135" s="192"/>
      <c r="C135" s="197" t="s">
        <v>1609</v>
      </c>
      <c r="D135" s="198">
        <f>'02 项目基础信息（输入）'!$C$32</f>
        <v>21931.919999999998</v>
      </c>
      <c r="E135" s="199" t="s">
        <v>93</v>
      </c>
      <c r="F135" s="197" t="s">
        <v>1609</v>
      </c>
      <c r="G135" s="199">
        <v>1</v>
      </c>
      <c r="H135" s="199" t="s">
        <v>298</v>
      </c>
      <c r="I135" s="198">
        <f t="shared" ref="I135:I150" si="18">G135*D135</f>
        <v>21931.919999999998</v>
      </c>
      <c r="J135" s="199" t="s">
        <v>93</v>
      </c>
      <c r="K135" s="1040" t="s">
        <v>1715</v>
      </c>
      <c r="L135" s="209" t="s">
        <v>675</v>
      </c>
      <c r="M135" s="198">
        <f t="shared" ref="M135:M152" si="19">ROUND(K135*I135/10000,6)</f>
        <v>654.22917399999994</v>
      </c>
      <c r="N135" s="198">
        <f>'02 项目基础信息（输入）'!$C$32</f>
        <v>21931.919999999998</v>
      </c>
      <c r="O135" s="198">
        <f t="shared" si="16"/>
        <v>298.3</v>
      </c>
      <c r="P135" s="198">
        <f>'02 项目基础信息（输入）'!$I$32</f>
        <v>21931.919999999998</v>
      </c>
      <c r="Q135" s="233">
        <f t="shared" si="17"/>
        <v>298.3</v>
      </c>
      <c r="S135" s="234"/>
      <c r="U135" s="220" t="s">
        <v>1716</v>
      </c>
      <c r="V135" s="1190">
        <v>73.728899999999996</v>
      </c>
      <c r="W135" s="1190">
        <v>54.6616</v>
      </c>
      <c r="X135" s="1190">
        <v>186.86449999999999</v>
      </c>
      <c r="Z135">
        <v>298.3</v>
      </c>
      <c r="AB135" s="1356">
        <f t="shared" si="13"/>
        <v>0</v>
      </c>
    </row>
    <row r="136" spans="1:28" ht="20.25" hidden="1" customHeight="1" outlineLevel="3">
      <c r="A136" s="192" t="s">
        <v>1717</v>
      </c>
      <c r="B136" s="192"/>
      <c r="C136" s="197" t="s">
        <v>1609</v>
      </c>
      <c r="D136" s="198">
        <f>'02 项目基础信息（输入）'!$C$32</f>
        <v>21931.919999999998</v>
      </c>
      <c r="E136" s="199" t="s">
        <v>93</v>
      </c>
      <c r="F136" s="197" t="s">
        <v>1609</v>
      </c>
      <c r="G136" s="199">
        <v>1</v>
      </c>
      <c r="H136" s="199" t="s">
        <v>298</v>
      </c>
      <c r="I136" s="198">
        <f t="shared" si="18"/>
        <v>21931.919999999998</v>
      </c>
      <c r="J136" s="199" t="s">
        <v>93</v>
      </c>
      <c r="K136" s="699"/>
      <c r="L136" s="209" t="s">
        <v>675</v>
      </c>
      <c r="M136" s="198">
        <f t="shared" si="19"/>
        <v>0</v>
      </c>
      <c r="N136" s="198">
        <f>'02 项目基础信息（输入）'!$C$32</f>
        <v>21931.919999999998</v>
      </c>
      <c r="O136" s="198">
        <f t="shared" si="16"/>
        <v>0</v>
      </c>
      <c r="P136" s="198">
        <f>'02 项目基础信息（输入）'!$I$32</f>
        <v>21931.919999999998</v>
      </c>
      <c r="Q136" s="233">
        <f t="shared" si="17"/>
        <v>0</v>
      </c>
      <c r="S136" s="234"/>
      <c r="U136" s="220" t="s">
        <v>1718</v>
      </c>
      <c r="V136" s="1190">
        <v>7.5852000000000004</v>
      </c>
      <c r="W136" s="1190">
        <v>19.590800000000002</v>
      </c>
      <c r="X136" s="1190">
        <v>0</v>
      </c>
      <c r="Z136">
        <v>0</v>
      </c>
      <c r="AB136" s="1356">
        <f t="shared" si="13"/>
        <v>0</v>
      </c>
    </row>
    <row r="137" spans="1:28" ht="20.25" hidden="1" customHeight="1" outlineLevel="3">
      <c r="A137" s="192" t="s">
        <v>1719</v>
      </c>
      <c r="B137" s="192"/>
      <c r="C137" s="197" t="s">
        <v>1609</v>
      </c>
      <c r="D137" s="198">
        <f>'02 项目基础信息（输入）'!$C$32</f>
        <v>21931.919999999998</v>
      </c>
      <c r="E137" s="199" t="s">
        <v>93</v>
      </c>
      <c r="F137" s="197" t="s">
        <v>1609</v>
      </c>
      <c r="G137" s="199">
        <v>1</v>
      </c>
      <c r="H137" s="199" t="s">
        <v>298</v>
      </c>
      <c r="I137" s="198">
        <f t="shared" si="18"/>
        <v>21931.919999999998</v>
      </c>
      <c r="J137" s="199" t="s">
        <v>93</v>
      </c>
      <c r="K137" s="699"/>
      <c r="L137" s="209" t="s">
        <v>675</v>
      </c>
      <c r="M137" s="198">
        <f t="shared" si="19"/>
        <v>0</v>
      </c>
      <c r="N137" s="198">
        <f>'02 项目基础信息（输入）'!$C$32</f>
        <v>21931.919999999998</v>
      </c>
      <c r="O137" s="198">
        <f t="shared" si="16"/>
        <v>0</v>
      </c>
      <c r="P137" s="198">
        <f>'02 项目基础信息（输入）'!$I$32</f>
        <v>21931.919999999998</v>
      </c>
      <c r="Q137" s="233">
        <f t="shared" si="17"/>
        <v>0</v>
      </c>
      <c r="S137" s="234"/>
      <c r="U137" s="220" t="s">
        <v>1720</v>
      </c>
      <c r="V137" s="1190">
        <v>15.7746</v>
      </c>
      <c r="W137" s="1190">
        <v>9.0898000000000003</v>
      </c>
      <c r="X137" s="1190">
        <v>0</v>
      </c>
      <c r="Z137">
        <v>0</v>
      </c>
      <c r="AB137" s="1356">
        <f t="shared" si="13"/>
        <v>0</v>
      </c>
    </row>
    <row r="138" spans="1:28" ht="20.25" hidden="1" customHeight="1" outlineLevel="3">
      <c r="A138" s="192" t="s">
        <v>1721</v>
      </c>
      <c r="B138" s="192"/>
      <c r="C138" s="197" t="s">
        <v>1609</v>
      </c>
      <c r="D138" s="198">
        <f>'02 项目基础信息（输入）'!$C$32</f>
        <v>21931.919999999998</v>
      </c>
      <c r="E138" s="199" t="s">
        <v>93</v>
      </c>
      <c r="F138" s="197" t="s">
        <v>1609</v>
      </c>
      <c r="G138" s="199">
        <v>1</v>
      </c>
      <c r="H138" s="199" t="s">
        <v>298</v>
      </c>
      <c r="I138" s="198">
        <f t="shared" si="18"/>
        <v>21931.919999999998</v>
      </c>
      <c r="J138" s="199" t="s">
        <v>93</v>
      </c>
      <c r="K138" s="699"/>
      <c r="L138" s="209" t="s">
        <v>675</v>
      </c>
      <c r="M138" s="198">
        <f t="shared" si="19"/>
        <v>0</v>
      </c>
      <c r="N138" s="198">
        <f>'02 项目基础信息（输入）'!$C$32</f>
        <v>21931.919999999998</v>
      </c>
      <c r="O138" s="198">
        <f t="shared" si="16"/>
        <v>0</v>
      </c>
      <c r="P138" s="198">
        <f>'02 项目基础信息（输入）'!$I$32</f>
        <v>21931.919999999998</v>
      </c>
      <c r="Q138" s="233">
        <f t="shared" si="17"/>
        <v>0</v>
      </c>
      <c r="S138" s="234"/>
      <c r="U138" s="220" t="s">
        <v>1722</v>
      </c>
      <c r="V138" s="1190">
        <v>0</v>
      </c>
      <c r="W138" s="1190">
        <v>110.10380000000001</v>
      </c>
      <c r="X138" s="1190">
        <v>0</v>
      </c>
      <c r="Z138">
        <v>0</v>
      </c>
      <c r="AB138" s="1356">
        <f t="shared" si="13"/>
        <v>0</v>
      </c>
    </row>
    <row r="139" spans="1:28" ht="20.25" hidden="1" customHeight="1" outlineLevel="3">
      <c r="A139" s="192" t="s">
        <v>1723</v>
      </c>
      <c r="B139" s="192"/>
      <c r="C139" s="197" t="s">
        <v>1609</v>
      </c>
      <c r="D139" s="198">
        <f>'02 项目基础信息（输入）'!$C$32</f>
        <v>21931.919999999998</v>
      </c>
      <c r="E139" s="199" t="s">
        <v>93</v>
      </c>
      <c r="F139" s="197" t="s">
        <v>1609</v>
      </c>
      <c r="G139" s="199">
        <v>1</v>
      </c>
      <c r="H139" s="199" t="s">
        <v>298</v>
      </c>
      <c r="I139" s="198">
        <f t="shared" si="18"/>
        <v>21931.919999999998</v>
      </c>
      <c r="J139" s="199" t="s">
        <v>93</v>
      </c>
      <c r="K139" s="699"/>
      <c r="L139" s="209" t="s">
        <v>675</v>
      </c>
      <c r="M139" s="198">
        <f t="shared" si="19"/>
        <v>0</v>
      </c>
      <c r="N139" s="198">
        <f>'02 项目基础信息（输入）'!$C$32</f>
        <v>21931.919999999998</v>
      </c>
      <c r="O139" s="198">
        <f t="shared" si="16"/>
        <v>0</v>
      </c>
      <c r="P139" s="198">
        <f>'02 项目基础信息（输入）'!$I$32</f>
        <v>21931.919999999998</v>
      </c>
      <c r="Q139" s="233">
        <f t="shared" si="17"/>
        <v>0</v>
      </c>
      <c r="S139" s="234"/>
      <c r="U139" s="220" t="s">
        <v>1724</v>
      </c>
      <c r="V139" s="1190">
        <v>0</v>
      </c>
      <c r="W139" s="1190">
        <v>0</v>
      </c>
      <c r="X139" s="1190">
        <v>0</v>
      </c>
      <c r="Z139">
        <v>0</v>
      </c>
      <c r="AB139" s="1356">
        <f t="shared" si="13"/>
        <v>0</v>
      </c>
    </row>
    <row r="140" spans="1:28" ht="20.25" hidden="1" customHeight="1" outlineLevel="3">
      <c r="A140" s="192" t="s">
        <v>1725</v>
      </c>
      <c r="B140" s="192"/>
      <c r="C140" s="197" t="s">
        <v>1609</v>
      </c>
      <c r="D140" s="198">
        <f>'02 项目基础信息（输入）'!$C$32</f>
        <v>21931.919999999998</v>
      </c>
      <c r="E140" s="199" t="s">
        <v>93</v>
      </c>
      <c r="F140" s="197" t="s">
        <v>1609</v>
      </c>
      <c r="G140" s="199">
        <v>1</v>
      </c>
      <c r="H140" s="199" t="s">
        <v>298</v>
      </c>
      <c r="I140" s="198">
        <f t="shared" si="18"/>
        <v>21931.919999999998</v>
      </c>
      <c r="J140" s="199" t="s">
        <v>93</v>
      </c>
      <c r="K140" s="699"/>
      <c r="L140" s="209" t="s">
        <v>675</v>
      </c>
      <c r="M140" s="198">
        <f t="shared" si="19"/>
        <v>0</v>
      </c>
      <c r="N140" s="198">
        <f>'02 项目基础信息（输入）'!$C$32</f>
        <v>21931.919999999998</v>
      </c>
      <c r="O140" s="198">
        <f t="shared" si="16"/>
        <v>0</v>
      </c>
      <c r="P140" s="198">
        <f>'02 项目基础信息（输入）'!$I$32</f>
        <v>21931.919999999998</v>
      </c>
      <c r="Q140" s="233">
        <f t="shared" si="17"/>
        <v>0</v>
      </c>
      <c r="S140" s="234"/>
      <c r="U140" s="220" t="s">
        <v>1726</v>
      </c>
      <c r="V140" s="1190">
        <v>5.5704000000000002</v>
      </c>
      <c r="W140" s="1190">
        <v>6.1311</v>
      </c>
      <c r="X140" s="1190">
        <v>0</v>
      </c>
      <c r="Z140">
        <v>0</v>
      </c>
      <c r="AB140" s="1356">
        <f t="shared" si="13"/>
        <v>0</v>
      </c>
    </row>
    <row r="141" spans="1:28" ht="20.25" hidden="1" customHeight="1" outlineLevel="3">
      <c r="A141" s="192" t="s">
        <v>1727</v>
      </c>
      <c r="B141" s="192"/>
      <c r="C141" s="197" t="s">
        <v>1609</v>
      </c>
      <c r="D141" s="198">
        <f>'02 项目基础信息（输入）'!$C$32</f>
        <v>21931.919999999998</v>
      </c>
      <c r="E141" s="199" t="s">
        <v>93</v>
      </c>
      <c r="F141" s="197" t="s">
        <v>1609</v>
      </c>
      <c r="G141" s="199">
        <v>1</v>
      </c>
      <c r="H141" s="199" t="s">
        <v>298</v>
      </c>
      <c r="I141" s="198">
        <f t="shared" si="18"/>
        <v>21931.919999999998</v>
      </c>
      <c r="J141" s="199" t="s">
        <v>93</v>
      </c>
      <c r="K141" s="699"/>
      <c r="L141" s="209" t="s">
        <v>675</v>
      </c>
      <c r="M141" s="198">
        <f t="shared" si="19"/>
        <v>0</v>
      </c>
      <c r="N141" s="198">
        <f>'02 项目基础信息（输入）'!$C$32</f>
        <v>21931.919999999998</v>
      </c>
      <c r="O141" s="198">
        <f t="shared" si="16"/>
        <v>0</v>
      </c>
      <c r="P141" s="198">
        <f>'02 项目基础信息（输入）'!$I$32</f>
        <v>21931.919999999998</v>
      </c>
      <c r="Q141" s="233">
        <f t="shared" si="17"/>
        <v>0</v>
      </c>
      <c r="S141" s="234"/>
      <c r="U141" s="220" t="s">
        <v>1728</v>
      </c>
      <c r="V141" s="1190">
        <v>0</v>
      </c>
      <c r="W141" s="1190">
        <v>0</v>
      </c>
      <c r="X141" s="1190">
        <v>12.1447</v>
      </c>
      <c r="Z141">
        <v>0</v>
      </c>
      <c r="AB141" s="1356">
        <f t="shared" si="13"/>
        <v>0</v>
      </c>
    </row>
    <row r="142" spans="1:28" ht="20.25" hidden="1" customHeight="1" outlineLevel="3">
      <c r="A142" s="192" t="s">
        <v>1729</v>
      </c>
      <c r="B142" s="192"/>
      <c r="C142" s="197" t="s">
        <v>1609</v>
      </c>
      <c r="D142" s="198">
        <f>'02 项目基础信息（输入）'!$C$32</f>
        <v>21931.919999999998</v>
      </c>
      <c r="E142" s="199" t="s">
        <v>93</v>
      </c>
      <c r="F142" s="197" t="s">
        <v>1609</v>
      </c>
      <c r="G142" s="199">
        <v>1</v>
      </c>
      <c r="H142" s="199" t="s">
        <v>298</v>
      </c>
      <c r="I142" s="198">
        <f t="shared" si="18"/>
        <v>21931.919999999998</v>
      </c>
      <c r="J142" s="199" t="s">
        <v>93</v>
      </c>
      <c r="K142" s="699"/>
      <c r="L142" s="209" t="s">
        <v>675</v>
      </c>
      <c r="M142" s="198">
        <f t="shared" si="19"/>
        <v>0</v>
      </c>
      <c r="N142" s="198">
        <f>'02 项目基础信息（输入）'!$C$32</f>
        <v>21931.919999999998</v>
      </c>
      <c r="O142" s="198">
        <f t="shared" si="16"/>
        <v>0</v>
      </c>
      <c r="P142" s="198">
        <f>'02 项目基础信息（输入）'!$I$32</f>
        <v>21931.919999999998</v>
      </c>
      <c r="Q142" s="233">
        <f t="shared" si="17"/>
        <v>0</v>
      </c>
      <c r="S142" s="234"/>
      <c r="U142" s="220" t="s">
        <v>1730</v>
      </c>
      <c r="V142" s="1190">
        <v>49.218899999999998</v>
      </c>
      <c r="W142" s="1190">
        <v>58.979300000000002</v>
      </c>
      <c r="X142" s="1190">
        <v>0</v>
      </c>
      <c r="Z142">
        <v>0</v>
      </c>
      <c r="AB142" s="1356">
        <f t="shared" si="13"/>
        <v>0</v>
      </c>
    </row>
    <row r="143" spans="1:28" ht="20.25" hidden="1" customHeight="1" outlineLevel="3">
      <c r="A143" s="192" t="s">
        <v>1731</v>
      </c>
      <c r="B143" s="192"/>
      <c r="C143" s="197" t="s">
        <v>1609</v>
      </c>
      <c r="D143" s="198">
        <f>'02 项目基础信息（输入）'!$C$32</f>
        <v>21931.919999999998</v>
      </c>
      <c r="E143" s="199" t="s">
        <v>93</v>
      </c>
      <c r="F143" s="197" t="s">
        <v>1609</v>
      </c>
      <c r="G143" s="199">
        <v>1</v>
      </c>
      <c r="H143" s="199" t="s">
        <v>298</v>
      </c>
      <c r="I143" s="198">
        <f t="shared" si="18"/>
        <v>21931.919999999998</v>
      </c>
      <c r="J143" s="199" t="s">
        <v>93</v>
      </c>
      <c r="K143" s="699"/>
      <c r="L143" s="209" t="s">
        <v>675</v>
      </c>
      <c r="M143" s="198">
        <f t="shared" si="19"/>
        <v>0</v>
      </c>
      <c r="N143" s="198">
        <f>'02 项目基础信息（输入）'!$C$32</f>
        <v>21931.919999999998</v>
      </c>
      <c r="O143" s="198">
        <f t="shared" si="16"/>
        <v>0</v>
      </c>
      <c r="P143" s="198">
        <f>'02 项目基础信息（输入）'!$I$32</f>
        <v>21931.919999999998</v>
      </c>
      <c r="Q143" s="233">
        <f t="shared" si="17"/>
        <v>0</v>
      </c>
      <c r="S143" s="234"/>
      <c r="U143" s="220" t="s">
        <v>1732</v>
      </c>
      <c r="V143" s="1190">
        <v>0</v>
      </c>
      <c r="W143" s="1190">
        <v>2.0636999999999999</v>
      </c>
      <c r="X143" s="1190">
        <v>0</v>
      </c>
      <c r="Z143">
        <v>0</v>
      </c>
      <c r="AB143" s="1356">
        <f t="shared" si="13"/>
        <v>0</v>
      </c>
    </row>
    <row r="144" spans="1:28" ht="20.25" hidden="1" customHeight="1" outlineLevel="3">
      <c r="A144" s="192" t="s">
        <v>1733</v>
      </c>
      <c r="B144" s="192"/>
      <c r="C144" s="197" t="s">
        <v>1609</v>
      </c>
      <c r="D144" s="198">
        <f>'02 项目基础信息（输入）'!$C$32</f>
        <v>21931.919999999998</v>
      </c>
      <c r="E144" s="199" t="s">
        <v>93</v>
      </c>
      <c r="F144" s="197" t="s">
        <v>1609</v>
      </c>
      <c r="G144" s="199">
        <v>1</v>
      </c>
      <c r="H144" s="199" t="s">
        <v>298</v>
      </c>
      <c r="I144" s="198">
        <f t="shared" si="18"/>
        <v>21931.919999999998</v>
      </c>
      <c r="J144" s="199" t="s">
        <v>93</v>
      </c>
      <c r="K144" s="699"/>
      <c r="L144" s="209" t="s">
        <v>675</v>
      </c>
      <c r="M144" s="198">
        <f t="shared" si="19"/>
        <v>0</v>
      </c>
      <c r="N144" s="198">
        <f>'02 项目基础信息（输入）'!$C$32</f>
        <v>21931.919999999998</v>
      </c>
      <c r="O144" s="198">
        <f t="shared" si="16"/>
        <v>0</v>
      </c>
      <c r="P144" s="198">
        <f>'02 项目基础信息（输入）'!$I$32</f>
        <v>21931.919999999998</v>
      </c>
      <c r="Q144" s="233">
        <f t="shared" si="17"/>
        <v>0</v>
      </c>
      <c r="S144" s="234"/>
      <c r="U144" s="220" t="s">
        <v>1734</v>
      </c>
      <c r="V144" s="1190">
        <v>0.13270000000000001</v>
      </c>
      <c r="W144" s="1190">
        <v>0</v>
      </c>
      <c r="X144" s="1190">
        <v>0</v>
      </c>
      <c r="Z144">
        <v>0</v>
      </c>
      <c r="AB144" s="1356">
        <f t="shared" si="13"/>
        <v>0</v>
      </c>
    </row>
    <row r="145" spans="1:28" ht="20.25" hidden="1" customHeight="1" outlineLevel="3">
      <c r="A145" s="192" t="s">
        <v>1735</v>
      </c>
      <c r="B145" s="192"/>
      <c r="C145" s="197" t="s">
        <v>1609</v>
      </c>
      <c r="D145" s="198">
        <f>'02 项目基础信息（输入）'!$C$32</f>
        <v>21931.919999999998</v>
      </c>
      <c r="E145" s="199" t="s">
        <v>93</v>
      </c>
      <c r="F145" s="197" t="s">
        <v>1609</v>
      </c>
      <c r="G145" s="199">
        <v>1</v>
      </c>
      <c r="H145" s="199" t="s">
        <v>298</v>
      </c>
      <c r="I145" s="198">
        <f t="shared" si="18"/>
        <v>21931.919999999998</v>
      </c>
      <c r="J145" s="199" t="s">
        <v>93</v>
      </c>
      <c r="K145" s="699"/>
      <c r="L145" s="209" t="s">
        <v>675</v>
      </c>
      <c r="M145" s="198">
        <f t="shared" si="19"/>
        <v>0</v>
      </c>
      <c r="N145" s="198">
        <f>'02 项目基础信息（输入）'!$C$32</f>
        <v>21931.919999999998</v>
      </c>
      <c r="O145" s="198">
        <f t="shared" si="16"/>
        <v>0</v>
      </c>
      <c r="P145" s="198">
        <f>'02 项目基础信息（输入）'!$I$32</f>
        <v>21931.919999999998</v>
      </c>
      <c r="Q145" s="233">
        <f t="shared" si="17"/>
        <v>0</v>
      </c>
      <c r="S145" s="234"/>
      <c r="U145" s="220" t="s">
        <v>1736</v>
      </c>
      <c r="V145" s="1190">
        <v>11.6737</v>
      </c>
      <c r="W145" s="1190">
        <v>15.516</v>
      </c>
      <c r="X145" s="1190">
        <v>6.2927</v>
      </c>
      <c r="Z145">
        <v>0</v>
      </c>
      <c r="AB145" s="1356">
        <f t="shared" si="13"/>
        <v>0</v>
      </c>
    </row>
    <row r="146" spans="1:28" ht="20.25" hidden="1" customHeight="1" outlineLevel="3">
      <c r="A146" s="192" t="s">
        <v>1737</v>
      </c>
      <c r="B146" s="192"/>
      <c r="C146" s="197" t="s">
        <v>1609</v>
      </c>
      <c r="D146" s="198">
        <f>'02 项目基础信息（输入）'!$C$32</f>
        <v>21931.919999999998</v>
      </c>
      <c r="E146" s="199" t="s">
        <v>93</v>
      </c>
      <c r="F146" s="197" t="s">
        <v>1609</v>
      </c>
      <c r="G146" s="199">
        <v>1</v>
      </c>
      <c r="H146" s="199" t="s">
        <v>298</v>
      </c>
      <c r="I146" s="198">
        <f t="shared" si="18"/>
        <v>21931.919999999998</v>
      </c>
      <c r="J146" s="199" t="s">
        <v>93</v>
      </c>
      <c r="K146" s="699"/>
      <c r="L146" s="209" t="s">
        <v>675</v>
      </c>
      <c r="M146" s="198">
        <f t="shared" si="19"/>
        <v>0</v>
      </c>
      <c r="N146" s="198">
        <f>'02 项目基础信息（输入）'!$C$32</f>
        <v>21931.919999999998</v>
      </c>
      <c r="O146" s="198">
        <f t="shared" si="16"/>
        <v>0</v>
      </c>
      <c r="P146" s="198">
        <f>'02 项目基础信息（输入）'!$I$32</f>
        <v>21931.919999999998</v>
      </c>
      <c r="Q146" s="233">
        <f t="shared" si="17"/>
        <v>0</v>
      </c>
      <c r="S146" s="234"/>
      <c r="U146" s="220" t="s">
        <v>1738</v>
      </c>
      <c r="V146" s="1190">
        <v>5.0114999999999998</v>
      </c>
      <c r="W146" s="1190">
        <v>5.2961</v>
      </c>
      <c r="X146" s="1190">
        <v>6.6140999999999996</v>
      </c>
      <c r="Z146">
        <v>0</v>
      </c>
      <c r="AB146" s="1356">
        <f t="shared" si="13"/>
        <v>0</v>
      </c>
    </row>
    <row r="147" spans="1:28" ht="20.25" hidden="1" customHeight="1" outlineLevel="3">
      <c r="A147" s="192" t="s">
        <v>1739</v>
      </c>
      <c r="B147" s="192"/>
      <c r="C147" s="197" t="s">
        <v>1609</v>
      </c>
      <c r="D147" s="198">
        <f>'02 项目基础信息（输入）'!$C$32</f>
        <v>21931.919999999998</v>
      </c>
      <c r="E147" s="199" t="s">
        <v>93</v>
      </c>
      <c r="F147" s="197" t="s">
        <v>1609</v>
      </c>
      <c r="G147" s="199">
        <v>1</v>
      </c>
      <c r="H147" s="199" t="s">
        <v>298</v>
      </c>
      <c r="I147" s="198">
        <f t="shared" si="18"/>
        <v>21931.919999999998</v>
      </c>
      <c r="J147" s="199" t="s">
        <v>93</v>
      </c>
      <c r="K147" s="699"/>
      <c r="L147" s="209" t="s">
        <v>675</v>
      </c>
      <c r="M147" s="198">
        <f t="shared" si="19"/>
        <v>0</v>
      </c>
      <c r="N147" s="198">
        <f>'02 项目基础信息（输入）'!$C$32</f>
        <v>21931.919999999998</v>
      </c>
      <c r="O147" s="198">
        <f t="shared" si="16"/>
        <v>0</v>
      </c>
      <c r="P147" s="198">
        <f>'02 项目基础信息（输入）'!$I$32</f>
        <v>21931.919999999998</v>
      </c>
      <c r="Q147" s="233">
        <f t="shared" si="17"/>
        <v>0</v>
      </c>
      <c r="S147" s="234"/>
      <c r="U147" s="220" t="s">
        <v>1740</v>
      </c>
      <c r="V147" s="1190">
        <v>0</v>
      </c>
      <c r="W147" s="1190">
        <v>0</v>
      </c>
      <c r="X147" s="1190">
        <v>0</v>
      </c>
      <c r="Z147">
        <v>0</v>
      </c>
      <c r="AB147" s="1356">
        <f t="shared" si="13"/>
        <v>0</v>
      </c>
    </row>
    <row r="148" spans="1:28" ht="20.25" hidden="1" customHeight="1" outlineLevel="3">
      <c r="A148" s="192" t="s">
        <v>1741</v>
      </c>
      <c r="B148" s="192"/>
      <c r="C148" s="197" t="s">
        <v>1609</v>
      </c>
      <c r="D148" s="198">
        <f>'02 项目基础信息（输入）'!$C$32</f>
        <v>21931.919999999998</v>
      </c>
      <c r="E148" s="199" t="s">
        <v>93</v>
      </c>
      <c r="F148" s="197" t="s">
        <v>1609</v>
      </c>
      <c r="G148" s="199">
        <v>1</v>
      </c>
      <c r="H148" s="199" t="s">
        <v>298</v>
      </c>
      <c r="I148" s="198">
        <f t="shared" si="18"/>
        <v>21931.919999999998</v>
      </c>
      <c r="J148" s="199" t="s">
        <v>93</v>
      </c>
      <c r="K148" s="699"/>
      <c r="L148" s="209" t="s">
        <v>675</v>
      </c>
      <c r="M148" s="198">
        <f t="shared" si="19"/>
        <v>0</v>
      </c>
      <c r="N148" s="198">
        <f>'02 项目基础信息（输入）'!$C$32</f>
        <v>21931.919999999998</v>
      </c>
      <c r="O148" s="198">
        <f t="shared" si="16"/>
        <v>0</v>
      </c>
      <c r="P148" s="198">
        <f>'02 项目基础信息（输入）'!$I$32</f>
        <v>21931.919999999998</v>
      </c>
      <c r="Q148" s="233">
        <f t="shared" si="17"/>
        <v>0</v>
      </c>
      <c r="S148" s="234"/>
      <c r="U148" s="220" t="s">
        <v>1742</v>
      </c>
      <c r="V148" s="1190">
        <v>0</v>
      </c>
      <c r="W148" s="1190">
        <v>0.53720000000000001</v>
      </c>
      <c r="X148" s="1190">
        <v>0</v>
      </c>
      <c r="Z148">
        <v>0</v>
      </c>
      <c r="AB148" s="1356">
        <f t="shared" si="13"/>
        <v>0</v>
      </c>
    </row>
    <row r="149" spans="1:28" ht="20.25" hidden="1" customHeight="1" outlineLevel="3">
      <c r="A149" s="192" t="s">
        <v>1743</v>
      </c>
      <c r="B149" s="192"/>
      <c r="C149" s="197" t="s">
        <v>1609</v>
      </c>
      <c r="D149" s="198">
        <f>'02 项目基础信息（输入）'!$C$32</f>
        <v>21931.919999999998</v>
      </c>
      <c r="E149" s="199" t="s">
        <v>93</v>
      </c>
      <c r="F149" s="197" t="s">
        <v>1609</v>
      </c>
      <c r="G149" s="199">
        <v>1</v>
      </c>
      <c r="H149" s="199" t="s">
        <v>298</v>
      </c>
      <c r="I149" s="198">
        <f t="shared" si="18"/>
        <v>21931.919999999998</v>
      </c>
      <c r="J149" s="199" t="s">
        <v>93</v>
      </c>
      <c r="K149" s="699"/>
      <c r="L149" s="209" t="s">
        <v>675</v>
      </c>
      <c r="M149" s="198">
        <f t="shared" si="19"/>
        <v>0</v>
      </c>
      <c r="N149" s="198">
        <f>'02 项目基础信息（输入）'!$C$32</f>
        <v>21931.919999999998</v>
      </c>
      <c r="O149" s="198">
        <f t="shared" si="16"/>
        <v>0</v>
      </c>
      <c r="P149" s="198">
        <f>'02 项目基础信息（输入）'!$I$32</f>
        <v>21931.919999999998</v>
      </c>
      <c r="Q149" s="233">
        <f t="shared" si="17"/>
        <v>0</v>
      </c>
      <c r="S149" s="234"/>
      <c r="U149" s="220" t="s">
        <v>1744</v>
      </c>
      <c r="V149" s="1190">
        <v>0</v>
      </c>
      <c r="W149" s="1190">
        <v>0</v>
      </c>
      <c r="X149" s="1190">
        <v>0</v>
      </c>
      <c r="Z149">
        <v>0</v>
      </c>
      <c r="AB149" s="1356">
        <f t="shared" si="13"/>
        <v>0</v>
      </c>
    </row>
    <row r="150" spans="1:28" ht="20.25" hidden="1" customHeight="1" outlineLevel="3">
      <c r="A150" s="192" t="s">
        <v>1745</v>
      </c>
      <c r="B150" s="192"/>
      <c r="C150" s="197" t="s">
        <v>1609</v>
      </c>
      <c r="D150" s="198">
        <f>'02 项目基础信息（输入）'!$C$32</f>
        <v>21931.919999999998</v>
      </c>
      <c r="E150" s="199" t="s">
        <v>93</v>
      </c>
      <c r="F150" s="197" t="s">
        <v>1609</v>
      </c>
      <c r="G150" s="199">
        <v>1</v>
      </c>
      <c r="H150" s="199" t="s">
        <v>298</v>
      </c>
      <c r="I150" s="198">
        <f t="shared" si="18"/>
        <v>21931.919999999998</v>
      </c>
      <c r="J150" s="199" t="s">
        <v>93</v>
      </c>
      <c r="K150" s="699"/>
      <c r="L150" s="209" t="s">
        <v>675</v>
      </c>
      <c r="M150" s="198">
        <f t="shared" si="19"/>
        <v>0</v>
      </c>
      <c r="N150" s="198">
        <f>'02 项目基础信息（输入）'!$C$32</f>
        <v>21931.919999999998</v>
      </c>
      <c r="O150" s="198">
        <f t="shared" si="16"/>
        <v>0</v>
      </c>
      <c r="P150" s="198">
        <f>'02 项目基础信息（输入）'!$I$32</f>
        <v>21931.919999999998</v>
      </c>
      <c r="Q150" s="233">
        <f t="shared" si="17"/>
        <v>0</v>
      </c>
      <c r="S150" s="234"/>
      <c r="U150" s="220" t="s">
        <v>1746</v>
      </c>
      <c r="V150" s="1190">
        <v>0</v>
      </c>
      <c r="W150" s="1190">
        <v>0</v>
      </c>
      <c r="X150" s="1190">
        <v>0</v>
      </c>
      <c r="Z150">
        <v>0</v>
      </c>
      <c r="AB150" s="1356">
        <f t="shared" si="13"/>
        <v>0</v>
      </c>
    </row>
    <row r="151" spans="1:28" ht="20.25" hidden="1" customHeight="1" outlineLevel="3">
      <c r="A151" s="192" t="s">
        <v>1747</v>
      </c>
      <c r="B151" s="192"/>
      <c r="C151" s="197" t="s">
        <v>416</v>
      </c>
      <c r="D151" s="198">
        <f>'02 项目基础信息（输入）'!$AJ$32</f>
        <v>156.75</v>
      </c>
      <c r="E151" s="199" t="s">
        <v>417</v>
      </c>
      <c r="F151" s="197" t="s">
        <v>416</v>
      </c>
      <c r="G151" s="199">
        <v>1</v>
      </c>
      <c r="H151" s="199" t="s">
        <v>1748</v>
      </c>
      <c r="I151" s="198">
        <f>'03 成本测算（输入）'!D18</f>
        <v>156.75</v>
      </c>
      <c r="J151" s="199" t="s">
        <v>400</v>
      </c>
      <c r="K151" s="1044">
        <v>1000</v>
      </c>
      <c r="L151" s="209" t="s">
        <v>1749</v>
      </c>
      <c r="M151" s="198">
        <f t="shared" si="19"/>
        <v>15.675000000000001</v>
      </c>
      <c r="N151" s="198">
        <f>'02 项目基础信息（输入）'!$C$32</f>
        <v>21931.919999999998</v>
      </c>
      <c r="O151" s="198">
        <f t="shared" si="16"/>
        <v>7.15</v>
      </c>
      <c r="P151" s="198">
        <f>'02 项目基础信息（输入）'!$I$32</f>
        <v>21931.919999999998</v>
      </c>
      <c r="Q151" s="233">
        <f t="shared" si="17"/>
        <v>7.15</v>
      </c>
      <c r="S151" s="234"/>
      <c r="U151" s="220" t="s">
        <v>1750</v>
      </c>
      <c r="V151" s="1190">
        <v>7.0505000000000004</v>
      </c>
      <c r="W151" s="1190">
        <v>40.295499999999997</v>
      </c>
      <c r="X151" s="1190">
        <v>6.4802999999999997</v>
      </c>
      <c r="Z151">
        <v>0</v>
      </c>
      <c r="AB151" s="1356">
        <f t="shared" si="13"/>
        <v>7.15</v>
      </c>
    </row>
    <row r="152" spans="1:28" ht="20.25" hidden="1" customHeight="1" outlineLevel="3">
      <c r="A152" s="192" t="s">
        <v>1751</v>
      </c>
      <c r="B152" s="192"/>
      <c r="C152" s="197" t="s">
        <v>1609</v>
      </c>
      <c r="D152" s="198">
        <f>'02 项目基础信息（输入）'!$C$32</f>
        <v>21931.919999999998</v>
      </c>
      <c r="E152" s="199" t="s">
        <v>93</v>
      </c>
      <c r="F152" s="197" t="s">
        <v>1609</v>
      </c>
      <c r="G152" s="199">
        <v>1</v>
      </c>
      <c r="H152" s="199" t="s">
        <v>298</v>
      </c>
      <c r="I152" s="198">
        <f>G152*D152</f>
        <v>21931.919999999998</v>
      </c>
      <c r="J152" s="199" t="s">
        <v>93</v>
      </c>
      <c r="K152" s="699"/>
      <c r="L152" s="209" t="s">
        <v>675</v>
      </c>
      <c r="M152" s="198">
        <f t="shared" si="19"/>
        <v>0</v>
      </c>
      <c r="N152" s="198">
        <f>'02 项目基础信息（输入）'!$C$32</f>
        <v>21931.919999999998</v>
      </c>
      <c r="O152" s="198">
        <f t="shared" si="16"/>
        <v>0</v>
      </c>
      <c r="P152" s="198">
        <f>'02 项目基础信息（输入）'!$I$32</f>
        <v>21931.919999999998</v>
      </c>
      <c r="Q152" s="233">
        <f t="shared" si="17"/>
        <v>0</v>
      </c>
      <c r="S152" s="234"/>
      <c r="U152" s="220" t="s">
        <v>1752</v>
      </c>
      <c r="V152" s="1190">
        <v>97.556399999999996</v>
      </c>
      <c r="W152" s="1190">
        <v>58.788699999999999</v>
      </c>
      <c r="X152" s="1190">
        <v>0</v>
      </c>
      <c r="Z152">
        <v>0</v>
      </c>
      <c r="AB152" s="1356">
        <f t="shared" si="13"/>
        <v>0</v>
      </c>
    </row>
    <row r="153" spans="1:28" ht="20.25" customHeight="1" outlineLevel="2" collapsed="1">
      <c r="A153" s="192" t="s">
        <v>1753</v>
      </c>
      <c r="B153" s="192"/>
      <c r="C153" s="197" t="s">
        <v>1609</v>
      </c>
      <c r="D153" s="198">
        <f>'02 项目基础信息（输入）'!$C$32</f>
        <v>21931.919999999998</v>
      </c>
      <c r="E153" s="199" t="s">
        <v>93</v>
      </c>
      <c r="F153" s="197"/>
      <c r="G153" s="199"/>
      <c r="H153" s="199"/>
      <c r="I153" s="197"/>
      <c r="J153" s="199"/>
      <c r="K153" s="207"/>
      <c r="L153" s="209"/>
      <c r="M153" s="198">
        <f>ROUND(SUM(M154:M164),6)</f>
        <v>223.13535400000001</v>
      </c>
      <c r="N153" s="198">
        <f>'02 项目基础信息（输入）'!$C$32</f>
        <v>21931.919999999998</v>
      </c>
      <c r="O153" s="198">
        <f t="shared" si="16"/>
        <v>101.74</v>
      </c>
      <c r="P153" s="198">
        <f>'02 项目基础信息（输入）'!$I$32</f>
        <v>21931.919999999998</v>
      </c>
      <c r="Q153" s="233">
        <f t="shared" si="17"/>
        <v>101.74</v>
      </c>
      <c r="S153" s="234" t="s">
        <v>1313</v>
      </c>
      <c r="U153" s="220" t="s">
        <v>1754</v>
      </c>
      <c r="V153" s="1190">
        <v>168.453</v>
      </c>
      <c r="W153" s="1190">
        <v>129.0009</v>
      </c>
      <c r="X153" s="1190">
        <v>75.426500000000004</v>
      </c>
      <c r="Z153">
        <v>101.74</v>
      </c>
      <c r="AB153" s="1356">
        <f t="shared" si="13"/>
        <v>0</v>
      </c>
    </row>
    <row r="154" spans="1:28" ht="20.25" hidden="1" customHeight="1" outlineLevel="3">
      <c r="A154" s="192" t="s">
        <v>1755</v>
      </c>
      <c r="B154" s="192"/>
      <c r="C154" s="197" t="s">
        <v>1609</v>
      </c>
      <c r="D154" s="198">
        <f>'02 项目基础信息（输入）'!$C$32</f>
        <v>21931.919999999998</v>
      </c>
      <c r="E154" s="199" t="s">
        <v>93</v>
      </c>
      <c r="F154" s="197" t="s">
        <v>1609</v>
      </c>
      <c r="G154" s="199">
        <v>1</v>
      </c>
      <c r="H154" s="199" t="s">
        <v>298</v>
      </c>
      <c r="I154" s="198">
        <f t="shared" ref="I154:I164" si="20">G154*D154</f>
        <v>21931.919999999998</v>
      </c>
      <c r="J154" s="199" t="s">
        <v>93</v>
      </c>
      <c r="K154" s="1040">
        <v>101.74</v>
      </c>
      <c r="L154" s="209" t="s">
        <v>675</v>
      </c>
      <c r="M154" s="198">
        <f t="shared" ref="M154:M164" si="21">ROUND(K154*I154/10000,6)</f>
        <v>223.13535400000001</v>
      </c>
      <c r="N154" s="198">
        <f>'02 项目基础信息（输入）'!$C$32</f>
        <v>21931.919999999998</v>
      </c>
      <c r="O154" s="198">
        <f t="shared" si="16"/>
        <v>101.74</v>
      </c>
      <c r="P154" s="198">
        <f>'02 项目基础信息（输入）'!$I$32</f>
        <v>21931.919999999998</v>
      </c>
      <c r="Q154" s="233">
        <f t="shared" si="17"/>
        <v>101.74</v>
      </c>
      <c r="S154" s="234"/>
      <c r="U154" s="220" t="s">
        <v>1756</v>
      </c>
      <c r="V154" s="1190">
        <v>14.5351</v>
      </c>
      <c r="W154" s="1190">
        <v>64.875100000000003</v>
      </c>
      <c r="X154" s="1190">
        <v>7.5259999999999998</v>
      </c>
      <c r="Z154">
        <v>101.74</v>
      </c>
      <c r="AB154" s="1356">
        <f t="shared" si="13"/>
        <v>0</v>
      </c>
    </row>
    <row r="155" spans="1:28" ht="20.25" hidden="1" customHeight="1" outlineLevel="3">
      <c r="A155" s="192" t="s">
        <v>1757</v>
      </c>
      <c r="B155" s="192"/>
      <c r="C155" s="197" t="s">
        <v>1609</v>
      </c>
      <c r="D155" s="198">
        <f>'02 项目基础信息（输入）'!$C$32</f>
        <v>21931.919999999998</v>
      </c>
      <c r="E155" s="199" t="s">
        <v>93</v>
      </c>
      <c r="F155" s="197" t="s">
        <v>1609</v>
      </c>
      <c r="G155" s="199">
        <v>1</v>
      </c>
      <c r="H155" s="199" t="s">
        <v>298</v>
      </c>
      <c r="I155" s="198">
        <f t="shared" si="20"/>
        <v>21931.919999999998</v>
      </c>
      <c r="J155" s="199" t="s">
        <v>93</v>
      </c>
      <c r="K155" s="699"/>
      <c r="L155" s="209" t="s">
        <v>675</v>
      </c>
      <c r="M155" s="198">
        <f t="shared" si="21"/>
        <v>0</v>
      </c>
      <c r="N155" s="198">
        <f>'02 项目基础信息（输入）'!$C$32</f>
        <v>21931.919999999998</v>
      </c>
      <c r="O155" s="198">
        <f t="shared" si="16"/>
        <v>0</v>
      </c>
      <c r="P155" s="198">
        <f>'02 项目基础信息（输入）'!$I$32</f>
        <v>21931.919999999998</v>
      </c>
      <c r="Q155" s="233">
        <f t="shared" si="17"/>
        <v>0</v>
      </c>
      <c r="S155" s="234"/>
      <c r="U155" s="220" t="s">
        <v>1758</v>
      </c>
      <c r="V155" s="1190">
        <v>37.082500000000003</v>
      </c>
      <c r="W155" s="1190">
        <v>0</v>
      </c>
      <c r="X155" s="1190">
        <v>37.882100000000001</v>
      </c>
      <c r="Z155">
        <v>0</v>
      </c>
      <c r="AB155" s="1356">
        <f t="shared" si="13"/>
        <v>0</v>
      </c>
    </row>
    <row r="156" spans="1:28" ht="20.25" hidden="1" customHeight="1" outlineLevel="3">
      <c r="A156" s="192" t="s">
        <v>1759</v>
      </c>
      <c r="B156" s="192"/>
      <c r="C156" s="197" t="s">
        <v>1609</v>
      </c>
      <c r="D156" s="198">
        <f>'02 项目基础信息（输入）'!$C$32</f>
        <v>21931.919999999998</v>
      </c>
      <c r="E156" s="199" t="s">
        <v>93</v>
      </c>
      <c r="F156" s="197" t="s">
        <v>1609</v>
      </c>
      <c r="G156" s="199">
        <v>1</v>
      </c>
      <c r="H156" s="199" t="s">
        <v>298</v>
      </c>
      <c r="I156" s="198">
        <f t="shared" si="20"/>
        <v>21931.919999999998</v>
      </c>
      <c r="J156" s="199" t="s">
        <v>93</v>
      </c>
      <c r="K156" s="699"/>
      <c r="L156" s="209" t="s">
        <v>675</v>
      </c>
      <c r="M156" s="198">
        <f t="shared" si="21"/>
        <v>0</v>
      </c>
      <c r="N156" s="198">
        <f>'02 项目基础信息（输入）'!$C$32</f>
        <v>21931.919999999998</v>
      </c>
      <c r="O156" s="198">
        <f t="shared" si="16"/>
        <v>0</v>
      </c>
      <c r="P156" s="198">
        <f>'02 项目基础信息（输入）'!$I$32</f>
        <v>21931.919999999998</v>
      </c>
      <c r="Q156" s="233">
        <f t="shared" si="17"/>
        <v>0</v>
      </c>
      <c r="S156" s="234"/>
      <c r="U156" s="220" t="s">
        <v>1760</v>
      </c>
      <c r="V156" s="1190">
        <v>28.3994</v>
      </c>
      <c r="W156" s="1190">
        <v>28.200500000000002</v>
      </c>
      <c r="X156" s="1190">
        <v>27.9663</v>
      </c>
      <c r="Z156">
        <v>0</v>
      </c>
      <c r="AB156" s="1356">
        <f t="shared" si="13"/>
        <v>0</v>
      </c>
    </row>
    <row r="157" spans="1:28" ht="20.25" hidden="1" customHeight="1" outlineLevel="3">
      <c r="A157" s="192" t="s">
        <v>1761</v>
      </c>
      <c r="B157" s="192"/>
      <c r="C157" s="197" t="s">
        <v>1609</v>
      </c>
      <c r="D157" s="198">
        <f>'02 项目基础信息（输入）'!$C$32</f>
        <v>21931.919999999998</v>
      </c>
      <c r="E157" s="199" t="s">
        <v>93</v>
      </c>
      <c r="F157" s="197" t="s">
        <v>1609</v>
      </c>
      <c r="G157" s="199">
        <v>1</v>
      </c>
      <c r="H157" s="199" t="s">
        <v>298</v>
      </c>
      <c r="I157" s="198">
        <f t="shared" si="20"/>
        <v>21931.919999999998</v>
      </c>
      <c r="J157" s="199" t="s">
        <v>93</v>
      </c>
      <c r="K157" s="699"/>
      <c r="L157" s="209" t="s">
        <v>675</v>
      </c>
      <c r="M157" s="198">
        <f t="shared" si="21"/>
        <v>0</v>
      </c>
      <c r="N157" s="198">
        <f>'02 项目基础信息（输入）'!$C$32</f>
        <v>21931.919999999998</v>
      </c>
      <c r="O157" s="198">
        <f t="shared" si="16"/>
        <v>0</v>
      </c>
      <c r="P157" s="198">
        <f>'02 项目基础信息（输入）'!$I$32</f>
        <v>21931.919999999998</v>
      </c>
      <c r="Q157" s="233">
        <f t="shared" si="17"/>
        <v>0</v>
      </c>
      <c r="S157" s="234"/>
      <c r="U157" s="220" t="s">
        <v>1762</v>
      </c>
      <c r="V157" s="1190">
        <v>71.482900000000001</v>
      </c>
      <c r="W157" s="1190">
        <v>0</v>
      </c>
      <c r="X157" s="1190">
        <v>0</v>
      </c>
      <c r="Z157">
        <v>0</v>
      </c>
      <c r="AB157" s="1356">
        <f t="shared" si="13"/>
        <v>0</v>
      </c>
    </row>
    <row r="158" spans="1:28" ht="20.25" hidden="1" customHeight="1" outlineLevel="3">
      <c r="A158" s="192" t="s">
        <v>1763</v>
      </c>
      <c r="B158" s="192"/>
      <c r="C158" s="197" t="s">
        <v>1609</v>
      </c>
      <c r="D158" s="198">
        <f>'02 项目基础信息（输入）'!$C$32</f>
        <v>21931.919999999998</v>
      </c>
      <c r="E158" s="199" t="s">
        <v>93</v>
      </c>
      <c r="F158" s="197" t="s">
        <v>1609</v>
      </c>
      <c r="G158" s="199">
        <v>1</v>
      </c>
      <c r="H158" s="199" t="s">
        <v>298</v>
      </c>
      <c r="I158" s="198">
        <f t="shared" si="20"/>
        <v>21931.919999999998</v>
      </c>
      <c r="J158" s="199" t="s">
        <v>93</v>
      </c>
      <c r="K158" s="699"/>
      <c r="L158" s="209" t="s">
        <v>675</v>
      </c>
      <c r="M158" s="198">
        <f t="shared" si="21"/>
        <v>0</v>
      </c>
      <c r="N158" s="198">
        <f>'02 项目基础信息（输入）'!$C$32</f>
        <v>21931.919999999998</v>
      </c>
      <c r="O158" s="198">
        <f t="shared" si="16"/>
        <v>0</v>
      </c>
      <c r="P158" s="198">
        <f>'02 项目基础信息（输入）'!$I$32</f>
        <v>21931.919999999998</v>
      </c>
      <c r="Q158" s="233">
        <f t="shared" si="17"/>
        <v>0</v>
      </c>
      <c r="S158" s="234"/>
      <c r="U158" s="220" t="s">
        <v>1764</v>
      </c>
      <c r="V158" s="1190">
        <v>0</v>
      </c>
      <c r="W158" s="1190">
        <v>0</v>
      </c>
      <c r="X158" s="1190">
        <v>0</v>
      </c>
      <c r="Z158">
        <v>0</v>
      </c>
      <c r="AB158" s="1356">
        <f t="shared" si="13"/>
        <v>0</v>
      </c>
    </row>
    <row r="159" spans="1:28" ht="20.25" hidden="1" customHeight="1" outlineLevel="3">
      <c r="A159" s="192" t="s">
        <v>1765</v>
      </c>
      <c r="B159" s="192"/>
      <c r="C159" s="197" t="s">
        <v>1609</v>
      </c>
      <c r="D159" s="198">
        <f>'02 项目基础信息（输入）'!$C$32</f>
        <v>21931.919999999998</v>
      </c>
      <c r="E159" s="199" t="s">
        <v>93</v>
      </c>
      <c r="F159" s="197" t="s">
        <v>1609</v>
      </c>
      <c r="G159" s="199">
        <v>1</v>
      </c>
      <c r="H159" s="199" t="s">
        <v>298</v>
      </c>
      <c r="I159" s="198">
        <f t="shared" si="20"/>
        <v>21931.919999999998</v>
      </c>
      <c r="J159" s="199" t="s">
        <v>93</v>
      </c>
      <c r="K159" s="699"/>
      <c r="L159" s="209" t="s">
        <v>675</v>
      </c>
      <c r="M159" s="198">
        <f t="shared" si="21"/>
        <v>0</v>
      </c>
      <c r="N159" s="198">
        <f>'02 项目基础信息（输入）'!$C$32</f>
        <v>21931.919999999998</v>
      </c>
      <c r="O159" s="198">
        <f t="shared" si="16"/>
        <v>0</v>
      </c>
      <c r="P159" s="198">
        <f>'02 项目基础信息（输入）'!$I$32</f>
        <v>21931.919999999998</v>
      </c>
      <c r="Q159" s="233">
        <f t="shared" si="17"/>
        <v>0</v>
      </c>
      <c r="S159" s="234"/>
      <c r="U159" s="220" t="s">
        <v>1766</v>
      </c>
      <c r="V159" s="1190">
        <v>6.4219999999999997</v>
      </c>
      <c r="W159" s="1190">
        <v>5.2123999999999997</v>
      </c>
      <c r="X159" s="1190">
        <v>0</v>
      </c>
      <c r="Z159">
        <v>0</v>
      </c>
      <c r="AB159" s="1356">
        <f t="shared" ref="AB159:AB222" si="22">O159-Z159</f>
        <v>0</v>
      </c>
    </row>
    <row r="160" spans="1:28" ht="20.25" hidden="1" customHeight="1" outlineLevel="3">
      <c r="A160" s="192" t="s">
        <v>1767</v>
      </c>
      <c r="B160" s="192"/>
      <c r="C160" s="197" t="s">
        <v>1609</v>
      </c>
      <c r="D160" s="198">
        <f>'02 项目基础信息（输入）'!$C$32</f>
        <v>21931.919999999998</v>
      </c>
      <c r="E160" s="199" t="s">
        <v>93</v>
      </c>
      <c r="F160" s="197" t="s">
        <v>1609</v>
      </c>
      <c r="G160" s="199">
        <v>1</v>
      </c>
      <c r="H160" s="199" t="s">
        <v>298</v>
      </c>
      <c r="I160" s="198">
        <f t="shared" si="20"/>
        <v>21931.919999999998</v>
      </c>
      <c r="J160" s="199" t="s">
        <v>93</v>
      </c>
      <c r="K160" s="699"/>
      <c r="L160" s="209" t="s">
        <v>675</v>
      </c>
      <c r="M160" s="198">
        <f t="shared" si="21"/>
        <v>0</v>
      </c>
      <c r="N160" s="198">
        <f>'02 项目基础信息（输入）'!$C$32</f>
        <v>21931.919999999998</v>
      </c>
      <c r="O160" s="198">
        <f t="shared" si="16"/>
        <v>0</v>
      </c>
      <c r="P160" s="198">
        <f>'02 项目基础信息（输入）'!$I$32</f>
        <v>21931.919999999998</v>
      </c>
      <c r="Q160" s="233">
        <f t="shared" si="17"/>
        <v>0</v>
      </c>
      <c r="S160" s="234"/>
      <c r="U160" s="220" t="s">
        <v>1768</v>
      </c>
      <c r="V160" s="1190">
        <v>0</v>
      </c>
      <c r="W160" s="1190">
        <v>0</v>
      </c>
      <c r="X160" s="1190">
        <v>0</v>
      </c>
      <c r="Z160">
        <v>0</v>
      </c>
      <c r="AB160" s="1356">
        <f t="shared" si="22"/>
        <v>0</v>
      </c>
    </row>
    <row r="161" spans="1:28" ht="20.25" hidden="1" customHeight="1" outlineLevel="3">
      <c r="A161" s="192" t="s">
        <v>1769</v>
      </c>
      <c r="B161" s="192"/>
      <c r="C161" s="197" t="s">
        <v>1609</v>
      </c>
      <c r="D161" s="198">
        <f>'02 项目基础信息（输入）'!$C$32</f>
        <v>21931.919999999998</v>
      </c>
      <c r="E161" s="199" t="s">
        <v>93</v>
      </c>
      <c r="F161" s="197" t="s">
        <v>1609</v>
      </c>
      <c r="G161" s="199">
        <v>1</v>
      </c>
      <c r="H161" s="199" t="s">
        <v>298</v>
      </c>
      <c r="I161" s="198">
        <f t="shared" si="20"/>
        <v>21931.919999999998</v>
      </c>
      <c r="J161" s="199" t="s">
        <v>93</v>
      </c>
      <c r="K161" s="699"/>
      <c r="L161" s="209" t="s">
        <v>675</v>
      </c>
      <c r="M161" s="198">
        <f t="shared" si="21"/>
        <v>0</v>
      </c>
      <c r="N161" s="198">
        <f>'02 项目基础信息（输入）'!$C$32</f>
        <v>21931.919999999998</v>
      </c>
      <c r="O161" s="198">
        <f t="shared" si="16"/>
        <v>0</v>
      </c>
      <c r="P161" s="198">
        <f>'02 项目基础信息（输入）'!$I$32</f>
        <v>21931.919999999998</v>
      </c>
      <c r="Q161" s="233">
        <f t="shared" si="17"/>
        <v>0</v>
      </c>
      <c r="S161" s="234"/>
      <c r="U161" s="220" t="s">
        <v>1770</v>
      </c>
      <c r="V161" s="1190">
        <v>0</v>
      </c>
      <c r="W161" s="1190">
        <v>0</v>
      </c>
      <c r="X161" s="1190">
        <v>0</v>
      </c>
      <c r="Z161">
        <v>0</v>
      </c>
      <c r="AB161" s="1356">
        <f t="shared" si="22"/>
        <v>0</v>
      </c>
    </row>
    <row r="162" spans="1:28" ht="20.25" hidden="1" customHeight="1" outlineLevel="3">
      <c r="A162" s="192" t="s">
        <v>1771</v>
      </c>
      <c r="B162" s="192"/>
      <c r="C162" s="197" t="s">
        <v>1609</v>
      </c>
      <c r="D162" s="198">
        <f>'02 项目基础信息（输入）'!$C$32</f>
        <v>21931.919999999998</v>
      </c>
      <c r="E162" s="199" t="s">
        <v>93</v>
      </c>
      <c r="F162" s="197" t="s">
        <v>1609</v>
      </c>
      <c r="G162" s="199">
        <v>1</v>
      </c>
      <c r="H162" s="199" t="s">
        <v>298</v>
      </c>
      <c r="I162" s="198">
        <f t="shared" si="20"/>
        <v>21931.919999999998</v>
      </c>
      <c r="J162" s="199" t="s">
        <v>93</v>
      </c>
      <c r="K162" s="699"/>
      <c r="L162" s="209" t="s">
        <v>675</v>
      </c>
      <c r="M162" s="198">
        <f t="shared" si="21"/>
        <v>0</v>
      </c>
      <c r="N162" s="198">
        <f>'02 项目基础信息（输入）'!$C$32</f>
        <v>21931.919999999998</v>
      </c>
      <c r="O162" s="198">
        <f t="shared" si="16"/>
        <v>0</v>
      </c>
      <c r="P162" s="198">
        <f>'02 项目基础信息（输入）'!$I$32</f>
        <v>21931.919999999998</v>
      </c>
      <c r="Q162" s="233">
        <f t="shared" si="17"/>
        <v>0</v>
      </c>
      <c r="S162" s="234"/>
      <c r="U162" s="220" t="s">
        <v>1772</v>
      </c>
      <c r="V162" s="1190">
        <v>0</v>
      </c>
      <c r="W162" s="1190">
        <v>5.5997000000000003</v>
      </c>
      <c r="X162" s="1190">
        <v>2.052</v>
      </c>
      <c r="Z162">
        <v>0</v>
      </c>
      <c r="AB162" s="1356">
        <f t="shared" si="22"/>
        <v>0</v>
      </c>
    </row>
    <row r="163" spans="1:28" ht="20.25" hidden="1" customHeight="1" outlineLevel="3">
      <c r="A163" s="192" t="s">
        <v>1773</v>
      </c>
      <c r="B163" s="192"/>
      <c r="C163" s="197" t="s">
        <v>1609</v>
      </c>
      <c r="D163" s="198">
        <f>'02 项目基础信息（输入）'!$C$32</f>
        <v>21931.919999999998</v>
      </c>
      <c r="E163" s="199" t="s">
        <v>93</v>
      </c>
      <c r="F163" s="197" t="s">
        <v>1609</v>
      </c>
      <c r="G163" s="199">
        <v>1</v>
      </c>
      <c r="H163" s="199" t="s">
        <v>298</v>
      </c>
      <c r="I163" s="198">
        <f t="shared" si="20"/>
        <v>21931.919999999998</v>
      </c>
      <c r="J163" s="199" t="s">
        <v>93</v>
      </c>
      <c r="K163" s="699"/>
      <c r="L163" s="209" t="s">
        <v>675</v>
      </c>
      <c r="M163" s="198">
        <f t="shared" si="21"/>
        <v>0</v>
      </c>
      <c r="N163" s="198">
        <f>'02 项目基础信息（输入）'!$C$32</f>
        <v>21931.919999999998</v>
      </c>
      <c r="O163" s="198">
        <f t="shared" si="16"/>
        <v>0</v>
      </c>
      <c r="P163" s="198">
        <f>'02 项目基础信息（输入）'!$I$32</f>
        <v>21931.919999999998</v>
      </c>
      <c r="Q163" s="233">
        <f t="shared" si="17"/>
        <v>0</v>
      </c>
      <c r="S163" s="234"/>
      <c r="U163" s="220" t="s">
        <v>1774</v>
      </c>
      <c r="V163" s="1190">
        <v>0</v>
      </c>
      <c r="W163" s="1190">
        <v>7.3665000000000003</v>
      </c>
      <c r="X163" s="1190">
        <v>0</v>
      </c>
      <c r="Z163">
        <v>0</v>
      </c>
      <c r="AB163" s="1356">
        <f t="shared" si="22"/>
        <v>0</v>
      </c>
    </row>
    <row r="164" spans="1:28" ht="20.25" hidden="1" customHeight="1" outlineLevel="3">
      <c r="A164" s="192" t="s">
        <v>1775</v>
      </c>
      <c r="B164" s="192"/>
      <c r="C164" s="197" t="s">
        <v>1609</v>
      </c>
      <c r="D164" s="198">
        <f>'02 项目基础信息（输入）'!$C$32</f>
        <v>21931.919999999998</v>
      </c>
      <c r="E164" s="199" t="s">
        <v>93</v>
      </c>
      <c r="F164" s="197" t="s">
        <v>1609</v>
      </c>
      <c r="G164" s="199">
        <v>1</v>
      </c>
      <c r="H164" s="199" t="s">
        <v>298</v>
      </c>
      <c r="I164" s="198">
        <f t="shared" si="20"/>
        <v>21931.919999999998</v>
      </c>
      <c r="J164" s="199" t="s">
        <v>93</v>
      </c>
      <c r="K164" s="699"/>
      <c r="L164" s="209" t="s">
        <v>675</v>
      </c>
      <c r="M164" s="198">
        <f t="shared" si="21"/>
        <v>0</v>
      </c>
      <c r="N164" s="198">
        <f>'02 项目基础信息（输入）'!$C$32</f>
        <v>21931.919999999998</v>
      </c>
      <c r="O164" s="198">
        <f t="shared" si="16"/>
        <v>0</v>
      </c>
      <c r="P164" s="198">
        <f>'02 项目基础信息（输入）'!$I$32</f>
        <v>21931.919999999998</v>
      </c>
      <c r="Q164" s="233">
        <f t="shared" si="17"/>
        <v>0</v>
      </c>
      <c r="S164" s="234"/>
      <c r="U164" s="220" t="s">
        <v>1776</v>
      </c>
      <c r="V164" s="1190">
        <v>10.530799999999999</v>
      </c>
      <c r="W164" s="1190">
        <v>17.746400000000001</v>
      </c>
      <c r="X164" s="1190">
        <v>0</v>
      </c>
      <c r="Z164">
        <v>0</v>
      </c>
      <c r="AB164" s="1356">
        <f t="shared" si="22"/>
        <v>0</v>
      </c>
    </row>
    <row r="165" spans="1:28" ht="20.25" customHeight="1" outlineLevel="2" collapsed="1">
      <c r="A165" s="192" t="s">
        <v>1777</v>
      </c>
      <c r="B165" s="192"/>
      <c r="C165" s="197" t="s">
        <v>1609</v>
      </c>
      <c r="D165" s="198">
        <f>'02 项目基础信息（输入）'!$C$32</f>
        <v>21931.919999999998</v>
      </c>
      <c r="E165" s="199" t="s">
        <v>93</v>
      </c>
      <c r="F165" s="197"/>
      <c r="G165" s="199"/>
      <c r="H165" s="199"/>
      <c r="I165" s="197"/>
      <c r="J165" s="199"/>
      <c r="K165" s="207"/>
      <c r="L165" s="209"/>
      <c r="M165" s="198">
        <f>ROUND(SUM(M166),6)</f>
        <v>0</v>
      </c>
      <c r="N165" s="198">
        <f>'02 项目基础信息（输入）'!$C$32</f>
        <v>21931.919999999998</v>
      </c>
      <c r="O165" s="198">
        <f t="shared" si="16"/>
        <v>0</v>
      </c>
      <c r="P165" s="198">
        <f>'02 项目基础信息（输入）'!$I$32</f>
        <v>21931.919999999998</v>
      </c>
      <c r="Q165" s="233">
        <f t="shared" si="17"/>
        <v>0</v>
      </c>
      <c r="S165" s="234" t="s">
        <v>1313</v>
      </c>
      <c r="U165" s="220" t="s">
        <v>1778</v>
      </c>
      <c r="V165" s="1190">
        <v>0</v>
      </c>
      <c r="W165" s="1190">
        <v>0</v>
      </c>
      <c r="X165" s="1190">
        <v>0</v>
      </c>
      <c r="Z165">
        <v>0</v>
      </c>
      <c r="AB165" s="1356">
        <f t="shared" si="22"/>
        <v>0</v>
      </c>
    </row>
    <row r="166" spans="1:28" ht="20.25" hidden="1" customHeight="1" outlineLevel="3">
      <c r="A166" s="192" t="s">
        <v>1779</v>
      </c>
      <c r="B166" s="192"/>
      <c r="C166" s="197" t="s">
        <v>1609</v>
      </c>
      <c r="D166" s="198">
        <f>'02 项目基础信息（输入）'!$C$32</f>
        <v>21931.919999999998</v>
      </c>
      <c r="E166" s="199" t="s">
        <v>93</v>
      </c>
      <c r="F166" s="197" t="s">
        <v>984</v>
      </c>
      <c r="G166" s="199">
        <v>0</v>
      </c>
      <c r="H166" s="199" t="s">
        <v>966</v>
      </c>
      <c r="I166" s="198">
        <f>G166*D166</f>
        <v>0</v>
      </c>
      <c r="J166" s="199" t="s">
        <v>1617</v>
      </c>
      <c r="K166" s="207">
        <v>0</v>
      </c>
      <c r="L166" s="209" t="s">
        <v>664</v>
      </c>
      <c r="M166" s="198">
        <f>ROUND(K166*I166/10000,6)</f>
        <v>0</v>
      </c>
      <c r="N166" s="198">
        <f>'02 项目基础信息（输入）'!$C$32</f>
        <v>21931.919999999998</v>
      </c>
      <c r="O166" s="198">
        <f t="shared" si="16"/>
        <v>0</v>
      </c>
      <c r="P166" s="198">
        <f>'02 项目基础信息（输入）'!$I$32</f>
        <v>21931.919999999998</v>
      </c>
      <c r="Q166" s="233">
        <f t="shared" si="17"/>
        <v>0</v>
      </c>
      <c r="S166" s="234"/>
      <c r="U166" s="220" t="s">
        <v>1780</v>
      </c>
      <c r="V166" s="1190">
        <v>0</v>
      </c>
      <c r="W166" s="1190">
        <v>0</v>
      </c>
      <c r="X166" s="1190">
        <v>0</v>
      </c>
      <c r="Z166">
        <v>0</v>
      </c>
      <c r="AB166" s="1356">
        <f t="shared" si="22"/>
        <v>0</v>
      </c>
    </row>
    <row r="167" spans="1:28" ht="20.25" customHeight="1" outlineLevel="2" collapsed="1">
      <c r="A167" s="192" t="s">
        <v>1781</v>
      </c>
      <c r="B167" s="192"/>
      <c r="C167" s="197" t="s">
        <v>1609</v>
      </c>
      <c r="D167" s="198">
        <f>'02 项目基础信息（输入）'!$C$32</f>
        <v>21931.919999999998</v>
      </c>
      <c r="E167" s="199" t="s">
        <v>93</v>
      </c>
      <c r="F167" s="197"/>
      <c r="G167" s="199"/>
      <c r="H167" s="199"/>
      <c r="I167" s="197"/>
      <c r="J167" s="199"/>
      <c r="K167" s="207"/>
      <c r="L167" s="209"/>
      <c r="M167" s="198">
        <f>ROUND(SUM(M168:M168),6)</f>
        <v>0</v>
      </c>
      <c r="N167" s="198">
        <f>'02 项目基础信息（输入）'!$C$32</f>
        <v>21931.919999999998</v>
      </c>
      <c r="O167" s="198">
        <f t="shared" si="16"/>
        <v>0</v>
      </c>
      <c r="P167" s="198">
        <f>'02 项目基础信息（输入）'!$I$32</f>
        <v>21931.919999999998</v>
      </c>
      <c r="Q167" s="233">
        <f t="shared" si="17"/>
        <v>0</v>
      </c>
      <c r="S167" s="234" t="s">
        <v>1314</v>
      </c>
      <c r="U167" s="220" t="s">
        <v>1782</v>
      </c>
      <c r="V167" s="1190">
        <v>0</v>
      </c>
      <c r="W167" s="1190">
        <v>0</v>
      </c>
      <c r="X167" s="1190">
        <v>0</v>
      </c>
      <c r="Z167">
        <v>0</v>
      </c>
      <c r="AB167" s="1356">
        <f t="shared" si="22"/>
        <v>0</v>
      </c>
    </row>
    <row r="168" spans="1:28" ht="20.25" hidden="1" customHeight="1" outlineLevel="3">
      <c r="A168" s="192" t="s">
        <v>1783</v>
      </c>
      <c r="B168" s="192"/>
      <c r="C168" s="197" t="s">
        <v>309</v>
      </c>
      <c r="D168" s="198">
        <f>'02 项目基础信息（输入）'!$AC$32</f>
        <v>0</v>
      </c>
      <c r="E168" s="199" t="s">
        <v>310</v>
      </c>
      <c r="F168" s="197" t="s">
        <v>1784</v>
      </c>
      <c r="G168" s="199">
        <v>1</v>
      </c>
      <c r="H168" s="199" t="s">
        <v>1784</v>
      </c>
      <c r="I168" s="198">
        <f>G168*D168</f>
        <v>0</v>
      </c>
      <c r="J168" s="199" t="s">
        <v>1600</v>
      </c>
      <c r="K168" s="207">
        <v>0</v>
      </c>
      <c r="L168" s="209" t="s">
        <v>1601</v>
      </c>
      <c r="M168" s="198">
        <f>ROUND(K168*I168/10000,6)</f>
        <v>0</v>
      </c>
      <c r="N168" s="198">
        <f>'02 项目基础信息（输入）'!$C$32</f>
        <v>21931.919999999998</v>
      </c>
      <c r="O168" s="198">
        <f t="shared" si="16"/>
        <v>0</v>
      </c>
      <c r="P168" s="198">
        <f>'02 项目基础信息（输入）'!$I$32</f>
        <v>21931.919999999998</v>
      </c>
      <c r="Q168" s="233">
        <f t="shared" si="17"/>
        <v>0</v>
      </c>
      <c r="S168" s="234"/>
      <c r="U168" s="220" t="s">
        <v>1785</v>
      </c>
      <c r="V168" s="1190">
        <v>0</v>
      </c>
      <c r="W168" s="1190">
        <v>0</v>
      </c>
      <c r="X168" s="1190">
        <v>0</v>
      </c>
      <c r="Z168">
        <v>0</v>
      </c>
      <c r="AB168" s="1356">
        <f t="shared" si="22"/>
        <v>0</v>
      </c>
    </row>
    <row r="169" spans="1:28" ht="20.25" customHeight="1" outlineLevel="2" collapsed="1">
      <c r="A169" s="192" t="s">
        <v>1786</v>
      </c>
      <c r="B169" s="192"/>
      <c r="C169" s="197" t="s">
        <v>1609</v>
      </c>
      <c r="D169" s="198">
        <f>'02 项目基础信息（输入）'!$C$32</f>
        <v>21931.919999999998</v>
      </c>
      <c r="E169" s="199" t="s">
        <v>93</v>
      </c>
      <c r="F169" s="197"/>
      <c r="G169" s="199"/>
      <c r="H169" s="199"/>
      <c r="I169" s="197"/>
      <c r="J169" s="199"/>
      <c r="K169" s="207"/>
      <c r="L169" s="209"/>
      <c r="M169" s="198">
        <f>ROUND(SUM(M170:M170),6)</f>
        <v>0</v>
      </c>
      <c r="N169" s="198">
        <f>'02 项目基础信息（输入）'!$C$32</f>
        <v>21931.919999999998</v>
      </c>
      <c r="O169" s="198">
        <f t="shared" si="16"/>
        <v>0</v>
      </c>
      <c r="P169" s="198">
        <f>'02 项目基础信息（输入）'!$I$32</f>
        <v>21931.919999999998</v>
      </c>
      <c r="Q169" s="233">
        <f t="shared" si="17"/>
        <v>0</v>
      </c>
      <c r="S169" s="234" t="s">
        <v>1314</v>
      </c>
      <c r="U169" s="220" t="s">
        <v>1787</v>
      </c>
      <c r="V169" s="1190">
        <v>0</v>
      </c>
      <c r="W169" s="1190">
        <v>0</v>
      </c>
      <c r="X169" s="1190">
        <v>0</v>
      </c>
      <c r="Z169">
        <v>0</v>
      </c>
      <c r="AB169" s="1356">
        <f t="shared" si="22"/>
        <v>0</v>
      </c>
    </row>
    <row r="170" spans="1:28" ht="20.25" hidden="1" customHeight="1" outlineLevel="3">
      <c r="A170" s="192" t="s">
        <v>1788</v>
      </c>
      <c r="B170" s="192"/>
      <c r="C170" s="197" t="s">
        <v>1609</v>
      </c>
      <c r="D170" s="198">
        <f>'02 项目基础信息（输入）'!$C$32</f>
        <v>21931.919999999998</v>
      </c>
      <c r="E170" s="199" t="s">
        <v>93</v>
      </c>
      <c r="F170" s="197" t="s">
        <v>1609</v>
      </c>
      <c r="G170" s="199">
        <v>1</v>
      </c>
      <c r="H170" s="199" t="s">
        <v>298</v>
      </c>
      <c r="I170" s="198">
        <f>G170*D170</f>
        <v>21931.919999999998</v>
      </c>
      <c r="J170" s="199" t="s">
        <v>93</v>
      </c>
      <c r="K170" s="207">
        <v>0</v>
      </c>
      <c r="L170" s="209" t="s">
        <v>675</v>
      </c>
      <c r="M170" s="198">
        <f>ROUND(K170*I170/10000,6)</f>
        <v>0</v>
      </c>
      <c r="N170" s="198">
        <f>'02 项目基础信息（输入）'!$C$32</f>
        <v>21931.919999999998</v>
      </c>
      <c r="O170" s="198">
        <f t="shared" si="16"/>
        <v>0</v>
      </c>
      <c r="P170" s="198">
        <f>'02 项目基础信息（输入）'!$I$32</f>
        <v>21931.919999999998</v>
      </c>
      <c r="Q170" s="233">
        <f t="shared" si="17"/>
        <v>0</v>
      </c>
      <c r="S170" s="234"/>
      <c r="U170" s="220" t="s">
        <v>1789</v>
      </c>
      <c r="V170" s="1190">
        <v>0</v>
      </c>
      <c r="W170" s="1190">
        <v>0</v>
      </c>
      <c r="X170" s="1190">
        <v>0</v>
      </c>
      <c r="Z170">
        <v>0</v>
      </c>
      <c r="AB170" s="1356">
        <f t="shared" si="22"/>
        <v>0</v>
      </c>
    </row>
    <row r="171" spans="1:28" ht="20.25" customHeight="1" outlineLevel="2" collapsed="1">
      <c r="A171" s="192" t="s">
        <v>1790</v>
      </c>
      <c r="B171" s="192"/>
      <c r="C171" s="197" t="s">
        <v>1609</v>
      </c>
      <c r="D171" s="198">
        <f>'02 项目基础信息（输入）'!$C$32</f>
        <v>21931.919999999998</v>
      </c>
      <c r="E171" s="199" t="s">
        <v>93</v>
      </c>
      <c r="F171" s="197"/>
      <c r="G171" s="199"/>
      <c r="H171" s="199"/>
      <c r="I171" s="197"/>
      <c r="J171" s="199"/>
      <c r="K171" s="207"/>
      <c r="L171" s="209"/>
      <c r="M171" s="198">
        <f>ROUND(SUM(M172:M175),6)</f>
        <v>0</v>
      </c>
      <c r="N171" s="198">
        <f>'02 项目基础信息（输入）'!$C$32</f>
        <v>21931.919999999998</v>
      </c>
      <c r="O171" s="198">
        <f t="shared" si="16"/>
        <v>0</v>
      </c>
      <c r="P171" s="198">
        <f>'02 项目基础信息（输入）'!$I$32</f>
        <v>21931.919999999998</v>
      </c>
      <c r="Q171" s="233">
        <f t="shared" si="17"/>
        <v>0</v>
      </c>
      <c r="S171" s="234" t="s">
        <v>1313</v>
      </c>
      <c r="U171" s="220" t="s">
        <v>1791</v>
      </c>
      <c r="V171" s="1190">
        <v>0</v>
      </c>
      <c r="W171" s="1190">
        <v>0</v>
      </c>
      <c r="X171" s="1190">
        <v>0</v>
      </c>
      <c r="Z171">
        <v>0</v>
      </c>
      <c r="AB171" s="1356">
        <f t="shared" si="22"/>
        <v>0</v>
      </c>
    </row>
    <row r="172" spans="1:28" ht="20.25" hidden="1" customHeight="1" outlineLevel="3">
      <c r="A172" s="192" t="s">
        <v>1792</v>
      </c>
      <c r="B172" s="192"/>
      <c r="C172" s="197" t="s">
        <v>1609</v>
      </c>
      <c r="D172" s="198">
        <f>'02 项目基础信息（输入）'!$C$32</f>
        <v>21931.919999999998</v>
      </c>
      <c r="E172" s="199" t="s">
        <v>93</v>
      </c>
      <c r="F172" s="197" t="s">
        <v>727</v>
      </c>
      <c r="G172" s="199">
        <v>1</v>
      </c>
      <c r="H172" s="199" t="s">
        <v>298</v>
      </c>
      <c r="I172" s="198">
        <f>G172*D172</f>
        <v>21931.919999999998</v>
      </c>
      <c r="J172" s="199" t="s">
        <v>93</v>
      </c>
      <c r="K172" s="207">
        <v>0</v>
      </c>
      <c r="L172" s="209" t="s">
        <v>675</v>
      </c>
      <c r="M172" s="198">
        <f>ROUND(K172*I172/10000,6)</f>
        <v>0</v>
      </c>
      <c r="N172" s="198">
        <f>'02 项目基础信息（输入）'!$C$32</f>
        <v>21931.919999999998</v>
      </c>
      <c r="O172" s="198">
        <f t="shared" si="16"/>
        <v>0</v>
      </c>
      <c r="P172" s="198">
        <f>'02 项目基础信息（输入）'!$I$32</f>
        <v>21931.919999999998</v>
      </c>
      <c r="Q172" s="233">
        <f t="shared" si="17"/>
        <v>0</v>
      </c>
      <c r="S172" s="234"/>
      <c r="U172" s="220" t="s">
        <v>1793</v>
      </c>
      <c r="V172" s="1190">
        <v>0</v>
      </c>
      <c r="W172" s="1190">
        <v>0</v>
      </c>
      <c r="X172" s="1190">
        <v>0</v>
      </c>
      <c r="Z172">
        <v>0</v>
      </c>
      <c r="AB172" s="1356">
        <f t="shared" si="22"/>
        <v>0</v>
      </c>
    </row>
    <row r="173" spans="1:28" ht="20.25" hidden="1" customHeight="1" outlineLevel="3">
      <c r="A173" s="192" t="s">
        <v>1794</v>
      </c>
      <c r="B173" s="192"/>
      <c r="C173" s="197" t="s">
        <v>1609</v>
      </c>
      <c r="D173" s="198">
        <f>'02 项目基础信息（输入）'!$C$32</f>
        <v>21931.919999999998</v>
      </c>
      <c r="E173" s="199" t="s">
        <v>93</v>
      </c>
      <c r="F173" s="197" t="s">
        <v>727</v>
      </c>
      <c r="G173" s="199">
        <v>1</v>
      </c>
      <c r="H173" s="199" t="s">
        <v>298</v>
      </c>
      <c r="I173" s="198">
        <f>G173*D173</f>
        <v>21931.919999999998</v>
      </c>
      <c r="J173" s="199" t="s">
        <v>93</v>
      </c>
      <c r="K173" s="207">
        <v>0</v>
      </c>
      <c r="L173" s="209" t="s">
        <v>675</v>
      </c>
      <c r="M173" s="198">
        <f>ROUND(K173*I173/10000,6)</f>
        <v>0</v>
      </c>
      <c r="N173" s="198">
        <f>'02 项目基础信息（输入）'!$C$32</f>
        <v>21931.919999999998</v>
      </c>
      <c r="O173" s="198">
        <f t="shared" si="16"/>
        <v>0</v>
      </c>
      <c r="P173" s="198">
        <f>'02 项目基础信息（输入）'!$I$32</f>
        <v>21931.919999999998</v>
      </c>
      <c r="Q173" s="233">
        <f t="shared" si="17"/>
        <v>0</v>
      </c>
      <c r="S173" s="234"/>
      <c r="U173" s="220" t="s">
        <v>1795</v>
      </c>
      <c r="V173" s="1190">
        <v>0</v>
      </c>
      <c r="W173" s="1190">
        <v>0</v>
      </c>
      <c r="X173" s="1190">
        <v>0</v>
      </c>
      <c r="Z173">
        <v>0</v>
      </c>
      <c r="AB173" s="1356">
        <f t="shared" si="22"/>
        <v>0</v>
      </c>
    </row>
    <row r="174" spans="1:28" ht="20.25" hidden="1" customHeight="1" outlineLevel="3">
      <c r="A174" s="192" t="s">
        <v>1796</v>
      </c>
      <c r="B174" s="192"/>
      <c r="C174" s="197" t="s">
        <v>1609</v>
      </c>
      <c r="D174" s="198">
        <f>'02 项目基础信息（输入）'!$C$32</f>
        <v>21931.919999999998</v>
      </c>
      <c r="E174" s="199" t="s">
        <v>93</v>
      </c>
      <c r="F174" s="197" t="s">
        <v>727</v>
      </c>
      <c r="G174" s="199">
        <v>1</v>
      </c>
      <c r="H174" s="199" t="s">
        <v>298</v>
      </c>
      <c r="I174" s="198">
        <f>G174*D174</f>
        <v>21931.919999999998</v>
      </c>
      <c r="J174" s="199" t="s">
        <v>93</v>
      </c>
      <c r="K174" s="207">
        <v>0</v>
      </c>
      <c r="L174" s="209" t="s">
        <v>675</v>
      </c>
      <c r="M174" s="198">
        <f>ROUND(K174*I174/10000,6)</f>
        <v>0</v>
      </c>
      <c r="N174" s="198">
        <f>'02 项目基础信息（输入）'!$C$32</f>
        <v>21931.919999999998</v>
      </c>
      <c r="O174" s="198">
        <f t="shared" si="16"/>
        <v>0</v>
      </c>
      <c r="P174" s="198">
        <f>'02 项目基础信息（输入）'!$I$32</f>
        <v>21931.919999999998</v>
      </c>
      <c r="Q174" s="233">
        <f t="shared" si="17"/>
        <v>0</v>
      </c>
      <c r="S174" s="234"/>
      <c r="U174" s="220" t="s">
        <v>1797</v>
      </c>
      <c r="V174" s="1190">
        <v>0</v>
      </c>
      <c r="W174" s="1190">
        <v>0</v>
      </c>
      <c r="X174" s="1190">
        <v>0</v>
      </c>
      <c r="Z174">
        <v>0</v>
      </c>
      <c r="AB174" s="1356">
        <f t="shared" si="22"/>
        <v>0</v>
      </c>
    </row>
    <row r="175" spans="1:28" ht="20.25" hidden="1" customHeight="1" outlineLevel="3">
      <c r="A175" s="192" t="s">
        <v>1798</v>
      </c>
      <c r="B175" s="192"/>
      <c r="C175" s="197" t="s">
        <v>1609</v>
      </c>
      <c r="D175" s="198">
        <f>'02 项目基础信息（输入）'!$C$32</f>
        <v>21931.919999999998</v>
      </c>
      <c r="E175" s="199" t="s">
        <v>93</v>
      </c>
      <c r="F175" s="197" t="s">
        <v>727</v>
      </c>
      <c r="G175" s="199">
        <v>1</v>
      </c>
      <c r="H175" s="199" t="s">
        <v>298</v>
      </c>
      <c r="I175" s="198">
        <f>G175*D175</f>
        <v>21931.919999999998</v>
      </c>
      <c r="J175" s="199" t="s">
        <v>93</v>
      </c>
      <c r="K175" s="207">
        <v>0</v>
      </c>
      <c r="L175" s="209" t="s">
        <v>675</v>
      </c>
      <c r="M175" s="198">
        <f>ROUND(K175*I175/10000,6)</f>
        <v>0</v>
      </c>
      <c r="N175" s="198">
        <f>'02 项目基础信息（输入）'!$C$32</f>
        <v>21931.919999999998</v>
      </c>
      <c r="O175" s="198">
        <f t="shared" si="16"/>
        <v>0</v>
      </c>
      <c r="P175" s="198">
        <f>'02 项目基础信息（输入）'!$I$32</f>
        <v>21931.919999999998</v>
      </c>
      <c r="Q175" s="233">
        <f t="shared" si="17"/>
        <v>0</v>
      </c>
      <c r="S175" s="234"/>
      <c r="U175" s="220" t="s">
        <v>1799</v>
      </c>
      <c r="V175" s="1190">
        <v>0</v>
      </c>
      <c r="W175" s="1190">
        <v>0</v>
      </c>
      <c r="X175" s="1190">
        <v>0</v>
      </c>
      <c r="Z175">
        <v>0</v>
      </c>
      <c r="AB175" s="1356">
        <f t="shared" si="22"/>
        <v>0</v>
      </c>
    </row>
    <row r="176" spans="1:28" ht="20.25" customHeight="1" outlineLevel="2" collapsed="1">
      <c r="A176" s="192" t="s">
        <v>1800</v>
      </c>
      <c r="B176" s="192"/>
      <c r="C176" s="197" t="s">
        <v>1609</v>
      </c>
      <c r="D176" s="198">
        <f>'02 项目基础信息（输入）'!$C$32</f>
        <v>21931.919999999998</v>
      </c>
      <c r="E176" s="199" t="s">
        <v>93</v>
      </c>
      <c r="F176" s="197"/>
      <c r="G176" s="199"/>
      <c r="H176" s="199"/>
      <c r="I176" s="197"/>
      <c r="J176" s="199"/>
      <c r="K176" s="207"/>
      <c r="L176" s="209"/>
      <c r="M176" s="198">
        <f>ROUND(SUM(M177:M192),6)</f>
        <v>0</v>
      </c>
      <c r="N176" s="198">
        <f>'02 项目基础信息（输入）'!$C$32</f>
        <v>21931.919999999998</v>
      </c>
      <c r="O176" s="198">
        <f t="shared" si="16"/>
        <v>0</v>
      </c>
      <c r="P176" s="198">
        <f>'02 项目基础信息（输入）'!$I$32</f>
        <v>21931.919999999998</v>
      </c>
      <c r="Q176" s="233">
        <f t="shared" si="17"/>
        <v>0</v>
      </c>
      <c r="S176" s="234" t="s">
        <v>1314</v>
      </c>
      <c r="U176" s="220" t="s">
        <v>1801</v>
      </c>
      <c r="V176" s="1190">
        <v>5.2744999999999997</v>
      </c>
      <c r="W176" s="1190">
        <v>0</v>
      </c>
      <c r="X176" s="1190">
        <v>0</v>
      </c>
      <c r="Z176">
        <v>0</v>
      </c>
      <c r="AB176" s="1356">
        <f t="shared" si="22"/>
        <v>0</v>
      </c>
    </row>
    <row r="177" spans="1:28" ht="20.25" hidden="1" customHeight="1" outlineLevel="3">
      <c r="A177" s="192" t="s">
        <v>1802</v>
      </c>
      <c r="B177" s="192"/>
      <c r="C177" s="197" t="s">
        <v>476</v>
      </c>
      <c r="D177" s="198">
        <f>'02 项目基础信息（输入）'!$AF$32</f>
        <v>0</v>
      </c>
      <c r="E177" s="199" t="s">
        <v>93</v>
      </c>
      <c r="F177" s="197" t="s">
        <v>1803</v>
      </c>
      <c r="G177" s="199">
        <v>0</v>
      </c>
      <c r="H177" s="199" t="s">
        <v>123</v>
      </c>
      <c r="I177" s="198">
        <f t="shared" ref="I177:I190" si="23">G177*D177/100</f>
        <v>0</v>
      </c>
      <c r="J177" s="199" t="s">
        <v>93</v>
      </c>
      <c r="K177" s="207">
        <v>0</v>
      </c>
      <c r="L177" s="209" t="s">
        <v>675</v>
      </c>
      <c r="M177" s="198">
        <f t="shared" ref="M177:M192" si="24">ROUND(K177*I177/10000,6)</f>
        <v>0</v>
      </c>
      <c r="N177" s="198">
        <f>'02 项目基础信息（输入）'!$C$32</f>
        <v>21931.919999999998</v>
      </c>
      <c r="O177" s="198">
        <f t="shared" si="16"/>
        <v>0</v>
      </c>
      <c r="P177" s="198">
        <f>'02 项目基础信息（输入）'!$I$32</f>
        <v>21931.919999999998</v>
      </c>
      <c r="Q177" s="233">
        <f t="shared" si="17"/>
        <v>0</v>
      </c>
      <c r="S177" s="234"/>
      <c r="U177" s="220" t="s">
        <v>1804</v>
      </c>
      <c r="V177" s="1190">
        <v>0</v>
      </c>
      <c r="W177" s="1190">
        <v>0</v>
      </c>
      <c r="X177" s="1190">
        <v>0</v>
      </c>
      <c r="Z177">
        <v>0</v>
      </c>
      <c r="AB177" s="1356">
        <f t="shared" si="22"/>
        <v>0</v>
      </c>
    </row>
    <row r="178" spans="1:28" ht="20.25" hidden="1" customHeight="1" outlineLevel="3">
      <c r="A178" s="192" t="s">
        <v>1805</v>
      </c>
      <c r="B178" s="192"/>
      <c r="C178" s="197" t="s">
        <v>476</v>
      </c>
      <c r="D178" s="198">
        <f>'02 项目基础信息（输入）'!$AF$32</f>
        <v>0</v>
      </c>
      <c r="E178" s="199" t="s">
        <v>93</v>
      </c>
      <c r="F178" s="197" t="s">
        <v>1803</v>
      </c>
      <c r="G178" s="199">
        <v>0</v>
      </c>
      <c r="H178" s="199" t="s">
        <v>123</v>
      </c>
      <c r="I178" s="198">
        <f t="shared" si="23"/>
        <v>0</v>
      </c>
      <c r="J178" s="199" t="s">
        <v>93</v>
      </c>
      <c r="K178" s="207">
        <v>0</v>
      </c>
      <c r="L178" s="209" t="s">
        <v>675</v>
      </c>
      <c r="M178" s="198">
        <f t="shared" si="24"/>
        <v>0</v>
      </c>
      <c r="N178" s="198">
        <f>'02 项目基础信息（输入）'!$C$32</f>
        <v>21931.919999999998</v>
      </c>
      <c r="O178" s="198">
        <f t="shared" si="16"/>
        <v>0</v>
      </c>
      <c r="P178" s="198">
        <f>'02 项目基础信息（输入）'!$I$32</f>
        <v>21931.919999999998</v>
      </c>
      <c r="Q178" s="233">
        <f t="shared" si="17"/>
        <v>0</v>
      </c>
      <c r="S178" s="234"/>
      <c r="U178" s="220" t="s">
        <v>1806</v>
      </c>
      <c r="V178" s="1190">
        <v>0</v>
      </c>
      <c r="W178" s="1190">
        <v>0</v>
      </c>
      <c r="X178" s="1190">
        <v>0</v>
      </c>
      <c r="Z178">
        <v>0</v>
      </c>
      <c r="AB178" s="1356">
        <f t="shared" si="22"/>
        <v>0</v>
      </c>
    </row>
    <row r="179" spans="1:28" ht="20.25" hidden="1" customHeight="1" outlineLevel="3">
      <c r="A179" s="192" t="s">
        <v>1807</v>
      </c>
      <c r="B179" s="192"/>
      <c r="C179" s="197" t="s">
        <v>476</v>
      </c>
      <c r="D179" s="198">
        <f>'02 项目基础信息（输入）'!$AF$32</f>
        <v>0</v>
      </c>
      <c r="E179" s="199" t="s">
        <v>93</v>
      </c>
      <c r="F179" s="197" t="s">
        <v>1803</v>
      </c>
      <c r="G179" s="199">
        <v>0</v>
      </c>
      <c r="H179" s="199" t="s">
        <v>123</v>
      </c>
      <c r="I179" s="198">
        <f t="shared" si="23"/>
        <v>0</v>
      </c>
      <c r="J179" s="199" t="s">
        <v>93</v>
      </c>
      <c r="K179" s="207">
        <v>0</v>
      </c>
      <c r="L179" s="209" t="s">
        <v>675</v>
      </c>
      <c r="M179" s="198">
        <f t="shared" si="24"/>
        <v>0</v>
      </c>
      <c r="N179" s="198">
        <f>'02 项目基础信息（输入）'!$C$32</f>
        <v>21931.919999999998</v>
      </c>
      <c r="O179" s="198">
        <f t="shared" si="16"/>
        <v>0</v>
      </c>
      <c r="P179" s="198">
        <f>'02 项目基础信息（输入）'!$I$32</f>
        <v>21931.919999999998</v>
      </c>
      <c r="Q179" s="233">
        <f t="shared" si="17"/>
        <v>0</v>
      </c>
      <c r="S179" s="234"/>
      <c r="U179" s="220" t="s">
        <v>1808</v>
      </c>
      <c r="V179" s="1190">
        <v>0</v>
      </c>
      <c r="W179" s="1190">
        <v>0</v>
      </c>
      <c r="X179" s="1190">
        <v>0</v>
      </c>
      <c r="Z179">
        <v>0</v>
      </c>
      <c r="AB179" s="1356">
        <f t="shared" si="22"/>
        <v>0</v>
      </c>
    </row>
    <row r="180" spans="1:28" ht="20.25" hidden="1" customHeight="1" outlineLevel="3">
      <c r="A180" s="192" t="s">
        <v>1809</v>
      </c>
      <c r="B180" s="192"/>
      <c r="C180" s="197" t="s">
        <v>476</v>
      </c>
      <c r="D180" s="198">
        <f>'02 项目基础信息（输入）'!$AF$32</f>
        <v>0</v>
      </c>
      <c r="E180" s="199" t="s">
        <v>93</v>
      </c>
      <c r="F180" s="197" t="s">
        <v>1803</v>
      </c>
      <c r="G180" s="199">
        <v>0</v>
      </c>
      <c r="H180" s="199" t="s">
        <v>123</v>
      </c>
      <c r="I180" s="198">
        <f t="shared" si="23"/>
        <v>0</v>
      </c>
      <c r="J180" s="199" t="s">
        <v>93</v>
      </c>
      <c r="K180" s="207">
        <v>0</v>
      </c>
      <c r="L180" s="209" t="s">
        <v>675</v>
      </c>
      <c r="M180" s="198">
        <f t="shared" si="24"/>
        <v>0</v>
      </c>
      <c r="N180" s="198">
        <f>'02 项目基础信息（输入）'!$C$32</f>
        <v>21931.919999999998</v>
      </c>
      <c r="O180" s="198">
        <f t="shared" si="16"/>
        <v>0</v>
      </c>
      <c r="P180" s="198">
        <f>'02 项目基础信息（输入）'!$I$32</f>
        <v>21931.919999999998</v>
      </c>
      <c r="Q180" s="233">
        <f t="shared" si="17"/>
        <v>0</v>
      </c>
      <c r="S180" s="234"/>
      <c r="U180" s="220" t="s">
        <v>1810</v>
      </c>
      <c r="V180" s="1190">
        <v>0</v>
      </c>
      <c r="W180" s="1190">
        <v>0</v>
      </c>
      <c r="X180" s="1190">
        <v>0</v>
      </c>
      <c r="Z180">
        <v>0</v>
      </c>
      <c r="AB180" s="1356">
        <f t="shared" si="22"/>
        <v>0</v>
      </c>
    </row>
    <row r="181" spans="1:28" ht="20.25" hidden="1" customHeight="1" outlineLevel="3">
      <c r="A181" s="192" t="s">
        <v>1811</v>
      </c>
      <c r="B181" s="192"/>
      <c r="C181" s="197" t="s">
        <v>476</v>
      </c>
      <c r="D181" s="198">
        <f>'02 项目基础信息（输入）'!$AF$32</f>
        <v>0</v>
      </c>
      <c r="E181" s="199" t="s">
        <v>93</v>
      </c>
      <c r="F181" s="197" t="s">
        <v>1803</v>
      </c>
      <c r="G181" s="199">
        <v>0</v>
      </c>
      <c r="H181" s="199" t="s">
        <v>123</v>
      </c>
      <c r="I181" s="198">
        <f t="shared" si="23"/>
        <v>0</v>
      </c>
      <c r="J181" s="199" t="s">
        <v>93</v>
      </c>
      <c r="K181" s="207">
        <v>0</v>
      </c>
      <c r="L181" s="209" t="s">
        <v>675</v>
      </c>
      <c r="M181" s="198">
        <f t="shared" si="24"/>
        <v>0</v>
      </c>
      <c r="N181" s="198">
        <f>'02 项目基础信息（输入）'!$C$32</f>
        <v>21931.919999999998</v>
      </c>
      <c r="O181" s="198">
        <f t="shared" si="16"/>
        <v>0</v>
      </c>
      <c r="P181" s="198">
        <f>'02 项目基础信息（输入）'!$I$32</f>
        <v>21931.919999999998</v>
      </c>
      <c r="Q181" s="233">
        <f t="shared" si="17"/>
        <v>0</v>
      </c>
      <c r="S181" s="234"/>
      <c r="U181" s="220" t="s">
        <v>1812</v>
      </c>
      <c r="V181" s="1190">
        <v>0</v>
      </c>
      <c r="W181" s="1190">
        <v>0</v>
      </c>
      <c r="X181" s="1190">
        <v>0</v>
      </c>
      <c r="Z181">
        <v>0</v>
      </c>
      <c r="AB181" s="1356">
        <f t="shared" si="22"/>
        <v>0</v>
      </c>
    </row>
    <row r="182" spans="1:28" ht="20.25" hidden="1" customHeight="1" outlineLevel="3">
      <c r="A182" s="192" t="s">
        <v>1813</v>
      </c>
      <c r="B182" s="192"/>
      <c r="C182" s="197" t="s">
        <v>476</v>
      </c>
      <c r="D182" s="198">
        <f>'02 项目基础信息（输入）'!$AF$32</f>
        <v>0</v>
      </c>
      <c r="E182" s="199" t="s">
        <v>93</v>
      </c>
      <c r="F182" s="197" t="s">
        <v>1803</v>
      </c>
      <c r="G182" s="199">
        <v>0</v>
      </c>
      <c r="H182" s="199" t="s">
        <v>123</v>
      </c>
      <c r="I182" s="198">
        <f t="shared" si="23"/>
        <v>0</v>
      </c>
      <c r="J182" s="199" t="s">
        <v>93</v>
      </c>
      <c r="K182" s="207">
        <v>0</v>
      </c>
      <c r="L182" s="209" t="s">
        <v>675</v>
      </c>
      <c r="M182" s="198">
        <f t="shared" si="24"/>
        <v>0</v>
      </c>
      <c r="N182" s="198">
        <f>'02 项目基础信息（输入）'!$C$32</f>
        <v>21931.919999999998</v>
      </c>
      <c r="O182" s="198">
        <f t="shared" si="16"/>
        <v>0</v>
      </c>
      <c r="P182" s="198">
        <f>'02 项目基础信息（输入）'!$I$32</f>
        <v>21931.919999999998</v>
      </c>
      <c r="Q182" s="233">
        <f t="shared" si="17"/>
        <v>0</v>
      </c>
      <c r="S182" s="234"/>
      <c r="U182" s="220" t="s">
        <v>1814</v>
      </c>
      <c r="V182" s="1190">
        <v>0</v>
      </c>
      <c r="W182" s="1190">
        <v>0</v>
      </c>
      <c r="X182" s="1190">
        <v>0</v>
      </c>
      <c r="Z182">
        <v>0</v>
      </c>
      <c r="AB182" s="1356">
        <f t="shared" si="22"/>
        <v>0</v>
      </c>
    </row>
    <row r="183" spans="1:28" ht="20.25" hidden="1" customHeight="1" outlineLevel="3">
      <c r="A183" s="192" t="s">
        <v>1815</v>
      </c>
      <c r="B183" s="192"/>
      <c r="C183" s="197" t="s">
        <v>476</v>
      </c>
      <c r="D183" s="198">
        <f>'02 项目基础信息（输入）'!$AF$32</f>
        <v>0</v>
      </c>
      <c r="E183" s="199" t="s">
        <v>93</v>
      </c>
      <c r="F183" s="197" t="s">
        <v>1803</v>
      </c>
      <c r="G183" s="199">
        <v>0</v>
      </c>
      <c r="H183" s="199" t="s">
        <v>123</v>
      </c>
      <c r="I183" s="198">
        <f t="shared" si="23"/>
        <v>0</v>
      </c>
      <c r="J183" s="199" t="s">
        <v>93</v>
      </c>
      <c r="K183" s="207">
        <v>0</v>
      </c>
      <c r="L183" s="209" t="s">
        <v>675</v>
      </c>
      <c r="M183" s="198">
        <f t="shared" si="24"/>
        <v>0</v>
      </c>
      <c r="N183" s="198">
        <f>'02 项目基础信息（输入）'!$C$32</f>
        <v>21931.919999999998</v>
      </c>
      <c r="O183" s="198">
        <f t="shared" si="16"/>
        <v>0</v>
      </c>
      <c r="P183" s="198">
        <f>'02 项目基础信息（输入）'!$I$32</f>
        <v>21931.919999999998</v>
      </c>
      <c r="Q183" s="233">
        <f t="shared" si="17"/>
        <v>0</v>
      </c>
      <c r="S183" s="234"/>
      <c r="U183" s="220" t="s">
        <v>1816</v>
      </c>
      <c r="V183" s="1190">
        <v>0</v>
      </c>
      <c r="W183" s="1190">
        <v>0</v>
      </c>
      <c r="X183" s="1190">
        <v>0</v>
      </c>
      <c r="Z183">
        <v>0</v>
      </c>
      <c r="AB183" s="1356">
        <f t="shared" si="22"/>
        <v>0</v>
      </c>
    </row>
    <row r="184" spans="1:28" ht="20.25" hidden="1" customHeight="1" outlineLevel="3">
      <c r="A184" s="192" t="s">
        <v>1817</v>
      </c>
      <c r="B184" s="192"/>
      <c r="C184" s="197" t="s">
        <v>476</v>
      </c>
      <c r="D184" s="198">
        <f>'02 项目基础信息（输入）'!$AF$32</f>
        <v>0</v>
      </c>
      <c r="E184" s="199" t="s">
        <v>93</v>
      </c>
      <c r="F184" s="197" t="s">
        <v>1803</v>
      </c>
      <c r="G184" s="199">
        <v>0</v>
      </c>
      <c r="H184" s="199" t="s">
        <v>123</v>
      </c>
      <c r="I184" s="198">
        <f t="shared" si="23"/>
        <v>0</v>
      </c>
      <c r="J184" s="199" t="s">
        <v>93</v>
      </c>
      <c r="K184" s="207">
        <v>0</v>
      </c>
      <c r="L184" s="209" t="s">
        <v>675</v>
      </c>
      <c r="M184" s="198">
        <f t="shared" si="24"/>
        <v>0</v>
      </c>
      <c r="N184" s="198">
        <f>'02 项目基础信息（输入）'!$C$32</f>
        <v>21931.919999999998</v>
      </c>
      <c r="O184" s="198">
        <f t="shared" si="16"/>
        <v>0</v>
      </c>
      <c r="P184" s="198">
        <f>'02 项目基础信息（输入）'!$I$32</f>
        <v>21931.919999999998</v>
      </c>
      <c r="Q184" s="233">
        <f t="shared" si="17"/>
        <v>0</v>
      </c>
      <c r="S184" s="234"/>
      <c r="U184" s="220" t="s">
        <v>1818</v>
      </c>
      <c r="V184" s="1190">
        <v>0</v>
      </c>
      <c r="W184" s="1190">
        <v>0</v>
      </c>
      <c r="X184" s="1190">
        <v>0</v>
      </c>
      <c r="Z184">
        <v>0</v>
      </c>
      <c r="AB184" s="1356">
        <f t="shared" si="22"/>
        <v>0</v>
      </c>
    </row>
    <row r="185" spans="1:28" ht="20.25" hidden="1" customHeight="1" outlineLevel="3">
      <c r="A185" s="192" t="s">
        <v>1819</v>
      </c>
      <c r="B185" s="192"/>
      <c r="C185" s="197" t="s">
        <v>476</v>
      </c>
      <c r="D185" s="198">
        <f>'02 项目基础信息（输入）'!$AF$32</f>
        <v>0</v>
      </c>
      <c r="E185" s="199" t="s">
        <v>93</v>
      </c>
      <c r="F185" s="197" t="s">
        <v>1803</v>
      </c>
      <c r="G185" s="199">
        <v>0</v>
      </c>
      <c r="H185" s="199" t="s">
        <v>123</v>
      </c>
      <c r="I185" s="198">
        <f t="shared" si="23"/>
        <v>0</v>
      </c>
      <c r="J185" s="199" t="s">
        <v>93</v>
      </c>
      <c r="K185" s="207">
        <v>0</v>
      </c>
      <c r="L185" s="209" t="s">
        <v>675</v>
      </c>
      <c r="M185" s="198">
        <f t="shared" si="24"/>
        <v>0</v>
      </c>
      <c r="N185" s="198">
        <f>'02 项目基础信息（输入）'!$C$32</f>
        <v>21931.919999999998</v>
      </c>
      <c r="O185" s="198">
        <f t="shared" si="16"/>
        <v>0</v>
      </c>
      <c r="P185" s="198">
        <f>'02 项目基础信息（输入）'!$I$32</f>
        <v>21931.919999999998</v>
      </c>
      <c r="Q185" s="233">
        <f t="shared" si="17"/>
        <v>0</v>
      </c>
      <c r="S185" s="234"/>
      <c r="U185" s="220" t="s">
        <v>1820</v>
      </c>
      <c r="V185" s="1190">
        <v>0</v>
      </c>
      <c r="W185" s="1190">
        <v>0</v>
      </c>
      <c r="X185" s="1190">
        <v>0</v>
      </c>
      <c r="Z185">
        <v>0</v>
      </c>
      <c r="AB185" s="1356">
        <f t="shared" si="22"/>
        <v>0</v>
      </c>
    </row>
    <row r="186" spans="1:28" ht="20.25" hidden="1" customHeight="1" outlineLevel="3">
      <c r="A186" s="192" t="s">
        <v>1821</v>
      </c>
      <c r="B186" s="192"/>
      <c r="C186" s="197" t="s">
        <v>476</v>
      </c>
      <c r="D186" s="198">
        <f>'02 项目基础信息（输入）'!$AF$32</f>
        <v>0</v>
      </c>
      <c r="E186" s="199" t="s">
        <v>93</v>
      </c>
      <c r="F186" s="197" t="s">
        <v>1803</v>
      </c>
      <c r="G186" s="199">
        <v>0</v>
      </c>
      <c r="H186" s="199" t="s">
        <v>123</v>
      </c>
      <c r="I186" s="198">
        <f t="shared" si="23"/>
        <v>0</v>
      </c>
      <c r="J186" s="199" t="s">
        <v>93</v>
      </c>
      <c r="K186" s="207">
        <v>0</v>
      </c>
      <c r="L186" s="209" t="s">
        <v>675</v>
      </c>
      <c r="M186" s="198">
        <f t="shared" si="24"/>
        <v>0</v>
      </c>
      <c r="N186" s="198">
        <f>'02 项目基础信息（输入）'!$C$32</f>
        <v>21931.919999999998</v>
      </c>
      <c r="O186" s="198">
        <f t="shared" si="16"/>
        <v>0</v>
      </c>
      <c r="P186" s="198">
        <f>'02 项目基础信息（输入）'!$I$32</f>
        <v>21931.919999999998</v>
      </c>
      <c r="Q186" s="233">
        <f t="shared" si="17"/>
        <v>0</v>
      </c>
      <c r="S186" s="234"/>
      <c r="U186" s="220" t="s">
        <v>1822</v>
      </c>
      <c r="V186" s="1190">
        <v>0</v>
      </c>
      <c r="W186" s="1190">
        <v>0</v>
      </c>
      <c r="X186" s="1190">
        <v>0</v>
      </c>
      <c r="Z186">
        <v>0</v>
      </c>
      <c r="AB186" s="1356">
        <f t="shared" si="22"/>
        <v>0</v>
      </c>
    </row>
    <row r="187" spans="1:28" ht="20.25" hidden="1" customHeight="1" outlineLevel="3">
      <c r="A187" s="192" t="s">
        <v>1823</v>
      </c>
      <c r="B187" s="192"/>
      <c r="C187" s="197" t="s">
        <v>476</v>
      </c>
      <c r="D187" s="198">
        <f>'02 项目基础信息（输入）'!$AF$32</f>
        <v>0</v>
      </c>
      <c r="E187" s="199" t="s">
        <v>93</v>
      </c>
      <c r="F187" s="197" t="s">
        <v>1803</v>
      </c>
      <c r="G187" s="199">
        <v>0</v>
      </c>
      <c r="H187" s="199" t="s">
        <v>123</v>
      </c>
      <c r="I187" s="198">
        <f t="shared" si="23"/>
        <v>0</v>
      </c>
      <c r="J187" s="199" t="s">
        <v>93</v>
      </c>
      <c r="K187" s="207">
        <v>0</v>
      </c>
      <c r="L187" s="209" t="s">
        <v>675</v>
      </c>
      <c r="M187" s="198">
        <f t="shared" si="24"/>
        <v>0</v>
      </c>
      <c r="N187" s="198">
        <f>'02 项目基础信息（输入）'!$C$32</f>
        <v>21931.919999999998</v>
      </c>
      <c r="O187" s="198">
        <f t="shared" si="16"/>
        <v>0</v>
      </c>
      <c r="P187" s="198">
        <f>'02 项目基础信息（输入）'!$I$32</f>
        <v>21931.919999999998</v>
      </c>
      <c r="Q187" s="233">
        <f t="shared" si="17"/>
        <v>0</v>
      </c>
      <c r="S187" s="234"/>
      <c r="U187" s="220" t="s">
        <v>1824</v>
      </c>
      <c r="V187" s="1190">
        <v>0</v>
      </c>
      <c r="W187" s="1190">
        <v>0</v>
      </c>
      <c r="X187" s="1190">
        <v>0</v>
      </c>
      <c r="Z187">
        <v>0</v>
      </c>
      <c r="AB187" s="1356">
        <f t="shared" si="22"/>
        <v>0</v>
      </c>
    </row>
    <row r="188" spans="1:28" ht="20.25" hidden="1" customHeight="1" outlineLevel="3">
      <c r="A188" s="192" t="s">
        <v>1825</v>
      </c>
      <c r="B188" s="192"/>
      <c r="C188" s="197" t="s">
        <v>476</v>
      </c>
      <c r="D188" s="198">
        <f>'02 项目基础信息（输入）'!$AF$32</f>
        <v>0</v>
      </c>
      <c r="E188" s="199" t="s">
        <v>93</v>
      </c>
      <c r="F188" s="197" t="s">
        <v>1803</v>
      </c>
      <c r="G188" s="199">
        <v>0</v>
      </c>
      <c r="H188" s="199" t="s">
        <v>123</v>
      </c>
      <c r="I188" s="198">
        <f t="shared" si="23"/>
        <v>0</v>
      </c>
      <c r="J188" s="199" t="s">
        <v>93</v>
      </c>
      <c r="K188" s="207">
        <v>0</v>
      </c>
      <c r="L188" s="209" t="s">
        <v>675</v>
      </c>
      <c r="M188" s="198">
        <f t="shared" si="24"/>
        <v>0</v>
      </c>
      <c r="N188" s="198">
        <f>'02 项目基础信息（输入）'!$C$32</f>
        <v>21931.919999999998</v>
      </c>
      <c r="O188" s="198">
        <f t="shared" si="16"/>
        <v>0</v>
      </c>
      <c r="P188" s="198">
        <f>'02 项目基础信息（输入）'!$I$32</f>
        <v>21931.919999999998</v>
      </c>
      <c r="Q188" s="233">
        <f t="shared" si="17"/>
        <v>0</v>
      </c>
      <c r="S188" s="234"/>
      <c r="U188" s="220" t="s">
        <v>1826</v>
      </c>
      <c r="V188" s="1190">
        <v>5.2744999999999997</v>
      </c>
      <c r="W188" s="1190">
        <v>0</v>
      </c>
      <c r="X188" s="1190">
        <v>0</v>
      </c>
      <c r="Z188">
        <v>0</v>
      </c>
      <c r="AB188" s="1356">
        <f t="shared" si="22"/>
        <v>0</v>
      </c>
    </row>
    <row r="189" spans="1:28" ht="20.25" hidden="1" customHeight="1" outlineLevel="3">
      <c r="A189" s="192" t="s">
        <v>1827</v>
      </c>
      <c r="B189" s="192"/>
      <c r="C189" s="197" t="s">
        <v>476</v>
      </c>
      <c r="D189" s="198">
        <f>'02 项目基础信息（输入）'!$AF$32</f>
        <v>0</v>
      </c>
      <c r="E189" s="199" t="s">
        <v>93</v>
      </c>
      <c r="F189" s="197" t="s">
        <v>1803</v>
      </c>
      <c r="G189" s="199">
        <v>0</v>
      </c>
      <c r="H189" s="199" t="s">
        <v>123</v>
      </c>
      <c r="I189" s="198">
        <f t="shared" si="23"/>
        <v>0</v>
      </c>
      <c r="J189" s="199" t="s">
        <v>93</v>
      </c>
      <c r="K189" s="207">
        <v>0</v>
      </c>
      <c r="L189" s="209" t="s">
        <v>675</v>
      </c>
      <c r="M189" s="198">
        <f t="shared" si="24"/>
        <v>0</v>
      </c>
      <c r="N189" s="198">
        <f>'02 项目基础信息（输入）'!$C$32</f>
        <v>21931.919999999998</v>
      </c>
      <c r="O189" s="198">
        <f t="shared" si="16"/>
        <v>0</v>
      </c>
      <c r="P189" s="198">
        <f>'02 项目基础信息（输入）'!$I$32</f>
        <v>21931.919999999998</v>
      </c>
      <c r="Q189" s="233">
        <f t="shared" si="17"/>
        <v>0</v>
      </c>
      <c r="S189" s="234"/>
      <c r="U189" s="220" t="s">
        <v>1828</v>
      </c>
      <c r="V189" s="1190">
        <v>0</v>
      </c>
      <c r="W189" s="1190">
        <v>0</v>
      </c>
      <c r="X189" s="1190">
        <v>0</v>
      </c>
      <c r="Z189">
        <v>0</v>
      </c>
      <c r="AB189" s="1356">
        <f t="shared" si="22"/>
        <v>0</v>
      </c>
    </row>
    <row r="190" spans="1:28" ht="20.25" hidden="1" customHeight="1" outlineLevel="3">
      <c r="A190" s="192" t="s">
        <v>1829</v>
      </c>
      <c r="B190" s="192"/>
      <c r="C190" s="197" t="s">
        <v>476</v>
      </c>
      <c r="D190" s="198">
        <f>'02 项目基础信息（输入）'!$AF$32</f>
        <v>0</v>
      </c>
      <c r="E190" s="199" t="s">
        <v>93</v>
      </c>
      <c r="F190" s="197" t="s">
        <v>1803</v>
      </c>
      <c r="G190" s="199">
        <v>0</v>
      </c>
      <c r="H190" s="199" t="s">
        <v>123</v>
      </c>
      <c r="I190" s="198">
        <f t="shared" si="23"/>
        <v>0</v>
      </c>
      <c r="J190" s="199" t="s">
        <v>93</v>
      </c>
      <c r="K190" s="207">
        <v>0</v>
      </c>
      <c r="L190" s="209" t="s">
        <v>675</v>
      </c>
      <c r="M190" s="198">
        <f t="shared" si="24"/>
        <v>0</v>
      </c>
      <c r="N190" s="198">
        <f>'02 项目基础信息（输入）'!$C$32</f>
        <v>21931.919999999998</v>
      </c>
      <c r="O190" s="198">
        <f t="shared" si="16"/>
        <v>0</v>
      </c>
      <c r="P190" s="198">
        <f>'02 项目基础信息（输入）'!$I$32</f>
        <v>21931.919999999998</v>
      </c>
      <c r="Q190" s="233">
        <f t="shared" si="17"/>
        <v>0</v>
      </c>
      <c r="S190" s="234"/>
      <c r="U190" s="220" t="s">
        <v>1830</v>
      </c>
      <c r="V190" s="1190">
        <v>0</v>
      </c>
      <c r="W190" s="1190">
        <v>0</v>
      </c>
      <c r="X190" s="1190">
        <v>0</v>
      </c>
      <c r="Z190">
        <v>0</v>
      </c>
      <c r="AB190" s="1356">
        <f t="shared" si="22"/>
        <v>0</v>
      </c>
    </row>
    <row r="191" spans="1:28" ht="20.25" hidden="1" customHeight="1" outlineLevel="3">
      <c r="A191" s="192" t="s">
        <v>1831</v>
      </c>
      <c r="B191" s="192"/>
      <c r="C191" s="197" t="s">
        <v>1609</v>
      </c>
      <c r="D191" s="198">
        <f>'02 项目基础信息（输入）'!$C$32</f>
        <v>21931.919999999998</v>
      </c>
      <c r="E191" s="199" t="s">
        <v>93</v>
      </c>
      <c r="F191" s="197" t="s">
        <v>1609</v>
      </c>
      <c r="G191" s="199">
        <v>1</v>
      </c>
      <c r="H191" s="199" t="s">
        <v>298</v>
      </c>
      <c r="I191" s="198">
        <f>G191*D191</f>
        <v>21931.919999999998</v>
      </c>
      <c r="J191" s="199" t="s">
        <v>93</v>
      </c>
      <c r="K191" s="207">
        <v>0</v>
      </c>
      <c r="L191" s="209" t="s">
        <v>675</v>
      </c>
      <c r="M191" s="198">
        <f t="shared" si="24"/>
        <v>0</v>
      </c>
      <c r="N191" s="198">
        <f>'02 项目基础信息（输入）'!$C$32</f>
        <v>21931.919999999998</v>
      </c>
      <c r="O191" s="198">
        <f t="shared" si="16"/>
        <v>0</v>
      </c>
      <c r="P191" s="198">
        <f>'02 项目基础信息（输入）'!$I$32</f>
        <v>21931.919999999998</v>
      </c>
      <c r="Q191" s="233">
        <f t="shared" si="17"/>
        <v>0</v>
      </c>
      <c r="S191" s="234"/>
      <c r="U191" s="220" t="s">
        <v>1832</v>
      </c>
      <c r="V191" s="1190">
        <v>0</v>
      </c>
      <c r="W191" s="1190">
        <v>0</v>
      </c>
      <c r="X191" s="1190">
        <v>0</v>
      </c>
      <c r="Z191">
        <v>0</v>
      </c>
      <c r="AB191" s="1356">
        <f t="shared" si="22"/>
        <v>0</v>
      </c>
    </row>
    <row r="192" spans="1:28" ht="20.25" hidden="1" customHeight="1" outlineLevel="3">
      <c r="A192" s="192" t="s">
        <v>1833</v>
      </c>
      <c r="B192" s="192"/>
      <c r="C192" s="197" t="s">
        <v>1609</v>
      </c>
      <c r="D192" s="198">
        <f>'02 项目基础信息（输入）'!$C$32</f>
        <v>21931.919999999998</v>
      </c>
      <c r="E192" s="199" t="s">
        <v>93</v>
      </c>
      <c r="F192" s="197" t="s">
        <v>1609</v>
      </c>
      <c r="G192" s="199">
        <v>1</v>
      </c>
      <c r="H192" s="199" t="s">
        <v>298</v>
      </c>
      <c r="I192" s="198">
        <f>G192*D192</f>
        <v>21931.919999999998</v>
      </c>
      <c r="J192" s="199" t="s">
        <v>93</v>
      </c>
      <c r="K192" s="207">
        <v>0</v>
      </c>
      <c r="L192" s="209" t="s">
        <v>675</v>
      </c>
      <c r="M192" s="198">
        <f t="shared" si="24"/>
        <v>0</v>
      </c>
      <c r="N192" s="198">
        <f>'02 项目基础信息（输入）'!$C$32</f>
        <v>21931.919999999998</v>
      </c>
      <c r="O192" s="198">
        <f t="shared" si="16"/>
        <v>0</v>
      </c>
      <c r="P192" s="198">
        <f>'02 项目基础信息（输入）'!$I$32</f>
        <v>21931.919999999998</v>
      </c>
      <c r="Q192" s="233">
        <f t="shared" si="17"/>
        <v>0</v>
      </c>
      <c r="S192" s="234"/>
      <c r="U192" s="220" t="s">
        <v>1834</v>
      </c>
      <c r="V192" s="1190">
        <v>0</v>
      </c>
      <c r="W192" s="1190">
        <v>0</v>
      </c>
      <c r="X192" s="1190">
        <v>0</v>
      </c>
      <c r="Z192">
        <v>0</v>
      </c>
      <c r="AB192" s="1356">
        <f t="shared" si="22"/>
        <v>0</v>
      </c>
    </row>
    <row r="193" spans="1:28" ht="20.25" customHeight="1" outlineLevel="2" collapsed="1">
      <c r="A193" s="192" t="s">
        <v>1835</v>
      </c>
      <c r="B193" s="192"/>
      <c r="C193" s="197" t="s">
        <v>1609</v>
      </c>
      <c r="D193" s="198">
        <f>'02 项目基础信息（输入）'!$C$32</f>
        <v>21931.919999999998</v>
      </c>
      <c r="E193" s="199" t="s">
        <v>93</v>
      </c>
      <c r="F193" s="197"/>
      <c r="G193" s="199"/>
      <c r="H193" s="199"/>
      <c r="I193" s="197"/>
      <c r="J193" s="199"/>
      <c r="K193" s="207"/>
      <c r="L193" s="209"/>
      <c r="M193" s="198">
        <f>ROUND(SUM(M194:M195),6)</f>
        <v>0</v>
      </c>
      <c r="N193" s="198">
        <f>'02 项目基础信息（输入）'!$C$32</f>
        <v>21931.919999999998</v>
      </c>
      <c r="O193" s="198">
        <f t="shared" si="16"/>
        <v>0</v>
      </c>
      <c r="P193" s="198">
        <f>'02 项目基础信息（输入）'!$I$32</f>
        <v>21931.919999999998</v>
      </c>
      <c r="Q193" s="233">
        <f t="shared" si="17"/>
        <v>0</v>
      </c>
      <c r="S193" s="234" t="s">
        <v>1314</v>
      </c>
      <c r="U193" s="220" t="s">
        <v>1836</v>
      </c>
      <c r="V193" s="1190">
        <v>0</v>
      </c>
      <c r="W193" s="1190">
        <v>0</v>
      </c>
      <c r="X193" s="1190">
        <v>0</v>
      </c>
      <c r="Z193">
        <v>0</v>
      </c>
      <c r="AB193" s="1356">
        <f t="shared" si="22"/>
        <v>0</v>
      </c>
    </row>
    <row r="194" spans="1:28" ht="20.25" hidden="1" customHeight="1" outlineLevel="3">
      <c r="A194" s="192" t="s">
        <v>1837</v>
      </c>
      <c r="B194" s="192"/>
      <c r="C194" s="197" t="s">
        <v>472</v>
      </c>
      <c r="D194" s="198">
        <f>'02 项目基础信息（输入）'!$AA$32</f>
        <v>0</v>
      </c>
      <c r="E194" s="199" t="s">
        <v>1838</v>
      </c>
      <c r="F194" s="197" t="s">
        <v>1839</v>
      </c>
      <c r="G194" s="199">
        <v>0</v>
      </c>
      <c r="H194" s="199" t="s">
        <v>1840</v>
      </c>
      <c r="I194" s="198">
        <f>G194*D194</f>
        <v>0</v>
      </c>
      <c r="J194" s="199" t="s">
        <v>131</v>
      </c>
      <c r="K194" s="207">
        <v>0</v>
      </c>
      <c r="L194" s="209" t="s">
        <v>792</v>
      </c>
      <c r="M194" s="198">
        <f>ROUND(K194*I194/10000,6)</f>
        <v>0</v>
      </c>
      <c r="N194" s="198">
        <f>'02 项目基础信息（输入）'!$C$32</f>
        <v>21931.919999999998</v>
      </c>
      <c r="O194" s="198">
        <f t="shared" si="16"/>
        <v>0</v>
      </c>
      <c r="P194" s="198">
        <f>'02 项目基础信息（输入）'!$I$32</f>
        <v>21931.919999999998</v>
      </c>
      <c r="Q194" s="233">
        <f t="shared" si="17"/>
        <v>0</v>
      </c>
      <c r="S194" s="234"/>
      <c r="U194" s="220" t="s">
        <v>1841</v>
      </c>
      <c r="V194" s="1190">
        <v>0</v>
      </c>
      <c r="W194" s="1190">
        <v>0</v>
      </c>
      <c r="X194" s="1190">
        <v>0</v>
      </c>
      <c r="Z194">
        <v>0</v>
      </c>
      <c r="AB194" s="1356">
        <f t="shared" si="22"/>
        <v>0</v>
      </c>
    </row>
    <row r="195" spans="1:28" ht="20.25" hidden="1" customHeight="1" outlineLevel="3">
      <c r="A195" s="192" t="s">
        <v>1842</v>
      </c>
      <c r="B195" s="192"/>
      <c r="C195" s="197" t="s">
        <v>309</v>
      </c>
      <c r="D195" s="198">
        <f>'02 项目基础信息（输入）'!$AC$32</f>
        <v>0</v>
      </c>
      <c r="E195" s="199" t="s">
        <v>310</v>
      </c>
      <c r="F195" s="197" t="s">
        <v>1843</v>
      </c>
      <c r="G195" s="199">
        <v>0</v>
      </c>
      <c r="H195" s="199" t="s">
        <v>789</v>
      </c>
      <c r="I195" s="198">
        <f>G195*D195</f>
        <v>0</v>
      </c>
      <c r="J195" s="199" t="s">
        <v>131</v>
      </c>
      <c r="K195" s="207">
        <v>0</v>
      </c>
      <c r="L195" s="209" t="s">
        <v>792</v>
      </c>
      <c r="M195" s="198">
        <f>ROUND(K195*I195/10000,6)</f>
        <v>0</v>
      </c>
      <c r="N195" s="198">
        <f>'02 项目基础信息（输入）'!$C$32</f>
        <v>21931.919999999998</v>
      </c>
      <c r="O195" s="198">
        <f t="shared" ref="O195:O258" si="25">ROUND(IFERROR(M195*10000/N195,0),2)</f>
        <v>0</v>
      </c>
      <c r="P195" s="198">
        <f>'02 项目基础信息（输入）'!$I$32</f>
        <v>21931.919999999998</v>
      </c>
      <c r="Q195" s="233">
        <f t="shared" ref="Q195:Q258" si="26">ROUND(IFERROR(M195*10000/P195,0),2)</f>
        <v>0</v>
      </c>
      <c r="S195" s="234"/>
      <c r="U195" s="220" t="s">
        <v>1844</v>
      </c>
      <c r="V195" s="1190">
        <v>0</v>
      </c>
      <c r="W195" s="1190">
        <v>0</v>
      </c>
      <c r="X195" s="1190">
        <v>0</v>
      </c>
      <c r="Z195">
        <v>0</v>
      </c>
      <c r="AB195" s="1356">
        <f t="shared" si="22"/>
        <v>0</v>
      </c>
    </row>
    <row r="196" spans="1:28" ht="20.25" customHeight="1" outlineLevel="2" collapsed="1">
      <c r="A196" s="192" t="s">
        <v>1845</v>
      </c>
      <c r="B196" s="192"/>
      <c r="C196" s="197" t="s">
        <v>1609</v>
      </c>
      <c r="D196" s="198">
        <f>'02 项目基础信息（输入）'!$C$32</f>
        <v>21931.919999999998</v>
      </c>
      <c r="E196" s="199" t="s">
        <v>93</v>
      </c>
      <c r="F196" s="197"/>
      <c r="G196" s="199"/>
      <c r="H196" s="199"/>
      <c r="I196" s="197"/>
      <c r="J196" s="199"/>
      <c r="K196" s="207"/>
      <c r="L196" s="209"/>
      <c r="M196" s="198">
        <f>ROUND(M197+M207,6)</f>
        <v>0</v>
      </c>
      <c r="N196" s="198">
        <f>'02 项目基础信息（输入）'!$C$32</f>
        <v>21931.919999999998</v>
      </c>
      <c r="O196" s="198">
        <f t="shared" si="25"/>
        <v>0</v>
      </c>
      <c r="P196" s="198">
        <f>'02 项目基础信息（输入）'!$I$32</f>
        <v>21931.919999999998</v>
      </c>
      <c r="Q196" s="233">
        <f t="shared" si="26"/>
        <v>0</v>
      </c>
      <c r="S196" s="234" t="s">
        <v>1314</v>
      </c>
      <c r="U196" s="220" t="s">
        <v>1846</v>
      </c>
      <c r="V196" s="1190">
        <v>3.2244000000000002</v>
      </c>
      <c r="W196" s="1190">
        <v>0</v>
      </c>
      <c r="X196" s="1190">
        <v>0</v>
      </c>
      <c r="Z196">
        <v>0</v>
      </c>
      <c r="AB196" s="1356">
        <f t="shared" si="22"/>
        <v>0</v>
      </c>
    </row>
    <row r="197" spans="1:28" ht="20.25" hidden="1" customHeight="1" outlineLevel="3">
      <c r="A197" s="192" t="s">
        <v>1847</v>
      </c>
      <c r="B197" s="192"/>
      <c r="C197" s="197"/>
      <c r="D197" s="197"/>
      <c r="E197" s="199"/>
      <c r="F197" s="197"/>
      <c r="G197" s="199"/>
      <c r="H197" s="199"/>
      <c r="I197" s="197"/>
      <c r="J197" s="199"/>
      <c r="K197" s="207"/>
      <c r="L197" s="209"/>
      <c r="M197" s="198">
        <f>ROUND(SUM(M198:M206),6)</f>
        <v>0</v>
      </c>
      <c r="N197" s="198">
        <f>'02 项目基础信息（输入）'!$C$32</f>
        <v>21931.919999999998</v>
      </c>
      <c r="O197" s="198">
        <f t="shared" si="25"/>
        <v>0</v>
      </c>
      <c r="P197" s="198">
        <f>'02 项目基础信息（输入）'!$I$32</f>
        <v>21931.919999999998</v>
      </c>
      <c r="Q197" s="233">
        <f t="shared" si="26"/>
        <v>0</v>
      </c>
      <c r="S197" s="234"/>
      <c r="U197" s="220" t="s">
        <v>1848</v>
      </c>
      <c r="V197" s="1190">
        <v>3.2244000000000002</v>
      </c>
      <c r="W197" s="1190">
        <v>0</v>
      </c>
      <c r="X197" s="1190">
        <v>0</v>
      </c>
      <c r="Z197">
        <v>0</v>
      </c>
      <c r="AB197" s="1356">
        <f t="shared" si="22"/>
        <v>0</v>
      </c>
    </row>
    <row r="198" spans="1:28" ht="20.25" hidden="1" customHeight="1" outlineLevel="4">
      <c r="A198" s="192" t="s">
        <v>1849</v>
      </c>
      <c r="B198" s="192"/>
      <c r="C198" s="197" t="s">
        <v>1850</v>
      </c>
      <c r="D198" s="198">
        <f>'02 项目基础信息（输入）'!$N$32</f>
        <v>0</v>
      </c>
      <c r="E198" s="199" t="s">
        <v>411</v>
      </c>
      <c r="F198" s="197" t="s">
        <v>460</v>
      </c>
      <c r="G198" s="235">
        <f>'02 项目基础信息（输入）'!$O$32</f>
        <v>0</v>
      </c>
      <c r="H198" s="199" t="s">
        <v>400</v>
      </c>
      <c r="I198" s="198">
        <f t="shared" ref="I198:I207" si="27">G198*D198</f>
        <v>0</v>
      </c>
      <c r="J198" s="199" t="s">
        <v>93</v>
      </c>
      <c r="K198" s="207">
        <v>0</v>
      </c>
      <c r="L198" s="209" t="s">
        <v>675</v>
      </c>
      <c r="M198" s="198">
        <f t="shared" ref="M198:M207" si="28">ROUND(K198*I198/10000,6)</f>
        <v>0</v>
      </c>
      <c r="N198" s="198">
        <f>'02 项目基础信息（输入）'!$C$32</f>
        <v>21931.919999999998</v>
      </c>
      <c r="O198" s="198">
        <f t="shared" si="25"/>
        <v>0</v>
      </c>
      <c r="P198" s="198">
        <f>'02 项目基础信息（输入）'!$I$32</f>
        <v>21931.919999999998</v>
      </c>
      <c r="Q198" s="233">
        <f t="shared" si="26"/>
        <v>0</v>
      </c>
      <c r="S198" s="234"/>
      <c r="U198" s="220" t="s">
        <v>1851</v>
      </c>
      <c r="V198" s="1190">
        <v>0</v>
      </c>
      <c r="W198" s="1190">
        <v>0</v>
      </c>
      <c r="X198" s="1190">
        <v>0</v>
      </c>
      <c r="Z198">
        <v>0</v>
      </c>
      <c r="AB198" s="1356">
        <f t="shared" si="22"/>
        <v>0</v>
      </c>
    </row>
    <row r="199" spans="1:28" ht="20.25" hidden="1" customHeight="1" outlineLevel="4">
      <c r="A199" s="192" t="s">
        <v>1852</v>
      </c>
      <c r="B199" s="192"/>
      <c r="C199" s="197" t="s">
        <v>1850</v>
      </c>
      <c r="D199" s="198">
        <f>'02 项目基础信息（输入）'!$N$32</f>
        <v>0</v>
      </c>
      <c r="E199" s="199" t="s">
        <v>411</v>
      </c>
      <c r="F199" s="197" t="s">
        <v>460</v>
      </c>
      <c r="G199" s="235">
        <f>'02 项目基础信息（输入）'!$O$32</f>
        <v>0</v>
      </c>
      <c r="H199" s="199" t="s">
        <v>400</v>
      </c>
      <c r="I199" s="198">
        <f t="shared" si="27"/>
        <v>0</v>
      </c>
      <c r="J199" s="199" t="s">
        <v>93</v>
      </c>
      <c r="K199" s="207">
        <v>0</v>
      </c>
      <c r="L199" s="209" t="s">
        <v>675</v>
      </c>
      <c r="M199" s="198">
        <f t="shared" si="28"/>
        <v>0</v>
      </c>
      <c r="N199" s="198">
        <f>'02 项目基础信息（输入）'!$C$32</f>
        <v>21931.919999999998</v>
      </c>
      <c r="O199" s="198">
        <f t="shared" si="25"/>
        <v>0</v>
      </c>
      <c r="P199" s="198">
        <f>'02 项目基础信息（输入）'!$I$32</f>
        <v>21931.919999999998</v>
      </c>
      <c r="Q199" s="233">
        <f t="shared" si="26"/>
        <v>0</v>
      </c>
      <c r="S199" s="234"/>
      <c r="U199" s="220" t="s">
        <v>1853</v>
      </c>
      <c r="V199" s="1190">
        <v>0.19489999999999999</v>
      </c>
      <c r="W199" s="1190">
        <v>0</v>
      </c>
      <c r="X199" s="1190">
        <v>0</v>
      </c>
      <c r="Z199">
        <v>0</v>
      </c>
      <c r="AB199" s="1356">
        <f t="shared" si="22"/>
        <v>0</v>
      </c>
    </row>
    <row r="200" spans="1:28" ht="20.25" hidden="1" customHeight="1" outlineLevel="4">
      <c r="A200" s="192" t="s">
        <v>1854</v>
      </c>
      <c r="B200" s="192"/>
      <c r="C200" s="197" t="s">
        <v>1850</v>
      </c>
      <c r="D200" s="198">
        <f>'02 项目基础信息（输入）'!$N$32</f>
        <v>0</v>
      </c>
      <c r="E200" s="199" t="s">
        <v>411</v>
      </c>
      <c r="F200" s="197" t="s">
        <v>460</v>
      </c>
      <c r="G200" s="235">
        <f>'02 项目基础信息（输入）'!$O$32</f>
        <v>0</v>
      </c>
      <c r="H200" s="199" t="s">
        <v>400</v>
      </c>
      <c r="I200" s="198">
        <f t="shared" si="27"/>
        <v>0</v>
      </c>
      <c r="J200" s="199" t="s">
        <v>93</v>
      </c>
      <c r="K200" s="207">
        <v>0</v>
      </c>
      <c r="L200" s="209" t="s">
        <v>675</v>
      </c>
      <c r="M200" s="198">
        <f t="shared" si="28"/>
        <v>0</v>
      </c>
      <c r="N200" s="198">
        <f>'02 项目基础信息（输入）'!$C$32</f>
        <v>21931.919999999998</v>
      </c>
      <c r="O200" s="198">
        <f t="shared" si="25"/>
        <v>0</v>
      </c>
      <c r="P200" s="198">
        <f>'02 项目基础信息（输入）'!$I$32</f>
        <v>21931.919999999998</v>
      </c>
      <c r="Q200" s="233">
        <f t="shared" si="26"/>
        <v>0</v>
      </c>
      <c r="S200" s="234"/>
      <c r="U200" s="220" t="s">
        <v>1855</v>
      </c>
      <c r="V200" s="1190">
        <v>0</v>
      </c>
      <c r="W200" s="1190">
        <v>0</v>
      </c>
      <c r="X200" s="1190">
        <v>0</v>
      </c>
      <c r="Z200">
        <v>0</v>
      </c>
      <c r="AB200" s="1356">
        <f t="shared" si="22"/>
        <v>0</v>
      </c>
    </row>
    <row r="201" spans="1:28" ht="20.25" hidden="1" customHeight="1" outlineLevel="4">
      <c r="A201" s="192" t="s">
        <v>1856</v>
      </c>
      <c r="B201" s="192"/>
      <c r="C201" s="197" t="s">
        <v>1850</v>
      </c>
      <c r="D201" s="198">
        <f>'02 项目基础信息（输入）'!$N$32</f>
        <v>0</v>
      </c>
      <c r="E201" s="199" t="s">
        <v>411</v>
      </c>
      <c r="F201" s="197" t="s">
        <v>460</v>
      </c>
      <c r="G201" s="235">
        <f>'02 项目基础信息（输入）'!$O$32</f>
        <v>0</v>
      </c>
      <c r="H201" s="199" t="s">
        <v>400</v>
      </c>
      <c r="I201" s="198">
        <f t="shared" si="27"/>
        <v>0</v>
      </c>
      <c r="J201" s="199" t="s">
        <v>93</v>
      </c>
      <c r="K201" s="207">
        <v>0</v>
      </c>
      <c r="L201" s="209" t="s">
        <v>675</v>
      </c>
      <c r="M201" s="198">
        <f t="shared" si="28"/>
        <v>0</v>
      </c>
      <c r="N201" s="198">
        <f>'02 项目基础信息（输入）'!$C$32</f>
        <v>21931.919999999998</v>
      </c>
      <c r="O201" s="198">
        <f t="shared" si="25"/>
        <v>0</v>
      </c>
      <c r="P201" s="198">
        <f>'02 项目基础信息（输入）'!$I$32</f>
        <v>21931.919999999998</v>
      </c>
      <c r="Q201" s="233">
        <f t="shared" si="26"/>
        <v>0</v>
      </c>
      <c r="S201" s="234"/>
      <c r="U201" s="220" t="s">
        <v>1857</v>
      </c>
      <c r="V201" s="1190">
        <v>0</v>
      </c>
      <c r="W201" s="1190">
        <v>0</v>
      </c>
      <c r="X201" s="1190">
        <v>0</v>
      </c>
      <c r="Z201">
        <v>0</v>
      </c>
      <c r="AB201" s="1356">
        <f t="shared" si="22"/>
        <v>0</v>
      </c>
    </row>
    <row r="202" spans="1:28" ht="20.25" hidden="1" customHeight="1" outlineLevel="4">
      <c r="A202" s="192" t="s">
        <v>1858</v>
      </c>
      <c r="B202" s="192"/>
      <c r="C202" s="197" t="s">
        <v>1850</v>
      </c>
      <c r="D202" s="198">
        <f>'02 项目基础信息（输入）'!$N$32</f>
        <v>0</v>
      </c>
      <c r="E202" s="199" t="s">
        <v>411</v>
      </c>
      <c r="F202" s="197" t="s">
        <v>460</v>
      </c>
      <c r="G202" s="235">
        <f>'02 项目基础信息（输入）'!$O$32</f>
        <v>0</v>
      </c>
      <c r="H202" s="199" t="s">
        <v>400</v>
      </c>
      <c r="I202" s="198">
        <f t="shared" si="27"/>
        <v>0</v>
      </c>
      <c r="J202" s="199" t="s">
        <v>93</v>
      </c>
      <c r="K202" s="207">
        <v>0</v>
      </c>
      <c r="L202" s="209" t="s">
        <v>675</v>
      </c>
      <c r="M202" s="198">
        <f t="shared" si="28"/>
        <v>0</v>
      </c>
      <c r="N202" s="198">
        <f>'02 项目基础信息（输入）'!$C$32</f>
        <v>21931.919999999998</v>
      </c>
      <c r="O202" s="198">
        <f t="shared" si="25"/>
        <v>0</v>
      </c>
      <c r="P202" s="198">
        <f>'02 项目基础信息（输入）'!$I$32</f>
        <v>21931.919999999998</v>
      </c>
      <c r="Q202" s="233">
        <f t="shared" si="26"/>
        <v>0</v>
      </c>
      <c r="S202" s="234"/>
      <c r="U202" s="220" t="s">
        <v>1859</v>
      </c>
      <c r="V202" s="1190">
        <v>3.0293999999999999</v>
      </c>
      <c r="W202" s="1190">
        <v>0</v>
      </c>
      <c r="X202" s="1190">
        <v>0</v>
      </c>
      <c r="Z202">
        <v>0</v>
      </c>
      <c r="AB202" s="1356">
        <f t="shared" si="22"/>
        <v>0</v>
      </c>
    </row>
    <row r="203" spans="1:28" ht="20.25" hidden="1" customHeight="1" outlineLevel="4">
      <c r="A203" s="192" t="s">
        <v>1860</v>
      </c>
      <c r="B203" s="192"/>
      <c r="C203" s="197" t="s">
        <v>1850</v>
      </c>
      <c r="D203" s="198">
        <f>'02 项目基础信息（输入）'!$N$32</f>
        <v>0</v>
      </c>
      <c r="E203" s="199" t="s">
        <v>411</v>
      </c>
      <c r="F203" s="197" t="s">
        <v>460</v>
      </c>
      <c r="G203" s="235">
        <f>'02 项目基础信息（输入）'!$O$32</f>
        <v>0</v>
      </c>
      <c r="H203" s="199" t="s">
        <v>400</v>
      </c>
      <c r="I203" s="198">
        <f t="shared" si="27"/>
        <v>0</v>
      </c>
      <c r="J203" s="199" t="s">
        <v>93</v>
      </c>
      <c r="K203" s="207">
        <v>0</v>
      </c>
      <c r="L203" s="209" t="s">
        <v>675</v>
      </c>
      <c r="M203" s="198">
        <f t="shared" si="28"/>
        <v>0</v>
      </c>
      <c r="N203" s="198">
        <f>'02 项目基础信息（输入）'!$C$32</f>
        <v>21931.919999999998</v>
      </c>
      <c r="O203" s="198">
        <f t="shared" si="25"/>
        <v>0</v>
      </c>
      <c r="P203" s="198">
        <f>'02 项目基础信息（输入）'!$I$32</f>
        <v>21931.919999999998</v>
      </c>
      <c r="Q203" s="233">
        <f t="shared" si="26"/>
        <v>0</v>
      </c>
      <c r="S203" s="234"/>
      <c r="U203" s="220" t="s">
        <v>1861</v>
      </c>
      <c r="V203" s="1190">
        <v>0</v>
      </c>
      <c r="W203" s="1190">
        <v>0</v>
      </c>
      <c r="X203" s="1190">
        <v>0</v>
      </c>
      <c r="Z203">
        <v>0</v>
      </c>
      <c r="AB203" s="1356">
        <f t="shared" si="22"/>
        <v>0</v>
      </c>
    </row>
    <row r="204" spans="1:28" ht="20.25" hidden="1" customHeight="1" outlineLevel="4">
      <c r="A204" s="192" t="s">
        <v>1862</v>
      </c>
      <c r="B204" s="192"/>
      <c r="C204" s="197" t="s">
        <v>1850</v>
      </c>
      <c r="D204" s="198">
        <f>'02 项目基础信息（输入）'!$N$32</f>
        <v>0</v>
      </c>
      <c r="E204" s="199" t="s">
        <v>411</v>
      </c>
      <c r="F204" s="197" t="s">
        <v>460</v>
      </c>
      <c r="G204" s="235">
        <f>'02 项目基础信息（输入）'!$O$32</f>
        <v>0</v>
      </c>
      <c r="H204" s="199" t="s">
        <v>400</v>
      </c>
      <c r="I204" s="198">
        <f t="shared" si="27"/>
        <v>0</v>
      </c>
      <c r="J204" s="199" t="s">
        <v>93</v>
      </c>
      <c r="K204" s="207">
        <v>0</v>
      </c>
      <c r="L204" s="209" t="s">
        <v>675</v>
      </c>
      <c r="M204" s="198">
        <f t="shared" si="28"/>
        <v>0</v>
      </c>
      <c r="N204" s="198">
        <f>'02 项目基础信息（输入）'!$C$32</f>
        <v>21931.919999999998</v>
      </c>
      <c r="O204" s="198">
        <f t="shared" si="25"/>
        <v>0</v>
      </c>
      <c r="P204" s="198">
        <f>'02 项目基础信息（输入）'!$I$32</f>
        <v>21931.919999999998</v>
      </c>
      <c r="Q204" s="233">
        <f t="shared" si="26"/>
        <v>0</v>
      </c>
      <c r="S204" s="234"/>
      <c r="U204" s="220" t="s">
        <v>1863</v>
      </c>
      <c r="V204" s="1190">
        <v>0</v>
      </c>
      <c r="W204" s="1190">
        <v>0</v>
      </c>
      <c r="X204" s="1190">
        <v>0</v>
      </c>
      <c r="Z204">
        <v>0</v>
      </c>
      <c r="AB204" s="1356">
        <f t="shared" si="22"/>
        <v>0</v>
      </c>
    </row>
    <row r="205" spans="1:28" ht="20.25" hidden="1" customHeight="1" outlineLevel="4">
      <c r="A205" s="192" t="s">
        <v>1864</v>
      </c>
      <c r="B205" s="192"/>
      <c r="C205" s="197" t="s">
        <v>1850</v>
      </c>
      <c r="D205" s="198">
        <f>'02 项目基础信息（输入）'!$N$32</f>
        <v>0</v>
      </c>
      <c r="E205" s="199" t="s">
        <v>411</v>
      </c>
      <c r="F205" s="197" t="s">
        <v>460</v>
      </c>
      <c r="G205" s="235">
        <f>'02 项目基础信息（输入）'!$O$32</f>
        <v>0</v>
      </c>
      <c r="H205" s="199" t="s">
        <v>400</v>
      </c>
      <c r="I205" s="198">
        <f t="shared" si="27"/>
        <v>0</v>
      </c>
      <c r="J205" s="199" t="s">
        <v>93</v>
      </c>
      <c r="K205" s="207">
        <v>0</v>
      </c>
      <c r="L205" s="209" t="s">
        <v>675</v>
      </c>
      <c r="M205" s="198">
        <f t="shared" si="28"/>
        <v>0</v>
      </c>
      <c r="N205" s="198">
        <f>'02 项目基础信息（输入）'!$C$32</f>
        <v>21931.919999999998</v>
      </c>
      <c r="O205" s="198">
        <f t="shared" si="25"/>
        <v>0</v>
      </c>
      <c r="P205" s="198">
        <f>'02 项目基础信息（输入）'!$I$32</f>
        <v>21931.919999999998</v>
      </c>
      <c r="Q205" s="233">
        <f t="shared" si="26"/>
        <v>0</v>
      </c>
      <c r="S205" s="234"/>
      <c r="U205" s="220" t="s">
        <v>1865</v>
      </c>
      <c r="V205" s="1190">
        <v>0</v>
      </c>
      <c r="W205" s="1190">
        <v>0</v>
      </c>
      <c r="X205" s="1190">
        <v>0</v>
      </c>
      <c r="Z205">
        <v>0</v>
      </c>
      <c r="AB205" s="1356">
        <f t="shared" si="22"/>
        <v>0</v>
      </c>
    </row>
    <row r="206" spans="1:28" ht="20.25" hidden="1" customHeight="1" outlineLevel="4">
      <c r="A206" s="236" t="s">
        <v>1866</v>
      </c>
      <c r="B206" s="236"/>
      <c r="C206" s="197" t="s">
        <v>1850</v>
      </c>
      <c r="D206" s="198">
        <f>'02 项目基础信息（输入）'!$N$32</f>
        <v>0</v>
      </c>
      <c r="E206" s="199" t="s">
        <v>411</v>
      </c>
      <c r="F206" s="197" t="s">
        <v>460</v>
      </c>
      <c r="G206" s="235">
        <f>'02 项目基础信息（输入）'!$O$32</f>
        <v>0</v>
      </c>
      <c r="H206" s="199" t="s">
        <v>400</v>
      </c>
      <c r="I206" s="198">
        <f t="shared" si="27"/>
        <v>0</v>
      </c>
      <c r="J206" s="199" t="s">
        <v>93</v>
      </c>
      <c r="K206" s="207">
        <v>0</v>
      </c>
      <c r="L206" s="209" t="s">
        <v>675</v>
      </c>
      <c r="M206" s="198">
        <f t="shared" si="28"/>
        <v>0</v>
      </c>
      <c r="N206" s="198">
        <f>'02 项目基础信息（输入）'!$C$32</f>
        <v>21931.919999999998</v>
      </c>
      <c r="O206" s="198">
        <f t="shared" si="25"/>
        <v>0</v>
      </c>
      <c r="P206" s="198">
        <f>'02 项目基础信息（输入）'!$I$32</f>
        <v>21931.919999999998</v>
      </c>
      <c r="Q206" s="233">
        <f t="shared" si="26"/>
        <v>0</v>
      </c>
      <c r="S206" s="234"/>
      <c r="U206" s="220" t="s">
        <v>1867</v>
      </c>
      <c r="V206" s="1190">
        <v>0</v>
      </c>
      <c r="W206" s="1190">
        <v>0</v>
      </c>
      <c r="X206" s="1190">
        <v>0</v>
      </c>
      <c r="Z206">
        <v>0</v>
      </c>
      <c r="AB206" s="1356">
        <f t="shared" si="22"/>
        <v>0</v>
      </c>
    </row>
    <row r="207" spans="1:28" ht="20.25" hidden="1" customHeight="1" outlineLevel="3">
      <c r="A207" s="192" t="s">
        <v>1868</v>
      </c>
      <c r="B207" s="192"/>
      <c r="C207" s="197" t="s">
        <v>1850</v>
      </c>
      <c r="D207" s="198">
        <f>'02 项目基础信息（输入）'!$C$32</f>
        <v>21931.919999999998</v>
      </c>
      <c r="E207" s="199" t="s">
        <v>93</v>
      </c>
      <c r="F207" s="197" t="s">
        <v>1648</v>
      </c>
      <c r="G207" s="199">
        <v>0</v>
      </c>
      <c r="H207" s="199" t="s">
        <v>298</v>
      </c>
      <c r="I207" s="198">
        <f t="shared" si="27"/>
        <v>0</v>
      </c>
      <c r="J207" s="199" t="s">
        <v>93</v>
      </c>
      <c r="K207" s="207">
        <v>0</v>
      </c>
      <c r="L207" s="209" t="s">
        <v>675</v>
      </c>
      <c r="M207" s="198">
        <f t="shared" si="28"/>
        <v>0</v>
      </c>
      <c r="N207" s="198">
        <f>'02 项目基础信息（输入）'!$C$32</f>
        <v>21931.919999999998</v>
      </c>
      <c r="O207" s="198">
        <f t="shared" si="25"/>
        <v>0</v>
      </c>
      <c r="P207" s="198">
        <f>'02 项目基础信息（输入）'!$I$32</f>
        <v>21931.919999999998</v>
      </c>
      <c r="Q207" s="233">
        <f t="shared" si="26"/>
        <v>0</v>
      </c>
      <c r="S207" s="234"/>
      <c r="U207" s="220" t="s">
        <v>1869</v>
      </c>
      <c r="V207" s="1190">
        <v>0</v>
      </c>
      <c r="W207" s="1190">
        <v>0</v>
      </c>
      <c r="X207" s="1190">
        <v>0</v>
      </c>
      <c r="Z207">
        <v>0</v>
      </c>
      <c r="AB207" s="1356">
        <f t="shared" si="22"/>
        <v>0</v>
      </c>
    </row>
    <row r="208" spans="1:28" ht="20.25" customHeight="1" outlineLevel="2" collapsed="1">
      <c r="A208" s="192" t="s">
        <v>1870</v>
      </c>
      <c r="B208" s="192"/>
      <c r="C208" s="197" t="s">
        <v>1609</v>
      </c>
      <c r="D208" s="198">
        <f>'02 项目基础信息（输入）'!$C$32</f>
        <v>21931.919999999998</v>
      </c>
      <c r="E208" s="199" t="s">
        <v>93</v>
      </c>
      <c r="F208" s="197"/>
      <c r="G208" s="199"/>
      <c r="H208" s="199"/>
      <c r="I208" s="197"/>
      <c r="J208" s="199"/>
      <c r="K208" s="207"/>
      <c r="L208" s="209"/>
      <c r="M208" s="198">
        <f>ROUND(SUM(M209),6)</f>
        <v>0</v>
      </c>
      <c r="N208" s="198">
        <f>'02 项目基础信息（输入）'!$C$32</f>
        <v>21931.919999999998</v>
      </c>
      <c r="O208" s="198">
        <f t="shared" si="25"/>
        <v>0</v>
      </c>
      <c r="P208" s="198">
        <f>'02 项目基础信息（输入）'!$I$32</f>
        <v>21931.919999999998</v>
      </c>
      <c r="Q208" s="233">
        <f t="shared" si="26"/>
        <v>0</v>
      </c>
      <c r="S208" s="234" t="s">
        <v>1313</v>
      </c>
      <c r="U208" s="220" t="s">
        <v>1871</v>
      </c>
      <c r="V208" s="1190">
        <v>0</v>
      </c>
      <c r="W208" s="1190">
        <v>0</v>
      </c>
      <c r="X208" s="1190">
        <v>0</v>
      </c>
      <c r="Z208">
        <v>0</v>
      </c>
      <c r="AB208" s="1356">
        <f t="shared" si="22"/>
        <v>0</v>
      </c>
    </row>
    <row r="209" spans="1:28" ht="20.25" hidden="1" customHeight="1" outlineLevel="3">
      <c r="A209" s="192" t="s">
        <v>1872</v>
      </c>
      <c r="B209" s="192"/>
      <c r="C209" s="197" t="s">
        <v>460</v>
      </c>
      <c r="D209" s="198">
        <f>'02 项目基础信息（输入）'!$O$32</f>
        <v>0</v>
      </c>
      <c r="E209" s="199" t="s">
        <v>400</v>
      </c>
      <c r="F209" s="197" t="s">
        <v>460</v>
      </c>
      <c r="G209" s="199">
        <v>1</v>
      </c>
      <c r="H209" s="199" t="s">
        <v>1873</v>
      </c>
      <c r="I209" s="198">
        <f>G209*D209</f>
        <v>0</v>
      </c>
      <c r="J209" s="199" t="s">
        <v>1052</v>
      </c>
      <c r="K209" s="207">
        <v>0</v>
      </c>
      <c r="L209" s="209" t="s">
        <v>746</v>
      </c>
      <c r="M209" s="198">
        <f>ROUND(K209*I209/10000,6)</f>
        <v>0</v>
      </c>
      <c r="N209" s="198">
        <f>'02 项目基础信息（输入）'!$C$32</f>
        <v>21931.919999999998</v>
      </c>
      <c r="O209" s="198">
        <f t="shared" si="25"/>
        <v>0</v>
      </c>
      <c r="P209" s="198">
        <f>'02 项目基础信息（输入）'!$I$32</f>
        <v>21931.919999999998</v>
      </c>
      <c r="Q209" s="233">
        <f t="shared" si="26"/>
        <v>0</v>
      </c>
      <c r="S209" s="234"/>
      <c r="U209" s="220" t="s">
        <v>1874</v>
      </c>
      <c r="V209" s="1190">
        <v>0</v>
      </c>
      <c r="W209" s="1190">
        <v>0</v>
      </c>
      <c r="X209" s="1190">
        <v>0</v>
      </c>
      <c r="Z209">
        <v>0</v>
      </c>
      <c r="AB209" s="1356">
        <f t="shared" si="22"/>
        <v>0</v>
      </c>
    </row>
    <row r="210" spans="1:28" ht="20.25" customHeight="1" outlineLevel="2" collapsed="1">
      <c r="A210" s="192" t="s">
        <v>1875</v>
      </c>
      <c r="B210" s="192"/>
      <c r="C210" s="197" t="s">
        <v>1609</v>
      </c>
      <c r="D210" s="198">
        <f>'02 项目基础信息（输入）'!$C$32</f>
        <v>21931.919999999998</v>
      </c>
      <c r="E210" s="199" t="s">
        <v>93</v>
      </c>
      <c r="F210" s="197"/>
      <c r="G210" s="199"/>
      <c r="H210" s="199"/>
      <c r="I210" s="197"/>
      <c r="J210" s="199"/>
      <c r="K210" s="207"/>
      <c r="L210" s="209"/>
      <c r="M210" s="198">
        <f>ROUND(SUM(M211:M213),6)</f>
        <v>0</v>
      </c>
      <c r="N210" s="198">
        <f>'02 项目基础信息（输入）'!$C$32</f>
        <v>21931.919999999998</v>
      </c>
      <c r="O210" s="198">
        <f t="shared" si="25"/>
        <v>0</v>
      </c>
      <c r="P210" s="198">
        <f>'02 项目基础信息（输入）'!$I$32</f>
        <v>21931.919999999998</v>
      </c>
      <c r="Q210" s="233">
        <f t="shared" si="26"/>
        <v>0</v>
      </c>
      <c r="S210" s="234" t="s">
        <v>1313</v>
      </c>
      <c r="U210" s="220" t="s">
        <v>1876</v>
      </c>
      <c r="V210" s="1190">
        <v>0</v>
      </c>
      <c r="W210" s="1190">
        <v>0</v>
      </c>
      <c r="X210" s="1190">
        <v>0</v>
      </c>
      <c r="Z210">
        <v>0</v>
      </c>
      <c r="AB210" s="1356">
        <f t="shared" si="22"/>
        <v>0</v>
      </c>
    </row>
    <row r="211" spans="1:28" ht="20.25" hidden="1" customHeight="1" outlineLevel="3">
      <c r="A211" s="192" t="s">
        <v>1877</v>
      </c>
      <c r="B211" s="192"/>
      <c r="C211" s="197" t="s">
        <v>1609</v>
      </c>
      <c r="D211" s="198">
        <f>'02 项目基础信息（输入）'!$C$32</f>
        <v>21931.919999999998</v>
      </c>
      <c r="E211" s="199" t="s">
        <v>93</v>
      </c>
      <c r="F211" s="197" t="s">
        <v>694</v>
      </c>
      <c r="G211" s="199">
        <v>0</v>
      </c>
      <c r="H211" s="199" t="s">
        <v>298</v>
      </c>
      <c r="I211" s="198">
        <f>G211*D211</f>
        <v>0</v>
      </c>
      <c r="J211" s="199" t="s">
        <v>93</v>
      </c>
      <c r="K211" s="207">
        <v>0</v>
      </c>
      <c r="L211" s="209" t="s">
        <v>675</v>
      </c>
      <c r="M211" s="198">
        <f>ROUND(K211*I211/10000,6)</f>
        <v>0</v>
      </c>
      <c r="N211" s="198">
        <f>'02 项目基础信息（输入）'!$C$32</f>
        <v>21931.919999999998</v>
      </c>
      <c r="O211" s="198">
        <f t="shared" si="25"/>
        <v>0</v>
      </c>
      <c r="P211" s="198">
        <f>'02 项目基础信息（输入）'!$I$32</f>
        <v>21931.919999999998</v>
      </c>
      <c r="Q211" s="233">
        <f t="shared" si="26"/>
        <v>0</v>
      </c>
      <c r="S211" s="234"/>
      <c r="U211" s="220" t="s">
        <v>1878</v>
      </c>
      <c r="V211" s="1190">
        <v>0</v>
      </c>
      <c r="W211" s="1190">
        <v>0</v>
      </c>
      <c r="X211" s="1190">
        <v>0</v>
      </c>
      <c r="Z211">
        <v>0</v>
      </c>
      <c r="AB211" s="1356">
        <f t="shared" si="22"/>
        <v>0</v>
      </c>
    </row>
    <row r="212" spans="1:28" ht="20.25" hidden="1" customHeight="1" outlineLevel="3">
      <c r="A212" s="192" t="s">
        <v>1879</v>
      </c>
      <c r="B212" s="192"/>
      <c r="C212" s="197" t="s">
        <v>1609</v>
      </c>
      <c r="D212" s="198">
        <f>'02 项目基础信息（输入）'!$C$32</f>
        <v>21931.919999999998</v>
      </c>
      <c r="E212" s="199" t="s">
        <v>93</v>
      </c>
      <c r="F212" s="197" t="s">
        <v>694</v>
      </c>
      <c r="G212" s="199">
        <v>0</v>
      </c>
      <c r="H212" s="199" t="s">
        <v>298</v>
      </c>
      <c r="I212" s="198">
        <f>G212*D212</f>
        <v>0</v>
      </c>
      <c r="J212" s="199" t="s">
        <v>93</v>
      </c>
      <c r="K212" s="207">
        <v>0</v>
      </c>
      <c r="L212" s="209" t="s">
        <v>675</v>
      </c>
      <c r="M212" s="198">
        <f>ROUND(K212*I212/10000,6)</f>
        <v>0</v>
      </c>
      <c r="N212" s="198">
        <f>'02 项目基础信息（输入）'!$C$32</f>
        <v>21931.919999999998</v>
      </c>
      <c r="O212" s="198">
        <f t="shared" si="25"/>
        <v>0</v>
      </c>
      <c r="P212" s="198">
        <f>'02 项目基础信息（输入）'!$I$32</f>
        <v>21931.919999999998</v>
      </c>
      <c r="Q212" s="233">
        <f t="shared" si="26"/>
        <v>0</v>
      </c>
      <c r="S212" s="234"/>
      <c r="U212" s="220" t="s">
        <v>1880</v>
      </c>
      <c r="V212" s="1190">
        <v>0</v>
      </c>
      <c r="W212" s="1190">
        <v>0</v>
      </c>
      <c r="X212" s="1190">
        <v>0</v>
      </c>
      <c r="Z212">
        <v>0</v>
      </c>
      <c r="AB212" s="1356">
        <f t="shared" si="22"/>
        <v>0</v>
      </c>
    </row>
    <row r="213" spans="1:28" ht="20.25" hidden="1" customHeight="1" outlineLevel="3">
      <c r="A213" s="192" t="s">
        <v>1881</v>
      </c>
      <c r="B213" s="192"/>
      <c r="C213" s="197" t="s">
        <v>1609</v>
      </c>
      <c r="D213" s="198">
        <f>'02 项目基础信息（输入）'!$C$32</f>
        <v>21931.919999999998</v>
      </c>
      <c r="E213" s="199" t="s">
        <v>93</v>
      </c>
      <c r="F213" s="197" t="s">
        <v>694</v>
      </c>
      <c r="G213" s="199">
        <v>0</v>
      </c>
      <c r="H213" s="199" t="s">
        <v>298</v>
      </c>
      <c r="I213" s="198">
        <f>G213*D213</f>
        <v>0</v>
      </c>
      <c r="J213" s="199" t="s">
        <v>93</v>
      </c>
      <c r="K213" s="207">
        <v>0</v>
      </c>
      <c r="L213" s="209" t="s">
        <v>675</v>
      </c>
      <c r="M213" s="198">
        <f>ROUND(K213*I213/10000,6)</f>
        <v>0</v>
      </c>
      <c r="N213" s="198">
        <f>'02 项目基础信息（输入）'!$C$32</f>
        <v>21931.919999999998</v>
      </c>
      <c r="O213" s="198">
        <f t="shared" si="25"/>
        <v>0</v>
      </c>
      <c r="P213" s="198">
        <f>'02 项目基础信息（输入）'!$I$32</f>
        <v>21931.919999999998</v>
      </c>
      <c r="Q213" s="233">
        <f t="shared" si="26"/>
        <v>0</v>
      </c>
      <c r="S213" s="234"/>
      <c r="U213" s="220" t="s">
        <v>1882</v>
      </c>
      <c r="V213" s="1190">
        <v>0</v>
      </c>
      <c r="W213" s="1190">
        <v>0</v>
      </c>
      <c r="X213" s="1190">
        <v>0</v>
      </c>
      <c r="Z213">
        <v>0</v>
      </c>
      <c r="AB213" s="1356">
        <f t="shared" si="22"/>
        <v>0</v>
      </c>
    </row>
    <row r="214" spans="1:28" ht="20.25" customHeight="1" outlineLevel="2" collapsed="1">
      <c r="A214" s="192" t="s">
        <v>1883</v>
      </c>
      <c r="B214" s="192"/>
      <c r="C214" s="197" t="s">
        <v>1609</v>
      </c>
      <c r="D214" s="198">
        <f>'02 项目基础信息（输入）'!$C$32</f>
        <v>21931.919999999998</v>
      </c>
      <c r="E214" s="199" t="s">
        <v>93</v>
      </c>
      <c r="F214" s="197"/>
      <c r="G214" s="199"/>
      <c r="H214" s="199"/>
      <c r="I214" s="197"/>
      <c r="J214" s="199"/>
      <c r="K214" s="207"/>
      <c r="L214" s="209"/>
      <c r="M214" s="198">
        <f>ROUND(SUM(M215),6)</f>
        <v>0</v>
      </c>
      <c r="N214" s="198">
        <f>'02 项目基础信息（输入）'!$C$32</f>
        <v>21931.919999999998</v>
      </c>
      <c r="O214" s="198">
        <f t="shared" si="25"/>
        <v>0</v>
      </c>
      <c r="P214" s="198">
        <f>'02 项目基础信息（输入）'!$I$32</f>
        <v>21931.919999999998</v>
      </c>
      <c r="Q214" s="233">
        <f t="shared" si="26"/>
        <v>0</v>
      </c>
      <c r="S214" s="234" t="s">
        <v>1313</v>
      </c>
      <c r="U214" s="220" t="s">
        <v>1884</v>
      </c>
      <c r="V214" s="1190">
        <v>0</v>
      </c>
      <c r="W214" s="1190">
        <v>0</v>
      </c>
      <c r="X214" s="1190">
        <v>0</v>
      </c>
      <c r="Z214">
        <v>0</v>
      </c>
      <c r="AB214" s="1356">
        <f t="shared" si="22"/>
        <v>0</v>
      </c>
    </row>
    <row r="215" spans="1:28" ht="20.25" hidden="1" customHeight="1" outlineLevel="3">
      <c r="A215" s="192" t="s">
        <v>1885</v>
      </c>
      <c r="B215" s="192"/>
      <c r="C215" s="197" t="s">
        <v>1609</v>
      </c>
      <c r="D215" s="198">
        <f>'02 项目基础信息（输入）'!$C$32</f>
        <v>21931.919999999998</v>
      </c>
      <c r="E215" s="199" t="s">
        <v>93</v>
      </c>
      <c r="F215" s="197" t="s">
        <v>1886</v>
      </c>
      <c r="G215" s="199">
        <v>1</v>
      </c>
      <c r="H215" s="199" t="s">
        <v>298</v>
      </c>
      <c r="I215" s="198">
        <f>G215*D215</f>
        <v>21931.919999999998</v>
      </c>
      <c r="J215" s="199" t="s">
        <v>93</v>
      </c>
      <c r="K215" s="207">
        <v>0</v>
      </c>
      <c r="L215" s="209" t="s">
        <v>675</v>
      </c>
      <c r="M215" s="198">
        <f>ROUND(K215*I215/10000,6)</f>
        <v>0</v>
      </c>
      <c r="N215" s="198">
        <f>'02 项目基础信息（输入）'!$C$32</f>
        <v>21931.919999999998</v>
      </c>
      <c r="O215" s="198">
        <f t="shared" si="25"/>
        <v>0</v>
      </c>
      <c r="P215" s="198">
        <f>'02 项目基础信息（输入）'!$I$32</f>
        <v>21931.919999999998</v>
      </c>
      <c r="Q215" s="233">
        <f t="shared" si="26"/>
        <v>0</v>
      </c>
      <c r="S215" s="234"/>
      <c r="U215" s="220" t="s">
        <v>1887</v>
      </c>
      <c r="V215" s="1190">
        <v>0</v>
      </c>
      <c r="W215" s="1190">
        <v>0</v>
      </c>
      <c r="X215" s="1190">
        <v>0</v>
      </c>
      <c r="Z215">
        <v>0</v>
      </c>
      <c r="AB215" s="1356">
        <f t="shared" si="22"/>
        <v>0</v>
      </c>
    </row>
    <row r="216" spans="1:28" ht="20.25" customHeight="1" outlineLevel="2" collapsed="1">
      <c r="A216" s="192" t="s">
        <v>1888</v>
      </c>
      <c r="B216" s="192"/>
      <c r="C216" s="197" t="s">
        <v>1609</v>
      </c>
      <c r="D216" s="198">
        <f>'02 项目基础信息（输入）'!$C$32</f>
        <v>21931.919999999998</v>
      </c>
      <c r="E216" s="199" t="s">
        <v>93</v>
      </c>
      <c r="F216" s="197"/>
      <c r="G216" s="199"/>
      <c r="H216" s="199"/>
      <c r="I216" s="197"/>
      <c r="J216" s="199"/>
      <c r="K216" s="207"/>
      <c r="L216" s="209"/>
      <c r="M216" s="198">
        <f>ROUND(SUM(M217:M221),6)</f>
        <v>0</v>
      </c>
      <c r="N216" s="198">
        <f>'02 项目基础信息（输入）'!$C$32</f>
        <v>21931.919999999998</v>
      </c>
      <c r="O216" s="198">
        <f t="shared" si="25"/>
        <v>0</v>
      </c>
      <c r="P216" s="198">
        <f>'02 项目基础信息（输入）'!$I$32</f>
        <v>21931.919999999998</v>
      </c>
      <c r="Q216" s="233">
        <f t="shared" si="26"/>
        <v>0</v>
      </c>
      <c r="S216" s="234" t="s">
        <v>1313</v>
      </c>
      <c r="U216" s="220" t="s">
        <v>1889</v>
      </c>
      <c r="V216" s="1190">
        <v>0</v>
      </c>
      <c r="W216" s="1190">
        <v>0</v>
      </c>
      <c r="X216" s="1190">
        <v>0</v>
      </c>
      <c r="Z216">
        <v>0</v>
      </c>
      <c r="AB216" s="1356">
        <f t="shared" si="22"/>
        <v>0</v>
      </c>
    </row>
    <row r="217" spans="1:28" ht="20.25" hidden="1" customHeight="1" outlineLevel="3">
      <c r="A217" s="192" t="s">
        <v>1890</v>
      </c>
      <c r="B217" s="192"/>
      <c r="C217" s="197" t="s">
        <v>1609</v>
      </c>
      <c r="D217" s="198">
        <f>'02 项目基础信息（输入）'!$C$32</f>
        <v>21931.919999999998</v>
      </c>
      <c r="E217" s="199" t="s">
        <v>93</v>
      </c>
      <c r="F217" s="197" t="s">
        <v>1886</v>
      </c>
      <c r="G217" s="199">
        <v>1</v>
      </c>
      <c r="H217" s="199" t="s">
        <v>298</v>
      </c>
      <c r="I217" s="198">
        <f>G217*D217</f>
        <v>21931.919999999998</v>
      </c>
      <c r="J217" s="199" t="s">
        <v>93</v>
      </c>
      <c r="K217" s="207">
        <v>0</v>
      </c>
      <c r="L217" s="209" t="s">
        <v>675</v>
      </c>
      <c r="M217" s="198">
        <f>ROUND(K217*I217/10000,6)</f>
        <v>0</v>
      </c>
      <c r="N217" s="198">
        <f>'02 项目基础信息（输入）'!$C$32</f>
        <v>21931.919999999998</v>
      </c>
      <c r="O217" s="198">
        <f t="shared" si="25"/>
        <v>0</v>
      </c>
      <c r="P217" s="198">
        <f>'02 项目基础信息（输入）'!$I$32</f>
        <v>21931.919999999998</v>
      </c>
      <c r="Q217" s="233">
        <f t="shared" si="26"/>
        <v>0</v>
      </c>
      <c r="S217" s="234"/>
      <c r="U217" s="220" t="s">
        <v>1891</v>
      </c>
      <c r="V217" s="1190">
        <v>0</v>
      </c>
      <c r="W217" s="1190">
        <v>0</v>
      </c>
      <c r="X217" s="1190">
        <v>0</v>
      </c>
      <c r="Z217">
        <v>0</v>
      </c>
      <c r="AB217" s="1356">
        <f t="shared" si="22"/>
        <v>0</v>
      </c>
    </row>
    <row r="218" spans="1:28" ht="20.25" hidden="1" customHeight="1" outlineLevel="3">
      <c r="A218" s="192" t="s">
        <v>1892</v>
      </c>
      <c r="B218" s="192"/>
      <c r="C218" s="197" t="s">
        <v>1609</v>
      </c>
      <c r="D218" s="198">
        <f>'02 项目基础信息（输入）'!$C$32</f>
        <v>21931.919999999998</v>
      </c>
      <c r="E218" s="199" t="s">
        <v>93</v>
      </c>
      <c r="F218" s="197" t="s">
        <v>1886</v>
      </c>
      <c r="G218" s="199">
        <v>1</v>
      </c>
      <c r="H218" s="199" t="s">
        <v>298</v>
      </c>
      <c r="I218" s="198">
        <f>G218*D218</f>
        <v>21931.919999999998</v>
      </c>
      <c r="J218" s="199" t="s">
        <v>93</v>
      </c>
      <c r="K218" s="207">
        <v>0</v>
      </c>
      <c r="L218" s="209" t="s">
        <v>675</v>
      </c>
      <c r="M218" s="198">
        <f>ROUND(K218*I218/10000,6)</f>
        <v>0</v>
      </c>
      <c r="N218" s="198">
        <f>'02 项目基础信息（输入）'!$C$32</f>
        <v>21931.919999999998</v>
      </c>
      <c r="O218" s="198">
        <f t="shared" si="25"/>
        <v>0</v>
      </c>
      <c r="P218" s="198">
        <f>'02 项目基础信息（输入）'!$I$32</f>
        <v>21931.919999999998</v>
      </c>
      <c r="Q218" s="233">
        <f t="shared" si="26"/>
        <v>0</v>
      </c>
      <c r="S218" s="234"/>
      <c r="U218" s="220" t="s">
        <v>1893</v>
      </c>
      <c r="V218" s="1190">
        <v>0</v>
      </c>
      <c r="W218" s="1190">
        <v>0</v>
      </c>
      <c r="X218" s="1190">
        <v>0</v>
      </c>
      <c r="Z218">
        <v>0</v>
      </c>
      <c r="AB218" s="1356">
        <f t="shared" si="22"/>
        <v>0</v>
      </c>
    </row>
    <row r="219" spans="1:28" ht="20.25" hidden="1" customHeight="1" outlineLevel="3">
      <c r="A219" s="192" t="s">
        <v>1894</v>
      </c>
      <c r="B219" s="192"/>
      <c r="C219" s="197" t="s">
        <v>1609</v>
      </c>
      <c r="D219" s="198">
        <f>'02 项目基础信息（输入）'!$C$32</f>
        <v>21931.919999999998</v>
      </c>
      <c r="E219" s="199" t="s">
        <v>93</v>
      </c>
      <c r="F219" s="197" t="s">
        <v>1886</v>
      </c>
      <c r="G219" s="199">
        <v>1</v>
      </c>
      <c r="H219" s="199" t="s">
        <v>298</v>
      </c>
      <c r="I219" s="198">
        <f>G219*D219</f>
        <v>21931.919999999998</v>
      </c>
      <c r="J219" s="199" t="s">
        <v>93</v>
      </c>
      <c r="K219" s="207">
        <v>0</v>
      </c>
      <c r="L219" s="209" t="s">
        <v>675</v>
      </c>
      <c r="M219" s="198">
        <f>ROUND(K219*I219/10000,6)</f>
        <v>0</v>
      </c>
      <c r="N219" s="198">
        <f>'02 项目基础信息（输入）'!$C$32</f>
        <v>21931.919999999998</v>
      </c>
      <c r="O219" s="198">
        <f t="shared" si="25"/>
        <v>0</v>
      </c>
      <c r="P219" s="198">
        <f>'02 项目基础信息（输入）'!$I$32</f>
        <v>21931.919999999998</v>
      </c>
      <c r="Q219" s="233">
        <f t="shared" si="26"/>
        <v>0</v>
      </c>
      <c r="S219" s="234"/>
      <c r="U219" s="220" t="s">
        <v>1895</v>
      </c>
      <c r="V219" s="1190">
        <v>0</v>
      </c>
      <c r="W219" s="1190">
        <v>0</v>
      </c>
      <c r="X219" s="1190">
        <v>0</v>
      </c>
      <c r="Z219">
        <v>0</v>
      </c>
      <c r="AB219" s="1356">
        <f t="shared" si="22"/>
        <v>0</v>
      </c>
    </row>
    <row r="220" spans="1:28" ht="20.25" hidden="1" customHeight="1" outlineLevel="3">
      <c r="A220" s="192" t="s">
        <v>1896</v>
      </c>
      <c r="B220" s="192"/>
      <c r="C220" s="197" t="s">
        <v>1609</v>
      </c>
      <c r="D220" s="198">
        <f>'02 项目基础信息（输入）'!$C$32</f>
        <v>21931.919999999998</v>
      </c>
      <c r="E220" s="199" t="s">
        <v>93</v>
      </c>
      <c r="F220" s="197" t="s">
        <v>1886</v>
      </c>
      <c r="G220" s="199">
        <v>1</v>
      </c>
      <c r="H220" s="199" t="s">
        <v>298</v>
      </c>
      <c r="I220" s="198">
        <f>G220*D220</f>
        <v>21931.919999999998</v>
      </c>
      <c r="J220" s="199" t="s">
        <v>93</v>
      </c>
      <c r="K220" s="207">
        <v>0</v>
      </c>
      <c r="L220" s="209" t="s">
        <v>675</v>
      </c>
      <c r="M220" s="198">
        <f>ROUND(K220*I220/10000,6)</f>
        <v>0</v>
      </c>
      <c r="N220" s="198">
        <f>'02 项目基础信息（输入）'!$C$32</f>
        <v>21931.919999999998</v>
      </c>
      <c r="O220" s="198">
        <f t="shared" si="25"/>
        <v>0</v>
      </c>
      <c r="P220" s="198">
        <f>'02 项目基础信息（输入）'!$I$32</f>
        <v>21931.919999999998</v>
      </c>
      <c r="Q220" s="233">
        <f t="shared" si="26"/>
        <v>0</v>
      </c>
      <c r="S220" s="234"/>
      <c r="U220" s="220" t="s">
        <v>1897</v>
      </c>
      <c r="V220" s="1190">
        <v>0</v>
      </c>
      <c r="W220" s="1190">
        <v>0</v>
      </c>
      <c r="X220" s="1190">
        <v>0</v>
      </c>
      <c r="Z220">
        <v>0</v>
      </c>
      <c r="AB220" s="1356">
        <f t="shared" si="22"/>
        <v>0</v>
      </c>
    </row>
    <row r="221" spans="1:28" ht="20.25" hidden="1" customHeight="1" outlineLevel="3">
      <c r="A221" s="192" t="s">
        <v>1898</v>
      </c>
      <c r="B221" s="192"/>
      <c r="C221" s="197" t="s">
        <v>1609</v>
      </c>
      <c r="D221" s="198">
        <f>'02 项目基础信息（输入）'!$C$32</f>
        <v>21931.919999999998</v>
      </c>
      <c r="E221" s="199" t="s">
        <v>93</v>
      </c>
      <c r="F221" s="197" t="s">
        <v>1886</v>
      </c>
      <c r="G221" s="199">
        <v>1</v>
      </c>
      <c r="H221" s="199" t="s">
        <v>298</v>
      </c>
      <c r="I221" s="198">
        <f>G221*D221</f>
        <v>21931.919999999998</v>
      </c>
      <c r="J221" s="199" t="s">
        <v>93</v>
      </c>
      <c r="K221" s="207">
        <v>0</v>
      </c>
      <c r="L221" s="209" t="s">
        <v>675</v>
      </c>
      <c r="M221" s="198">
        <f>ROUND(K221*I221/10000,6)</f>
        <v>0</v>
      </c>
      <c r="N221" s="198">
        <f>'02 项目基础信息（输入）'!$C$32</f>
        <v>21931.919999999998</v>
      </c>
      <c r="O221" s="198">
        <f t="shared" si="25"/>
        <v>0</v>
      </c>
      <c r="P221" s="198">
        <f>'02 项目基础信息（输入）'!$I$32</f>
        <v>21931.919999999998</v>
      </c>
      <c r="Q221" s="233">
        <f t="shared" si="26"/>
        <v>0</v>
      </c>
      <c r="S221" s="234"/>
      <c r="U221" s="220" t="s">
        <v>1899</v>
      </c>
      <c r="V221" s="1190">
        <v>0</v>
      </c>
      <c r="W221" s="1190">
        <v>0</v>
      </c>
      <c r="X221" s="1190">
        <v>0</v>
      </c>
      <c r="Z221">
        <v>0</v>
      </c>
      <c r="AB221" s="1356">
        <f t="shared" si="22"/>
        <v>0</v>
      </c>
    </row>
    <row r="222" spans="1:28" ht="20.25" customHeight="1" outlineLevel="2" collapsed="1">
      <c r="A222" s="192" t="s">
        <v>1900</v>
      </c>
      <c r="B222" s="192"/>
      <c r="C222" s="197" t="s">
        <v>1609</v>
      </c>
      <c r="D222" s="198">
        <f>'02 项目基础信息（输入）'!$C$32</f>
        <v>21931.919999999998</v>
      </c>
      <c r="E222" s="199" t="s">
        <v>93</v>
      </c>
      <c r="F222" s="197"/>
      <c r="G222" s="199"/>
      <c r="H222" s="199"/>
      <c r="I222" s="197"/>
      <c r="J222" s="199"/>
      <c r="K222" s="207"/>
      <c r="L222" s="209"/>
      <c r="M222" s="198">
        <f>ROUND(SUM(M223:M228),6)</f>
        <v>0</v>
      </c>
      <c r="N222" s="198">
        <f>'02 项目基础信息（输入）'!$C$32</f>
        <v>21931.919999999998</v>
      </c>
      <c r="O222" s="198">
        <f t="shared" si="25"/>
        <v>0</v>
      </c>
      <c r="P222" s="198">
        <f>'02 项目基础信息（输入）'!$I$32</f>
        <v>21931.919999999998</v>
      </c>
      <c r="Q222" s="233">
        <f t="shared" si="26"/>
        <v>0</v>
      </c>
      <c r="S222" s="234" t="s">
        <v>1314</v>
      </c>
      <c r="U222" s="220" t="s">
        <v>1901</v>
      </c>
      <c r="V222" s="1190">
        <v>0</v>
      </c>
      <c r="W222" s="1190">
        <v>0</v>
      </c>
      <c r="X222" s="1190">
        <v>0</v>
      </c>
      <c r="Z222">
        <v>0</v>
      </c>
      <c r="AB222" s="1356">
        <f t="shared" si="22"/>
        <v>0</v>
      </c>
    </row>
    <row r="223" spans="1:28" ht="20.25" hidden="1" customHeight="1" outlineLevel="3">
      <c r="A223" s="192" t="s">
        <v>1902</v>
      </c>
      <c r="B223" s="192"/>
      <c r="C223" s="197" t="s">
        <v>309</v>
      </c>
      <c r="D223" s="198">
        <f>'02 项目基础信息（输入）'!$AC$32</f>
        <v>0</v>
      </c>
      <c r="E223" s="199" t="s">
        <v>310</v>
      </c>
      <c r="F223" s="197" t="s">
        <v>309</v>
      </c>
      <c r="G223" s="199">
        <v>1</v>
      </c>
      <c r="H223" s="199" t="s">
        <v>1903</v>
      </c>
      <c r="I223" s="198">
        <f t="shared" ref="I223:I228" si="29">G223*D223</f>
        <v>0</v>
      </c>
      <c r="J223" s="199" t="s">
        <v>310</v>
      </c>
      <c r="K223" s="207">
        <v>0</v>
      </c>
      <c r="L223" s="209" t="s">
        <v>736</v>
      </c>
      <c r="M223" s="198">
        <f t="shared" ref="M223:M228" si="30">ROUND(K223*I223/10000,6)</f>
        <v>0</v>
      </c>
      <c r="N223" s="198">
        <f>'02 项目基础信息（输入）'!$C$32</f>
        <v>21931.919999999998</v>
      </c>
      <c r="O223" s="198">
        <f t="shared" si="25"/>
        <v>0</v>
      </c>
      <c r="P223" s="198">
        <f>'02 项目基础信息（输入）'!$I$32</f>
        <v>21931.919999999998</v>
      </c>
      <c r="Q223" s="233">
        <f t="shared" si="26"/>
        <v>0</v>
      </c>
      <c r="S223" s="234"/>
      <c r="U223" s="220" t="s">
        <v>1904</v>
      </c>
      <c r="V223" s="1190">
        <v>0</v>
      </c>
      <c r="W223" s="1190">
        <v>0</v>
      </c>
      <c r="X223" s="1190">
        <v>0</v>
      </c>
      <c r="Z223">
        <v>0</v>
      </c>
      <c r="AB223" s="1356">
        <f t="shared" ref="AB223:AB253" si="31">O223-Z223</f>
        <v>0</v>
      </c>
    </row>
    <row r="224" spans="1:28" ht="20.25" hidden="1" customHeight="1" outlineLevel="3">
      <c r="A224" s="192" t="s">
        <v>1905</v>
      </c>
      <c r="B224" s="192"/>
      <c r="C224" s="197" t="s">
        <v>309</v>
      </c>
      <c r="D224" s="198">
        <f>'02 项目基础信息（输入）'!$AC$32</f>
        <v>0</v>
      </c>
      <c r="E224" s="199" t="s">
        <v>310</v>
      </c>
      <c r="F224" s="197" t="s">
        <v>309</v>
      </c>
      <c r="G224" s="199">
        <v>1</v>
      </c>
      <c r="H224" s="199" t="s">
        <v>1903</v>
      </c>
      <c r="I224" s="198">
        <f t="shared" si="29"/>
        <v>0</v>
      </c>
      <c r="J224" s="199" t="s">
        <v>310</v>
      </c>
      <c r="K224" s="207">
        <v>0</v>
      </c>
      <c r="L224" s="209" t="s">
        <v>736</v>
      </c>
      <c r="M224" s="198">
        <f t="shared" si="30"/>
        <v>0</v>
      </c>
      <c r="N224" s="198">
        <f>'02 项目基础信息（输入）'!$C$32</f>
        <v>21931.919999999998</v>
      </c>
      <c r="O224" s="198">
        <f t="shared" si="25"/>
        <v>0</v>
      </c>
      <c r="P224" s="198">
        <f>'02 项目基础信息（输入）'!$I$32</f>
        <v>21931.919999999998</v>
      </c>
      <c r="Q224" s="233">
        <f t="shared" si="26"/>
        <v>0</v>
      </c>
      <c r="S224" s="234"/>
      <c r="U224" s="220" t="s">
        <v>1906</v>
      </c>
      <c r="V224" s="1190">
        <v>0</v>
      </c>
      <c r="W224" s="1190">
        <v>0</v>
      </c>
      <c r="X224" s="1190">
        <v>0</v>
      </c>
      <c r="Z224">
        <v>0</v>
      </c>
      <c r="AB224" s="1356">
        <f t="shared" si="31"/>
        <v>0</v>
      </c>
    </row>
    <row r="225" spans="1:28" ht="20.25" hidden="1" customHeight="1" outlineLevel="3">
      <c r="A225" s="192" t="s">
        <v>1907</v>
      </c>
      <c r="B225" s="192"/>
      <c r="C225" s="197" t="s">
        <v>309</v>
      </c>
      <c r="D225" s="198">
        <f>'02 项目基础信息（输入）'!$AC$32</f>
        <v>0</v>
      </c>
      <c r="E225" s="199" t="s">
        <v>310</v>
      </c>
      <c r="F225" s="197" t="s">
        <v>309</v>
      </c>
      <c r="G225" s="199">
        <v>1</v>
      </c>
      <c r="H225" s="199" t="s">
        <v>1903</v>
      </c>
      <c r="I225" s="198">
        <f t="shared" si="29"/>
        <v>0</v>
      </c>
      <c r="J225" s="199" t="s">
        <v>310</v>
      </c>
      <c r="K225" s="207">
        <v>0</v>
      </c>
      <c r="L225" s="209" t="s">
        <v>736</v>
      </c>
      <c r="M225" s="198">
        <f t="shared" si="30"/>
        <v>0</v>
      </c>
      <c r="N225" s="198">
        <f>'02 项目基础信息（输入）'!$C$32</f>
        <v>21931.919999999998</v>
      </c>
      <c r="O225" s="198">
        <f t="shared" si="25"/>
        <v>0</v>
      </c>
      <c r="P225" s="198">
        <f>'02 项目基础信息（输入）'!$I$32</f>
        <v>21931.919999999998</v>
      </c>
      <c r="Q225" s="233">
        <f t="shared" si="26"/>
        <v>0</v>
      </c>
      <c r="S225" s="234"/>
      <c r="U225" s="220" t="s">
        <v>1908</v>
      </c>
      <c r="V225" s="1190">
        <v>0</v>
      </c>
      <c r="W225" s="1190">
        <v>0</v>
      </c>
      <c r="X225" s="1190">
        <v>0</v>
      </c>
      <c r="Z225">
        <v>0</v>
      </c>
      <c r="AB225" s="1356">
        <f t="shared" si="31"/>
        <v>0</v>
      </c>
    </row>
    <row r="226" spans="1:28" ht="20.25" hidden="1" customHeight="1" outlineLevel="3">
      <c r="A226" s="192" t="s">
        <v>1909</v>
      </c>
      <c r="B226" s="192"/>
      <c r="C226" s="197" t="s">
        <v>309</v>
      </c>
      <c r="D226" s="198">
        <f>'02 项目基础信息（输入）'!$AC$32</f>
        <v>0</v>
      </c>
      <c r="E226" s="199" t="s">
        <v>310</v>
      </c>
      <c r="F226" s="197" t="s">
        <v>309</v>
      </c>
      <c r="G226" s="199">
        <v>1</v>
      </c>
      <c r="H226" s="199" t="s">
        <v>1903</v>
      </c>
      <c r="I226" s="198">
        <f t="shared" si="29"/>
        <v>0</v>
      </c>
      <c r="J226" s="199" t="s">
        <v>310</v>
      </c>
      <c r="K226" s="207">
        <v>0</v>
      </c>
      <c r="L226" s="209" t="s">
        <v>736</v>
      </c>
      <c r="M226" s="198">
        <f t="shared" si="30"/>
        <v>0</v>
      </c>
      <c r="N226" s="198">
        <f>'02 项目基础信息（输入）'!$C$32</f>
        <v>21931.919999999998</v>
      </c>
      <c r="O226" s="198">
        <f t="shared" si="25"/>
        <v>0</v>
      </c>
      <c r="P226" s="198">
        <f>'02 项目基础信息（输入）'!$I$32</f>
        <v>21931.919999999998</v>
      </c>
      <c r="Q226" s="233">
        <f t="shared" si="26"/>
        <v>0</v>
      </c>
      <c r="S226" s="234"/>
      <c r="U226" s="220" t="s">
        <v>1910</v>
      </c>
      <c r="V226" s="1190">
        <v>0</v>
      </c>
      <c r="W226" s="1190">
        <v>0</v>
      </c>
      <c r="X226" s="1190">
        <v>0</v>
      </c>
      <c r="Z226">
        <v>0</v>
      </c>
      <c r="AB226" s="1356">
        <f t="shared" si="31"/>
        <v>0</v>
      </c>
    </row>
    <row r="227" spans="1:28" ht="20.25" hidden="1" customHeight="1" outlineLevel="3">
      <c r="A227" s="192" t="s">
        <v>1911</v>
      </c>
      <c r="B227" s="192"/>
      <c r="C227" s="197" t="s">
        <v>309</v>
      </c>
      <c r="D227" s="198">
        <f>'02 项目基础信息（输入）'!$AC$32</f>
        <v>0</v>
      </c>
      <c r="E227" s="199" t="s">
        <v>310</v>
      </c>
      <c r="F227" s="197" t="s">
        <v>309</v>
      </c>
      <c r="G227" s="199">
        <v>1</v>
      </c>
      <c r="H227" s="199" t="s">
        <v>1903</v>
      </c>
      <c r="I227" s="198">
        <f t="shared" si="29"/>
        <v>0</v>
      </c>
      <c r="J227" s="199" t="s">
        <v>310</v>
      </c>
      <c r="K227" s="207">
        <v>0</v>
      </c>
      <c r="L227" s="209" t="s">
        <v>736</v>
      </c>
      <c r="M227" s="198">
        <f t="shared" si="30"/>
        <v>0</v>
      </c>
      <c r="N227" s="198">
        <f>'02 项目基础信息（输入）'!$C$32</f>
        <v>21931.919999999998</v>
      </c>
      <c r="O227" s="198">
        <f t="shared" si="25"/>
        <v>0</v>
      </c>
      <c r="P227" s="198">
        <f>'02 项目基础信息（输入）'!$I$32</f>
        <v>21931.919999999998</v>
      </c>
      <c r="Q227" s="233">
        <f t="shared" si="26"/>
        <v>0</v>
      </c>
      <c r="S227" s="234"/>
      <c r="U227" s="220" t="s">
        <v>1912</v>
      </c>
      <c r="V227" s="1190">
        <v>0</v>
      </c>
      <c r="W227" s="1190">
        <v>0</v>
      </c>
      <c r="X227" s="1190">
        <v>0</v>
      </c>
      <c r="Z227">
        <v>0</v>
      </c>
      <c r="AB227" s="1356">
        <f t="shared" si="31"/>
        <v>0</v>
      </c>
    </row>
    <row r="228" spans="1:28" ht="20.25" hidden="1" customHeight="1" outlineLevel="3">
      <c r="A228" s="192" t="s">
        <v>1913</v>
      </c>
      <c r="B228" s="192"/>
      <c r="C228" s="197" t="s">
        <v>309</v>
      </c>
      <c r="D228" s="198">
        <f>'02 项目基础信息（输入）'!$AC$32</f>
        <v>0</v>
      </c>
      <c r="E228" s="199" t="s">
        <v>310</v>
      </c>
      <c r="F228" s="197" t="s">
        <v>309</v>
      </c>
      <c r="G228" s="199">
        <v>1</v>
      </c>
      <c r="H228" s="199" t="s">
        <v>1903</v>
      </c>
      <c r="I228" s="198">
        <f t="shared" si="29"/>
        <v>0</v>
      </c>
      <c r="J228" s="199" t="s">
        <v>310</v>
      </c>
      <c r="K228" s="207">
        <v>0</v>
      </c>
      <c r="L228" s="209" t="s">
        <v>736</v>
      </c>
      <c r="M228" s="198">
        <f t="shared" si="30"/>
        <v>0</v>
      </c>
      <c r="N228" s="198">
        <f>'02 项目基础信息（输入）'!$C$32</f>
        <v>21931.919999999998</v>
      </c>
      <c r="O228" s="198">
        <f t="shared" si="25"/>
        <v>0</v>
      </c>
      <c r="P228" s="198">
        <f>'02 项目基础信息（输入）'!$I$32</f>
        <v>21931.919999999998</v>
      </c>
      <c r="Q228" s="233">
        <f t="shared" si="26"/>
        <v>0</v>
      </c>
      <c r="S228" s="234"/>
      <c r="U228" s="220" t="s">
        <v>1914</v>
      </c>
      <c r="V228" s="1190">
        <v>0</v>
      </c>
      <c r="W228" s="1190">
        <v>0</v>
      </c>
      <c r="X228" s="1190">
        <v>0</v>
      </c>
      <c r="Z228">
        <v>0</v>
      </c>
      <c r="AB228" s="1356">
        <f t="shared" si="31"/>
        <v>0</v>
      </c>
    </row>
    <row r="229" spans="1:28" ht="20.25" customHeight="1" outlineLevel="2" collapsed="1">
      <c r="A229" s="192" t="s">
        <v>1915</v>
      </c>
      <c r="B229" s="192"/>
      <c r="C229" s="197" t="s">
        <v>1609</v>
      </c>
      <c r="D229" s="198">
        <f>'02 项目基础信息（输入）'!$C$32</f>
        <v>21931.919999999998</v>
      </c>
      <c r="E229" s="199" t="s">
        <v>93</v>
      </c>
      <c r="F229" s="197"/>
      <c r="G229" s="199"/>
      <c r="H229" s="199"/>
      <c r="I229" s="197"/>
      <c r="J229" s="199"/>
      <c r="K229" s="207"/>
      <c r="L229" s="209"/>
      <c r="M229" s="198">
        <f>ROUND(SUM(M230:M232),6)</f>
        <v>0</v>
      </c>
      <c r="N229" s="198">
        <f>'02 项目基础信息（输入）'!$C$32</f>
        <v>21931.919999999998</v>
      </c>
      <c r="O229" s="198">
        <f t="shared" si="25"/>
        <v>0</v>
      </c>
      <c r="P229" s="198">
        <f>'02 项目基础信息（输入）'!$I$32</f>
        <v>21931.919999999998</v>
      </c>
      <c r="Q229" s="233">
        <f t="shared" si="26"/>
        <v>0</v>
      </c>
      <c r="S229" s="234" t="s">
        <v>1314</v>
      </c>
      <c r="U229" s="220" t="s">
        <v>1916</v>
      </c>
      <c r="V229" s="1190">
        <v>0</v>
      </c>
      <c r="W229" s="1190">
        <v>0</v>
      </c>
      <c r="X229" s="1190">
        <v>0</v>
      </c>
      <c r="Z229">
        <v>0</v>
      </c>
      <c r="AB229" s="1356">
        <f t="shared" si="31"/>
        <v>0</v>
      </c>
    </row>
    <row r="230" spans="1:28" ht="20.25" hidden="1" customHeight="1" outlineLevel="3">
      <c r="A230" s="192" t="s">
        <v>1917</v>
      </c>
      <c r="B230" s="192"/>
      <c r="C230" s="197" t="s">
        <v>455</v>
      </c>
      <c r="D230" s="198">
        <f>'02 项目基础信息（输入）'!$J$32</f>
        <v>0</v>
      </c>
      <c r="E230" s="199" t="s">
        <v>400</v>
      </c>
      <c r="F230" s="197" t="s">
        <v>455</v>
      </c>
      <c r="G230" s="199">
        <v>1</v>
      </c>
      <c r="H230" s="199" t="s">
        <v>1918</v>
      </c>
      <c r="I230" s="198">
        <f>G230*D230</f>
        <v>0</v>
      </c>
      <c r="J230" s="199" t="s">
        <v>1082</v>
      </c>
      <c r="K230" s="207">
        <v>0</v>
      </c>
      <c r="L230" s="209" t="s">
        <v>1087</v>
      </c>
      <c r="M230" s="198">
        <f>ROUND(K230*I230/10000,6)</f>
        <v>0</v>
      </c>
      <c r="N230" s="198">
        <f>'02 项目基础信息（输入）'!$C$32</f>
        <v>21931.919999999998</v>
      </c>
      <c r="O230" s="198">
        <f t="shared" si="25"/>
        <v>0</v>
      </c>
      <c r="P230" s="198">
        <f>'02 项目基础信息（输入）'!$I$32</f>
        <v>21931.919999999998</v>
      </c>
      <c r="Q230" s="233">
        <f t="shared" si="26"/>
        <v>0</v>
      </c>
      <c r="S230" s="234"/>
      <c r="U230" s="220" t="s">
        <v>1919</v>
      </c>
      <c r="V230" s="1190">
        <v>0</v>
      </c>
      <c r="W230" s="1190">
        <v>0</v>
      </c>
      <c r="X230" s="1190">
        <v>0</v>
      </c>
      <c r="Z230">
        <v>0</v>
      </c>
      <c r="AB230" s="1356">
        <f t="shared" si="31"/>
        <v>0</v>
      </c>
    </row>
    <row r="231" spans="1:28" ht="20.25" hidden="1" customHeight="1" outlineLevel="3">
      <c r="A231" s="192" t="s">
        <v>1920</v>
      </c>
      <c r="B231" s="192"/>
      <c r="C231" s="197" t="s">
        <v>455</v>
      </c>
      <c r="D231" s="198">
        <f>'02 项目基础信息（输入）'!$J$32</f>
        <v>0</v>
      </c>
      <c r="E231" s="199" t="s">
        <v>400</v>
      </c>
      <c r="F231" s="197" t="s">
        <v>455</v>
      </c>
      <c r="G231" s="199">
        <v>1</v>
      </c>
      <c r="H231" s="199" t="s">
        <v>1918</v>
      </c>
      <c r="I231" s="198">
        <f>G231*D231</f>
        <v>0</v>
      </c>
      <c r="J231" s="199" t="s">
        <v>1082</v>
      </c>
      <c r="K231" s="207">
        <v>0</v>
      </c>
      <c r="L231" s="209" t="s">
        <v>1087</v>
      </c>
      <c r="M231" s="198">
        <f>ROUND(K231*I231/10000,6)</f>
        <v>0</v>
      </c>
      <c r="N231" s="198">
        <f>'02 项目基础信息（输入）'!$C$32</f>
        <v>21931.919999999998</v>
      </c>
      <c r="O231" s="198">
        <f t="shared" si="25"/>
        <v>0</v>
      </c>
      <c r="P231" s="198">
        <f>'02 项目基础信息（输入）'!$I$32</f>
        <v>21931.919999999998</v>
      </c>
      <c r="Q231" s="233">
        <f t="shared" si="26"/>
        <v>0</v>
      </c>
      <c r="S231" s="234"/>
      <c r="U231" s="220" t="s">
        <v>1921</v>
      </c>
      <c r="V231" s="1190">
        <v>0</v>
      </c>
      <c r="W231" s="1190">
        <v>0</v>
      </c>
      <c r="X231" s="1190">
        <v>0</v>
      </c>
      <c r="Z231">
        <v>0</v>
      </c>
      <c r="AB231" s="1356">
        <f t="shared" si="31"/>
        <v>0</v>
      </c>
    </row>
    <row r="232" spans="1:28" ht="20.25" hidden="1" customHeight="1" outlineLevel="3">
      <c r="A232" s="192" t="s">
        <v>1922</v>
      </c>
      <c r="B232" s="192"/>
      <c r="C232" s="197" t="s">
        <v>455</v>
      </c>
      <c r="D232" s="198">
        <f>'02 项目基础信息（输入）'!$J$32</f>
        <v>0</v>
      </c>
      <c r="E232" s="199" t="s">
        <v>400</v>
      </c>
      <c r="F232" s="197" t="s">
        <v>455</v>
      </c>
      <c r="G232" s="199">
        <v>1</v>
      </c>
      <c r="H232" s="199" t="s">
        <v>1918</v>
      </c>
      <c r="I232" s="198">
        <f>G232*D232</f>
        <v>0</v>
      </c>
      <c r="J232" s="199" t="s">
        <v>1082</v>
      </c>
      <c r="K232" s="207">
        <v>0</v>
      </c>
      <c r="L232" s="209" t="s">
        <v>1087</v>
      </c>
      <c r="M232" s="198">
        <f>ROUND(K232*I232/10000,6)</f>
        <v>0</v>
      </c>
      <c r="N232" s="198">
        <f>'02 项目基础信息（输入）'!$C$32</f>
        <v>21931.919999999998</v>
      </c>
      <c r="O232" s="198">
        <f t="shared" si="25"/>
        <v>0</v>
      </c>
      <c r="P232" s="198">
        <f>'02 项目基础信息（输入）'!$I$32</f>
        <v>21931.919999999998</v>
      </c>
      <c r="Q232" s="233">
        <f t="shared" si="26"/>
        <v>0</v>
      </c>
      <c r="S232" s="234"/>
      <c r="U232" s="220" t="s">
        <v>1923</v>
      </c>
      <c r="V232" s="1190">
        <v>0</v>
      </c>
      <c r="W232" s="1190">
        <v>0</v>
      </c>
      <c r="X232" s="1190">
        <v>0</v>
      </c>
      <c r="Z232">
        <v>0</v>
      </c>
      <c r="AB232" s="1356">
        <f t="shared" si="31"/>
        <v>0</v>
      </c>
    </row>
    <row r="233" spans="1:28" ht="20.25" customHeight="1" outlineLevel="2" collapsed="1">
      <c r="A233" s="192" t="s">
        <v>1924</v>
      </c>
      <c r="B233" s="192"/>
      <c r="C233" s="197" t="s">
        <v>1609</v>
      </c>
      <c r="D233" s="198">
        <f>'02 项目基础信息（输入）'!$C$32</f>
        <v>21931.919999999998</v>
      </c>
      <c r="E233" s="199" t="s">
        <v>93</v>
      </c>
      <c r="F233" s="197"/>
      <c r="G233" s="199"/>
      <c r="H233" s="199"/>
      <c r="I233" s="197"/>
      <c r="J233" s="199"/>
      <c r="K233" s="207"/>
      <c r="L233" s="209"/>
      <c r="M233" s="198">
        <f>ROUND(SUM(M234:M235),6)</f>
        <v>121.064198</v>
      </c>
      <c r="N233" s="198">
        <f>'02 项目基础信息（输入）'!$C$32</f>
        <v>21931.919999999998</v>
      </c>
      <c r="O233" s="198">
        <f t="shared" si="25"/>
        <v>55.2</v>
      </c>
      <c r="P233" s="198">
        <f>'02 项目基础信息（输入）'!$I$32</f>
        <v>21931.919999999998</v>
      </c>
      <c r="Q233" s="233">
        <f t="shared" si="26"/>
        <v>55.2</v>
      </c>
      <c r="S233" s="234" t="s">
        <v>1313</v>
      </c>
      <c r="U233" s="220" t="s">
        <v>1925</v>
      </c>
      <c r="V233" s="1190">
        <v>32.4651</v>
      </c>
      <c r="W233" s="1190">
        <v>45.135399999999997</v>
      </c>
      <c r="X233" s="1190">
        <v>33.316099999999999</v>
      </c>
      <c r="Z233">
        <v>21</v>
      </c>
      <c r="AB233" s="1356">
        <f t="shared" si="31"/>
        <v>34.200000000000003</v>
      </c>
    </row>
    <row r="234" spans="1:28" ht="45" hidden="1" customHeight="1" outlineLevel="3">
      <c r="A234" s="192" t="s">
        <v>1926</v>
      </c>
      <c r="B234" s="192"/>
      <c r="C234" s="197" t="s">
        <v>1609</v>
      </c>
      <c r="D234" s="198">
        <f>'02 项目基础信息（输入）'!$C$32</f>
        <v>21931.919999999998</v>
      </c>
      <c r="E234" s="199" t="s">
        <v>93</v>
      </c>
      <c r="F234" s="193" t="s">
        <v>1927</v>
      </c>
      <c r="G234" s="1330">
        <v>0.8</v>
      </c>
      <c r="H234" s="195" t="s">
        <v>298</v>
      </c>
      <c r="I234" s="194">
        <f>G234*D234</f>
        <v>17545.536</v>
      </c>
      <c r="J234" s="195" t="s">
        <v>93</v>
      </c>
      <c r="K234" s="1287">
        <f>35*0.6+120*0.4</f>
        <v>69</v>
      </c>
      <c r="L234" s="209" t="s">
        <v>675</v>
      </c>
      <c r="M234" s="198">
        <f>ROUND(K234*I234/10000,6)</f>
        <v>121.064198</v>
      </c>
      <c r="N234" s="198">
        <f>'02 项目基础信息（输入）'!$C$32</f>
        <v>21931.919999999998</v>
      </c>
      <c r="O234" s="198">
        <f t="shared" si="25"/>
        <v>55.2</v>
      </c>
      <c r="P234" s="198">
        <f>'02 项目基础信息（输入）'!$I$32</f>
        <v>21931.919999999998</v>
      </c>
      <c r="Q234" s="233">
        <f t="shared" si="26"/>
        <v>55.2</v>
      </c>
      <c r="R234" s="1045" t="s">
        <v>8009</v>
      </c>
      <c r="S234" s="234"/>
      <c r="U234" s="220" t="s">
        <v>1928</v>
      </c>
      <c r="V234" s="1196">
        <v>32.4651</v>
      </c>
      <c r="W234" s="1196">
        <v>45.135399999999997</v>
      </c>
      <c r="X234" s="1196">
        <v>33.316099999999999</v>
      </c>
      <c r="Z234">
        <v>21</v>
      </c>
      <c r="AB234" s="1356">
        <f t="shared" si="31"/>
        <v>34.200000000000003</v>
      </c>
    </row>
    <row r="235" spans="1:28" ht="20.25" hidden="1" customHeight="1" outlineLevel="3">
      <c r="A235" s="192" t="s">
        <v>1929</v>
      </c>
      <c r="B235" s="192"/>
      <c r="C235" s="197" t="s">
        <v>1609</v>
      </c>
      <c r="D235" s="198">
        <f>'02 项目基础信息（输入）'!$C$32</f>
        <v>21931.919999999998</v>
      </c>
      <c r="E235" s="199" t="s">
        <v>93</v>
      </c>
      <c r="F235" s="197" t="s">
        <v>1927</v>
      </c>
      <c r="G235" s="199">
        <v>0</v>
      </c>
      <c r="H235" s="199" t="s">
        <v>298</v>
      </c>
      <c r="I235" s="197">
        <v>0</v>
      </c>
      <c r="J235" s="199" t="s">
        <v>93</v>
      </c>
      <c r="K235" s="207">
        <v>0</v>
      </c>
      <c r="L235" s="209" t="s">
        <v>675</v>
      </c>
      <c r="M235" s="198">
        <f>ROUND(K235*I235/10000,6)</f>
        <v>0</v>
      </c>
      <c r="N235" s="198">
        <f>'02 项目基础信息（输入）'!$C$32</f>
        <v>21931.919999999998</v>
      </c>
      <c r="O235" s="198">
        <f t="shared" si="25"/>
        <v>0</v>
      </c>
      <c r="P235" s="198">
        <f>'02 项目基础信息（输入）'!$I$32</f>
        <v>21931.919999999998</v>
      </c>
      <c r="Q235" s="233">
        <f t="shared" si="26"/>
        <v>0</v>
      </c>
      <c r="S235" s="234"/>
      <c r="U235" s="220" t="s">
        <v>1930</v>
      </c>
      <c r="V235" s="1190">
        <v>0</v>
      </c>
      <c r="W235" s="1190">
        <v>0</v>
      </c>
      <c r="X235" s="1190">
        <v>0</v>
      </c>
      <c r="Z235">
        <v>0</v>
      </c>
      <c r="AB235" s="1356">
        <f t="shared" si="31"/>
        <v>0</v>
      </c>
    </row>
    <row r="236" spans="1:28" ht="20.25" customHeight="1" outlineLevel="2" collapsed="1">
      <c r="A236" s="192" t="s">
        <v>1931</v>
      </c>
      <c r="B236" s="192"/>
      <c r="C236" s="197" t="s">
        <v>1609</v>
      </c>
      <c r="D236" s="198">
        <f>'02 项目基础信息（输入）'!$C$32</f>
        <v>21931.919999999998</v>
      </c>
      <c r="E236" s="199" t="s">
        <v>93</v>
      </c>
      <c r="F236" s="197"/>
      <c r="G236" s="199"/>
      <c r="H236" s="199"/>
      <c r="I236" s="197"/>
      <c r="J236" s="199"/>
      <c r="K236" s="207"/>
      <c r="L236" s="209"/>
      <c r="M236" s="198">
        <f>ROUND(SUM(M237),6)</f>
        <v>21.931920000000002</v>
      </c>
      <c r="N236" s="198">
        <f>'02 项目基础信息（输入）'!$C$32</f>
        <v>21931.919999999998</v>
      </c>
      <c r="O236" s="198">
        <f t="shared" si="25"/>
        <v>10</v>
      </c>
      <c r="P236" s="198">
        <f>'02 项目基础信息（输入）'!$I$32</f>
        <v>21931.919999999998</v>
      </c>
      <c r="Q236" s="233">
        <f t="shared" si="26"/>
        <v>10</v>
      </c>
      <c r="S236" s="234" t="s">
        <v>1313</v>
      </c>
      <c r="U236" s="220" t="s">
        <v>1932</v>
      </c>
      <c r="V236" s="1190">
        <v>11.557499999999999</v>
      </c>
      <c r="W236" s="1190">
        <v>9</v>
      </c>
      <c r="X236" s="1190">
        <v>8.6943999999999999</v>
      </c>
      <c r="Z236">
        <v>5</v>
      </c>
      <c r="AB236" s="1356">
        <f t="shared" si="31"/>
        <v>5</v>
      </c>
    </row>
    <row r="237" spans="1:28" ht="20.25" hidden="1" customHeight="1" outlineLevel="3">
      <c r="A237" s="192" t="s">
        <v>1933</v>
      </c>
      <c r="B237" s="192"/>
      <c r="C237" s="197" t="s">
        <v>1609</v>
      </c>
      <c r="D237" s="198">
        <f>'02 项目基础信息（输入）'!$C$32</f>
        <v>21931.919999999998</v>
      </c>
      <c r="E237" s="199" t="s">
        <v>93</v>
      </c>
      <c r="F237" s="197" t="s">
        <v>1886</v>
      </c>
      <c r="G237" s="199">
        <v>1</v>
      </c>
      <c r="H237" s="199" t="s">
        <v>298</v>
      </c>
      <c r="I237" s="198">
        <f>G237*D237</f>
        <v>21931.919999999998</v>
      </c>
      <c r="J237" s="199" t="s">
        <v>93</v>
      </c>
      <c r="K237" s="1044">
        <v>10</v>
      </c>
      <c r="L237" s="209" t="s">
        <v>675</v>
      </c>
      <c r="M237" s="198">
        <f>ROUND(K237*I237/10000,6)</f>
        <v>21.931920000000002</v>
      </c>
      <c r="N237" s="198">
        <f>'02 项目基础信息（输入）'!$C$32</f>
        <v>21931.919999999998</v>
      </c>
      <c r="O237" s="198">
        <f t="shared" si="25"/>
        <v>10</v>
      </c>
      <c r="P237" s="198">
        <f>'02 项目基础信息（输入）'!$I$32</f>
        <v>21931.919999999998</v>
      </c>
      <c r="Q237" s="233">
        <f t="shared" si="26"/>
        <v>10</v>
      </c>
      <c r="S237" s="234"/>
      <c r="U237" s="220" t="s">
        <v>1934</v>
      </c>
      <c r="V237" s="1190">
        <v>11.557499999999999</v>
      </c>
      <c r="W237" s="1190">
        <v>9</v>
      </c>
      <c r="X237" s="1190">
        <v>8.6943999999999999</v>
      </c>
      <c r="Z237">
        <v>5</v>
      </c>
      <c r="AB237" s="1356">
        <f t="shared" si="31"/>
        <v>5</v>
      </c>
    </row>
    <row r="238" spans="1:28" ht="20.25" customHeight="1" outlineLevel="2">
      <c r="A238" s="192" t="s">
        <v>1935</v>
      </c>
      <c r="B238" s="192"/>
      <c r="C238" s="197" t="s">
        <v>1609</v>
      </c>
      <c r="D238" s="198">
        <f>'02 项目基础信息（输入）'!$C$32</f>
        <v>21931.919999999998</v>
      </c>
      <c r="E238" s="199" t="s">
        <v>93</v>
      </c>
      <c r="F238" s="197"/>
      <c r="G238" s="199"/>
      <c r="H238" s="199"/>
      <c r="I238" s="197"/>
      <c r="J238" s="199"/>
      <c r="K238" s="207"/>
      <c r="L238" s="209"/>
      <c r="M238" s="198">
        <v>0</v>
      </c>
      <c r="N238" s="198">
        <f>'02 项目基础信息（输入）'!$C$32</f>
        <v>21931.919999999998</v>
      </c>
      <c r="O238" s="198">
        <f t="shared" si="25"/>
        <v>0</v>
      </c>
      <c r="P238" s="198">
        <f>'02 项目基础信息（输入）'!$I$32</f>
        <v>21931.919999999998</v>
      </c>
      <c r="Q238" s="233">
        <f t="shared" si="26"/>
        <v>0</v>
      </c>
      <c r="S238" s="234" t="s">
        <v>1313</v>
      </c>
      <c r="U238" s="220" t="s">
        <v>1936</v>
      </c>
      <c r="V238" s="1190">
        <v>0</v>
      </c>
      <c r="W238" s="1190">
        <v>0</v>
      </c>
      <c r="X238" s="1190">
        <v>0</v>
      </c>
      <c r="Z238">
        <v>0</v>
      </c>
      <c r="AB238" s="1356">
        <f t="shared" si="31"/>
        <v>0</v>
      </c>
    </row>
    <row r="239" spans="1:28" ht="20.25" customHeight="1" outlineLevel="2">
      <c r="A239" s="192" t="s">
        <v>1937</v>
      </c>
      <c r="B239" s="192"/>
      <c r="C239" s="197" t="s">
        <v>1609</v>
      </c>
      <c r="D239" s="198">
        <f>'02 项目基础信息（输入）'!$C$32</f>
        <v>21931.919999999998</v>
      </c>
      <c r="E239" s="199" t="s">
        <v>93</v>
      </c>
      <c r="F239" s="197"/>
      <c r="G239" s="199"/>
      <c r="H239" s="199"/>
      <c r="I239" s="197"/>
      <c r="J239" s="199"/>
      <c r="K239" s="207"/>
      <c r="L239" s="209"/>
      <c r="M239" s="198">
        <v>0</v>
      </c>
      <c r="N239" s="198">
        <f>'02 项目基础信息（输入）'!$C$32</f>
        <v>21931.919999999998</v>
      </c>
      <c r="O239" s="198">
        <f t="shared" si="25"/>
        <v>0</v>
      </c>
      <c r="P239" s="198">
        <f>'02 项目基础信息（输入）'!$I$32</f>
        <v>21931.919999999998</v>
      </c>
      <c r="Q239" s="233">
        <f t="shared" si="26"/>
        <v>0</v>
      </c>
      <c r="S239" s="234" t="s">
        <v>1313</v>
      </c>
      <c r="U239" s="220" t="s">
        <v>1938</v>
      </c>
      <c r="V239" s="1190">
        <v>0</v>
      </c>
      <c r="W239" s="1190">
        <v>0</v>
      </c>
      <c r="X239" s="1190">
        <v>0</v>
      </c>
      <c r="Z239">
        <v>0</v>
      </c>
      <c r="AB239" s="1356">
        <f t="shared" si="31"/>
        <v>0</v>
      </c>
    </row>
    <row r="240" spans="1:28" ht="20.25" customHeight="1" outlineLevel="2">
      <c r="A240" s="192" t="s">
        <v>1939</v>
      </c>
      <c r="B240" s="192"/>
      <c r="C240" s="197" t="s">
        <v>1609</v>
      </c>
      <c r="D240" s="198">
        <f>'02 项目基础信息（输入）'!$C$32</f>
        <v>21931.919999999998</v>
      </c>
      <c r="E240" s="199" t="s">
        <v>93</v>
      </c>
      <c r="F240" s="197"/>
      <c r="G240" s="199"/>
      <c r="H240" s="199"/>
      <c r="I240" s="197"/>
      <c r="J240" s="199"/>
      <c r="K240" s="207"/>
      <c r="L240" s="209"/>
      <c r="M240" s="198">
        <v>0</v>
      </c>
      <c r="N240" s="198">
        <f>'02 项目基础信息（输入）'!$C$32</f>
        <v>21931.919999999998</v>
      </c>
      <c r="O240" s="198">
        <f t="shared" si="25"/>
        <v>0</v>
      </c>
      <c r="P240" s="198">
        <f>'02 项目基础信息（输入）'!$I$32</f>
        <v>21931.919999999998</v>
      </c>
      <c r="Q240" s="233">
        <f t="shared" si="26"/>
        <v>0</v>
      </c>
      <c r="S240" s="234" t="s">
        <v>1313</v>
      </c>
      <c r="U240" s="220" t="s">
        <v>1940</v>
      </c>
      <c r="V240" s="1190">
        <v>0</v>
      </c>
      <c r="W240" s="1190">
        <v>0</v>
      </c>
      <c r="X240" s="1190">
        <v>0</v>
      </c>
      <c r="Z240">
        <v>0</v>
      </c>
      <c r="AB240" s="1356">
        <f t="shared" si="31"/>
        <v>0</v>
      </c>
    </row>
    <row r="241" spans="1:28" ht="20.25" customHeight="1" outlineLevel="2" collapsed="1">
      <c r="A241" s="192" t="s">
        <v>1941</v>
      </c>
      <c r="B241" s="192"/>
      <c r="C241" s="197" t="s">
        <v>1609</v>
      </c>
      <c r="D241" s="198">
        <f>'02 项目基础信息（输入）'!$C$32</f>
        <v>21931.919999999998</v>
      </c>
      <c r="E241" s="199" t="s">
        <v>93</v>
      </c>
      <c r="F241" s="197"/>
      <c r="G241" s="199"/>
      <c r="H241" s="199"/>
      <c r="I241" s="197"/>
      <c r="J241" s="199"/>
      <c r="K241" s="207"/>
      <c r="L241" s="209"/>
      <c r="M241" s="198">
        <f>ROUND(SUM(M242:M243),6)</f>
        <v>10</v>
      </c>
      <c r="N241" s="198">
        <f>'02 项目基础信息（输入）'!$C$32</f>
        <v>21931.919999999998</v>
      </c>
      <c r="O241" s="198">
        <f t="shared" si="25"/>
        <v>4.5599999999999996</v>
      </c>
      <c r="P241" s="198">
        <f>'02 项目基础信息（输入）'!$I$32</f>
        <v>21931.919999999998</v>
      </c>
      <c r="Q241" s="233">
        <f t="shared" si="26"/>
        <v>4.5599999999999996</v>
      </c>
      <c r="S241" s="234" t="s">
        <v>1313</v>
      </c>
      <c r="U241" s="220" t="s">
        <v>1942</v>
      </c>
      <c r="V241" s="1190">
        <v>1.9495</v>
      </c>
      <c r="W241" s="1190">
        <v>12.869400000000001</v>
      </c>
      <c r="X241" s="1190">
        <v>2.9557000000000002</v>
      </c>
      <c r="Z241">
        <v>1.1100000000000001</v>
      </c>
      <c r="AB241" s="1356">
        <f t="shared" si="31"/>
        <v>3.4499999999999993</v>
      </c>
    </row>
    <row r="242" spans="1:28" ht="20.25" hidden="1" customHeight="1" outlineLevel="3">
      <c r="A242" s="192" t="s">
        <v>1943</v>
      </c>
      <c r="B242" s="192"/>
      <c r="C242" s="197" t="s">
        <v>422</v>
      </c>
      <c r="D242" s="198">
        <f>'02 项目基础信息（输入）'!AK32</f>
        <v>2</v>
      </c>
      <c r="E242" s="199" t="s">
        <v>400</v>
      </c>
      <c r="F242" s="197" t="s">
        <v>1944</v>
      </c>
      <c r="G242" s="199">
        <f>IFERROR(I242/D242,0)</f>
        <v>1</v>
      </c>
      <c r="H242" s="199" t="s">
        <v>1945</v>
      </c>
      <c r="I242" s="197">
        <f>'03 成本测算（输入）'!D19</f>
        <v>2</v>
      </c>
      <c r="J242" s="199" t="s">
        <v>1946</v>
      </c>
      <c r="K242" s="1044" t="s">
        <v>1947</v>
      </c>
      <c r="L242" s="209" t="s">
        <v>1948</v>
      </c>
      <c r="M242" s="198">
        <f>ROUND(K242*I242/10000,6)</f>
        <v>10</v>
      </c>
      <c r="N242" s="198">
        <f>'02 项目基础信息（输入）'!$C$32</f>
        <v>21931.919999999998</v>
      </c>
      <c r="O242" s="198">
        <f t="shared" si="25"/>
        <v>4.5599999999999996</v>
      </c>
      <c r="P242" s="198">
        <f>'02 项目基础信息（输入）'!$I$32</f>
        <v>21931.919999999998</v>
      </c>
      <c r="Q242" s="233">
        <f t="shared" si="26"/>
        <v>4.5599999999999996</v>
      </c>
      <c r="S242" s="234"/>
      <c r="U242" s="220" t="s">
        <v>1949</v>
      </c>
      <c r="V242" s="1190">
        <v>1.9495</v>
      </c>
      <c r="W242" s="1190">
        <v>0.32440000000000002</v>
      </c>
      <c r="X242" s="1190">
        <v>2.9557000000000002</v>
      </c>
      <c r="Z242">
        <v>1.1100000000000001</v>
      </c>
      <c r="AB242" s="1356">
        <f t="shared" si="31"/>
        <v>3.4499999999999993</v>
      </c>
    </row>
    <row r="243" spans="1:28" ht="20.25" hidden="1" customHeight="1" outlineLevel="3">
      <c r="A243" s="192" t="s">
        <v>1950</v>
      </c>
      <c r="B243" s="192"/>
      <c r="C243" s="197" t="s">
        <v>422</v>
      </c>
      <c r="D243" s="198">
        <f>'02 项目基础信息（输入）'!AK32</f>
        <v>2</v>
      </c>
      <c r="E243" s="199" t="s">
        <v>400</v>
      </c>
      <c r="F243" s="197" t="s">
        <v>1944</v>
      </c>
      <c r="G243" s="199">
        <f>IFERROR(I243/D243,0)</f>
        <v>1</v>
      </c>
      <c r="H243" s="199" t="s">
        <v>1945</v>
      </c>
      <c r="I243" s="197">
        <f>I242</f>
        <v>2</v>
      </c>
      <c r="J243" s="199" t="s">
        <v>1946</v>
      </c>
      <c r="K243" s="699" t="s">
        <v>717</v>
      </c>
      <c r="L243" s="209" t="s">
        <v>1948</v>
      </c>
      <c r="M243" s="198">
        <f>ROUND(K243*I243/10000,6)</f>
        <v>0</v>
      </c>
      <c r="N243" s="198">
        <f>'02 项目基础信息（输入）'!$C$32</f>
        <v>21931.919999999998</v>
      </c>
      <c r="O243" s="198">
        <f t="shared" si="25"/>
        <v>0</v>
      </c>
      <c r="P243" s="198">
        <f>'02 项目基础信息（输入）'!$I$32</f>
        <v>21931.919999999998</v>
      </c>
      <c r="Q243" s="233">
        <f t="shared" si="26"/>
        <v>0</v>
      </c>
      <c r="S243" s="234"/>
      <c r="U243" s="220" t="s">
        <v>1951</v>
      </c>
      <c r="V243" s="1190">
        <v>0</v>
      </c>
      <c r="W243" s="1190">
        <v>12.5449</v>
      </c>
      <c r="X243" s="1190">
        <v>0</v>
      </c>
      <c r="Z243">
        <v>0</v>
      </c>
      <c r="AB243" s="1356">
        <f t="shared" si="31"/>
        <v>0</v>
      </c>
    </row>
    <row r="244" spans="1:28" ht="20.25" customHeight="1" outlineLevel="2" collapsed="1">
      <c r="A244" s="192" t="s">
        <v>1952</v>
      </c>
      <c r="B244" s="192"/>
      <c r="C244" s="197" t="s">
        <v>1609</v>
      </c>
      <c r="D244" s="198">
        <f>'02 项目基础信息（输入）'!$C$32</f>
        <v>21931.919999999998</v>
      </c>
      <c r="E244" s="199" t="s">
        <v>93</v>
      </c>
      <c r="F244" s="197"/>
      <c r="G244" s="199"/>
      <c r="H244" s="199"/>
      <c r="I244" s="197"/>
      <c r="J244" s="199"/>
      <c r="K244" s="207"/>
      <c r="L244" s="209"/>
      <c r="M244" s="198">
        <f>ROUND(SUM(M245),6)</f>
        <v>0</v>
      </c>
      <c r="N244" s="198">
        <f>'02 项目基础信息（输入）'!$C$32</f>
        <v>21931.919999999998</v>
      </c>
      <c r="O244" s="198">
        <f t="shared" si="25"/>
        <v>0</v>
      </c>
      <c r="P244" s="198">
        <f>'02 项目基础信息（输入）'!$I$32</f>
        <v>21931.919999999998</v>
      </c>
      <c r="Q244" s="233">
        <f t="shared" si="26"/>
        <v>0</v>
      </c>
      <c r="S244" s="234" t="s">
        <v>1313</v>
      </c>
      <c r="U244" s="220" t="s">
        <v>1953</v>
      </c>
      <c r="V244" s="1190">
        <v>0</v>
      </c>
      <c r="W244" s="1190">
        <v>0</v>
      </c>
      <c r="X244" s="1190">
        <v>0</v>
      </c>
      <c r="Z244">
        <v>0</v>
      </c>
      <c r="AB244" s="1356">
        <f t="shared" si="31"/>
        <v>0</v>
      </c>
    </row>
    <row r="245" spans="1:28" ht="20.25" hidden="1" customHeight="1" outlineLevel="3">
      <c r="A245" s="192" t="s">
        <v>1954</v>
      </c>
      <c r="B245" s="192"/>
      <c r="C245" s="197" t="s">
        <v>399</v>
      </c>
      <c r="D245" s="198">
        <f>'02 项目基础信息（输入）'!$AI$32</f>
        <v>522.5</v>
      </c>
      <c r="E245" s="199" t="s">
        <v>400</v>
      </c>
      <c r="F245" s="197" t="s">
        <v>1955</v>
      </c>
      <c r="G245" s="199">
        <f>IFERROR(I245/D245,0)</f>
        <v>0</v>
      </c>
      <c r="H245" s="199" t="s">
        <v>1748</v>
      </c>
      <c r="I245" s="197" t="str">
        <f>'03 成本测算（输入）'!D20</f>
        <v>0</v>
      </c>
      <c r="J245" s="199" t="s">
        <v>400</v>
      </c>
      <c r="K245" s="699" t="s">
        <v>717</v>
      </c>
      <c r="L245" s="209" t="s">
        <v>1749</v>
      </c>
      <c r="M245" s="198">
        <f>ROUND(K245*I245/10000,6)</f>
        <v>0</v>
      </c>
      <c r="N245" s="198">
        <f>'02 项目基础信息（输入）'!$C$32</f>
        <v>21931.919999999998</v>
      </c>
      <c r="O245" s="198">
        <f t="shared" si="25"/>
        <v>0</v>
      </c>
      <c r="P245" s="198">
        <f>'02 项目基础信息（输入）'!$I$32</f>
        <v>21931.919999999998</v>
      </c>
      <c r="Q245" s="233">
        <f t="shared" si="26"/>
        <v>0</v>
      </c>
      <c r="S245" s="234"/>
      <c r="U245" s="220" t="s">
        <v>1956</v>
      </c>
      <c r="V245" s="1190">
        <v>0</v>
      </c>
      <c r="W245" s="1190">
        <v>0</v>
      </c>
      <c r="X245" s="1190">
        <v>0</v>
      </c>
      <c r="Z245">
        <v>0</v>
      </c>
      <c r="AB245" s="1356">
        <f t="shared" si="31"/>
        <v>0</v>
      </c>
    </row>
    <row r="246" spans="1:28" ht="20.25" customHeight="1" outlineLevel="2" collapsed="1">
      <c r="A246" s="192" t="s">
        <v>1957</v>
      </c>
      <c r="B246" s="192"/>
      <c r="C246" s="197" t="s">
        <v>1609</v>
      </c>
      <c r="D246" s="198">
        <f>'02 项目基础信息（输入）'!$C$32</f>
        <v>21931.919999999998</v>
      </c>
      <c r="E246" s="199" t="s">
        <v>93</v>
      </c>
      <c r="F246" s="197"/>
      <c r="G246" s="199"/>
      <c r="H246" s="199"/>
      <c r="I246" s="197"/>
      <c r="J246" s="199"/>
      <c r="K246" s="207"/>
      <c r="L246" s="209"/>
      <c r="M246" s="198">
        <f>ROUND(SUM(M247:M250),6)</f>
        <v>0</v>
      </c>
      <c r="N246" s="198">
        <f>'02 项目基础信息（输入）'!$C$32</f>
        <v>21931.919999999998</v>
      </c>
      <c r="O246" s="198">
        <f t="shared" si="25"/>
        <v>0</v>
      </c>
      <c r="P246" s="198">
        <f>'02 项目基础信息（输入）'!$I$32</f>
        <v>21931.919999999998</v>
      </c>
      <c r="Q246" s="233">
        <f t="shared" si="26"/>
        <v>0</v>
      </c>
      <c r="S246" s="234" t="s">
        <v>1313</v>
      </c>
      <c r="U246" s="220" t="s">
        <v>1958</v>
      </c>
      <c r="V246" s="1190">
        <v>0</v>
      </c>
      <c r="W246" s="1190">
        <v>0</v>
      </c>
      <c r="X246" s="1190">
        <v>0</v>
      </c>
      <c r="Z246">
        <v>0</v>
      </c>
      <c r="AB246" s="1356">
        <f t="shared" si="31"/>
        <v>0</v>
      </c>
    </row>
    <row r="247" spans="1:28" ht="20.25" hidden="1" customHeight="1" outlineLevel="3">
      <c r="A247" s="192" t="s">
        <v>1959</v>
      </c>
      <c r="B247" s="192"/>
      <c r="C247" s="197" t="s">
        <v>1609</v>
      </c>
      <c r="D247" s="198">
        <f>'02 项目基础信息（输入）'!$C$32</f>
        <v>21931.919999999998</v>
      </c>
      <c r="E247" s="199" t="s">
        <v>93</v>
      </c>
      <c r="F247" s="197" t="s">
        <v>1960</v>
      </c>
      <c r="G247" s="199">
        <v>0</v>
      </c>
      <c r="H247" s="199" t="s">
        <v>298</v>
      </c>
      <c r="I247" s="198">
        <f>G247*D247</f>
        <v>0</v>
      </c>
      <c r="J247" s="199" t="s">
        <v>93</v>
      </c>
      <c r="K247" s="207">
        <v>0</v>
      </c>
      <c r="L247" s="209" t="s">
        <v>675</v>
      </c>
      <c r="M247" s="198">
        <f>ROUND(K247*I247/10000,6)</f>
        <v>0</v>
      </c>
      <c r="N247" s="198">
        <f>'02 项目基础信息（输入）'!$C$32</f>
        <v>21931.919999999998</v>
      </c>
      <c r="O247" s="198">
        <f t="shared" si="25"/>
        <v>0</v>
      </c>
      <c r="P247" s="198">
        <f>'02 项目基础信息（输入）'!$I$32</f>
        <v>21931.919999999998</v>
      </c>
      <c r="Q247" s="233">
        <f t="shared" si="26"/>
        <v>0</v>
      </c>
      <c r="S247" s="234"/>
      <c r="U247" s="220" t="s">
        <v>1961</v>
      </c>
      <c r="V247" s="1190">
        <v>0</v>
      </c>
      <c r="W247" s="1190">
        <v>0</v>
      </c>
      <c r="X247" s="1190">
        <v>0</v>
      </c>
      <c r="Z247">
        <v>0</v>
      </c>
      <c r="AB247" s="1356">
        <f t="shared" si="31"/>
        <v>0</v>
      </c>
    </row>
    <row r="248" spans="1:28" ht="20.25" hidden="1" customHeight="1" outlineLevel="3">
      <c r="A248" s="192" t="s">
        <v>1962</v>
      </c>
      <c r="B248" s="192"/>
      <c r="C248" s="197" t="s">
        <v>1609</v>
      </c>
      <c r="D248" s="198">
        <f>'02 项目基础信息（输入）'!$C$32</f>
        <v>21931.919999999998</v>
      </c>
      <c r="E248" s="199" t="s">
        <v>93</v>
      </c>
      <c r="F248" s="197" t="s">
        <v>1960</v>
      </c>
      <c r="G248" s="199">
        <v>0</v>
      </c>
      <c r="H248" s="199" t="s">
        <v>298</v>
      </c>
      <c r="I248" s="198">
        <f>G248*D248</f>
        <v>0</v>
      </c>
      <c r="J248" s="199" t="s">
        <v>93</v>
      </c>
      <c r="K248" s="207">
        <v>0</v>
      </c>
      <c r="L248" s="209" t="s">
        <v>675</v>
      </c>
      <c r="M248" s="198">
        <f>ROUND(K248*I248/10000,6)</f>
        <v>0</v>
      </c>
      <c r="N248" s="198">
        <f>'02 项目基础信息（输入）'!$C$32</f>
        <v>21931.919999999998</v>
      </c>
      <c r="O248" s="198">
        <f t="shared" si="25"/>
        <v>0</v>
      </c>
      <c r="P248" s="198">
        <f>'02 项目基础信息（输入）'!$I$32</f>
        <v>21931.919999999998</v>
      </c>
      <c r="Q248" s="233">
        <f t="shared" si="26"/>
        <v>0</v>
      </c>
      <c r="S248" s="234"/>
      <c r="U248" s="220" t="s">
        <v>1963</v>
      </c>
      <c r="V248" s="1190">
        <v>0</v>
      </c>
      <c r="W248" s="1190">
        <v>0</v>
      </c>
      <c r="X248" s="1190">
        <v>0</v>
      </c>
      <c r="Z248">
        <v>0</v>
      </c>
      <c r="AB248" s="1356">
        <f t="shared" si="31"/>
        <v>0</v>
      </c>
    </row>
    <row r="249" spans="1:28" ht="20.25" hidden="1" customHeight="1" outlineLevel="3">
      <c r="A249" s="192" t="s">
        <v>1964</v>
      </c>
      <c r="B249" s="192"/>
      <c r="C249" s="197" t="s">
        <v>1609</v>
      </c>
      <c r="D249" s="198">
        <f>'02 项目基础信息（输入）'!$C$32</f>
        <v>21931.919999999998</v>
      </c>
      <c r="E249" s="199" t="s">
        <v>93</v>
      </c>
      <c r="F249" s="197" t="s">
        <v>1960</v>
      </c>
      <c r="G249" s="199">
        <v>0</v>
      </c>
      <c r="H249" s="199" t="s">
        <v>298</v>
      </c>
      <c r="I249" s="198">
        <f>G249*D249</f>
        <v>0</v>
      </c>
      <c r="J249" s="199" t="s">
        <v>93</v>
      </c>
      <c r="K249" s="207">
        <v>0</v>
      </c>
      <c r="L249" s="209" t="s">
        <v>675</v>
      </c>
      <c r="M249" s="198">
        <f>ROUND(K249*I249/10000,6)</f>
        <v>0</v>
      </c>
      <c r="N249" s="198">
        <f>'02 项目基础信息（输入）'!$C$32</f>
        <v>21931.919999999998</v>
      </c>
      <c r="O249" s="198">
        <f t="shared" si="25"/>
        <v>0</v>
      </c>
      <c r="P249" s="198">
        <f>'02 项目基础信息（输入）'!$I$32</f>
        <v>21931.919999999998</v>
      </c>
      <c r="Q249" s="233">
        <f t="shared" si="26"/>
        <v>0</v>
      </c>
      <c r="S249" s="234"/>
      <c r="U249" s="220" t="s">
        <v>1965</v>
      </c>
      <c r="V249" s="1190">
        <v>0</v>
      </c>
      <c r="W249" s="1190">
        <v>0</v>
      </c>
      <c r="X249" s="1190">
        <v>0</v>
      </c>
      <c r="Z249">
        <v>0</v>
      </c>
      <c r="AB249" s="1356">
        <f t="shared" si="31"/>
        <v>0</v>
      </c>
    </row>
    <row r="250" spans="1:28" ht="20.25" hidden="1" customHeight="1" outlineLevel="3">
      <c r="A250" s="192" t="s">
        <v>1966</v>
      </c>
      <c r="B250" s="192"/>
      <c r="C250" s="197" t="s">
        <v>1609</v>
      </c>
      <c r="D250" s="198">
        <f>'02 项目基础信息（输入）'!$C$32</f>
        <v>21931.919999999998</v>
      </c>
      <c r="E250" s="199" t="s">
        <v>93</v>
      </c>
      <c r="F250" s="197" t="s">
        <v>1960</v>
      </c>
      <c r="G250" s="199">
        <v>0</v>
      </c>
      <c r="H250" s="199" t="s">
        <v>298</v>
      </c>
      <c r="I250" s="198">
        <f>G250*D250</f>
        <v>0</v>
      </c>
      <c r="J250" s="199" t="s">
        <v>93</v>
      </c>
      <c r="K250" s="207">
        <v>0</v>
      </c>
      <c r="L250" s="209" t="s">
        <v>675</v>
      </c>
      <c r="M250" s="198">
        <f>ROUND(K250*I250/10000,6)</f>
        <v>0</v>
      </c>
      <c r="N250" s="198">
        <f>'02 项目基础信息（输入）'!$C$32</f>
        <v>21931.919999999998</v>
      </c>
      <c r="O250" s="198">
        <f t="shared" si="25"/>
        <v>0</v>
      </c>
      <c r="P250" s="198">
        <f>'02 项目基础信息（输入）'!$I$32</f>
        <v>21931.919999999998</v>
      </c>
      <c r="Q250" s="233">
        <f t="shared" si="26"/>
        <v>0</v>
      </c>
      <c r="S250" s="234"/>
      <c r="U250" s="220" t="s">
        <v>1967</v>
      </c>
      <c r="V250" s="1190">
        <v>0</v>
      </c>
      <c r="W250" s="1190">
        <v>0</v>
      </c>
      <c r="X250" s="1190">
        <v>0</v>
      </c>
      <c r="Z250">
        <v>0</v>
      </c>
      <c r="AB250" s="1356">
        <f t="shared" si="31"/>
        <v>0</v>
      </c>
    </row>
    <row r="251" spans="1:28" ht="20.25" customHeight="1" outlineLevel="2" collapsed="1">
      <c r="A251" s="192" t="s">
        <v>1968</v>
      </c>
      <c r="B251" s="192"/>
      <c r="C251" s="197" t="s">
        <v>1609</v>
      </c>
      <c r="D251" s="198">
        <f>'02 项目基础信息（输入）'!$C$32</f>
        <v>21931.919999999998</v>
      </c>
      <c r="E251" s="199" t="s">
        <v>93</v>
      </c>
      <c r="F251" s="197"/>
      <c r="G251" s="199"/>
      <c r="H251" s="199"/>
      <c r="I251" s="197"/>
      <c r="J251" s="199"/>
      <c r="K251" s="207"/>
      <c r="L251" s="209"/>
      <c r="M251" s="198">
        <f>ROUND(SUM(M252),6)</f>
        <v>0</v>
      </c>
      <c r="N251" s="198">
        <f>'02 项目基础信息（输入）'!$C$32</f>
        <v>21931.919999999998</v>
      </c>
      <c r="O251" s="198">
        <f t="shared" si="25"/>
        <v>0</v>
      </c>
      <c r="P251" s="198">
        <f>'02 项目基础信息（输入）'!$I$32</f>
        <v>21931.919999999998</v>
      </c>
      <c r="Q251" s="233">
        <f t="shared" si="26"/>
        <v>0</v>
      </c>
      <c r="S251" s="234" t="s">
        <v>1313</v>
      </c>
      <c r="U251" s="220" t="s">
        <v>1969</v>
      </c>
      <c r="V251" s="1190">
        <v>0</v>
      </c>
      <c r="W251" s="1190">
        <v>0</v>
      </c>
      <c r="X251" s="1190">
        <v>0</v>
      </c>
      <c r="Z251">
        <v>0</v>
      </c>
      <c r="AB251" s="1356">
        <f t="shared" si="31"/>
        <v>0</v>
      </c>
    </row>
    <row r="252" spans="1:28" ht="20.25" hidden="1" customHeight="1" outlineLevel="3">
      <c r="A252" s="192" t="s">
        <v>1970</v>
      </c>
      <c r="B252" s="192"/>
      <c r="C252" s="197" t="s">
        <v>1609</v>
      </c>
      <c r="D252" s="198">
        <f>'02 项目基础信息（输入）'!$C$32</f>
        <v>21931.919999999998</v>
      </c>
      <c r="E252" s="199" t="s">
        <v>93</v>
      </c>
      <c r="F252" s="197" t="s">
        <v>1609</v>
      </c>
      <c r="G252" s="199">
        <v>1</v>
      </c>
      <c r="H252" s="199" t="s">
        <v>298</v>
      </c>
      <c r="I252" s="198">
        <f>G252*D252</f>
        <v>21931.919999999998</v>
      </c>
      <c r="J252" s="199" t="s">
        <v>93</v>
      </c>
      <c r="K252" s="699"/>
      <c r="L252" s="209" t="s">
        <v>675</v>
      </c>
      <c r="M252" s="198">
        <f>ROUND(K252*I252/10000,6)</f>
        <v>0</v>
      </c>
      <c r="N252" s="198">
        <f>'02 项目基础信息（输入）'!$C$32</f>
        <v>21931.919999999998</v>
      </c>
      <c r="O252" s="198">
        <f t="shared" si="25"/>
        <v>0</v>
      </c>
      <c r="P252" s="198">
        <f>'02 项目基础信息（输入）'!$I$32</f>
        <v>21931.919999999998</v>
      </c>
      <c r="Q252" s="233">
        <f t="shared" si="26"/>
        <v>0</v>
      </c>
      <c r="S252" s="234"/>
      <c r="U252" s="220" t="s">
        <v>1971</v>
      </c>
      <c r="V252" s="1190">
        <v>0</v>
      </c>
      <c r="W252" s="1190">
        <v>0</v>
      </c>
      <c r="X252" s="1190">
        <v>0</v>
      </c>
      <c r="Z252">
        <v>0</v>
      </c>
      <c r="AB252" s="1356">
        <f t="shared" si="31"/>
        <v>0</v>
      </c>
    </row>
    <row r="253" spans="1:28" ht="20" customHeight="1" outlineLevel="2" collapsed="1">
      <c r="A253" s="192" t="s">
        <v>1972</v>
      </c>
      <c r="B253" s="192"/>
      <c r="C253" s="197" t="s">
        <v>1609</v>
      </c>
      <c r="D253" s="198">
        <f>'02 项目基础信息（输入）'!$C$32</f>
        <v>21931.919999999998</v>
      </c>
      <c r="E253" s="199" t="s">
        <v>93</v>
      </c>
      <c r="F253" s="197"/>
      <c r="G253" s="199"/>
      <c r="H253" s="199"/>
      <c r="I253" s="197"/>
      <c r="J253" s="199"/>
      <c r="K253" s="207"/>
      <c r="L253" s="209"/>
      <c r="M253" s="198">
        <f>ROUND(SUM(M254),6)</f>
        <v>474.89787999999999</v>
      </c>
      <c r="N253" s="198">
        <f>'02 项目基础信息（输入）'!$C$32</f>
        <v>21931.919999999998</v>
      </c>
      <c r="O253" s="198">
        <f t="shared" si="25"/>
        <v>216.53</v>
      </c>
      <c r="P253" s="198">
        <f>'02 项目基础信息（输入）'!$I$32</f>
        <v>21931.919999999998</v>
      </c>
      <c r="Q253" s="233">
        <f t="shared" si="26"/>
        <v>216.53</v>
      </c>
      <c r="S253" s="234" t="s">
        <v>1313</v>
      </c>
      <c r="U253" s="220" t="s">
        <v>1973</v>
      </c>
      <c r="V253" s="1190">
        <v>0</v>
      </c>
      <c r="W253" s="1190">
        <v>101.6897</v>
      </c>
      <c r="X253" s="1190">
        <v>14.5329</v>
      </c>
      <c r="Z253">
        <v>15</v>
      </c>
      <c r="AB253" s="1356">
        <f t="shared" si="31"/>
        <v>201.53</v>
      </c>
    </row>
    <row r="254" spans="1:28" ht="118" hidden="1" customHeight="1" outlineLevel="3">
      <c r="A254" s="192" t="s">
        <v>1974</v>
      </c>
      <c r="B254" s="192"/>
      <c r="C254" s="197" t="s">
        <v>1609</v>
      </c>
      <c r="D254" s="198">
        <f>'02 项目基础信息（输入）'!$C$32</f>
        <v>21931.919999999998</v>
      </c>
      <c r="E254" s="199" t="s">
        <v>93</v>
      </c>
      <c r="F254" s="197" t="s">
        <v>1609</v>
      </c>
      <c r="G254" s="199">
        <v>1</v>
      </c>
      <c r="H254" s="199" t="s">
        <v>298</v>
      </c>
      <c r="I254" s="198">
        <f>G254*D254</f>
        <v>21931.919999999998</v>
      </c>
      <c r="J254" s="199" t="s">
        <v>93</v>
      </c>
      <c r="K254" s="700">
        <f>'03 成本测算（输入）'!$D$21</f>
        <v>216.5327431433272</v>
      </c>
      <c r="L254" s="209" t="s">
        <v>675</v>
      </c>
      <c r="M254" s="198">
        <f>ROUND(K254*I254/10000,6)</f>
        <v>474.89787999999999</v>
      </c>
      <c r="N254" s="198">
        <f>'02 项目基础信息（输入）'!$C$32</f>
        <v>21931.919999999998</v>
      </c>
      <c r="O254" s="198">
        <f t="shared" si="25"/>
        <v>216.53</v>
      </c>
      <c r="P254" s="198">
        <f>'02 项目基础信息（输入）'!$I$32</f>
        <v>21931.919999999998</v>
      </c>
      <c r="Q254" s="233">
        <f t="shared" si="26"/>
        <v>216.53</v>
      </c>
      <c r="R254" s="1045" t="s">
        <v>8083</v>
      </c>
      <c r="S254" s="234"/>
      <c r="U254" s="220" t="s">
        <v>1976</v>
      </c>
      <c r="V254" s="1196">
        <v>0</v>
      </c>
      <c r="W254" s="1196">
        <v>101.6897</v>
      </c>
      <c r="X254" s="1196">
        <v>14.5329</v>
      </c>
      <c r="Z254">
        <v>15</v>
      </c>
      <c r="AB254" s="1356">
        <f>O254-Z254</f>
        <v>201.53</v>
      </c>
    </row>
    <row r="255" spans="1:28" ht="0" hidden="1" customHeight="1" outlineLevel="1" collapsed="1">
      <c r="A255" s="192" t="s">
        <v>490</v>
      </c>
      <c r="B255" s="192"/>
      <c r="C255" s="197" t="s">
        <v>1609</v>
      </c>
      <c r="D255" s="198">
        <f>'02 项目基础信息（输入）'!$C$36</f>
        <v>0</v>
      </c>
      <c r="E255" s="199" t="s">
        <v>93</v>
      </c>
      <c r="F255" s="197"/>
      <c r="G255" s="199"/>
      <c r="H255" s="199"/>
      <c r="I255" s="197"/>
      <c r="J255" s="199"/>
      <c r="K255" s="197"/>
      <c r="L255" s="209"/>
      <c r="M255" s="198">
        <f>ROUND(M256+M278+M281+M294+M297+M300+M319+M331+M333+M339+M345+M350+M367+M372+M394+M396+M400+M402+M404+M410+M417+M419+M421+M425+M427+M429+M433+M435+M437+M438+M439+M444+M446,6)</f>
        <v>0</v>
      </c>
      <c r="N255" s="198">
        <f>'02 项目基础信息（输入）'!$C$36</f>
        <v>0</v>
      </c>
      <c r="O255" s="198">
        <f t="shared" si="25"/>
        <v>0</v>
      </c>
      <c r="P255" s="198">
        <f>'02 项目基础信息（输入）'!$I$36</f>
        <v>0</v>
      </c>
      <c r="Q255" s="233">
        <f t="shared" si="26"/>
        <v>0</v>
      </c>
      <c r="S255" s="217"/>
      <c r="U255" s="220" t="s">
        <v>1977</v>
      </c>
      <c r="V255" s="1190">
        <v>0</v>
      </c>
    </row>
    <row r="256" spans="1:28" ht="0" hidden="1" customHeight="1" outlineLevel="2">
      <c r="A256" s="192" t="s">
        <v>1611</v>
      </c>
      <c r="B256" s="192"/>
      <c r="C256" s="197" t="s">
        <v>1609</v>
      </c>
      <c r="D256" s="198">
        <f>'02 项目基础信息（输入）'!$C$36</f>
        <v>0</v>
      </c>
      <c r="E256" s="199" t="s">
        <v>93</v>
      </c>
      <c r="F256" s="197"/>
      <c r="G256" s="199"/>
      <c r="H256" s="199"/>
      <c r="I256" s="197"/>
      <c r="J256" s="199"/>
      <c r="K256" s="197"/>
      <c r="L256" s="209"/>
      <c r="M256" s="198">
        <f>ROUND(M257+M260+M261+M266+M267+M273+M274+M277,6)</f>
        <v>0</v>
      </c>
      <c r="N256" s="198">
        <f>'02 项目基础信息（输入）'!$C$36</f>
        <v>0</v>
      </c>
      <c r="O256" s="198">
        <f t="shared" si="25"/>
        <v>0</v>
      </c>
      <c r="P256" s="198">
        <f>'02 项目基础信息（输入）'!$I$36</f>
        <v>0</v>
      </c>
      <c r="Q256" s="233">
        <f t="shared" si="26"/>
        <v>0</v>
      </c>
      <c r="S256" s="217" t="s">
        <v>1313</v>
      </c>
      <c r="U256" s="220" t="s">
        <v>1978</v>
      </c>
      <c r="V256" s="1190">
        <v>0</v>
      </c>
    </row>
    <row r="257" spans="1:22" ht="0" hidden="1" customHeight="1" outlineLevel="3">
      <c r="A257" s="192" t="s">
        <v>1613</v>
      </c>
      <c r="B257" s="192"/>
      <c r="C257" s="197"/>
      <c r="D257" s="198">
        <f>'02 项目基础信息（输入）'!$C$36</f>
        <v>0</v>
      </c>
      <c r="E257" s="199" t="s">
        <v>93</v>
      </c>
      <c r="F257" s="197"/>
      <c r="G257" s="199"/>
      <c r="H257" s="199"/>
      <c r="I257" s="197">
        <v>0</v>
      </c>
      <c r="J257" s="199"/>
      <c r="K257" s="197"/>
      <c r="L257" s="209"/>
      <c r="M257" s="198">
        <f>ROUND(SUM(M258:M259),6)</f>
        <v>0</v>
      </c>
      <c r="N257" s="198">
        <f>'02 项目基础信息（输入）'!$C$36</f>
        <v>0</v>
      </c>
      <c r="O257" s="198">
        <f t="shared" si="25"/>
        <v>0</v>
      </c>
      <c r="P257" s="198">
        <f>'02 项目基础信息（输入）'!$I$36</f>
        <v>0</v>
      </c>
      <c r="Q257" s="233">
        <f t="shared" si="26"/>
        <v>0</v>
      </c>
      <c r="S257" s="217"/>
      <c r="U257" s="220" t="s">
        <v>1979</v>
      </c>
      <c r="V257" s="1190">
        <v>6.6963999999999997</v>
      </c>
    </row>
    <row r="258" spans="1:22" ht="0" hidden="1" customHeight="1" outlineLevel="4">
      <c r="A258" s="192" t="s">
        <v>1615</v>
      </c>
      <c r="B258" s="192"/>
      <c r="C258" s="197" t="s">
        <v>1609</v>
      </c>
      <c r="D258" s="198">
        <f>'02 项目基础信息（输入）'!$C$36</f>
        <v>0</v>
      </c>
      <c r="E258" s="199" t="s">
        <v>93</v>
      </c>
      <c r="F258" s="197" t="s">
        <v>1616</v>
      </c>
      <c r="G258" s="82">
        <v>0</v>
      </c>
      <c r="H258" s="199" t="s">
        <v>966</v>
      </c>
      <c r="I258" s="198">
        <f>G258*D258</f>
        <v>0</v>
      </c>
      <c r="J258" s="199" t="s">
        <v>1617</v>
      </c>
      <c r="K258" s="188">
        <v>0</v>
      </c>
      <c r="L258" s="209" t="s">
        <v>664</v>
      </c>
      <c r="M258" s="198">
        <f>ROUND(K258*I258/10000,6)</f>
        <v>0</v>
      </c>
      <c r="N258" s="198">
        <f>'02 项目基础信息（输入）'!$C$36</f>
        <v>0</v>
      </c>
      <c r="O258" s="198">
        <f t="shared" si="25"/>
        <v>0</v>
      </c>
      <c r="P258" s="198">
        <f>'02 项目基础信息（输入）'!$I$36</f>
        <v>0</v>
      </c>
      <c r="Q258" s="233">
        <f t="shared" si="26"/>
        <v>0</v>
      </c>
      <c r="S258" s="217"/>
      <c r="U258" s="220" t="s">
        <v>1980</v>
      </c>
      <c r="V258" s="1190">
        <v>6.6963999999999997</v>
      </c>
    </row>
    <row r="259" spans="1:22" ht="0" hidden="1" customHeight="1" outlineLevel="4">
      <c r="A259" s="192" t="s">
        <v>1619</v>
      </c>
      <c r="B259" s="192"/>
      <c r="C259" s="197" t="s">
        <v>1609</v>
      </c>
      <c r="D259" s="198">
        <f>'02 项目基础信息（输入）'!$C$36</f>
        <v>0</v>
      </c>
      <c r="E259" s="199" t="s">
        <v>93</v>
      </c>
      <c r="F259" s="197" t="s">
        <v>1616</v>
      </c>
      <c r="G259" s="82">
        <v>0</v>
      </c>
      <c r="H259" s="199" t="s">
        <v>966</v>
      </c>
      <c r="I259" s="198">
        <f>G259*D259</f>
        <v>0</v>
      </c>
      <c r="J259" s="199" t="s">
        <v>1617</v>
      </c>
      <c r="K259" s="188">
        <v>0</v>
      </c>
      <c r="L259" s="209" t="s">
        <v>664</v>
      </c>
      <c r="M259" s="198">
        <f>ROUND(K259*I259/10000,6)</f>
        <v>0</v>
      </c>
      <c r="N259" s="198">
        <f>'02 项目基础信息（输入）'!$C$36</f>
        <v>0</v>
      </c>
      <c r="O259" s="198">
        <f t="shared" ref="O259:O322" si="32">ROUND(IFERROR(M259*10000/N259,0),2)</f>
        <v>0</v>
      </c>
      <c r="P259" s="198">
        <f>'02 项目基础信息（输入）'!$I$36</f>
        <v>0</v>
      </c>
      <c r="Q259" s="233">
        <f t="shared" ref="Q259:Q322" si="33">ROUND(IFERROR(M259*10000/P259,0),2)</f>
        <v>0</v>
      </c>
      <c r="S259" s="217"/>
      <c r="U259" s="220" t="s">
        <v>1981</v>
      </c>
      <c r="V259" s="1190">
        <v>2938.2775999999999</v>
      </c>
    </row>
    <row r="260" spans="1:22" ht="0" hidden="1" customHeight="1" outlineLevel="3">
      <c r="A260" s="192" t="s">
        <v>1621</v>
      </c>
      <c r="B260" s="192"/>
      <c r="C260" s="197" t="s">
        <v>1609</v>
      </c>
      <c r="D260" s="198">
        <f>'02 项目基础信息（输入）'!$C$36</f>
        <v>0</v>
      </c>
      <c r="E260" s="199" t="s">
        <v>93</v>
      </c>
      <c r="F260" s="197" t="s">
        <v>1622</v>
      </c>
      <c r="G260" s="82">
        <v>0</v>
      </c>
      <c r="H260" s="199" t="s">
        <v>298</v>
      </c>
      <c r="I260" s="198">
        <f>G260*D260</f>
        <v>0</v>
      </c>
      <c r="J260" s="199" t="s">
        <v>93</v>
      </c>
      <c r="K260" s="188">
        <v>0</v>
      </c>
      <c r="L260" s="209" t="s">
        <v>675</v>
      </c>
      <c r="M260" s="198">
        <f>ROUND(K260*I260/10000,6)</f>
        <v>0</v>
      </c>
      <c r="N260" s="198">
        <f>'02 项目基础信息（输入）'!$C$36</f>
        <v>0</v>
      </c>
      <c r="O260" s="198">
        <f t="shared" si="32"/>
        <v>0</v>
      </c>
      <c r="P260" s="198">
        <f>'02 项目基础信息（输入）'!$I$36</f>
        <v>0</v>
      </c>
      <c r="Q260" s="233">
        <f t="shared" si="33"/>
        <v>0</v>
      </c>
      <c r="S260" s="217"/>
      <c r="U260" s="220" t="s">
        <v>1982</v>
      </c>
      <c r="V260" s="1190">
        <v>1452.4761000000001</v>
      </c>
    </row>
    <row r="261" spans="1:22" ht="0" hidden="1" customHeight="1" outlineLevel="3">
      <c r="A261" s="192" t="s">
        <v>1624</v>
      </c>
      <c r="B261" s="192"/>
      <c r="C261" s="197"/>
      <c r="D261" s="198">
        <f>'02 项目基础信息（输入）'!$C$36</f>
        <v>0</v>
      </c>
      <c r="E261" s="199" t="s">
        <v>93</v>
      </c>
      <c r="F261" s="197"/>
      <c r="G261" s="199"/>
      <c r="H261" s="199"/>
      <c r="I261" s="197">
        <v>0</v>
      </c>
      <c r="J261" s="199"/>
      <c r="K261" s="198"/>
      <c r="L261" s="209"/>
      <c r="M261" s="198">
        <f>ROUND(SUM(M262:M265),6)</f>
        <v>0</v>
      </c>
      <c r="N261" s="198">
        <f>'02 项目基础信息（输入）'!$C$36</f>
        <v>0</v>
      </c>
      <c r="O261" s="198">
        <f t="shared" si="32"/>
        <v>0</v>
      </c>
      <c r="P261" s="198">
        <f>'02 项目基础信息（输入）'!$I$36</f>
        <v>0</v>
      </c>
      <c r="Q261" s="233">
        <f t="shared" si="33"/>
        <v>0</v>
      </c>
      <c r="S261" s="217"/>
      <c r="U261" s="220" t="s">
        <v>1983</v>
      </c>
      <c r="V261" s="1190">
        <v>234.66040000000001</v>
      </c>
    </row>
    <row r="262" spans="1:22" ht="0" hidden="1" customHeight="1" outlineLevel="4">
      <c r="A262" s="192" t="s">
        <v>1626</v>
      </c>
      <c r="B262" s="192"/>
      <c r="C262" s="197" t="s">
        <v>1609</v>
      </c>
      <c r="D262" s="198">
        <f>'02 项目基础信息（输入）'!$C$36</f>
        <v>0</v>
      </c>
      <c r="E262" s="199" t="s">
        <v>93</v>
      </c>
      <c r="F262" s="197" t="s">
        <v>1627</v>
      </c>
      <c r="G262" s="82">
        <v>0</v>
      </c>
      <c r="H262" s="199" t="s">
        <v>976</v>
      </c>
      <c r="I262" s="198">
        <f>G262*D262</f>
        <v>0</v>
      </c>
      <c r="J262" s="199" t="s">
        <v>1511</v>
      </c>
      <c r="K262" s="188">
        <v>0</v>
      </c>
      <c r="L262" s="209" t="s">
        <v>671</v>
      </c>
      <c r="M262" s="198">
        <f>ROUND(K262*I262/10000,6)</f>
        <v>0</v>
      </c>
      <c r="N262" s="198">
        <f>'02 项目基础信息（输入）'!$C$36</f>
        <v>0</v>
      </c>
      <c r="O262" s="198">
        <f t="shared" si="32"/>
        <v>0</v>
      </c>
      <c r="P262" s="198">
        <f>'02 项目基础信息（输入）'!$I$36</f>
        <v>0</v>
      </c>
      <c r="Q262" s="233">
        <f t="shared" si="33"/>
        <v>0</v>
      </c>
      <c r="S262" s="217"/>
      <c r="U262" s="220" t="s">
        <v>1984</v>
      </c>
      <c r="V262" s="1190">
        <v>148.37870000000001</v>
      </c>
    </row>
    <row r="263" spans="1:22" ht="0" hidden="1" customHeight="1" outlineLevel="4">
      <c r="A263" s="192" t="s">
        <v>1629</v>
      </c>
      <c r="B263" s="192"/>
      <c r="C263" s="197" t="s">
        <v>1609</v>
      </c>
      <c r="D263" s="198">
        <f>'02 项目基础信息（输入）'!$C$36</f>
        <v>0</v>
      </c>
      <c r="E263" s="199" t="s">
        <v>93</v>
      </c>
      <c r="F263" s="197" t="s">
        <v>1627</v>
      </c>
      <c r="G263" s="82">
        <v>0</v>
      </c>
      <c r="H263" s="199" t="s">
        <v>976</v>
      </c>
      <c r="I263" s="198">
        <f>G263*D263</f>
        <v>0</v>
      </c>
      <c r="J263" s="199" t="s">
        <v>1511</v>
      </c>
      <c r="K263" s="188">
        <v>0</v>
      </c>
      <c r="L263" s="209" t="s">
        <v>671</v>
      </c>
      <c r="M263" s="198">
        <f>ROUND(K263*I263/10000,6)</f>
        <v>0</v>
      </c>
      <c r="N263" s="198">
        <f>'02 项目基础信息（输入）'!$C$36</f>
        <v>0</v>
      </c>
      <c r="O263" s="198">
        <f t="shared" si="32"/>
        <v>0</v>
      </c>
      <c r="P263" s="198">
        <f>'02 项目基础信息（输入）'!$I$36</f>
        <v>0</v>
      </c>
      <c r="Q263" s="233">
        <f t="shared" si="33"/>
        <v>0</v>
      </c>
      <c r="S263" s="217"/>
      <c r="U263" s="220" t="s">
        <v>1985</v>
      </c>
      <c r="V263" s="1190">
        <v>86.281700000000001</v>
      </c>
    </row>
    <row r="264" spans="1:22" ht="0" hidden="1" customHeight="1" outlineLevel="4">
      <c r="A264" s="192" t="s">
        <v>1631</v>
      </c>
      <c r="B264" s="192"/>
      <c r="C264" s="197" t="s">
        <v>1609</v>
      </c>
      <c r="D264" s="198">
        <f>'02 项目基础信息（输入）'!$C$36</f>
        <v>0</v>
      </c>
      <c r="E264" s="199" t="s">
        <v>93</v>
      </c>
      <c r="F264" s="197" t="s">
        <v>1632</v>
      </c>
      <c r="G264" s="82">
        <v>0</v>
      </c>
      <c r="H264" s="199" t="s">
        <v>976</v>
      </c>
      <c r="I264" s="198">
        <f>G264*D264</f>
        <v>0</v>
      </c>
      <c r="J264" s="199" t="s">
        <v>93</v>
      </c>
      <c r="K264" s="188">
        <v>0</v>
      </c>
      <c r="L264" s="209" t="s">
        <v>675</v>
      </c>
      <c r="M264" s="198">
        <f>ROUND(K264*I264/10000,6)</f>
        <v>0</v>
      </c>
      <c r="N264" s="198">
        <f>'02 项目基础信息（输入）'!$C$36</f>
        <v>0</v>
      </c>
      <c r="O264" s="198">
        <f t="shared" si="32"/>
        <v>0</v>
      </c>
      <c r="P264" s="198">
        <f>'02 项目基础信息（输入）'!$I$36</f>
        <v>0</v>
      </c>
      <c r="Q264" s="233">
        <f t="shared" si="33"/>
        <v>0</v>
      </c>
      <c r="S264" s="217"/>
      <c r="U264" s="220" t="s">
        <v>1986</v>
      </c>
      <c r="V264" s="1190">
        <v>265.48410000000001</v>
      </c>
    </row>
    <row r="265" spans="1:22" ht="0" hidden="1" customHeight="1" outlineLevel="4">
      <c r="A265" s="192" t="s">
        <v>1634</v>
      </c>
      <c r="B265" s="192"/>
      <c r="C265" s="197" t="s">
        <v>1609</v>
      </c>
      <c r="D265" s="198">
        <f>'02 项目基础信息（输入）'!$C$36</f>
        <v>0</v>
      </c>
      <c r="E265" s="199" t="s">
        <v>93</v>
      </c>
      <c r="F265" s="197" t="s">
        <v>1632</v>
      </c>
      <c r="G265" s="82">
        <v>0</v>
      </c>
      <c r="H265" s="199" t="s">
        <v>976</v>
      </c>
      <c r="I265" s="198">
        <f>G265*D265</f>
        <v>0</v>
      </c>
      <c r="J265" s="199" t="s">
        <v>93</v>
      </c>
      <c r="K265" s="188">
        <v>0</v>
      </c>
      <c r="L265" s="209" t="s">
        <v>675</v>
      </c>
      <c r="M265" s="198">
        <f>ROUND(K265*I265/10000,6)</f>
        <v>0</v>
      </c>
      <c r="N265" s="198">
        <f>'02 项目基础信息（输入）'!$C$36</f>
        <v>0</v>
      </c>
      <c r="O265" s="198">
        <f t="shared" si="32"/>
        <v>0</v>
      </c>
      <c r="P265" s="198">
        <f>'02 项目基础信息（输入）'!$I$36</f>
        <v>0</v>
      </c>
      <c r="Q265" s="233">
        <f t="shared" si="33"/>
        <v>0</v>
      </c>
      <c r="S265" s="217"/>
      <c r="U265" s="220" t="s">
        <v>1987</v>
      </c>
      <c r="V265" s="1190">
        <v>360.06060000000002</v>
      </c>
    </row>
    <row r="266" spans="1:22" ht="0" hidden="1" customHeight="1" outlineLevel="3">
      <c r="A266" s="192" t="s">
        <v>1636</v>
      </c>
      <c r="B266" s="192"/>
      <c r="C266" s="197" t="s">
        <v>1609</v>
      </c>
      <c r="D266" s="198">
        <f>'02 项目基础信息（输入）'!$C$36</f>
        <v>0</v>
      </c>
      <c r="E266" s="199" t="s">
        <v>93</v>
      </c>
      <c r="F266" s="197" t="s">
        <v>1637</v>
      </c>
      <c r="G266" s="82">
        <v>0</v>
      </c>
      <c r="H266" s="199" t="s">
        <v>976</v>
      </c>
      <c r="I266" s="198">
        <f>G266*D266</f>
        <v>0</v>
      </c>
      <c r="J266" s="199" t="s">
        <v>1511</v>
      </c>
      <c r="K266" s="188">
        <v>0</v>
      </c>
      <c r="L266" s="209" t="s">
        <v>671</v>
      </c>
      <c r="M266" s="198">
        <f>ROUND(K266*I266/10000,6)</f>
        <v>0</v>
      </c>
      <c r="N266" s="198">
        <f>'02 项目基础信息（输入）'!$C$36</f>
        <v>0</v>
      </c>
      <c r="O266" s="198">
        <f t="shared" si="32"/>
        <v>0</v>
      </c>
      <c r="P266" s="198">
        <f>'02 项目基础信息（输入）'!$I$36</f>
        <v>0</v>
      </c>
      <c r="Q266" s="233">
        <f t="shared" si="33"/>
        <v>0</v>
      </c>
      <c r="S266" s="217"/>
      <c r="U266" s="220" t="s">
        <v>1988</v>
      </c>
      <c r="V266" s="1190">
        <v>146.279</v>
      </c>
    </row>
    <row r="267" spans="1:22" ht="0" hidden="1" customHeight="1" outlineLevel="3">
      <c r="A267" s="192" t="s">
        <v>1640</v>
      </c>
      <c r="B267" s="192"/>
      <c r="C267" s="197"/>
      <c r="D267" s="198">
        <f>'02 项目基础信息（输入）'!$C$36</f>
        <v>0</v>
      </c>
      <c r="E267" s="199" t="s">
        <v>93</v>
      </c>
      <c r="F267" s="197"/>
      <c r="G267" s="199"/>
      <c r="H267" s="199"/>
      <c r="I267" s="197">
        <v>0</v>
      </c>
      <c r="J267" s="199"/>
      <c r="K267" s="197"/>
      <c r="L267" s="209"/>
      <c r="M267" s="198">
        <f>ROUND(SUM(M268:M272),6)</f>
        <v>0</v>
      </c>
      <c r="N267" s="198">
        <f>'02 项目基础信息（输入）'!$C$36</f>
        <v>0</v>
      </c>
      <c r="O267" s="198">
        <f t="shared" si="32"/>
        <v>0</v>
      </c>
      <c r="P267" s="198">
        <f>'02 项目基础信息（输入）'!$I$36</f>
        <v>0</v>
      </c>
      <c r="Q267" s="233">
        <f t="shared" si="33"/>
        <v>0</v>
      </c>
      <c r="S267" s="217"/>
      <c r="U267" s="220" t="s">
        <v>1989</v>
      </c>
      <c r="V267" s="1190">
        <v>61.011699999999998</v>
      </c>
    </row>
    <row r="268" spans="1:22" ht="0" hidden="1" customHeight="1" outlineLevel="4">
      <c r="A268" s="192" t="s">
        <v>1642</v>
      </c>
      <c r="B268" s="192"/>
      <c r="C268" s="197" t="s">
        <v>1609</v>
      </c>
      <c r="D268" s="198">
        <f>'02 项目基础信息（输入）'!$C$36</f>
        <v>0</v>
      </c>
      <c r="E268" s="199" t="s">
        <v>93</v>
      </c>
      <c r="F268" s="197" t="s">
        <v>1609</v>
      </c>
      <c r="G268" s="199">
        <v>1</v>
      </c>
      <c r="H268" s="199" t="s">
        <v>298</v>
      </c>
      <c r="I268" s="198">
        <f t="shared" ref="I268:I273" si="34">G268*D268</f>
        <v>0</v>
      </c>
      <c r="J268" s="199" t="s">
        <v>93</v>
      </c>
      <c r="K268" s="188">
        <v>0</v>
      </c>
      <c r="L268" s="209" t="s">
        <v>675</v>
      </c>
      <c r="M268" s="198">
        <f t="shared" ref="M268:M273" si="35">ROUND(K268*I268/10000,6)</f>
        <v>0</v>
      </c>
      <c r="N268" s="198">
        <f>'02 项目基础信息（输入）'!$C$36</f>
        <v>0</v>
      </c>
      <c r="O268" s="198">
        <f t="shared" si="32"/>
        <v>0</v>
      </c>
      <c r="P268" s="198">
        <f>'02 项目基础信息（输入）'!$I$36</f>
        <v>0</v>
      </c>
      <c r="Q268" s="233">
        <f t="shared" si="33"/>
        <v>0</v>
      </c>
      <c r="S268" s="217"/>
      <c r="U268" s="220" t="s">
        <v>1990</v>
      </c>
      <c r="V268" s="1190">
        <v>118.01</v>
      </c>
    </row>
    <row r="269" spans="1:22" ht="0" hidden="1" customHeight="1" outlineLevel="4">
      <c r="A269" s="192" t="s">
        <v>1645</v>
      </c>
      <c r="B269" s="192"/>
      <c r="C269" s="197" t="s">
        <v>1609</v>
      </c>
      <c r="D269" s="198">
        <f>'02 项目基础信息（输入）'!$C$36</f>
        <v>0</v>
      </c>
      <c r="E269" s="199" t="s">
        <v>93</v>
      </c>
      <c r="F269" s="197" t="s">
        <v>1609</v>
      </c>
      <c r="G269" s="199">
        <v>1</v>
      </c>
      <c r="H269" s="199" t="s">
        <v>298</v>
      </c>
      <c r="I269" s="198">
        <f t="shared" si="34"/>
        <v>0</v>
      </c>
      <c r="J269" s="199" t="s">
        <v>93</v>
      </c>
      <c r="K269" s="188">
        <v>0</v>
      </c>
      <c r="L269" s="209" t="s">
        <v>675</v>
      </c>
      <c r="M269" s="198">
        <f t="shared" si="35"/>
        <v>0</v>
      </c>
      <c r="N269" s="198">
        <f>'02 项目基础信息（输入）'!$C$36</f>
        <v>0</v>
      </c>
      <c r="O269" s="198">
        <f t="shared" si="32"/>
        <v>0</v>
      </c>
      <c r="P269" s="198">
        <f>'02 项目基础信息（输入）'!$I$36</f>
        <v>0</v>
      </c>
      <c r="Q269" s="233">
        <f t="shared" si="33"/>
        <v>0</v>
      </c>
      <c r="S269" s="217"/>
      <c r="U269" s="220" t="s">
        <v>1991</v>
      </c>
      <c r="V269" s="1190">
        <v>34.759799999999998</v>
      </c>
    </row>
    <row r="270" spans="1:22" ht="0" hidden="1" customHeight="1" outlineLevel="4">
      <c r="A270" s="192" t="s">
        <v>1647</v>
      </c>
      <c r="B270" s="192"/>
      <c r="C270" s="197" t="s">
        <v>1609</v>
      </c>
      <c r="D270" s="198">
        <f>'02 项目基础信息（输入）'!$C$36</f>
        <v>0</v>
      </c>
      <c r="E270" s="199" t="s">
        <v>93</v>
      </c>
      <c r="F270" s="197" t="s">
        <v>1648</v>
      </c>
      <c r="G270" s="82">
        <v>0</v>
      </c>
      <c r="H270" s="199" t="s">
        <v>298</v>
      </c>
      <c r="I270" s="198">
        <f t="shared" si="34"/>
        <v>0</v>
      </c>
      <c r="J270" s="199" t="s">
        <v>93</v>
      </c>
      <c r="K270" s="188">
        <v>0</v>
      </c>
      <c r="L270" s="209" t="s">
        <v>675</v>
      </c>
      <c r="M270" s="198">
        <f t="shared" si="35"/>
        <v>0</v>
      </c>
      <c r="N270" s="198">
        <f>'02 项目基础信息（输入）'!$C$36</f>
        <v>0</v>
      </c>
      <c r="O270" s="198">
        <f t="shared" si="32"/>
        <v>0</v>
      </c>
      <c r="P270" s="198">
        <f>'02 项目基础信息（输入）'!$I$36</f>
        <v>0</v>
      </c>
      <c r="Q270" s="233">
        <f t="shared" si="33"/>
        <v>0</v>
      </c>
      <c r="S270" s="217"/>
      <c r="U270" s="220" t="s">
        <v>1992</v>
      </c>
      <c r="V270" s="1190">
        <v>95.811999999999998</v>
      </c>
    </row>
    <row r="271" spans="1:22" ht="0" hidden="1" customHeight="1" outlineLevel="4">
      <c r="A271" s="192" t="s">
        <v>1993</v>
      </c>
      <c r="B271" s="192"/>
      <c r="C271" s="197" t="s">
        <v>1609</v>
      </c>
      <c r="D271" s="198">
        <f>'02 项目基础信息（输入）'!$C$36</f>
        <v>0</v>
      </c>
      <c r="E271" s="199" t="s">
        <v>93</v>
      </c>
      <c r="F271" s="197" t="s">
        <v>1648</v>
      </c>
      <c r="G271" s="82">
        <v>0</v>
      </c>
      <c r="H271" s="199" t="s">
        <v>298</v>
      </c>
      <c r="I271" s="198">
        <f t="shared" si="34"/>
        <v>0</v>
      </c>
      <c r="J271" s="199" t="s">
        <v>93</v>
      </c>
      <c r="K271" s="188">
        <v>0</v>
      </c>
      <c r="L271" s="209" t="s">
        <v>675</v>
      </c>
      <c r="M271" s="198">
        <f t="shared" si="35"/>
        <v>0</v>
      </c>
      <c r="N271" s="198">
        <f>'02 项目基础信息（输入）'!$C$36</f>
        <v>0</v>
      </c>
      <c r="O271" s="198">
        <f t="shared" si="32"/>
        <v>0</v>
      </c>
      <c r="P271" s="198">
        <f>'02 项目基础信息（输入）'!$I$36</f>
        <v>0</v>
      </c>
      <c r="Q271" s="233">
        <f t="shared" si="33"/>
        <v>0</v>
      </c>
      <c r="S271" s="217"/>
      <c r="U271" s="220" t="s">
        <v>1994</v>
      </c>
      <c r="V271" s="1190">
        <v>214.59639999999999</v>
      </c>
    </row>
    <row r="272" spans="1:22" ht="0" hidden="1" customHeight="1" outlineLevel="4">
      <c r="A272" s="192" t="s">
        <v>1650</v>
      </c>
      <c r="B272" s="192"/>
      <c r="C272" s="197" t="s">
        <v>1609</v>
      </c>
      <c r="D272" s="198">
        <f>'02 项目基础信息（输入）'!$C$36</f>
        <v>0</v>
      </c>
      <c r="E272" s="199" t="s">
        <v>93</v>
      </c>
      <c r="F272" s="197" t="s">
        <v>1648</v>
      </c>
      <c r="G272" s="82">
        <v>0</v>
      </c>
      <c r="H272" s="199" t="s">
        <v>298</v>
      </c>
      <c r="I272" s="198">
        <f t="shared" si="34"/>
        <v>0</v>
      </c>
      <c r="J272" s="199" t="s">
        <v>93</v>
      </c>
      <c r="K272" s="188">
        <v>0</v>
      </c>
      <c r="L272" s="209" t="s">
        <v>675</v>
      </c>
      <c r="M272" s="198">
        <f t="shared" si="35"/>
        <v>0</v>
      </c>
      <c r="N272" s="198">
        <f>'02 项目基础信息（输入）'!$C$36</f>
        <v>0</v>
      </c>
      <c r="O272" s="198">
        <f t="shared" si="32"/>
        <v>0</v>
      </c>
      <c r="P272" s="198">
        <f>'02 项目基础信息（输入）'!$I$36</f>
        <v>0</v>
      </c>
      <c r="Q272" s="233">
        <f t="shared" si="33"/>
        <v>0</v>
      </c>
      <c r="S272" s="217"/>
      <c r="U272" s="220" t="s">
        <v>1995</v>
      </c>
      <c r="V272" s="1190">
        <v>214.19929999999999</v>
      </c>
    </row>
    <row r="273" spans="1:22" ht="0" hidden="1" customHeight="1" outlineLevel="3">
      <c r="A273" s="192" t="s">
        <v>1652</v>
      </c>
      <c r="B273" s="192"/>
      <c r="C273" s="197" t="s">
        <v>1609</v>
      </c>
      <c r="D273" s="198">
        <f>'02 项目基础信息（输入）'!$C$36</f>
        <v>0</v>
      </c>
      <c r="E273" s="199" t="s">
        <v>93</v>
      </c>
      <c r="F273" s="197" t="s">
        <v>1648</v>
      </c>
      <c r="G273" s="82">
        <v>0</v>
      </c>
      <c r="H273" s="199" t="s">
        <v>298</v>
      </c>
      <c r="I273" s="198">
        <f t="shared" si="34"/>
        <v>0</v>
      </c>
      <c r="J273" s="199" t="s">
        <v>93</v>
      </c>
      <c r="K273" s="188">
        <v>0</v>
      </c>
      <c r="L273" s="209" t="s">
        <v>675</v>
      </c>
      <c r="M273" s="198">
        <f t="shared" si="35"/>
        <v>0</v>
      </c>
      <c r="N273" s="198">
        <f>'02 项目基础信息（输入）'!$C$36</f>
        <v>0</v>
      </c>
      <c r="O273" s="198">
        <f t="shared" si="32"/>
        <v>0</v>
      </c>
      <c r="P273" s="198">
        <f>'02 项目基础信息（输入）'!$I$36</f>
        <v>0</v>
      </c>
      <c r="Q273" s="233">
        <f t="shared" si="33"/>
        <v>0</v>
      </c>
      <c r="S273" s="217"/>
      <c r="U273" s="220" t="s">
        <v>1996</v>
      </c>
      <c r="V273" s="1190">
        <v>0</v>
      </c>
    </row>
    <row r="274" spans="1:22" ht="0" hidden="1" customHeight="1" outlineLevel="3">
      <c r="A274" s="192" t="s">
        <v>1654</v>
      </c>
      <c r="B274" s="192"/>
      <c r="C274" s="197"/>
      <c r="D274" s="198">
        <f>'02 项目基础信息（输入）'!$C$36</f>
        <v>0</v>
      </c>
      <c r="E274" s="199" t="s">
        <v>93</v>
      </c>
      <c r="F274" s="197"/>
      <c r="G274" s="199"/>
      <c r="H274" s="199"/>
      <c r="I274" s="197">
        <v>0</v>
      </c>
      <c r="J274" s="199"/>
      <c r="K274" s="197"/>
      <c r="L274" s="209"/>
      <c r="M274" s="198">
        <f>ROUND(SUM(M275:M276),6)</f>
        <v>0</v>
      </c>
      <c r="N274" s="198">
        <f>'02 项目基础信息（输入）'!$C$36</f>
        <v>0</v>
      </c>
      <c r="O274" s="198">
        <f t="shared" si="32"/>
        <v>0</v>
      </c>
      <c r="P274" s="198">
        <f>'02 项目基础信息（输入）'!$I$36</f>
        <v>0</v>
      </c>
      <c r="Q274" s="233">
        <f t="shared" si="33"/>
        <v>0</v>
      </c>
      <c r="S274" s="217"/>
      <c r="U274" s="220" t="s">
        <v>1997</v>
      </c>
      <c r="V274" s="1190">
        <v>0.39710000000000001</v>
      </c>
    </row>
    <row r="275" spans="1:22" ht="0" hidden="1" customHeight="1" outlineLevel="4">
      <c r="A275" s="192" t="s">
        <v>1656</v>
      </c>
      <c r="B275" s="192"/>
      <c r="C275" s="197" t="s">
        <v>1609</v>
      </c>
      <c r="D275" s="198">
        <f>'02 项目基础信息（输入）'!$C$36</f>
        <v>0</v>
      </c>
      <c r="E275" s="199" t="s">
        <v>93</v>
      </c>
      <c r="F275" s="197" t="s">
        <v>1657</v>
      </c>
      <c r="G275" s="82">
        <v>0</v>
      </c>
      <c r="H275" s="199" t="s">
        <v>1998</v>
      </c>
      <c r="I275" s="198">
        <f>G275*D275</f>
        <v>0</v>
      </c>
      <c r="J275" s="199" t="s">
        <v>93</v>
      </c>
      <c r="K275" s="188">
        <v>0</v>
      </c>
      <c r="L275" s="209" t="s">
        <v>675</v>
      </c>
      <c r="M275" s="198">
        <f>ROUND(K275*I275/10000,6)</f>
        <v>0</v>
      </c>
      <c r="N275" s="198">
        <f>'02 项目基础信息（输入）'!$C$36</f>
        <v>0</v>
      </c>
      <c r="O275" s="198">
        <f t="shared" si="32"/>
        <v>0</v>
      </c>
      <c r="P275" s="198">
        <f>'02 项目基础信息（输入）'!$I$36</f>
        <v>0</v>
      </c>
      <c r="Q275" s="233">
        <f t="shared" si="33"/>
        <v>0</v>
      </c>
      <c r="S275" s="217"/>
      <c r="U275" s="220" t="s">
        <v>1999</v>
      </c>
      <c r="V275" s="1190">
        <v>0</v>
      </c>
    </row>
    <row r="276" spans="1:22" ht="0" hidden="1" customHeight="1" outlineLevel="4">
      <c r="A276" s="192" t="s">
        <v>1661</v>
      </c>
      <c r="B276" s="192"/>
      <c r="C276" s="197" t="s">
        <v>1609</v>
      </c>
      <c r="D276" s="198">
        <f>'02 项目基础信息（输入）'!$C$36</f>
        <v>0</v>
      </c>
      <c r="E276" s="199" t="s">
        <v>93</v>
      </c>
      <c r="F276" s="197" t="s">
        <v>1609</v>
      </c>
      <c r="G276" s="199">
        <v>1</v>
      </c>
      <c r="H276" s="199" t="s">
        <v>298</v>
      </c>
      <c r="I276" s="198">
        <f>G276*D276</f>
        <v>0</v>
      </c>
      <c r="J276" s="199" t="s">
        <v>93</v>
      </c>
      <c r="K276" s="188">
        <v>0</v>
      </c>
      <c r="L276" s="209" t="s">
        <v>675</v>
      </c>
      <c r="M276" s="198">
        <f>ROUND(K276*I276/10000,6)</f>
        <v>0</v>
      </c>
      <c r="N276" s="198">
        <f>'02 项目基础信息（输入）'!$C$36</f>
        <v>0</v>
      </c>
      <c r="O276" s="198">
        <f t="shared" si="32"/>
        <v>0</v>
      </c>
      <c r="P276" s="198">
        <f>'02 项目基础信息（输入）'!$I$36</f>
        <v>0</v>
      </c>
      <c r="Q276" s="233">
        <f t="shared" si="33"/>
        <v>0</v>
      </c>
      <c r="S276" s="217"/>
      <c r="U276" s="220" t="s">
        <v>2000</v>
      </c>
      <c r="V276" s="1190">
        <v>0</v>
      </c>
    </row>
    <row r="277" spans="1:22" ht="0" hidden="1" customHeight="1" outlineLevel="3">
      <c r="A277" s="192" t="s">
        <v>1664</v>
      </c>
      <c r="B277" s="192"/>
      <c r="C277" s="197" t="s">
        <v>1665</v>
      </c>
      <c r="D277" s="198">
        <f>SUM(M257+M260+M261+M266+M267+M273+M274)*10000</f>
        <v>0</v>
      </c>
      <c r="E277" s="199" t="s">
        <v>1666</v>
      </c>
      <c r="F277" s="197" t="s">
        <v>1667</v>
      </c>
      <c r="G277" s="226">
        <f>IFERROR(I277/D277*100,0)</f>
        <v>0</v>
      </c>
      <c r="H277" s="195" t="s">
        <v>123</v>
      </c>
      <c r="I277" s="194">
        <f>K277*N277</f>
        <v>0</v>
      </c>
      <c r="J277" s="195" t="s">
        <v>1666</v>
      </c>
      <c r="K277" s="188">
        <v>0</v>
      </c>
      <c r="L277" s="230" t="s">
        <v>1669</v>
      </c>
      <c r="M277" s="231">
        <f>ROUND(I277/10000,6)</f>
        <v>0</v>
      </c>
      <c r="N277" s="198">
        <f>'02 项目基础信息（输入）'!$C$36</f>
        <v>0</v>
      </c>
      <c r="O277" s="198">
        <f t="shared" si="32"/>
        <v>0</v>
      </c>
      <c r="P277" s="198">
        <f>'02 项目基础信息（输入）'!$I$36</f>
        <v>0</v>
      </c>
      <c r="Q277" s="233">
        <f t="shared" si="33"/>
        <v>0</v>
      </c>
      <c r="S277" s="217"/>
      <c r="U277" s="220" t="s">
        <v>2001</v>
      </c>
      <c r="V277" s="1190">
        <v>0</v>
      </c>
    </row>
    <row r="278" spans="1:22" ht="0" hidden="1" customHeight="1" outlineLevel="2">
      <c r="A278" s="192" t="s">
        <v>1671</v>
      </c>
      <c r="B278" s="192"/>
      <c r="C278" s="197" t="s">
        <v>1609</v>
      </c>
      <c r="D278" s="198">
        <f>'02 项目基础信息（输入）'!$C$36</f>
        <v>0</v>
      </c>
      <c r="E278" s="199" t="s">
        <v>93</v>
      </c>
      <c r="F278" s="197"/>
      <c r="G278" s="199"/>
      <c r="H278" s="199"/>
      <c r="I278" s="197"/>
      <c r="J278" s="199"/>
      <c r="K278" s="197"/>
      <c r="L278" s="209"/>
      <c r="M278" s="198">
        <f>ROUND(SUM(M279:M280),6)</f>
        <v>0</v>
      </c>
      <c r="N278" s="198">
        <f>'02 项目基础信息（输入）'!$C$36</f>
        <v>0</v>
      </c>
      <c r="O278" s="198">
        <f t="shared" si="32"/>
        <v>0</v>
      </c>
      <c r="P278" s="198">
        <f>'02 项目基础信息（输入）'!$I$36</f>
        <v>0</v>
      </c>
      <c r="Q278" s="233">
        <f t="shared" si="33"/>
        <v>0</v>
      </c>
      <c r="S278" s="217" t="s">
        <v>1313</v>
      </c>
      <c r="U278" s="220" t="s">
        <v>2002</v>
      </c>
      <c r="V278" s="1190">
        <v>14.0549</v>
      </c>
    </row>
    <row r="279" spans="1:22" ht="0" hidden="1" customHeight="1" outlineLevel="3">
      <c r="A279" s="192" t="s">
        <v>1673</v>
      </c>
      <c r="B279" s="192"/>
      <c r="C279" s="197" t="s">
        <v>1609</v>
      </c>
      <c r="D279" s="198">
        <f>'02 项目基础信息（输入）'!$C$36</f>
        <v>0</v>
      </c>
      <c r="E279" s="199" t="s">
        <v>93</v>
      </c>
      <c r="F279" s="197" t="s">
        <v>705</v>
      </c>
      <c r="G279" s="199">
        <v>0</v>
      </c>
      <c r="H279" s="199" t="s">
        <v>298</v>
      </c>
      <c r="I279" s="198">
        <f>G279*D279</f>
        <v>0</v>
      </c>
      <c r="J279" s="199" t="s">
        <v>93</v>
      </c>
      <c r="K279" s="207">
        <v>0</v>
      </c>
      <c r="L279" s="209" t="s">
        <v>675</v>
      </c>
      <c r="M279" s="207">
        <f>ROUND(K279*I279/10000,6)</f>
        <v>0</v>
      </c>
      <c r="N279" s="198">
        <f>'02 项目基础信息（输入）'!$C$36</f>
        <v>0</v>
      </c>
      <c r="O279" s="198">
        <f t="shared" si="32"/>
        <v>0</v>
      </c>
      <c r="P279" s="198">
        <f>'02 项目基础信息（输入）'!$I$36</f>
        <v>0</v>
      </c>
      <c r="Q279" s="233">
        <f t="shared" si="33"/>
        <v>0</v>
      </c>
      <c r="S279" s="217"/>
      <c r="U279" s="220" t="s">
        <v>2003</v>
      </c>
      <c r="V279" s="1190">
        <v>4.7599</v>
      </c>
    </row>
    <row r="280" spans="1:22" ht="0" hidden="1" customHeight="1" outlineLevel="3">
      <c r="A280" s="192" t="s">
        <v>1676</v>
      </c>
      <c r="B280" s="192"/>
      <c r="C280" s="197" t="s">
        <v>1609</v>
      </c>
      <c r="D280" s="198">
        <f>'02 项目基础信息（输入）'!$C$36</f>
        <v>0</v>
      </c>
      <c r="E280" s="199" t="s">
        <v>93</v>
      </c>
      <c r="F280" s="197" t="s">
        <v>705</v>
      </c>
      <c r="G280" s="199">
        <v>0</v>
      </c>
      <c r="H280" s="199" t="s">
        <v>298</v>
      </c>
      <c r="I280" s="198">
        <f>G280*D280</f>
        <v>0</v>
      </c>
      <c r="J280" s="199" t="s">
        <v>93</v>
      </c>
      <c r="K280" s="207">
        <v>0</v>
      </c>
      <c r="L280" s="209" t="s">
        <v>675</v>
      </c>
      <c r="M280" s="207">
        <f>ROUND(K280*I280/10000,6)</f>
        <v>0</v>
      </c>
      <c r="N280" s="198">
        <f>'02 项目基础信息（输入）'!$C$36</f>
        <v>0</v>
      </c>
      <c r="O280" s="198">
        <f t="shared" si="32"/>
        <v>0</v>
      </c>
      <c r="P280" s="198">
        <f>'02 项目基础信息（输入）'!$I$36</f>
        <v>0</v>
      </c>
      <c r="Q280" s="233">
        <f t="shared" si="33"/>
        <v>0</v>
      </c>
      <c r="S280" s="217"/>
      <c r="U280" s="220" t="s">
        <v>2004</v>
      </c>
      <c r="V280" s="1190">
        <v>9.2949000000000002</v>
      </c>
    </row>
    <row r="281" spans="1:22" ht="0" hidden="1" customHeight="1" outlineLevel="2">
      <c r="A281" s="192" t="s">
        <v>1679</v>
      </c>
      <c r="B281" s="192"/>
      <c r="C281" s="197" t="s">
        <v>1609</v>
      </c>
      <c r="D281" s="198">
        <f>'02 项目基础信息（输入）'!$C$36</f>
        <v>0</v>
      </c>
      <c r="E281" s="199" t="s">
        <v>93</v>
      </c>
      <c r="F281" s="197"/>
      <c r="G281" s="199"/>
      <c r="H281" s="199"/>
      <c r="I281" s="197"/>
      <c r="J281" s="199"/>
      <c r="K281" s="197"/>
      <c r="L281" s="209"/>
      <c r="M281" s="198">
        <f>ROUND(SUM(M282:M293),6)</f>
        <v>0</v>
      </c>
      <c r="N281" s="198">
        <f>'02 项目基础信息（输入）'!$C$36</f>
        <v>0</v>
      </c>
      <c r="O281" s="198">
        <f t="shared" si="32"/>
        <v>0</v>
      </c>
      <c r="P281" s="198">
        <f>'02 项目基础信息（输入）'!$I$36</f>
        <v>0</v>
      </c>
      <c r="Q281" s="233">
        <f t="shared" si="33"/>
        <v>0</v>
      </c>
      <c r="S281" s="217" t="s">
        <v>1313</v>
      </c>
      <c r="U281" s="220" t="s">
        <v>2005</v>
      </c>
      <c r="V281" s="1190">
        <v>267.8075</v>
      </c>
    </row>
    <row r="282" spans="1:22" ht="0" hidden="1" customHeight="1" outlineLevel="3">
      <c r="A282" s="192" t="s">
        <v>1681</v>
      </c>
      <c r="B282" s="192"/>
      <c r="C282" s="197" t="s">
        <v>1609</v>
      </c>
      <c r="D282" s="198">
        <f>'02 项目基础信息（输入）'!$C$36</f>
        <v>0</v>
      </c>
      <c r="E282" s="199" t="s">
        <v>93</v>
      </c>
      <c r="F282" s="197" t="s">
        <v>1682</v>
      </c>
      <c r="G282" s="82">
        <v>0</v>
      </c>
      <c r="H282" s="199" t="s">
        <v>298</v>
      </c>
      <c r="I282" s="198">
        <f t="shared" ref="I282:I293" si="36">G282*D282</f>
        <v>0</v>
      </c>
      <c r="J282" s="199" t="s">
        <v>93</v>
      </c>
      <c r="K282" s="188">
        <v>0</v>
      </c>
      <c r="L282" s="209" t="s">
        <v>675</v>
      </c>
      <c r="M282" s="207">
        <f t="shared" ref="M282:M293" si="37">ROUND(K282*I282/10000,6)</f>
        <v>0</v>
      </c>
      <c r="N282" s="198">
        <f>'02 项目基础信息（输入）'!$C$36</f>
        <v>0</v>
      </c>
      <c r="O282" s="198">
        <f t="shared" si="32"/>
        <v>0</v>
      </c>
      <c r="P282" s="198">
        <f>'02 项目基础信息（输入）'!$I$36</f>
        <v>0</v>
      </c>
      <c r="Q282" s="233">
        <f t="shared" si="33"/>
        <v>0</v>
      </c>
      <c r="S282" s="217"/>
      <c r="U282" s="220" t="s">
        <v>2006</v>
      </c>
      <c r="V282" s="1190">
        <v>0</v>
      </c>
    </row>
    <row r="283" spans="1:22" ht="0" hidden="1" customHeight="1" outlineLevel="3">
      <c r="A283" s="192" t="s">
        <v>1684</v>
      </c>
      <c r="B283" s="192"/>
      <c r="C283" s="197" t="s">
        <v>1609</v>
      </c>
      <c r="D283" s="198">
        <f>'02 项目基础信息（输入）'!$C$36</f>
        <v>0</v>
      </c>
      <c r="E283" s="199" t="s">
        <v>93</v>
      </c>
      <c r="F283" s="197" t="s">
        <v>1682</v>
      </c>
      <c r="G283" s="82">
        <v>0</v>
      </c>
      <c r="H283" s="199" t="s">
        <v>298</v>
      </c>
      <c r="I283" s="198">
        <f t="shared" si="36"/>
        <v>0</v>
      </c>
      <c r="J283" s="199" t="s">
        <v>93</v>
      </c>
      <c r="K283" s="188">
        <v>0</v>
      </c>
      <c r="L283" s="209" t="s">
        <v>675</v>
      </c>
      <c r="M283" s="207">
        <f t="shared" si="37"/>
        <v>0</v>
      </c>
      <c r="N283" s="198">
        <f>'02 项目基础信息（输入）'!$C$36</f>
        <v>0</v>
      </c>
      <c r="O283" s="198">
        <f t="shared" si="32"/>
        <v>0</v>
      </c>
      <c r="P283" s="198">
        <f>'02 项目基础信息（输入）'!$I$36</f>
        <v>0</v>
      </c>
      <c r="Q283" s="233">
        <f t="shared" si="33"/>
        <v>0</v>
      </c>
      <c r="S283" s="217"/>
      <c r="U283" s="220" t="s">
        <v>2007</v>
      </c>
      <c r="V283" s="1190">
        <v>0</v>
      </c>
    </row>
    <row r="284" spans="1:22" ht="0" hidden="1" customHeight="1" outlineLevel="3">
      <c r="A284" s="192" t="s">
        <v>2008</v>
      </c>
      <c r="B284" s="192"/>
      <c r="C284" s="197" t="s">
        <v>1609</v>
      </c>
      <c r="D284" s="198">
        <f>'02 项目基础信息（输入）'!$C$36</f>
        <v>0</v>
      </c>
      <c r="E284" s="199" t="s">
        <v>93</v>
      </c>
      <c r="F284" s="197" t="s">
        <v>1682</v>
      </c>
      <c r="G284" s="82">
        <v>0</v>
      </c>
      <c r="H284" s="199" t="s">
        <v>298</v>
      </c>
      <c r="I284" s="198">
        <f t="shared" si="36"/>
        <v>0</v>
      </c>
      <c r="J284" s="199" t="s">
        <v>93</v>
      </c>
      <c r="K284" s="188">
        <v>0</v>
      </c>
      <c r="L284" s="209" t="s">
        <v>675</v>
      </c>
      <c r="M284" s="207">
        <f t="shared" si="37"/>
        <v>0</v>
      </c>
      <c r="N284" s="198">
        <f>'02 项目基础信息（输入）'!$C$36</f>
        <v>0</v>
      </c>
      <c r="O284" s="198">
        <f t="shared" si="32"/>
        <v>0</v>
      </c>
      <c r="P284" s="198">
        <f>'02 项目基础信息（输入）'!$I$36</f>
        <v>0</v>
      </c>
      <c r="Q284" s="233">
        <f t="shared" si="33"/>
        <v>0</v>
      </c>
      <c r="S284" s="217"/>
      <c r="U284" s="220" t="s">
        <v>2009</v>
      </c>
      <c r="V284" s="1190">
        <v>0</v>
      </c>
    </row>
    <row r="285" spans="1:22" ht="0" hidden="1" customHeight="1" outlineLevel="3">
      <c r="A285" s="192" t="s">
        <v>2010</v>
      </c>
      <c r="B285" s="192"/>
      <c r="C285" s="197" t="s">
        <v>1609</v>
      </c>
      <c r="D285" s="198">
        <f>'02 项目基础信息（输入）'!$C$36</f>
        <v>0</v>
      </c>
      <c r="E285" s="199" t="s">
        <v>93</v>
      </c>
      <c r="F285" s="197" t="s">
        <v>1682</v>
      </c>
      <c r="G285" s="82">
        <v>0</v>
      </c>
      <c r="H285" s="199" t="s">
        <v>298</v>
      </c>
      <c r="I285" s="198">
        <f t="shared" si="36"/>
        <v>0</v>
      </c>
      <c r="J285" s="199" t="s">
        <v>93</v>
      </c>
      <c r="K285" s="188">
        <v>0</v>
      </c>
      <c r="L285" s="209" t="s">
        <v>675</v>
      </c>
      <c r="M285" s="207">
        <f t="shared" si="37"/>
        <v>0</v>
      </c>
      <c r="N285" s="198">
        <f>'02 项目基础信息（输入）'!$C$36</f>
        <v>0</v>
      </c>
      <c r="O285" s="198">
        <f t="shared" si="32"/>
        <v>0</v>
      </c>
      <c r="P285" s="198">
        <f>'02 项目基础信息（输入）'!$I$36</f>
        <v>0</v>
      </c>
      <c r="Q285" s="233">
        <f t="shared" si="33"/>
        <v>0</v>
      </c>
      <c r="S285" s="217"/>
      <c r="U285" s="220" t="s">
        <v>2011</v>
      </c>
      <c r="V285" s="1190">
        <v>76.453999999999994</v>
      </c>
    </row>
    <row r="286" spans="1:22" ht="0" hidden="1" customHeight="1" outlineLevel="3">
      <c r="A286" s="192" t="s">
        <v>2012</v>
      </c>
      <c r="B286" s="192"/>
      <c r="C286" s="197" t="s">
        <v>474</v>
      </c>
      <c r="D286" s="198">
        <f>'02 项目基础信息（输入）'!$AD$36</f>
        <v>0</v>
      </c>
      <c r="E286" s="199" t="s">
        <v>400</v>
      </c>
      <c r="F286" s="197" t="s">
        <v>1682</v>
      </c>
      <c r="G286" s="82">
        <v>0</v>
      </c>
      <c r="H286" s="199" t="s">
        <v>411</v>
      </c>
      <c r="I286" s="198">
        <f t="shared" si="36"/>
        <v>0</v>
      </c>
      <c r="J286" s="199" t="s">
        <v>93</v>
      </c>
      <c r="K286" s="188">
        <v>0</v>
      </c>
      <c r="L286" s="209" t="s">
        <v>675</v>
      </c>
      <c r="M286" s="207">
        <f t="shared" si="37"/>
        <v>0</v>
      </c>
      <c r="N286" s="198">
        <f>'02 项目基础信息（输入）'!$C$36</f>
        <v>0</v>
      </c>
      <c r="O286" s="198">
        <f t="shared" si="32"/>
        <v>0</v>
      </c>
      <c r="P286" s="198">
        <f>'02 项目基础信息（输入）'!$I$36</f>
        <v>0</v>
      </c>
      <c r="Q286" s="233">
        <f t="shared" si="33"/>
        <v>0</v>
      </c>
      <c r="S286" s="217"/>
      <c r="U286" s="220" t="s">
        <v>2013</v>
      </c>
      <c r="V286" s="1190">
        <v>40.914200000000001</v>
      </c>
    </row>
    <row r="287" spans="1:22" ht="0" hidden="1" customHeight="1" outlineLevel="3">
      <c r="A287" s="192" t="s">
        <v>2014</v>
      </c>
      <c r="B287" s="192"/>
      <c r="C287" s="197" t="s">
        <v>474</v>
      </c>
      <c r="D287" s="198">
        <f>'02 项目基础信息（输入）'!$AD$36</f>
        <v>0</v>
      </c>
      <c r="E287" s="199" t="s">
        <v>400</v>
      </c>
      <c r="F287" s="197" t="s">
        <v>1682</v>
      </c>
      <c r="G287" s="82">
        <v>0</v>
      </c>
      <c r="H287" s="199" t="s">
        <v>411</v>
      </c>
      <c r="I287" s="198">
        <f t="shared" si="36"/>
        <v>0</v>
      </c>
      <c r="J287" s="199" t="s">
        <v>93</v>
      </c>
      <c r="K287" s="188">
        <v>0</v>
      </c>
      <c r="L287" s="209" t="s">
        <v>675</v>
      </c>
      <c r="M287" s="207">
        <f t="shared" si="37"/>
        <v>0</v>
      </c>
      <c r="N287" s="198">
        <f>'02 项目基础信息（输入）'!$C$36</f>
        <v>0</v>
      </c>
      <c r="O287" s="198">
        <f t="shared" si="32"/>
        <v>0</v>
      </c>
      <c r="P287" s="198">
        <f>'02 项目基础信息（输入）'!$I$36</f>
        <v>0</v>
      </c>
      <c r="Q287" s="233">
        <f t="shared" si="33"/>
        <v>0</v>
      </c>
      <c r="S287" s="217"/>
      <c r="U287" s="220" t="s">
        <v>2015</v>
      </c>
      <c r="V287" s="1190">
        <v>0</v>
      </c>
    </row>
    <row r="288" spans="1:22" ht="0" hidden="1" customHeight="1" outlineLevel="3">
      <c r="A288" s="192" t="s">
        <v>2016</v>
      </c>
      <c r="B288" s="192"/>
      <c r="C288" s="197" t="s">
        <v>1609</v>
      </c>
      <c r="D288" s="198">
        <f>'02 项目基础信息（输入）'!$C$36</f>
        <v>0</v>
      </c>
      <c r="E288" s="199" t="s">
        <v>93</v>
      </c>
      <c r="F288" s="197" t="s">
        <v>1682</v>
      </c>
      <c r="G288" s="82">
        <v>0</v>
      </c>
      <c r="H288" s="199" t="s">
        <v>411</v>
      </c>
      <c r="I288" s="198">
        <f t="shared" si="36"/>
        <v>0</v>
      </c>
      <c r="J288" s="199" t="s">
        <v>93</v>
      </c>
      <c r="K288" s="188">
        <v>0</v>
      </c>
      <c r="L288" s="209" t="s">
        <v>675</v>
      </c>
      <c r="M288" s="207">
        <f t="shared" si="37"/>
        <v>0</v>
      </c>
      <c r="N288" s="198">
        <f>'02 项目基础信息（输入）'!$C$36</f>
        <v>0</v>
      </c>
      <c r="O288" s="198">
        <f t="shared" si="32"/>
        <v>0</v>
      </c>
      <c r="P288" s="198">
        <f>'02 项目基础信息（输入）'!$I$36</f>
        <v>0</v>
      </c>
      <c r="Q288" s="233">
        <f t="shared" si="33"/>
        <v>0</v>
      </c>
      <c r="S288" s="217"/>
      <c r="U288" s="220" t="s">
        <v>2017</v>
      </c>
      <c r="V288" s="1190">
        <v>2.2044999999999999</v>
      </c>
    </row>
    <row r="289" spans="1:22" ht="0" hidden="1" customHeight="1" outlineLevel="3">
      <c r="A289" s="192" t="s">
        <v>2018</v>
      </c>
      <c r="B289" s="192"/>
      <c r="C289" s="197" t="s">
        <v>1609</v>
      </c>
      <c r="D289" s="198">
        <f>'02 项目基础信息（输入）'!$C$36</f>
        <v>0</v>
      </c>
      <c r="E289" s="199" t="s">
        <v>93</v>
      </c>
      <c r="F289" s="197" t="s">
        <v>1682</v>
      </c>
      <c r="G289" s="82">
        <v>0</v>
      </c>
      <c r="H289" s="199" t="s">
        <v>298</v>
      </c>
      <c r="I289" s="198">
        <f t="shared" si="36"/>
        <v>0</v>
      </c>
      <c r="J289" s="199" t="s">
        <v>93</v>
      </c>
      <c r="K289" s="188">
        <v>0</v>
      </c>
      <c r="L289" s="209" t="s">
        <v>675</v>
      </c>
      <c r="M289" s="207">
        <f t="shared" si="37"/>
        <v>0</v>
      </c>
      <c r="N289" s="198">
        <f>'02 项目基础信息（输入）'!$C$36</f>
        <v>0</v>
      </c>
      <c r="O289" s="198">
        <f t="shared" si="32"/>
        <v>0</v>
      </c>
      <c r="P289" s="198">
        <f>'02 项目基础信息（输入）'!$I$36</f>
        <v>0</v>
      </c>
      <c r="Q289" s="233">
        <f t="shared" si="33"/>
        <v>0</v>
      </c>
      <c r="S289" s="217"/>
      <c r="U289" s="220" t="s">
        <v>2019</v>
      </c>
      <c r="V289" s="1190">
        <v>0</v>
      </c>
    </row>
    <row r="290" spans="1:22" ht="0" hidden="1" customHeight="1" outlineLevel="3">
      <c r="A290" s="192" t="s">
        <v>2020</v>
      </c>
      <c r="B290" s="192"/>
      <c r="C290" s="197" t="s">
        <v>1609</v>
      </c>
      <c r="D290" s="198">
        <f>'02 项目基础信息（输入）'!$C$36</f>
        <v>0</v>
      </c>
      <c r="E290" s="199" t="s">
        <v>93</v>
      </c>
      <c r="F290" s="197" t="s">
        <v>1682</v>
      </c>
      <c r="G290" s="82">
        <v>0</v>
      </c>
      <c r="H290" s="199" t="s">
        <v>298</v>
      </c>
      <c r="I290" s="198">
        <f t="shared" si="36"/>
        <v>0</v>
      </c>
      <c r="J290" s="199" t="s">
        <v>93</v>
      </c>
      <c r="K290" s="188">
        <v>0</v>
      </c>
      <c r="L290" s="209" t="s">
        <v>675</v>
      </c>
      <c r="M290" s="207">
        <f t="shared" si="37"/>
        <v>0</v>
      </c>
      <c r="N290" s="198">
        <f>'02 项目基础信息（输入）'!$C$36</f>
        <v>0</v>
      </c>
      <c r="O290" s="198">
        <f t="shared" si="32"/>
        <v>0</v>
      </c>
      <c r="P290" s="198">
        <f>'02 项目基础信息（输入）'!$I$36</f>
        <v>0</v>
      </c>
      <c r="Q290" s="233">
        <f t="shared" si="33"/>
        <v>0</v>
      </c>
      <c r="S290" s="217"/>
      <c r="U290" s="220" t="s">
        <v>2021</v>
      </c>
      <c r="V290" s="1190">
        <v>0.95209999999999995</v>
      </c>
    </row>
    <row r="291" spans="1:22" ht="0" hidden="1" customHeight="1" outlineLevel="3">
      <c r="A291" s="192" t="s">
        <v>2022</v>
      </c>
      <c r="B291" s="192"/>
      <c r="C291" s="197" t="s">
        <v>1609</v>
      </c>
      <c r="D291" s="198">
        <f>'02 项目基础信息（输入）'!$C$36</f>
        <v>0</v>
      </c>
      <c r="E291" s="199" t="s">
        <v>93</v>
      </c>
      <c r="F291" s="197" t="s">
        <v>1682</v>
      </c>
      <c r="G291" s="82">
        <v>0</v>
      </c>
      <c r="H291" s="199" t="s">
        <v>298</v>
      </c>
      <c r="I291" s="198">
        <f t="shared" si="36"/>
        <v>0</v>
      </c>
      <c r="J291" s="199" t="s">
        <v>93</v>
      </c>
      <c r="K291" s="188">
        <v>0</v>
      </c>
      <c r="L291" s="209" t="s">
        <v>675</v>
      </c>
      <c r="M291" s="207">
        <f t="shared" si="37"/>
        <v>0</v>
      </c>
      <c r="N291" s="198">
        <f>'02 项目基础信息（输入）'!$C$36</f>
        <v>0</v>
      </c>
      <c r="O291" s="198">
        <f t="shared" si="32"/>
        <v>0</v>
      </c>
      <c r="P291" s="198">
        <f>'02 项目基础信息（输入）'!$I$36</f>
        <v>0</v>
      </c>
      <c r="Q291" s="233">
        <f t="shared" si="33"/>
        <v>0</v>
      </c>
      <c r="S291" s="217"/>
      <c r="U291" s="220" t="s">
        <v>2023</v>
      </c>
      <c r="V291" s="1190">
        <v>0</v>
      </c>
    </row>
    <row r="292" spans="1:22" ht="0" hidden="1" customHeight="1" outlineLevel="3">
      <c r="A292" s="192" t="s">
        <v>1694</v>
      </c>
      <c r="B292" s="192"/>
      <c r="C292" s="197" t="s">
        <v>1609</v>
      </c>
      <c r="D292" s="198">
        <f>'02 项目基础信息（输入）'!$C$36</f>
        <v>0</v>
      </c>
      <c r="E292" s="199" t="s">
        <v>93</v>
      </c>
      <c r="F292" s="197" t="s">
        <v>1682</v>
      </c>
      <c r="G292" s="82">
        <v>0</v>
      </c>
      <c r="H292" s="199" t="s">
        <v>298</v>
      </c>
      <c r="I292" s="198">
        <f t="shared" si="36"/>
        <v>0</v>
      </c>
      <c r="J292" s="199" t="s">
        <v>93</v>
      </c>
      <c r="K292" s="188">
        <v>0</v>
      </c>
      <c r="L292" s="209" t="s">
        <v>675</v>
      </c>
      <c r="M292" s="207">
        <f t="shared" si="37"/>
        <v>0</v>
      </c>
      <c r="N292" s="198">
        <f>'02 项目基础信息（输入）'!$C$36</f>
        <v>0</v>
      </c>
      <c r="O292" s="198">
        <f t="shared" si="32"/>
        <v>0</v>
      </c>
      <c r="P292" s="198">
        <f>'02 项目基础信息（输入）'!$I$36</f>
        <v>0</v>
      </c>
      <c r="Q292" s="233">
        <f t="shared" si="33"/>
        <v>0</v>
      </c>
      <c r="S292" s="217"/>
      <c r="U292" s="220" t="s">
        <v>2024</v>
      </c>
      <c r="V292" s="1190">
        <v>0</v>
      </c>
    </row>
    <row r="293" spans="1:22" ht="0" hidden="1" customHeight="1" outlineLevel="3">
      <c r="A293" s="192" t="s">
        <v>1696</v>
      </c>
      <c r="B293" s="192"/>
      <c r="C293" s="197" t="s">
        <v>1609</v>
      </c>
      <c r="D293" s="198">
        <f>'02 项目基础信息（输入）'!$C$36</f>
        <v>0</v>
      </c>
      <c r="E293" s="199" t="s">
        <v>93</v>
      </c>
      <c r="F293" s="197" t="s">
        <v>1682</v>
      </c>
      <c r="G293" s="82">
        <v>0</v>
      </c>
      <c r="H293" s="199" t="s">
        <v>298</v>
      </c>
      <c r="I293" s="198">
        <f t="shared" si="36"/>
        <v>0</v>
      </c>
      <c r="J293" s="199" t="s">
        <v>93</v>
      </c>
      <c r="K293" s="188">
        <v>0</v>
      </c>
      <c r="L293" s="209" t="s">
        <v>675</v>
      </c>
      <c r="M293" s="207">
        <f t="shared" si="37"/>
        <v>0</v>
      </c>
      <c r="N293" s="198">
        <f>'02 项目基础信息（输入）'!$C$36</f>
        <v>0</v>
      </c>
      <c r="O293" s="198">
        <f t="shared" si="32"/>
        <v>0</v>
      </c>
      <c r="P293" s="198">
        <f>'02 项目基础信息（输入）'!$I$36</f>
        <v>0</v>
      </c>
      <c r="Q293" s="233">
        <f t="shared" si="33"/>
        <v>0</v>
      </c>
      <c r="S293" s="217"/>
      <c r="U293" s="220" t="s">
        <v>2025</v>
      </c>
      <c r="V293" s="1190">
        <v>0</v>
      </c>
    </row>
    <row r="294" spans="1:22" ht="0" hidden="1" customHeight="1" outlineLevel="2">
      <c r="A294" s="192" t="s">
        <v>1698</v>
      </c>
      <c r="B294" s="192"/>
      <c r="C294" s="197" t="s">
        <v>1609</v>
      </c>
      <c r="D294" s="198">
        <f>'02 项目基础信息（输入）'!$C$36</f>
        <v>0</v>
      </c>
      <c r="E294" s="199" t="s">
        <v>93</v>
      </c>
      <c r="F294" s="197"/>
      <c r="G294" s="199"/>
      <c r="H294" s="199"/>
      <c r="I294" s="197"/>
      <c r="J294" s="199"/>
      <c r="K294" s="198"/>
      <c r="L294" s="209"/>
      <c r="M294" s="198">
        <f>ROUND(SUM(M295:M296),6)</f>
        <v>0</v>
      </c>
      <c r="N294" s="198">
        <f>'02 项目基础信息（输入）'!$C$36</f>
        <v>0</v>
      </c>
      <c r="O294" s="198">
        <f t="shared" si="32"/>
        <v>0</v>
      </c>
      <c r="P294" s="198">
        <f>'02 项目基础信息（输入）'!$I$36</f>
        <v>0</v>
      </c>
      <c r="Q294" s="233">
        <f t="shared" si="33"/>
        <v>0</v>
      </c>
      <c r="S294" s="217" t="s">
        <v>1313</v>
      </c>
      <c r="U294" s="220" t="s">
        <v>2026</v>
      </c>
      <c r="V294" s="1190">
        <v>0</v>
      </c>
    </row>
    <row r="295" spans="1:22" ht="0" hidden="1" customHeight="1" outlineLevel="3">
      <c r="A295" s="192" t="s">
        <v>1700</v>
      </c>
      <c r="B295" s="192"/>
      <c r="C295" s="197" t="s">
        <v>1609</v>
      </c>
      <c r="D295" s="198">
        <f>'02 项目基础信息（输入）'!$C$36</f>
        <v>0</v>
      </c>
      <c r="E295" s="199" t="s">
        <v>93</v>
      </c>
      <c r="F295" s="197" t="s">
        <v>1701</v>
      </c>
      <c r="G295" s="82">
        <v>0</v>
      </c>
      <c r="H295" s="199" t="s">
        <v>298</v>
      </c>
      <c r="I295" s="198">
        <f>G295*D295</f>
        <v>0</v>
      </c>
      <c r="J295" s="199" t="s">
        <v>93</v>
      </c>
      <c r="K295" s="188">
        <v>0</v>
      </c>
      <c r="L295" s="209" t="s">
        <v>675</v>
      </c>
      <c r="M295" s="207">
        <f>ROUND(K295*I295/10000,6)</f>
        <v>0</v>
      </c>
      <c r="N295" s="198">
        <f>'02 项目基础信息（输入）'!$C$36</f>
        <v>0</v>
      </c>
      <c r="O295" s="198">
        <f t="shared" si="32"/>
        <v>0</v>
      </c>
      <c r="P295" s="198">
        <f>'02 项目基础信息（输入）'!$I$36</f>
        <v>0</v>
      </c>
      <c r="Q295" s="233">
        <f t="shared" si="33"/>
        <v>0</v>
      </c>
      <c r="S295" s="217"/>
      <c r="U295" s="220" t="s">
        <v>2027</v>
      </c>
      <c r="V295" s="1190">
        <v>0</v>
      </c>
    </row>
    <row r="296" spans="1:22" ht="0" hidden="1" customHeight="1" outlineLevel="3">
      <c r="A296" s="192" t="s">
        <v>1703</v>
      </c>
      <c r="B296" s="192"/>
      <c r="C296" s="197" t="s">
        <v>1609</v>
      </c>
      <c r="D296" s="198">
        <f>'02 项目基础信息（输入）'!$C$36</f>
        <v>0</v>
      </c>
      <c r="E296" s="199" t="s">
        <v>93</v>
      </c>
      <c r="F296" s="197" t="s">
        <v>1704</v>
      </c>
      <c r="G296" s="82">
        <v>0</v>
      </c>
      <c r="H296" s="199" t="s">
        <v>298</v>
      </c>
      <c r="I296" s="198">
        <f>G296*D296</f>
        <v>0</v>
      </c>
      <c r="J296" s="199" t="s">
        <v>93</v>
      </c>
      <c r="K296" s="188">
        <v>0</v>
      </c>
      <c r="L296" s="209" t="s">
        <v>675</v>
      </c>
      <c r="M296" s="207">
        <f>ROUND(K296*I296/10000,6)</f>
        <v>0</v>
      </c>
      <c r="N296" s="198">
        <f>'02 项目基础信息（输入）'!$C$36</f>
        <v>0</v>
      </c>
      <c r="O296" s="198">
        <f t="shared" si="32"/>
        <v>0</v>
      </c>
      <c r="P296" s="198">
        <f>'02 项目基础信息（输入）'!$I$36</f>
        <v>0</v>
      </c>
      <c r="Q296" s="233">
        <f t="shared" si="33"/>
        <v>0</v>
      </c>
      <c r="S296" s="217"/>
      <c r="U296" s="220" t="s">
        <v>2028</v>
      </c>
      <c r="V296" s="1190">
        <v>1.1336999999999999</v>
      </c>
    </row>
    <row r="297" spans="1:22" ht="0" hidden="1" customHeight="1" outlineLevel="2">
      <c r="A297" s="192" t="s">
        <v>1706</v>
      </c>
      <c r="B297" s="192"/>
      <c r="C297" s="197" t="s">
        <v>1609</v>
      </c>
      <c r="D297" s="198">
        <f>'02 项目基础信息（输入）'!$C$36</f>
        <v>0</v>
      </c>
      <c r="E297" s="199" t="s">
        <v>93</v>
      </c>
      <c r="F297" s="197">
        <v>0</v>
      </c>
      <c r="G297" s="199"/>
      <c r="H297" s="199"/>
      <c r="I297" s="197"/>
      <c r="J297" s="199"/>
      <c r="K297" s="198"/>
      <c r="L297" s="209"/>
      <c r="M297" s="198">
        <f>ROUND(SUM(M298:M299),6)</f>
        <v>0</v>
      </c>
      <c r="N297" s="198">
        <f>'02 项目基础信息（输入）'!$C$36</f>
        <v>0</v>
      </c>
      <c r="O297" s="198">
        <f t="shared" si="32"/>
        <v>0</v>
      </c>
      <c r="P297" s="198">
        <f>'02 项目基础信息（输入）'!$I$36</f>
        <v>0</v>
      </c>
      <c r="Q297" s="233">
        <f t="shared" si="33"/>
        <v>0</v>
      </c>
      <c r="S297" s="217" t="s">
        <v>1313</v>
      </c>
      <c r="U297" s="220" t="s">
        <v>2029</v>
      </c>
      <c r="V297" s="1190">
        <v>31.249400000000001</v>
      </c>
    </row>
    <row r="298" spans="1:22" ht="0" hidden="1" customHeight="1" outlineLevel="3">
      <c r="A298" s="192" t="s">
        <v>1708</v>
      </c>
      <c r="B298" s="192"/>
      <c r="C298" s="197" t="s">
        <v>1609</v>
      </c>
      <c r="D298" s="198">
        <f>'02 项目基础信息（输入）'!$C$36</f>
        <v>0</v>
      </c>
      <c r="E298" s="199" t="s">
        <v>93</v>
      </c>
      <c r="F298" s="197" t="s">
        <v>1648</v>
      </c>
      <c r="G298" s="82">
        <v>0</v>
      </c>
      <c r="H298" s="199" t="s">
        <v>298</v>
      </c>
      <c r="I298" s="198">
        <f>G298*D298</f>
        <v>0</v>
      </c>
      <c r="J298" s="199" t="s">
        <v>93</v>
      </c>
      <c r="K298" s="188">
        <v>0</v>
      </c>
      <c r="L298" s="209" t="s">
        <v>675</v>
      </c>
      <c r="M298" s="207">
        <f>ROUND(K298*I298/10000,6)</f>
        <v>0</v>
      </c>
      <c r="N298" s="198">
        <f>'02 项目基础信息（输入）'!$C$36</f>
        <v>0</v>
      </c>
      <c r="O298" s="198">
        <f t="shared" si="32"/>
        <v>0</v>
      </c>
      <c r="P298" s="198">
        <f>'02 项目基础信息（输入）'!$I$36</f>
        <v>0</v>
      </c>
      <c r="Q298" s="233">
        <f t="shared" si="33"/>
        <v>0</v>
      </c>
      <c r="S298" s="217"/>
      <c r="U298" s="220" t="s">
        <v>2030</v>
      </c>
      <c r="V298" s="1190">
        <v>0</v>
      </c>
    </row>
    <row r="299" spans="1:22" ht="0" hidden="1" customHeight="1" outlineLevel="3">
      <c r="A299" s="192" t="s">
        <v>1710</v>
      </c>
      <c r="B299" s="192"/>
      <c r="C299" s="197" t="s">
        <v>1609</v>
      </c>
      <c r="D299" s="198">
        <f>'02 项目基础信息（输入）'!$C$36</f>
        <v>0</v>
      </c>
      <c r="E299" s="199" t="s">
        <v>93</v>
      </c>
      <c r="F299" s="197" t="s">
        <v>1648</v>
      </c>
      <c r="G299" s="82">
        <v>0</v>
      </c>
      <c r="H299" s="199" t="s">
        <v>298</v>
      </c>
      <c r="I299" s="198">
        <f>G299*D299</f>
        <v>0</v>
      </c>
      <c r="J299" s="199" t="s">
        <v>93</v>
      </c>
      <c r="K299" s="188">
        <v>0</v>
      </c>
      <c r="L299" s="209" t="s">
        <v>675</v>
      </c>
      <c r="M299" s="207">
        <f>ROUND(K299*I299/10000,6)</f>
        <v>0</v>
      </c>
      <c r="N299" s="198">
        <f>'02 项目基础信息（输入）'!$C$36</f>
        <v>0</v>
      </c>
      <c r="O299" s="198">
        <f t="shared" si="32"/>
        <v>0</v>
      </c>
      <c r="P299" s="198">
        <f>'02 项目基础信息（输入）'!$I$36</f>
        <v>0</v>
      </c>
      <c r="Q299" s="233">
        <f t="shared" si="33"/>
        <v>0</v>
      </c>
      <c r="S299" s="217"/>
      <c r="U299" s="220" t="s">
        <v>2031</v>
      </c>
      <c r="V299" s="1190">
        <v>0</v>
      </c>
    </row>
    <row r="300" spans="1:22" ht="0" hidden="1" customHeight="1" outlineLevel="2">
      <c r="A300" s="192" t="s">
        <v>1712</v>
      </c>
      <c r="B300" s="192"/>
      <c r="C300" s="197" t="s">
        <v>1609</v>
      </c>
      <c r="D300" s="198">
        <f>'02 项目基础信息（输入）'!$C$36</f>
        <v>0</v>
      </c>
      <c r="E300" s="199" t="s">
        <v>93</v>
      </c>
      <c r="F300" s="197"/>
      <c r="G300" s="199"/>
      <c r="H300" s="199"/>
      <c r="I300" s="197"/>
      <c r="J300" s="199"/>
      <c r="K300" s="198"/>
      <c r="L300" s="209"/>
      <c r="M300" s="198">
        <f>ROUND(SUM(M301:M318),6)</f>
        <v>0</v>
      </c>
      <c r="N300" s="198">
        <f>'02 项目基础信息（输入）'!$C$36</f>
        <v>0</v>
      </c>
      <c r="O300" s="198">
        <f t="shared" si="32"/>
        <v>0</v>
      </c>
      <c r="P300" s="198">
        <f>'02 项目基础信息（输入）'!$I$36</f>
        <v>0</v>
      </c>
      <c r="Q300" s="233">
        <f t="shared" si="33"/>
        <v>0</v>
      </c>
      <c r="S300" s="217" t="s">
        <v>1313</v>
      </c>
      <c r="U300" s="220" t="s">
        <v>2032</v>
      </c>
      <c r="V300" s="1190">
        <v>0</v>
      </c>
    </row>
    <row r="301" spans="1:22" ht="0" hidden="1" customHeight="1" outlineLevel="3">
      <c r="A301" s="192" t="s">
        <v>1714</v>
      </c>
      <c r="B301" s="192"/>
      <c r="C301" s="197" t="s">
        <v>1609</v>
      </c>
      <c r="D301" s="198">
        <f>'02 项目基础信息（输入）'!$C$36</f>
        <v>0</v>
      </c>
      <c r="E301" s="199" t="s">
        <v>93</v>
      </c>
      <c r="F301" s="197" t="s">
        <v>1609</v>
      </c>
      <c r="G301" s="199">
        <v>1</v>
      </c>
      <c r="H301" s="199" t="s">
        <v>298</v>
      </c>
      <c r="I301" s="198">
        <f t="shared" ref="I301:I318" si="38">G301*D301</f>
        <v>0</v>
      </c>
      <c r="J301" s="199" t="s">
        <v>93</v>
      </c>
      <c r="K301" s="188">
        <v>0</v>
      </c>
      <c r="L301" s="209" t="s">
        <v>675</v>
      </c>
      <c r="M301" s="207">
        <f t="shared" ref="M301:M318" si="39">ROUND(K301*I301/10000,6)</f>
        <v>0</v>
      </c>
      <c r="N301" s="198">
        <f>'02 项目基础信息（输入）'!$C$36</f>
        <v>0</v>
      </c>
      <c r="O301" s="198">
        <f t="shared" si="32"/>
        <v>0</v>
      </c>
      <c r="P301" s="198">
        <f>'02 项目基础信息（输入）'!$I$36</f>
        <v>0</v>
      </c>
      <c r="Q301" s="233">
        <f t="shared" si="33"/>
        <v>0</v>
      </c>
      <c r="S301" s="217"/>
      <c r="U301" s="220" t="s">
        <v>2033</v>
      </c>
      <c r="V301" s="1190">
        <v>0</v>
      </c>
    </row>
    <row r="302" spans="1:22" ht="0" hidden="1" customHeight="1" outlineLevel="3">
      <c r="A302" s="192" t="s">
        <v>1717</v>
      </c>
      <c r="B302" s="192"/>
      <c r="C302" s="197" t="s">
        <v>1609</v>
      </c>
      <c r="D302" s="198">
        <f>'02 项目基础信息（输入）'!$C$36</f>
        <v>0</v>
      </c>
      <c r="E302" s="199" t="s">
        <v>93</v>
      </c>
      <c r="F302" s="197" t="s">
        <v>1609</v>
      </c>
      <c r="G302" s="199">
        <v>1</v>
      </c>
      <c r="H302" s="199" t="s">
        <v>298</v>
      </c>
      <c r="I302" s="198">
        <f t="shared" si="38"/>
        <v>0</v>
      </c>
      <c r="J302" s="199" t="s">
        <v>93</v>
      </c>
      <c r="K302" s="188">
        <v>0</v>
      </c>
      <c r="L302" s="209" t="s">
        <v>675</v>
      </c>
      <c r="M302" s="207">
        <f t="shared" si="39"/>
        <v>0</v>
      </c>
      <c r="N302" s="198">
        <f>'02 项目基础信息（输入）'!$C$36</f>
        <v>0</v>
      </c>
      <c r="O302" s="198">
        <f t="shared" si="32"/>
        <v>0</v>
      </c>
      <c r="P302" s="198">
        <f>'02 项目基础信息（输入）'!$I$36</f>
        <v>0</v>
      </c>
      <c r="Q302" s="233">
        <f t="shared" si="33"/>
        <v>0</v>
      </c>
      <c r="S302" s="217"/>
      <c r="U302" s="220" t="s">
        <v>2034</v>
      </c>
      <c r="V302" s="1190">
        <v>0</v>
      </c>
    </row>
    <row r="303" spans="1:22" ht="0" hidden="1" customHeight="1" outlineLevel="3">
      <c r="A303" s="192" t="s">
        <v>1719</v>
      </c>
      <c r="B303" s="192"/>
      <c r="C303" s="197" t="s">
        <v>1609</v>
      </c>
      <c r="D303" s="198">
        <f>'02 项目基础信息（输入）'!$C$36</f>
        <v>0</v>
      </c>
      <c r="E303" s="199" t="s">
        <v>93</v>
      </c>
      <c r="F303" s="197" t="s">
        <v>1609</v>
      </c>
      <c r="G303" s="199">
        <v>1</v>
      </c>
      <c r="H303" s="199" t="s">
        <v>298</v>
      </c>
      <c r="I303" s="198">
        <f t="shared" si="38"/>
        <v>0</v>
      </c>
      <c r="J303" s="199" t="s">
        <v>93</v>
      </c>
      <c r="K303" s="188">
        <v>0</v>
      </c>
      <c r="L303" s="209" t="s">
        <v>675</v>
      </c>
      <c r="M303" s="207">
        <f t="shared" si="39"/>
        <v>0</v>
      </c>
      <c r="N303" s="198">
        <f>'02 项目基础信息（输入）'!$C$36</f>
        <v>0</v>
      </c>
      <c r="O303" s="198">
        <f t="shared" si="32"/>
        <v>0</v>
      </c>
      <c r="P303" s="198">
        <f>'02 项目基础信息（输入）'!$I$36</f>
        <v>0</v>
      </c>
      <c r="Q303" s="233">
        <f t="shared" si="33"/>
        <v>0</v>
      </c>
      <c r="S303" s="217"/>
      <c r="U303" s="220" t="s">
        <v>2035</v>
      </c>
      <c r="V303" s="1190">
        <v>0</v>
      </c>
    </row>
    <row r="304" spans="1:22" ht="0" hidden="1" customHeight="1" outlineLevel="3">
      <c r="A304" s="192" t="s">
        <v>1721</v>
      </c>
      <c r="B304" s="192"/>
      <c r="C304" s="197" t="s">
        <v>1609</v>
      </c>
      <c r="D304" s="198">
        <f>'02 项目基础信息（输入）'!$C$36</f>
        <v>0</v>
      </c>
      <c r="E304" s="199" t="s">
        <v>93</v>
      </c>
      <c r="F304" s="197" t="s">
        <v>1609</v>
      </c>
      <c r="G304" s="199">
        <v>1</v>
      </c>
      <c r="H304" s="199" t="s">
        <v>298</v>
      </c>
      <c r="I304" s="198">
        <f t="shared" si="38"/>
        <v>0</v>
      </c>
      <c r="J304" s="199" t="s">
        <v>93</v>
      </c>
      <c r="K304" s="188">
        <v>0</v>
      </c>
      <c r="L304" s="209" t="s">
        <v>675</v>
      </c>
      <c r="M304" s="207">
        <f t="shared" si="39"/>
        <v>0</v>
      </c>
      <c r="N304" s="198">
        <f>'02 项目基础信息（输入）'!$C$36</f>
        <v>0</v>
      </c>
      <c r="O304" s="198">
        <f t="shared" si="32"/>
        <v>0</v>
      </c>
      <c r="P304" s="198">
        <f>'02 项目基础信息（输入）'!$I$36</f>
        <v>0</v>
      </c>
      <c r="Q304" s="233">
        <f t="shared" si="33"/>
        <v>0</v>
      </c>
      <c r="S304" s="217"/>
      <c r="U304" s="220" t="s">
        <v>2036</v>
      </c>
      <c r="V304" s="1190">
        <v>195.898</v>
      </c>
    </row>
    <row r="305" spans="1:22" ht="0" hidden="1" customHeight="1" outlineLevel="3">
      <c r="A305" s="192" t="s">
        <v>1723</v>
      </c>
      <c r="B305" s="192"/>
      <c r="C305" s="197" t="s">
        <v>1609</v>
      </c>
      <c r="D305" s="198">
        <f>'02 项目基础信息（输入）'!$C$36</f>
        <v>0</v>
      </c>
      <c r="E305" s="199" t="s">
        <v>93</v>
      </c>
      <c r="F305" s="197" t="s">
        <v>1609</v>
      </c>
      <c r="G305" s="199">
        <v>1</v>
      </c>
      <c r="H305" s="199" t="s">
        <v>298</v>
      </c>
      <c r="I305" s="198">
        <f t="shared" si="38"/>
        <v>0</v>
      </c>
      <c r="J305" s="199" t="s">
        <v>93</v>
      </c>
      <c r="K305" s="188">
        <v>0</v>
      </c>
      <c r="L305" s="209" t="s">
        <v>675</v>
      </c>
      <c r="M305" s="207">
        <f t="shared" si="39"/>
        <v>0</v>
      </c>
      <c r="N305" s="198">
        <f>'02 项目基础信息（输入）'!$C$36</f>
        <v>0</v>
      </c>
      <c r="O305" s="198">
        <f t="shared" si="32"/>
        <v>0</v>
      </c>
      <c r="P305" s="198">
        <f>'02 项目基础信息（输入）'!$I$36</f>
        <v>0</v>
      </c>
      <c r="Q305" s="233">
        <f t="shared" si="33"/>
        <v>0</v>
      </c>
      <c r="S305" s="217"/>
      <c r="U305" s="220" t="s">
        <v>2037</v>
      </c>
      <c r="V305" s="1190">
        <v>48.737699999999997</v>
      </c>
    </row>
    <row r="306" spans="1:22" ht="0" hidden="1" customHeight="1" outlineLevel="3">
      <c r="A306" s="192" t="s">
        <v>1725</v>
      </c>
      <c r="B306" s="192"/>
      <c r="C306" s="197" t="s">
        <v>1609</v>
      </c>
      <c r="D306" s="198">
        <f>'02 项目基础信息（输入）'!$C$36</f>
        <v>0</v>
      </c>
      <c r="E306" s="199" t="s">
        <v>93</v>
      </c>
      <c r="F306" s="197" t="s">
        <v>1609</v>
      </c>
      <c r="G306" s="199">
        <v>1</v>
      </c>
      <c r="H306" s="199" t="s">
        <v>298</v>
      </c>
      <c r="I306" s="198">
        <f t="shared" si="38"/>
        <v>0</v>
      </c>
      <c r="J306" s="199" t="s">
        <v>93</v>
      </c>
      <c r="K306" s="188">
        <v>0</v>
      </c>
      <c r="L306" s="209" t="s">
        <v>675</v>
      </c>
      <c r="M306" s="207">
        <f t="shared" si="39"/>
        <v>0</v>
      </c>
      <c r="N306" s="198">
        <f>'02 项目基础信息（输入）'!$C$36</f>
        <v>0</v>
      </c>
      <c r="O306" s="198">
        <f t="shared" si="32"/>
        <v>0</v>
      </c>
      <c r="P306" s="198">
        <f>'02 项目基础信息（输入）'!$I$36</f>
        <v>0</v>
      </c>
      <c r="Q306" s="233">
        <f t="shared" si="33"/>
        <v>0</v>
      </c>
      <c r="S306" s="217"/>
      <c r="U306" s="220" t="s">
        <v>2038</v>
      </c>
      <c r="V306" s="1190">
        <v>9.6572999999999993</v>
      </c>
    </row>
    <row r="307" spans="1:22" ht="0" hidden="1" customHeight="1" outlineLevel="3">
      <c r="A307" s="192" t="s">
        <v>1727</v>
      </c>
      <c r="B307" s="192"/>
      <c r="C307" s="197" t="s">
        <v>1609</v>
      </c>
      <c r="D307" s="198">
        <f>'02 项目基础信息（输入）'!$C$36</f>
        <v>0</v>
      </c>
      <c r="E307" s="199" t="s">
        <v>93</v>
      </c>
      <c r="F307" s="197" t="s">
        <v>1609</v>
      </c>
      <c r="G307" s="199">
        <v>1</v>
      </c>
      <c r="H307" s="199" t="s">
        <v>298</v>
      </c>
      <c r="I307" s="198">
        <f t="shared" si="38"/>
        <v>0</v>
      </c>
      <c r="J307" s="199" t="s">
        <v>93</v>
      </c>
      <c r="K307" s="188">
        <v>0</v>
      </c>
      <c r="L307" s="209" t="s">
        <v>675</v>
      </c>
      <c r="M307" s="207">
        <f t="shared" si="39"/>
        <v>0</v>
      </c>
      <c r="N307" s="198">
        <f>'02 项目基础信息（输入）'!$C$36</f>
        <v>0</v>
      </c>
      <c r="O307" s="198">
        <f t="shared" si="32"/>
        <v>0</v>
      </c>
      <c r="P307" s="198">
        <f>'02 项目基础信息（输入）'!$I$36</f>
        <v>0</v>
      </c>
      <c r="Q307" s="233">
        <f t="shared" si="33"/>
        <v>0</v>
      </c>
      <c r="S307" s="217"/>
      <c r="U307" s="220" t="s">
        <v>2039</v>
      </c>
      <c r="V307" s="1190">
        <v>20.8719</v>
      </c>
    </row>
    <row r="308" spans="1:22" ht="0" hidden="1" customHeight="1" outlineLevel="3">
      <c r="A308" s="192" t="s">
        <v>1729</v>
      </c>
      <c r="B308" s="192"/>
      <c r="C308" s="197" t="s">
        <v>1609</v>
      </c>
      <c r="D308" s="198">
        <f>'02 项目基础信息（输入）'!$C$36</f>
        <v>0</v>
      </c>
      <c r="E308" s="199" t="s">
        <v>93</v>
      </c>
      <c r="F308" s="197" t="s">
        <v>1609</v>
      </c>
      <c r="G308" s="199">
        <v>1</v>
      </c>
      <c r="H308" s="199" t="s">
        <v>298</v>
      </c>
      <c r="I308" s="198">
        <f t="shared" si="38"/>
        <v>0</v>
      </c>
      <c r="J308" s="199" t="s">
        <v>93</v>
      </c>
      <c r="K308" s="188">
        <v>0</v>
      </c>
      <c r="L308" s="209" t="s">
        <v>675</v>
      </c>
      <c r="M308" s="207">
        <f t="shared" si="39"/>
        <v>0</v>
      </c>
      <c r="N308" s="198">
        <f>'02 项目基础信息（输入）'!$C$36</f>
        <v>0</v>
      </c>
      <c r="O308" s="198">
        <f t="shared" si="32"/>
        <v>0</v>
      </c>
      <c r="P308" s="198">
        <f>'02 项目基础信息（输入）'!$I$36</f>
        <v>0</v>
      </c>
      <c r="Q308" s="233">
        <f t="shared" si="33"/>
        <v>0</v>
      </c>
      <c r="S308" s="217"/>
      <c r="U308" s="220" t="s">
        <v>2040</v>
      </c>
      <c r="V308" s="1190">
        <v>0</v>
      </c>
    </row>
    <row r="309" spans="1:22" ht="0" hidden="1" customHeight="1" outlineLevel="3">
      <c r="A309" s="192" t="s">
        <v>1731</v>
      </c>
      <c r="B309" s="192"/>
      <c r="C309" s="197" t="s">
        <v>1609</v>
      </c>
      <c r="D309" s="198">
        <f>'02 项目基础信息（输入）'!$C$36</f>
        <v>0</v>
      </c>
      <c r="E309" s="199" t="s">
        <v>93</v>
      </c>
      <c r="F309" s="197" t="s">
        <v>1609</v>
      </c>
      <c r="G309" s="199">
        <v>1</v>
      </c>
      <c r="H309" s="199" t="s">
        <v>298</v>
      </c>
      <c r="I309" s="198">
        <f t="shared" si="38"/>
        <v>0</v>
      </c>
      <c r="J309" s="199" t="s">
        <v>93</v>
      </c>
      <c r="K309" s="188">
        <v>0</v>
      </c>
      <c r="L309" s="209" t="s">
        <v>675</v>
      </c>
      <c r="M309" s="207">
        <f t="shared" si="39"/>
        <v>0</v>
      </c>
      <c r="N309" s="198">
        <f>'02 项目基础信息（输入）'!$C$36</f>
        <v>0</v>
      </c>
      <c r="O309" s="198">
        <f t="shared" si="32"/>
        <v>0</v>
      </c>
      <c r="P309" s="198">
        <f>'02 项目基础信息（输入）'!$I$36</f>
        <v>0</v>
      </c>
      <c r="Q309" s="233">
        <f t="shared" si="33"/>
        <v>0</v>
      </c>
      <c r="S309" s="217"/>
      <c r="U309" s="220" t="s">
        <v>2041</v>
      </c>
      <c r="V309" s="1190">
        <v>0</v>
      </c>
    </row>
    <row r="310" spans="1:22" ht="0" hidden="1" customHeight="1" outlineLevel="3">
      <c r="A310" s="192" t="s">
        <v>1733</v>
      </c>
      <c r="B310" s="192"/>
      <c r="C310" s="197" t="s">
        <v>1609</v>
      </c>
      <c r="D310" s="198">
        <f>'02 项目基础信息（输入）'!$C$36</f>
        <v>0</v>
      </c>
      <c r="E310" s="199" t="s">
        <v>93</v>
      </c>
      <c r="F310" s="197" t="s">
        <v>1609</v>
      </c>
      <c r="G310" s="199">
        <v>1</v>
      </c>
      <c r="H310" s="199" t="s">
        <v>298</v>
      </c>
      <c r="I310" s="198">
        <f t="shared" si="38"/>
        <v>0</v>
      </c>
      <c r="J310" s="199" t="s">
        <v>93</v>
      </c>
      <c r="K310" s="188">
        <v>0</v>
      </c>
      <c r="L310" s="209" t="s">
        <v>675</v>
      </c>
      <c r="M310" s="207">
        <f t="shared" si="39"/>
        <v>0</v>
      </c>
      <c r="N310" s="198">
        <f>'02 项目基础信息（输入）'!$C$36</f>
        <v>0</v>
      </c>
      <c r="O310" s="198">
        <f t="shared" si="32"/>
        <v>0</v>
      </c>
      <c r="P310" s="198">
        <f>'02 项目基础信息（输入）'!$I$36</f>
        <v>0</v>
      </c>
      <c r="Q310" s="233">
        <f t="shared" si="33"/>
        <v>0</v>
      </c>
      <c r="S310" s="217"/>
      <c r="U310" s="220" t="s">
        <v>2042</v>
      </c>
      <c r="V310" s="1190">
        <v>0.42599999999999999</v>
      </c>
    </row>
    <row r="311" spans="1:22" ht="0" hidden="1" customHeight="1" outlineLevel="3">
      <c r="A311" s="192" t="s">
        <v>1735</v>
      </c>
      <c r="B311" s="192"/>
      <c r="C311" s="197" t="s">
        <v>1609</v>
      </c>
      <c r="D311" s="198">
        <f>'02 项目基础信息（输入）'!$C$36</f>
        <v>0</v>
      </c>
      <c r="E311" s="199" t="s">
        <v>93</v>
      </c>
      <c r="F311" s="197" t="s">
        <v>1609</v>
      </c>
      <c r="G311" s="199">
        <v>1</v>
      </c>
      <c r="H311" s="199" t="s">
        <v>298</v>
      </c>
      <c r="I311" s="198">
        <f t="shared" si="38"/>
        <v>0</v>
      </c>
      <c r="J311" s="199" t="s">
        <v>93</v>
      </c>
      <c r="K311" s="188">
        <v>0</v>
      </c>
      <c r="L311" s="209" t="s">
        <v>675</v>
      </c>
      <c r="M311" s="207">
        <f t="shared" si="39"/>
        <v>0</v>
      </c>
      <c r="N311" s="198">
        <f>'02 项目基础信息（输入）'!$C$36</f>
        <v>0</v>
      </c>
      <c r="O311" s="198">
        <f t="shared" si="32"/>
        <v>0</v>
      </c>
      <c r="P311" s="198">
        <f>'02 项目基础信息（输入）'!$I$36</f>
        <v>0</v>
      </c>
      <c r="Q311" s="233">
        <f t="shared" si="33"/>
        <v>0</v>
      </c>
      <c r="S311" s="217"/>
      <c r="U311" s="220" t="s">
        <v>2043</v>
      </c>
      <c r="V311" s="1190">
        <v>13.0267</v>
      </c>
    </row>
    <row r="312" spans="1:22" ht="0" hidden="1" customHeight="1" outlineLevel="3">
      <c r="A312" s="192" t="s">
        <v>1737</v>
      </c>
      <c r="B312" s="192"/>
      <c r="C312" s="197" t="s">
        <v>1609</v>
      </c>
      <c r="D312" s="198">
        <f>'02 项目基础信息（输入）'!$C$36</f>
        <v>0</v>
      </c>
      <c r="E312" s="199" t="s">
        <v>93</v>
      </c>
      <c r="F312" s="197" t="s">
        <v>1609</v>
      </c>
      <c r="G312" s="199">
        <v>1</v>
      </c>
      <c r="H312" s="199" t="s">
        <v>298</v>
      </c>
      <c r="I312" s="198">
        <f t="shared" si="38"/>
        <v>0</v>
      </c>
      <c r="J312" s="199" t="s">
        <v>93</v>
      </c>
      <c r="K312" s="188">
        <v>0</v>
      </c>
      <c r="L312" s="209" t="s">
        <v>675</v>
      </c>
      <c r="M312" s="207">
        <f t="shared" si="39"/>
        <v>0</v>
      </c>
      <c r="N312" s="198">
        <f>'02 项目基础信息（输入）'!$C$36</f>
        <v>0</v>
      </c>
      <c r="O312" s="198">
        <f t="shared" si="32"/>
        <v>0</v>
      </c>
      <c r="P312" s="198">
        <f>'02 项目基础信息（输入）'!$I$36</f>
        <v>0</v>
      </c>
      <c r="Q312" s="233">
        <f t="shared" si="33"/>
        <v>0</v>
      </c>
      <c r="S312" s="217"/>
      <c r="U312" s="220" t="s">
        <v>2044</v>
      </c>
      <c r="V312" s="1190">
        <v>55.616300000000003</v>
      </c>
    </row>
    <row r="313" spans="1:22" ht="0" hidden="1" customHeight="1" outlineLevel="3">
      <c r="A313" s="192" t="s">
        <v>1739</v>
      </c>
      <c r="B313" s="192"/>
      <c r="C313" s="197" t="s">
        <v>1609</v>
      </c>
      <c r="D313" s="198">
        <f>'02 项目基础信息（输入）'!$C$36</f>
        <v>0</v>
      </c>
      <c r="E313" s="199" t="s">
        <v>93</v>
      </c>
      <c r="F313" s="197" t="s">
        <v>1609</v>
      </c>
      <c r="G313" s="199">
        <v>1</v>
      </c>
      <c r="H313" s="199" t="s">
        <v>298</v>
      </c>
      <c r="I313" s="198">
        <f t="shared" si="38"/>
        <v>0</v>
      </c>
      <c r="J313" s="199" t="s">
        <v>93</v>
      </c>
      <c r="K313" s="188">
        <v>0</v>
      </c>
      <c r="L313" s="209" t="s">
        <v>675</v>
      </c>
      <c r="M313" s="207">
        <f t="shared" si="39"/>
        <v>0</v>
      </c>
      <c r="N313" s="198">
        <f>'02 项目基础信息（输入）'!$C$36</f>
        <v>0</v>
      </c>
      <c r="O313" s="198">
        <f t="shared" si="32"/>
        <v>0</v>
      </c>
      <c r="P313" s="198">
        <f>'02 项目基础信息（输入）'!$I$36</f>
        <v>0</v>
      </c>
      <c r="Q313" s="233">
        <f t="shared" si="33"/>
        <v>0</v>
      </c>
      <c r="S313" s="217"/>
      <c r="U313" s="220" t="s">
        <v>2045</v>
      </c>
      <c r="V313" s="1190">
        <v>4.7262000000000004</v>
      </c>
    </row>
    <row r="314" spans="1:22" ht="0" hidden="1" customHeight="1" outlineLevel="3">
      <c r="A314" s="192" t="s">
        <v>1741</v>
      </c>
      <c r="B314" s="192"/>
      <c r="C314" s="197" t="s">
        <v>1609</v>
      </c>
      <c r="D314" s="198">
        <f>'02 项目基础信息（输入）'!$C$36</f>
        <v>0</v>
      </c>
      <c r="E314" s="199" t="s">
        <v>93</v>
      </c>
      <c r="F314" s="197" t="s">
        <v>1609</v>
      </c>
      <c r="G314" s="199">
        <v>1</v>
      </c>
      <c r="H314" s="199" t="s">
        <v>298</v>
      </c>
      <c r="I314" s="198">
        <f t="shared" si="38"/>
        <v>0</v>
      </c>
      <c r="J314" s="199" t="s">
        <v>93</v>
      </c>
      <c r="K314" s="188">
        <v>0</v>
      </c>
      <c r="L314" s="209" t="s">
        <v>675</v>
      </c>
      <c r="M314" s="207">
        <f t="shared" si="39"/>
        <v>0</v>
      </c>
      <c r="N314" s="198">
        <f>'02 项目基础信息（输入）'!$C$36</f>
        <v>0</v>
      </c>
      <c r="O314" s="198">
        <f t="shared" si="32"/>
        <v>0</v>
      </c>
      <c r="P314" s="198">
        <f>'02 项目基础信息（输入）'!$I$36</f>
        <v>0</v>
      </c>
      <c r="Q314" s="233">
        <f t="shared" si="33"/>
        <v>0</v>
      </c>
      <c r="S314" s="217"/>
      <c r="U314" s="220" t="s">
        <v>2046</v>
      </c>
      <c r="V314" s="1190">
        <v>0</v>
      </c>
    </row>
    <row r="315" spans="1:22" ht="0" hidden="1" customHeight="1" outlineLevel="3">
      <c r="A315" s="192" t="s">
        <v>1743</v>
      </c>
      <c r="B315" s="192"/>
      <c r="C315" s="197" t="s">
        <v>1609</v>
      </c>
      <c r="D315" s="198">
        <f>'02 项目基础信息（输入）'!$C$36</f>
        <v>0</v>
      </c>
      <c r="E315" s="199" t="s">
        <v>93</v>
      </c>
      <c r="F315" s="197" t="s">
        <v>1609</v>
      </c>
      <c r="G315" s="199">
        <v>1</v>
      </c>
      <c r="H315" s="199" t="s">
        <v>298</v>
      </c>
      <c r="I315" s="198">
        <f t="shared" si="38"/>
        <v>0</v>
      </c>
      <c r="J315" s="199" t="s">
        <v>93</v>
      </c>
      <c r="K315" s="188">
        <v>0</v>
      </c>
      <c r="L315" s="209" t="s">
        <v>675</v>
      </c>
      <c r="M315" s="207">
        <f t="shared" si="39"/>
        <v>0</v>
      </c>
      <c r="N315" s="198">
        <f>'02 项目基础信息（输入）'!$C$36</f>
        <v>0</v>
      </c>
      <c r="O315" s="198">
        <f t="shared" si="32"/>
        <v>0</v>
      </c>
      <c r="P315" s="198">
        <f>'02 项目基础信息（输入）'!$I$36</f>
        <v>0</v>
      </c>
      <c r="Q315" s="233">
        <f t="shared" si="33"/>
        <v>0</v>
      </c>
      <c r="S315" s="217"/>
      <c r="U315" s="220" t="s">
        <v>2047</v>
      </c>
      <c r="V315" s="1190">
        <v>1.1085</v>
      </c>
    </row>
    <row r="316" spans="1:22" ht="0" hidden="1" customHeight="1" outlineLevel="3">
      <c r="A316" s="192" t="s">
        <v>1745</v>
      </c>
      <c r="B316" s="192"/>
      <c r="C316" s="197" t="s">
        <v>1609</v>
      </c>
      <c r="D316" s="198">
        <f>'02 项目基础信息（输入）'!$C$36</f>
        <v>0</v>
      </c>
      <c r="E316" s="199" t="s">
        <v>93</v>
      </c>
      <c r="F316" s="197" t="s">
        <v>1609</v>
      </c>
      <c r="G316" s="199">
        <v>1</v>
      </c>
      <c r="H316" s="199" t="s">
        <v>298</v>
      </c>
      <c r="I316" s="198">
        <f t="shared" si="38"/>
        <v>0</v>
      </c>
      <c r="J316" s="199" t="s">
        <v>93</v>
      </c>
      <c r="K316" s="188">
        <v>0</v>
      </c>
      <c r="L316" s="209" t="s">
        <v>675</v>
      </c>
      <c r="M316" s="207">
        <f t="shared" si="39"/>
        <v>0</v>
      </c>
      <c r="N316" s="198">
        <f>'02 项目基础信息（输入）'!$C$36</f>
        <v>0</v>
      </c>
      <c r="O316" s="198">
        <f t="shared" si="32"/>
        <v>0</v>
      </c>
      <c r="P316" s="198">
        <f>'02 项目基础信息（输入）'!$I$36</f>
        <v>0</v>
      </c>
      <c r="Q316" s="233">
        <f t="shared" si="33"/>
        <v>0</v>
      </c>
      <c r="S316" s="217"/>
      <c r="U316" s="220" t="s">
        <v>2048</v>
      </c>
      <c r="V316" s="1190">
        <v>3.4838</v>
      </c>
    </row>
    <row r="317" spans="1:22" ht="0" hidden="1" customHeight="1" outlineLevel="3">
      <c r="A317" s="192" t="s">
        <v>1747</v>
      </c>
      <c r="B317" s="192"/>
      <c r="C317" s="197" t="s">
        <v>416</v>
      </c>
      <c r="D317" s="198">
        <f>'02 项目基础信息（输入）'!$AJ$36</f>
        <v>0</v>
      </c>
      <c r="E317" s="199" t="s">
        <v>417</v>
      </c>
      <c r="F317" s="197" t="s">
        <v>416</v>
      </c>
      <c r="G317" s="199">
        <v>1</v>
      </c>
      <c r="H317" s="199" t="s">
        <v>1748</v>
      </c>
      <c r="I317" s="198">
        <f t="shared" si="38"/>
        <v>0</v>
      </c>
      <c r="J317" s="199" t="s">
        <v>400</v>
      </c>
      <c r="K317" s="188">
        <v>0</v>
      </c>
      <c r="L317" s="209" t="s">
        <v>1749</v>
      </c>
      <c r="M317" s="207">
        <f t="shared" si="39"/>
        <v>0</v>
      </c>
      <c r="N317" s="198">
        <f>'02 项目基础信息（输入）'!$C$36</f>
        <v>0</v>
      </c>
      <c r="O317" s="198">
        <f t="shared" si="32"/>
        <v>0</v>
      </c>
      <c r="P317" s="198">
        <f>'02 项目基础信息（输入）'!$I$36</f>
        <v>0</v>
      </c>
      <c r="Q317" s="233">
        <f t="shared" si="33"/>
        <v>0</v>
      </c>
      <c r="S317" s="217"/>
      <c r="U317" s="220" t="s">
        <v>2049</v>
      </c>
      <c r="V317" s="1190">
        <v>0</v>
      </c>
    </row>
    <row r="318" spans="1:22" ht="0" hidden="1" customHeight="1" outlineLevel="3">
      <c r="A318" s="192" t="s">
        <v>1751</v>
      </c>
      <c r="B318" s="192"/>
      <c r="C318" s="197" t="s">
        <v>1609</v>
      </c>
      <c r="D318" s="198">
        <f>'02 项目基础信息（输入）'!$C$36</f>
        <v>0</v>
      </c>
      <c r="E318" s="199" t="s">
        <v>93</v>
      </c>
      <c r="F318" s="197" t="s">
        <v>1609</v>
      </c>
      <c r="G318" s="199">
        <v>1</v>
      </c>
      <c r="H318" s="199" t="s">
        <v>298</v>
      </c>
      <c r="I318" s="198">
        <f t="shared" si="38"/>
        <v>0</v>
      </c>
      <c r="J318" s="199" t="s">
        <v>93</v>
      </c>
      <c r="K318" s="188">
        <v>0</v>
      </c>
      <c r="L318" s="209" t="s">
        <v>675</v>
      </c>
      <c r="M318" s="207">
        <f t="shared" si="39"/>
        <v>0</v>
      </c>
      <c r="N318" s="198">
        <f>'02 项目基础信息（输入）'!$C$36</f>
        <v>0</v>
      </c>
      <c r="O318" s="198">
        <f t="shared" si="32"/>
        <v>0</v>
      </c>
      <c r="P318" s="198">
        <f>'02 项目基础信息（输入）'!$I$36</f>
        <v>0</v>
      </c>
      <c r="Q318" s="233">
        <f t="shared" si="33"/>
        <v>0</v>
      </c>
      <c r="S318" s="217"/>
      <c r="U318" s="220" t="s">
        <v>2050</v>
      </c>
      <c r="V318" s="1190">
        <v>0.74780000000000002</v>
      </c>
    </row>
    <row r="319" spans="1:22" ht="0" hidden="1" customHeight="1" outlineLevel="2">
      <c r="A319" s="192" t="s">
        <v>1753</v>
      </c>
      <c r="B319" s="192"/>
      <c r="C319" s="197" t="s">
        <v>1609</v>
      </c>
      <c r="D319" s="198">
        <f>'02 项目基础信息（输入）'!$C$36</f>
        <v>0</v>
      </c>
      <c r="E319" s="199" t="s">
        <v>93</v>
      </c>
      <c r="F319" s="197"/>
      <c r="G319" s="199"/>
      <c r="H319" s="199"/>
      <c r="I319" s="197"/>
      <c r="J319" s="199"/>
      <c r="K319" s="198"/>
      <c r="L319" s="209"/>
      <c r="M319" s="198">
        <f>ROUND(SUM(M320:M330),6)</f>
        <v>0</v>
      </c>
      <c r="N319" s="198">
        <f>'02 项目基础信息（输入）'!$C$36</f>
        <v>0</v>
      </c>
      <c r="O319" s="198">
        <f t="shared" si="32"/>
        <v>0</v>
      </c>
      <c r="P319" s="198">
        <f>'02 项目基础信息（输入）'!$I$36</f>
        <v>0</v>
      </c>
      <c r="Q319" s="233">
        <f t="shared" si="33"/>
        <v>0</v>
      </c>
      <c r="S319" s="217" t="s">
        <v>1313</v>
      </c>
      <c r="U319" s="220" t="s">
        <v>2051</v>
      </c>
      <c r="V319" s="1190">
        <v>0</v>
      </c>
    </row>
    <row r="320" spans="1:22" ht="0" hidden="1" customHeight="1" outlineLevel="3">
      <c r="A320" s="192" t="s">
        <v>1755</v>
      </c>
      <c r="B320" s="192"/>
      <c r="C320" s="197" t="s">
        <v>1609</v>
      </c>
      <c r="D320" s="198">
        <f>'02 项目基础信息（输入）'!$C$36</f>
        <v>0</v>
      </c>
      <c r="E320" s="199" t="s">
        <v>93</v>
      </c>
      <c r="F320" s="197" t="s">
        <v>1609</v>
      </c>
      <c r="G320" s="199">
        <v>1</v>
      </c>
      <c r="H320" s="199" t="s">
        <v>298</v>
      </c>
      <c r="I320" s="198">
        <f t="shared" ref="I320:I330" si="40">G320*D320</f>
        <v>0</v>
      </c>
      <c r="J320" s="199" t="s">
        <v>93</v>
      </c>
      <c r="K320" s="188">
        <v>0</v>
      </c>
      <c r="L320" s="209" t="s">
        <v>675</v>
      </c>
      <c r="M320" s="207">
        <f t="shared" ref="M320:M330" si="41">ROUND(K320*I320/10000,6)</f>
        <v>0</v>
      </c>
      <c r="N320" s="198">
        <f>'02 项目基础信息（输入）'!$C$36</f>
        <v>0</v>
      </c>
      <c r="O320" s="198">
        <f t="shared" si="32"/>
        <v>0</v>
      </c>
      <c r="P320" s="198">
        <f>'02 项目基础信息（输入）'!$I$36</f>
        <v>0</v>
      </c>
      <c r="Q320" s="233">
        <f t="shared" si="33"/>
        <v>0</v>
      </c>
      <c r="S320" s="217"/>
      <c r="U320" s="220" t="s">
        <v>2052</v>
      </c>
      <c r="V320" s="1190">
        <v>0</v>
      </c>
    </row>
    <row r="321" spans="1:22" ht="0" hidden="1" customHeight="1" outlineLevel="3">
      <c r="A321" s="192" t="s">
        <v>1757</v>
      </c>
      <c r="B321" s="192"/>
      <c r="C321" s="197" t="s">
        <v>1609</v>
      </c>
      <c r="D321" s="198">
        <f>'02 项目基础信息（输入）'!$C$36</f>
        <v>0</v>
      </c>
      <c r="E321" s="199" t="s">
        <v>93</v>
      </c>
      <c r="F321" s="197" t="s">
        <v>1609</v>
      </c>
      <c r="G321" s="199">
        <v>1</v>
      </c>
      <c r="H321" s="199" t="s">
        <v>298</v>
      </c>
      <c r="I321" s="198">
        <f t="shared" si="40"/>
        <v>0</v>
      </c>
      <c r="J321" s="199" t="s">
        <v>93</v>
      </c>
      <c r="K321" s="188">
        <v>0</v>
      </c>
      <c r="L321" s="209" t="s">
        <v>675</v>
      </c>
      <c r="M321" s="207">
        <f t="shared" si="41"/>
        <v>0</v>
      </c>
      <c r="N321" s="198">
        <f>'02 项目基础信息（输入）'!$C$36</f>
        <v>0</v>
      </c>
      <c r="O321" s="198">
        <f t="shared" si="32"/>
        <v>0</v>
      </c>
      <c r="P321" s="198">
        <f>'02 项目基础信息（输入）'!$I$36</f>
        <v>0</v>
      </c>
      <c r="Q321" s="233">
        <f t="shared" si="33"/>
        <v>0</v>
      </c>
      <c r="S321" s="217"/>
      <c r="U321" s="220" t="s">
        <v>2053</v>
      </c>
      <c r="V321" s="1190">
        <v>0</v>
      </c>
    </row>
    <row r="322" spans="1:22" ht="0" hidden="1" customHeight="1" outlineLevel="3">
      <c r="A322" s="192" t="s">
        <v>1759</v>
      </c>
      <c r="B322" s="192"/>
      <c r="C322" s="197" t="s">
        <v>1609</v>
      </c>
      <c r="D322" s="198">
        <f>'02 项目基础信息（输入）'!$C$36</f>
        <v>0</v>
      </c>
      <c r="E322" s="199" t="s">
        <v>93</v>
      </c>
      <c r="F322" s="197" t="s">
        <v>1609</v>
      </c>
      <c r="G322" s="199">
        <v>1</v>
      </c>
      <c r="H322" s="199" t="s">
        <v>298</v>
      </c>
      <c r="I322" s="198">
        <f t="shared" si="40"/>
        <v>0</v>
      </c>
      <c r="J322" s="199" t="s">
        <v>93</v>
      </c>
      <c r="K322" s="188">
        <v>0</v>
      </c>
      <c r="L322" s="209" t="s">
        <v>675</v>
      </c>
      <c r="M322" s="207">
        <f t="shared" si="41"/>
        <v>0</v>
      </c>
      <c r="N322" s="198">
        <f>'02 项目基础信息（输入）'!$C$36</f>
        <v>0</v>
      </c>
      <c r="O322" s="198">
        <f t="shared" si="32"/>
        <v>0</v>
      </c>
      <c r="P322" s="198">
        <f>'02 项目基础信息（输入）'!$I$36</f>
        <v>0</v>
      </c>
      <c r="Q322" s="233">
        <f t="shared" si="33"/>
        <v>0</v>
      </c>
      <c r="S322" s="217"/>
      <c r="U322" s="220" t="s">
        <v>2054</v>
      </c>
      <c r="V322" s="1190">
        <v>37.495199999999997</v>
      </c>
    </row>
    <row r="323" spans="1:22" ht="0" hidden="1" customHeight="1" outlineLevel="3">
      <c r="A323" s="192" t="s">
        <v>1761</v>
      </c>
      <c r="B323" s="192"/>
      <c r="C323" s="197" t="s">
        <v>1609</v>
      </c>
      <c r="D323" s="198">
        <f>'02 项目基础信息（输入）'!$C$36</f>
        <v>0</v>
      </c>
      <c r="E323" s="199" t="s">
        <v>93</v>
      </c>
      <c r="F323" s="197" t="s">
        <v>1609</v>
      </c>
      <c r="G323" s="199">
        <v>1</v>
      </c>
      <c r="H323" s="199" t="s">
        <v>298</v>
      </c>
      <c r="I323" s="198">
        <f t="shared" si="40"/>
        <v>0</v>
      </c>
      <c r="J323" s="199" t="s">
        <v>93</v>
      </c>
      <c r="K323" s="188">
        <v>0</v>
      </c>
      <c r="L323" s="209" t="s">
        <v>675</v>
      </c>
      <c r="M323" s="207">
        <f t="shared" si="41"/>
        <v>0</v>
      </c>
      <c r="N323" s="198">
        <f>'02 项目基础信息（输入）'!$C$36</f>
        <v>0</v>
      </c>
      <c r="O323" s="198">
        <f t="shared" ref="O323:O386" si="42">ROUND(IFERROR(M323*10000/N323,0),2)</f>
        <v>0</v>
      </c>
      <c r="P323" s="198">
        <f>'02 项目基础信息（输入）'!$I$36</f>
        <v>0</v>
      </c>
      <c r="Q323" s="233">
        <f t="shared" ref="Q323:Q386" si="43">ROUND(IFERROR(M323*10000/P323,0),2)</f>
        <v>0</v>
      </c>
      <c r="S323" s="217"/>
      <c r="U323" s="220" t="s">
        <v>2055</v>
      </c>
      <c r="V323" s="1190">
        <v>41.784300000000002</v>
      </c>
    </row>
    <row r="324" spans="1:22" ht="0" hidden="1" customHeight="1" outlineLevel="3">
      <c r="A324" s="192" t="s">
        <v>1763</v>
      </c>
      <c r="B324" s="192"/>
      <c r="C324" s="197" t="s">
        <v>1609</v>
      </c>
      <c r="D324" s="198">
        <f>'02 项目基础信息（输入）'!$C$36</f>
        <v>0</v>
      </c>
      <c r="E324" s="199" t="s">
        <v>93</v>
      </c>
      <c r="F324" s="197" t="s">
        <v>1609</v>
      </c>
      <c r="G324" s="199">
        <v>1</v>
      </c>
      <c r="H324" s="199" t="s">
        <v>298</v>
      </c>
      <c r="I324" s="198">
        <f t="shared" si="40"/>
        <v>0</v>
      </c>
      <c r="J324" s="199" t="s">
        <v>93</v>
      </c>
      <c r="K324" s="188">
        <v>0</v>
      </c>
      <c r="L324" s="209" t="s">
        <v>675</v>
      </c>
      <c r="M324" s="207">
        <f t="shared" si="41"/>
        <v>0</v>
      </c>
      <c r="N324" s="198">
        <f>'02 项目基础信息（输入）'!$C$36</f>
        <v>0</v>
      </c>
      <c r="O324" s="198">
        <f t="shared" si="42"/>
        <v>0</v>
      </c>
      <c r="P324" s="198">
        <f>'02 项目基础信息（输入）'!$I$36</f>
        <v>0</v>
      </c>
      <c r="Q324" s="233">
        <f t="shared" si="43"/>
        <v>0</v>
      </c>
      <c r="S324" s="217"/>
      <c r="U324" s="220" t="s">
        <v>2056</v>
      </c>
      <c r="V324" s="1190">
        <v>5.4915000000000003</v>
      </c>
    </row>
    <row r="325" spans="1:22" ht="0" hidden="1" customHeight="1" outlineLevel="3">
      <c r="A325" s="192" t="s">
        <v>1765</v>
      </c>
      <c r="B325" s="192"/>
      <c r="C325" s="197" t="s">
        <v>1609</v>
      </c>
      <c r="D325" s="198">
        <f>'02 项目基础信息（输入）'!$C$36</f>
        <v>0</v>
      </c>
      <c r="E325" s="199" t="s">
        <v>93</v>
      </c>
      <c r="F325" s="197" t="s">
        <v>1609</v>
      </c>
      <c r="G325" s="199">
        <v>1</v>
      </c>
      <c r="H325" s="199" t="s">
        <v>298</v>
      </c>
      <c r="I325" s="198">
        <f t="shared" si="40"/>
        <v>0</v>
      </c>
      <c r="J325" s="199" t="s">
        <v>93</v>
      </c>
      <c r="K325" s="188">
        <v>0</v>
      </c>
      <c r="L325" s="209" t="s">
        <v>675</v>
      </c>
      <c r="M325" s="207">
        <f t="shared" si="41"/>
        <v>0</v>
      </c>
      <c r="N325" s="198">
        <f>'02 项目基础信息（输入）'!$C$36</f>
        <v>0</v>
      </c>
      <c r="O325" s="198">
        <f t="shared" si="42"/>
        <v>0</v>
      </c>
      <c r="P325" s="198">
        <f>'02 项目基础信息（输入）'!$I$36</f>
        <v>0</v>
      </c>
      <c r="Q325" s="233">
        <f t="shared" si="43"/>
        <v>0</v>
      </c>
      <c r="S325" s="217"/>
      <c r="U325" s="220" t="s">
        <v>2057</v>
      </c>
      <c r="V325" s="1190">
        <v>0.6946</v>
      </c>
    </row>
    <row r="326" spans="1:22" ht="0" hidden="1" customHeight="1" outlineLevel="3">
      <c r="A326" s="192" t="s">
        <v>1767</v>
      </c>
      <c r="B326" s="192"/>
      <c r="C326" s="197" t="s">
        <v>1609</v>
      </c>
      <c r="D326" s="198">
        <f>'02 项目基础信息（输入）'!$C$36</f>
        <v>0</v>
      </c>
      <c r="E326" s="199" t="s">
        <v>93</v>
      </c>
      <c r="F326" s="197" t="s">
        <v>1609</v>
      </c>
      <c r="G326" s="199">
        <v>1</v>
      </c>
      <c r="H326" s="199" t="s">
        <v>298</v>
      </c>
      <c r="I326" s="198">
        <f t="shared" si="40"/>
        <v>0</v>
      </c>
      <c r="J326" s="199" t="s">
        <v>93</v>
      </c>
      <c r="K326" s="188">
        <v>0</v>
      </c>
      <c r="L326" s="209" t="s">
        <v>675</v>
      </c>
      <c r="M326" s="207">
        <f t="shared" si="41"/>
        <v>0</v>
      </c>
      <c r="N326" s="198">
        <f>'02 项目基础信息（输入）'!$C$36</f>
        <v>0</v>
      </c>
      <c r="O326" s="198">
        <f t="shared" si="42"/>
        <v>0</v>
      </c>
      <c r="P326" s="198">
        <f>'02 项目基础信息（输入）'!$I$36</f>
        <v>0</v>
      </c>
      <c r="Q326" s="233">
        <f t="shared" si="43"/>
        <v>0</v>
      </c>
      <c r="S326" s="217"/>
      <c r="U326" s="220" t="s">
        <v>2058</v>
      </c>
      <c r="V326" s="1190">
        <v>10.9758</v>
      </c>
    </row>
    <row r="327" spans="1:22" ht="0" hidden="1" customHeight="1" outlineLevel="3">
      <c r="A327" s="192" t="s">
        <v>1769</v>
      </c>
      <c r="B327" s="192"/>
      <c r="C327" s="197" t="s">
        <v>1609</v>
      </c>
      <c r="D327" s="198">
        <f>'02 项目基础信息（输入）'!$C$36</f>
        <v>0</v>
      </c>
      <c r="E327" s="199" t="s">
        <v>93</v>
      </c>
      <c r="F327" s="197" t="s">
        <v>1609</v>
      </c>
      <c r="G327" s="199">
        <v>1</v>
      </c>
      <c r="H327" s="199" t="s">
        <v>298</v>
      </c>
      <c r="I327" s="198">
        <f t="shared" si="40"/>
        <v>0</v>
      </c>
      <c r="J327" s="199" t="s">
        <v>93</v>
      </c>
      <c r="K327" s="188">
        <v>0</v>
      </c>
      <c r="L327" s="209" t="s">
        <v>675</v>
      </c>
      <c r="M327" s="207">
        <f t="shared" si="41"/>
        <v>0</v>
      </c>
      <c r="N327" s="198">
        <f>'02 项目基础信息（输入）'!$C$36</f>
        <v>0</v>
      </c>
      <c r="O327" s="198">
        <f t="shared" si="42"/>
        <v>0</v>
      </c>
      <c r="P327" s="198">
        <f>'02 项目基础信息（输入）'!$I$36</f>
        <v>0</v>
      </c>
      <c r="Q327" s="233">
        <f t="shared" si="43"/>
        <v>0</v>
      </c>
      <c r="S327" s="217"/>
      <c r="U327" s="220" t="s">
        <v>2059</v>
      </c>
      <c r="V327" s="1190">
        <v>24.5855</v>
      </c>
    </row>
    <row r="328" spans="1:22" ht="0" hidden="1" customHeight="1" outlineLevel="3">
      <c r="A328" s="192" t="s">
        <v>1771</v>
      </c>
      <c r="B328" s="192"/>
      <c r="C328" s="197" t="s">
        <v>1609</v>
      </c>
      <c r="D328" s="198">
        <f>'02 项目基础信息（输入）'!$C$36</f>
        <v>0</v>
      </c>
      <c r="E328" s="199" t="s">
        <v>93</v>
      </c>
      <c r="F328" s="197" t="s">
        <v>1609</v>
      </c>
      <c r="G328" s="199">
        <v>1</v>
      </c>
      <c r="H328" s="199" t="s">
        <v>298</v>
      </c>
      <c r="I328" s="198">
        <f t="shared" si="40"/>
        <v>0</v>
      </c>
      <c r="J328" s="199" t="s">
        <v>93</v>
      </c>
      <c r="K328" s="188">
        <v>0</v>
      </c>
      <c r="L328" s="209" t="s">
        <v>675</v>
      </c>
      <c r="M328" s="207">
        <f t="shared" si="41"/>
        <v>0</v>
      </c>
      <c r="N328" s="198">
        <f>'02 项目基础信息（输入）'!$C$36</f>
        <v>0</v>
      </c>
      <c r="O328" s="198">
        <f t="shared" si="42"/>
        <v>0</v>
      </c>
      <c r="P328" s="198">
        <f>'02 项目基础信息（输入）'!$I$36</f>
        <v>0</v>
      </c>
      <c r="Q328" s="233">
        <f t="shared" si="43"/>
        <v>0</v>
      </c>
      <c r="S328" s="217"/>
      <c r="U328" s="220" t="s">
        <v>2060</v>
      </c>
      <c r="V328" s="1190">
        <v>0</v>
      </c>
    </row>
    <row r="329" spans="1:22" ht="0" hidden="1" customHeight="1" outlineLevel="3">
      <c r="A329" s="192" t="s">
        <v>1773</v>
      </c>
      <c r="B329" s="192"/>
      <c r="C329" s="197" t="s">
        <v>1609</v>
      </c>
      <c r="D329" s="198">
        <f>'02 项目基础信息（输入）'!$C$36</f>
        <v>0</v>
      </c>
      <c r="E329" s="199" t="s">
        <v>93</v>
      </c>
      <c r="F329" s="197" t="s">
        <v>1609</v>
      </c>
      <c r="G329" s="199">
        <v>1</v>
      </c>
      <c r="H329" s="199" t="s">
        <v>298</v>
      </c>
      <c r="I329" s="198">
        <f t="shared" si="40"/>
        <v>0</v>
      </c>
      <c r="J329" s="199" t="s">
        <v>93</v>
      </c>
      <c r="K329" s="188">
        <v>0</v>
      </c>
      <c r="L329" s="209" t="s">
        <v>675</v>
      </c>
      <c r="M329" s="207">
        <f t="shared" si="41"/>
        <v>0</v>
      </c>
      <c r="N329" s="198">
        <f>'02 项目基础信息（输入）'!$C$36</f>
        <v>0</v>
      </c>
      <c r="O329" s="198">
        <f t="shared" si="42"/>
        <v>0</v>
      </c>
      <c r="P329" s="198">
        <f>'02 项目基础信息（输入）'!$I$36</f>
        <v>0</v>
      </c>
      <c r="Q329" s="233">
        <f t="shared" si="43"/>
        <v>0</v>
      </c>
      <c r="S329" s="217"/>
      <c r="U329" s="220" t="s">
        <v>2061</v>
      </c>
      <c r="V329" s="1190">
        <v>3.6799999999999999E-2</v>
      </c>
    </row>
    <row r="330" spans="1:22" ht="0" hidden="1" customHeight="1" outlineLevel="3">
      <c r="A330" s="192" t="s">
        <v>1775</v>
      </c>
      <c r="B330" s="192"/>
      <c r="C330" s="197" t="s">
        <v>1609</v>
      </c>
      <c r="D330" s="198">
        <f>'02 项目基础信息（输入）'!$C$36</f>
        <v>0</v>
      </c>
      <c r="E330" s="199" t="s">
        <v>93</v>
      </c>
      <c r="F330" s="197" t="s">
        <v>1609</v>
      </c>
      <c r="G330" s="199">
        <v>1</v>
      </c>
      <c r="H330" s="199" t="s">
        <v>298</v>
      </c>
      <c r="I330" s="198">
        <f t="shared" si="40"/>
        <v>0</v>
      </c>
      <c r="J330" s="199" t="s">
        <v>93</v>
      </c>
      <c r="K330" s="188">
        <v>0</v>
      </c>
      <c r="L330" s="209" t="s">
        <v>675</v>
      </c>
      <c r="M330" s="207">
        <f t="shared" si="41"/>
        <v>0</v>
      </c>
      <c r="N330" s="198">
        <f>'02 项目基础信息（输入）'!$C$36</f>
        <v>0</v>
      </c>
      <c r="O330" s="198">
        <f t="shared" si="42"/>
        <v>0</v>
      </c>
      <c r="P330" s="198">
        <f>'02 项目基础信息（输入）'!$I$36</f>
        <v>0</v>
      </c>
      <c r="Q330" s="233">
        <f t="shared" si="43"/>
        <v>0</v>
      </c>
      <c r="S330" s="217"/>
      <c r="U330" s="220" t="s">
        <v>2062</v>
      </c>
      <c r="V330" s="1190">
        <v>0</v>
      </c>
    </row>
    <row r="331" spans="1:22" ht="0" hidden="1" customHeight="1" outlineLevel="2">
      <c r="A331" s="192" t="s">
        <v>1777</v>
      </c>
      <c r="B331" s="192"/>
      <c r="C331" s="197" t="s">
        <v>1609</v>
      </c>
      <c r="D331" s="198">
        <f>'02 项目基础信息（输入）'!$C$36</f>
        <v>0</v>
      </c>
      <c r="E331" s="199" t="s">
        <v>93</v>
      </c>
      <c r="F331" s="197"/>
      <c r="G331" s="199"/>
      <c r="H331" s="199"/>
      <c r="I331" s="197"/>
      <c r="J331" s="199"/>
      <c r="K331" s="198"/>
      <c r="L331" s="209"/>
      <c r="M331" s="198">
        <f>ROUND(SUM(M332),6)</f>
        <v>0</v>
      </c>
      <c r="N331" s="198">
        <f>'02 项目基础信息（输入）'!$C$36</f>
        <v>0</v>
      </c>
      <c r="O331" s="198">
        <f t="shared" si="42"/>
        <v>0</v>
      </c>
      <c r="P331" s="198">
        <f>'02 项目基础信息（输入）'!$I$36</f>
        <v>0</v>
      </c>
      <c r="Q331" s="233">
        <f t="shared" si="43"/>
        <v>0</v>
      </c>
      <c r="S331" s="217" t="s">
        <v>1313</v>
      </c>
      <c r="U331" s="220" t="s">
        <v>2063</v>
      </c>
      <c r="V331" s="1190">
        <v>0</v>
      </c>
    </row>
    <row r="332" spans="1:22" ht="0" hidden="1" customHeight="1" outlineLevel="3">
      <c r="A332" s="192" t="s">
        <v>1779</v>
      </c>
      <c r="B332" s="192"/>
      <c r="C332" s="197" t="s">
        <v>1609</v>
      </c>
      <c r="D332" s="198">
        <f>'02 项目基础信息（输入）'!$C$36</f>
        <v>0</v>
      </c>
      <c r="E332" s="199" t="s">
        <v>93</v>
      </c>
      <c r="F332" s="197" t="s">
        <v>984</v>
      </c>
      <c r="G332" s="82">
        <v>0</v>
      </c>
      <c r="H332" s="199" t="s">
        <v>966</v>
      </c>
      <c r="I332" s="198">
        <f>G332*D332</f>
        <v>0</v>
      </c>
      <c r="J332" s="199" t="s">
        <v>1617</v>
      </c>
      <c r="K332" s="188">
        <v>0</v>
      </c>
      <c r="L332" s="209" t="s">
        <v>664</v>
      </c>
      <c r="M332" s="207">
        <f>ROUND(K332*I332/10000,6)</f>
        <v>0</v>
      </c>
      <c r="N332" s="198">
        <f>'02 项目基础信息（输入）'!$C$36</f>
        <v>0</v>
      </c>
      <c r="O332" s="198">
        <f t="shared" si="42"/>
        <v>0</v>
      </c>
      <c r="P332" s="198">
        <f>'02 项目基础信息（输入）'!$I$36</f>
        <v>0</v>
      </c>
      <c r="Q332" s="233">
        <f t="shared" si="43"/>
        <v>0</v>
      </c>
      <c r="S332" s="217"/>
      <c r="U332" s="220" t="s">
        <v>2064</v>
      </c>
      <c r="V332" s="1190">
        <v>0</v>
      </c>
    </row>
    <row r="333" spans="1:22" ht="0" hidden="1" customHeight="1" outlineLevel="2">
      <c r="A333" s="192" t="s">
        <v>1781</v>
      </c>
      <c r="B333" s="192"/>
      <c r="C333" s="197" t="s">
        <v>1609</v>
      </c>
      <c r="D333" s="198">
        <f>'02 项目基础信息（输入）'!$C$36</f>
        <v>0</v>
      </c>
      <c r="E333" s="199" t="s">
        <v>93</v>
      </c>
      <c r="F333" s="197"/>
      <c r="G333" s="199"/>
      <c r="H333" s="199"/>
      <c r="I333" s="197"/>
      <c r="J333" s="199"/>
      <c r="K333" s="198"/>
      <c r="L333" s="209"/>
      <c r="M333" s="198">
        <f>ROUND(SUM(M334:M338),6)</f>
        <v>0</v>
      </c>
      <c r="N333" s="198">
        <f>'02 项目基础信息（输入）'!$C$36</f>
        <v>0</v>
      </c>
      <c r="O333" s="198">
        <f t="shared" si="42"/>
        <v>0</v>
      </c>
      <c r="P333" s="198">
        <f>'02 项目基础信息（输入）'!$I$36</f>
        <v>0</v>
      </c>
      <c r="Q333" s="233">
        <f t="shared" si="43"/>
        <v>0</v>
      </c>
      <c r="S333" s="217" t="s">
        <v>1314</v>
      </c>
      <c r="U333" s="220" t="s">
        <v>2065</v>
      </c>
      <c r="V333" s="1190">
        <v>0</v>
      </c>
    </row>
    <row r="334" spans="1:22" ht="0" hidden="1" customHeight="1" outlineLevel="3">
      <c r="A334" s="192" t="s">
        <v>2066</v>
      </c>
      <c r="B334" s="192"/>
      <c r="C334" s="197" t="s">
        <v>309</v>
      </c>
      <c r="D334" s="198">
        <f>'02 项目基础信息（输入）'!$AC$36</f>
        <v>0</v>
      </c>
      <c r="E334" s="199" t="s">
        <v>310</v>
      </c>
      <c r="F334" s="197" t="s">
        <v>2067</v>
      </c>
      <c r="G334" s="199">
        <v>1</v>
      </c>
      <c r="H334" s="199" t="s">
        <v>2067</v>
      </c>
      <c r="I334" s="198">
        <f>G334*D334</f>
        <v>0</v>
      </c>
      <c r="J334" s="199" t="s">
        <v>1946</v>
      </c>
      <c r="K334" s="188">
        <v>0</v>
      </c>
      <c r="L334" s="209" t="s">
        <v>1948</v>
      </c>
      <c r="M334" s="207">
        <f>ROUND(K334*I334/10000,6)</f>
        <v>0</v>
      </c>
      <c r="N334" s="198">
        <f>'02 项目基础信息（输入）'!$C$36</f>
        <v>0</v>
      </c>
      <c r="O334" s="198">
        <f t="shared" si="42"/>
        <v>0</v>
      </c>
      <c r="P334" s="198">
        <f>'02 项目基础信息（输入）'!$I$36</f>
        <v>0</v>
      </c>
      <c r="Q334" s="233">
        <f t="shared" si="43"/>
        <v>0</v>
      </c>
      <c r="S334" s="217"/>
      <c r="U334" s="220" t="s">
        <v>2068</v>
      </c>
      <c r="V334" s="1190">
        <v>0</v>
      </c>
    </row>
    <row r="335" spans="1:22" ht="0" hidden="1" customHeight="1" outlineLevel="3">
      <c r="A335" s="192" t="s">
        <v>2069</v>
      </c>
      <c r="B335" s="192"/>
      <c r="C335" s="197" t="s">
        <v>309</v>
      </c>
      <c r="D335" s="198">
        <f>'02 项目基础信息（输入）'!$AC$36</f>
        <v>0</v>
      </c>
      <c r="E335" s="199" t="s">
        <v>310</v>
      </c>
      <c r="F335" s="197" t="s">
        <v>2067</v>
      </c>
      <c r="G335" s="199">
        <v>1</v>
      </c>
      <c r="H335" s="199" t="s">
        <v>2067</v>
      </c>
      <c r="I335" s="198">
        <f>G335*D335</f>
        <v>0</v>
      </c>
      <c r="J335" s="199" t="s">
        <v>1946</v>
      </c>
      <c r="K335" s="188">
        <v>0</v>
      </c>
      <c r="L335" s="209" t="s">
        <v>1948</v>
      </c>
      <c r="M335" s="207">
        <f>ROUND(K335*I335/10000,6)</f>
        <v>0</v>
      </c>
      <c r="N335" s="198">
        <f>'02 项目基础信息（输入）'!$C$36</f>
        <v>0</v>
      </c>
      <c r="O335" s="198">
        <f t="shared" si="42"/>
        <v>0</v>
      </c>
      <c r="P335" s="198">
        <f>'02 项目基础信息（输入）'!$I$36</f>
        <v>0</v>
      </c>
      <c r="Q335" s="233">
        <f t="shared" si="43"/>
        <v>0</v>
      </c>
      <c r="S335" s="217"/>
      <c r="U335" s="220" t="s">
        <v>2070</v>
      </c>
      <c r="V335" s="1190">
        <v>9.3853000000000009</v>
      </c>
    </row>
    <row r="336" spans="1:22" ht="0" hidden="1" customHeight="1" outlineLevel="3">
      <c r="A336" s="192" t="s">
        <v>2071</v>
      </c>
      <c r="B336" s="192"/>
      <c r="C336" s="197" t="s">
        <v>309</v>
      </c>
      <c r="D336" s="198">
        <f>'02 项目基础信息（输入）'!$AC$36</f>
        <v>0</v>
      </c>
      <c r="E336" s="199" t="s">
        <v>310</v>
      </c>
      <c r="F336" s="197" t="s">
        <v>2067</v>
      </c>
      <c r="G336" s="199">
        <v>1</v>
      </c>
      <c r="H336" s="199" t="s">
        <v>2067</v>
      </c>
      <c r="I336" s="198">
        <f>G336*D336</f>
        <v>0</v>
      </c>
      <c r="J336" s="199" t="s">
        <v>1946</v>
      </c>
      <c r="K336" s="188">
        <v>0</v>
      </c>
      <c r="L336" s="209" t="s">
        <v>1948</v>
      </c>
      <c r="M336" s="207">
        <f>ROUND(K336*I336/10000,6)</f>
        <v>0</v>
      </c>
      <c r="N336" s="198">
        <f>'02 项目基础信息（输入）'!$C$36</f>
        <v>0</v>
      </c>
      <c r="O336" s="198">
        <f t="shared" si="42"/>
        <v>0</v>
      </c>
      <c r="P336" s="198">
        <f>'02 项目基础信息（输入）'!$I$36</f>
        <v>0</v>
      </c>
      <c r="Q336" s="233">
        <f t="shared" si="43"/>
        <v>0</v>
      </c>
      <c r="S336" s="217"/>
      <c r="U336" s="220" t="s">
        <v>2072</v>
      </c>
      <c r="V336" s="1190">
        <v>9.3853000000000009</v>
      </c>
    </row>
    <row r="337" spans="1:22" ht="0" hidden="1" customHeight="1" outlineLevel="3">
      <c r="A337" s="192" t="s">
        <v>2073</v>
      </c>
      <c r="B337" s="192"/>
      <c r="C337" s="197" t="s">
        <v>309</v>
      </c>
      <c r="D337" s="198">
        <f>'02 项目基础信息（输入）'!$AC$36</f>
        <v>0</v>
      </c>
      <c r="E337" s="199" t="s">
        <v>310</v>
      </c>
      <c r="F337" s="197" t="s">
        <v>2067</v>
      </c>
      <c r="G337" s="199">
        <v>1</v>
      </c>
      <c r="H337" s="199" t="s">
        <v>1946</v>
      </c>
      <c r="I337" s="198">
        <f>G337*D337</f>
        <v>0</v>
      </c>
      <c r="J337" s="199" t="s">
        <v>1946</v>
      </c>
      <c r="K337" s="188">
        <v>0</v>
      </c>
      <c r="L337" s="209" t="s">
        <v>1948</v>
      </c>
      <c r="M337" s="207">
        <f>ROUND(K337*I337/10000,6)</f>
        <v>0</v>
      </c>
      <c r="N337" s="198">
        <f>'02 项目基础信息（输入）'!$C$36</f>
        <v>0</v>
      </c>
      <c r="O337" s="198">
        <f t="shared" si="42"/>
        <v>0</v>
      </c>
      <c r="P337" s="198">
        <f>'02 项目基础信息（输入）'!$I$36</f>
        <v>0</v>
      </c>
      <c r="Q337" s="233">
        <f t="shared" si="43"/>
        <v>0</v>
      </c>
      <c r="S337" s="217"/>
      <c r="U337" s="220" t="s">
        <v>2074</v>
      </c>
      <c r="V337" s="1190">
        <v>40.552300000000002</v>
      </c>
    </row>
    <row r="338" spans="1:22" ht="0" hidden="1" customHeight="1" outlineLevel="3">
      <c r="A338" s="192" t="s">
        <v>1783</v>
      </c>
      <c r="B338" s="192"/>
      <c r="C338" s="197" t="s">
        <v>309</v>
      </c>
      <c r="D338" s="198">
        <f>'02 项目基础信息（输入）'!$AC$36</f>
        <v>0</v>
      </c>
      <c r="E338" s="199" t="s">
        <v>310</v>
      </c>
      <c r="F338" s="197" t="s">
        <v>1784</v>
      </c>
      <c r="G338" s="199">
        <v>1</v>
      </c>
      <c r="H338" s="199" t="s">
        <v>1784</v>
      </c>
      <c r="I338" s="198">
        <f>G338*D338</f>
        <v>0</v>
      </c>
      <c r="J338" s="199" t="s">
        <v>1600</v>
      </c>
      <c r="K338" s="188">
        <v>0</v>
      </c>
      <c r="L338" s="209" t="s">
        <v>1601</v>
      </c>
      <c r="M338" s="207">
        <f>ROUND(K338*I338/10000,6)</f>
        <v>0</v>
      </c>
      <c r="N338" s="198">
        <f>'02 项目基础信息（输入）'!$C$36</f>
        <v>0</v>
      </c>
      <c r="O338" s="198">
        <f t="shared" si="42"/>
        <v>0</v>
      </c>
      <c r="P338" s="198">
        <f>'02 项目基础信息（输入）'!$I$36</f>
        <v>0</v>
      </c>
      <c r="Q338" s="233">
        <f t="shared" si="43"/>
        <v>0</v>
      </c>
      <c r="S338" s="217"/>
      <c r="U338" s="220" t="s">
        <v>2075</v>
      </c>
      <c r="V338" s="1190">
        <v>0.41739999999999999</v>
      </c>
    </row>
    <row r="339" spans="1:22" ht="0" hidden="1" customHeight="1" outlineLevel="2">
      <c r="A339" s="192" t="s">
        <v>1786</v>
      </c>
      <c r="B339" s="192"/>
      <c r="C339" s="197" t="s">
        <v>1609</v>
      </c>
      <c r="D339" s="198">
        <f>'02 项目基础信息（输入）'!$C$36</f>
        <v>0</v>
      </c>
      <c r="E339" s="199" t="s">
        <v>93</v>
      </c>
      <c r="F339" s="197"/>
      <c r="G339" s="199"/>
      <c r="H339" s="199"/>
      <c r="I339" s="197"/>
      <c r="J339" s="199"/>
      <c r="K339" s="198"/>
      <c r="L339" s="209"/>
      <c r="M339" s="198">
        <f>ROUND(SUM(M340:M344),6)</f>
        <v>0</v>
      </c>
      <c r="N339" s="198">
        <f>'02 项目基础信息（输入）'!$C$36</f>
        <v>0</v>
      </c>
      <c r="O339" s="198">
        <f t="shared" si="42"/>
        <v>0</v>
      </c>
      <c r="P339" s="198">
        <f>'02 项目基础信息（输入）'!$I$36</f>
        <v>0</v>
      </c>
      <c r="Q339" s="233">
        <f t="shared" si="43"/>
        <v>0</v>
      </c>
      <c r="S339" s="217" t="s">
        <v>1314</v>
      </c>
      <c r="U339" s="220" t="s">
        <v>2076</v>
      </c>
      <c r="V339" s="1190">
        <v>32.106499999999997</v>
      </c>
    </row>
    <row r="340" spans="1:22" ht="0" hidden="1" customHeight="1" outlineLevel="3">
      <c r="A340" s="192" t="s">
        <v>2077</v>
      </c>
      <c r="B340" s="192"/>
      <c r="C340" s="197" t="s">
        <v>1609</v>
      </c>
      <c r="D340" s="198">
        <f>'02 项目基础信息（输入）'!$C$36</f>
        <v>0</v>
      </c>
      <c r="E340" s="199" t="s">
        <v>93</v>
      </c>
      <c r="F340" s="197" t="s">
        <v>754</v>
      </c>
      <c r="G340" s="82">
        <v>0</v>
      </c>
      <c r="H340" s="199" t="s">
        <v>298</v>
      </c>
      <c r="I340" s="198">
        <f>G340*D340</f>
        <v>0</v>
      </c>
      <c r="J340" s="199" t="s">
        <v>93</v>
      </c>
      <c r="K340" s="188">
        <v>0</v>
      </c>
      <c r="L340" s="209" t="s">
        <v>675</v>
      </c>
      <c r="M340" s="207">
        <f>ROUND(K340*I340/10000,6)</f>
        <v>0</v>
      </c>
      <c r="N340" s="198">
        <f>'02 项目基础信息（输入）'!$C$36</f>
        <v>0</v>
      </c>
      <c r="O340" s="198">
        <f t="shared" si="42"/>
        <v>0</v>
      </c>
      <c r="P340" s="198">
        <f>'02 项目基础信息（输入）'!$I$36</f>
        <v>0</v>
      </c>
      <c r="Q340" s="233">
        <f t="shared" si="43"/>
        <v>0</v>
      </c>
      <c r="S340" s="217"/>
      <c r="U340" s="220" t="s">
        <v>2078</v>
      </c>
      <c r="V340" s="1190">
        <v>0</v>
      </c>
    </row>
    <row r="341" spans="1:22" ht="0" hidden="1" customHeight="1" outlineLevel="3">
      <c r="A341" s="192" t="s">
        <v>2079</v>
      </c>
      <c r="B341" s="192"/>
      <c r="C341" s="197" t="s">
        <v>1609</v>
      </c>
      <c r="D341" s="198">
        <f>'02 项目基础信息（输入）'!$C$36</f>
        <v>0</v>
      </c>
      <c r="E341" s="199" t="s">
        <v>93</v>
      </c>
      <c r="F341" s="197" t="s">
        <v>754</v>
      </c>
      <c r="G341" s="82">
        <v>0</v>
      </c>
      <c r="H341" s="199" t="s">
        <v>298</v>
      </c>
      <c r="I341" s="198">
        <f>G341*D341</f>
        <v>0</v>
      </c>
      <c r="J341" s="199" t="s">
        <v>93</v>
      </c>
      <c r="K341" s="188">
        <v>0</v>
      </c>
      <c r="L341" s="209" t="s">
        <v>675</v>
      </c>
      <c r="M341" s="207">
        <f>ROUND(K341*I341/10000,6)</f>
        <v>0</v>
      </c>
      <c r="N341" s="198">
        <f>'02 项目基础信息（输入）'!$C$36</f>
        <v>0</v>
      </c>
      <c r="O341" s="198">
        <f t="shared" si="42"/>
        <v>0</v>
      </c>
      <c r="P341" s="198">
        <f>'02 项目基础信息（输入）'!$I$36</f>
        <v>0</v>
      </c>
      <c r="Q341" s="233">
        <f t="shared" si="43"/>
        <v>0</v>
      </c>
      <c r="S341" s="217"/>
      <c r="U341" s="220" t="s">
        <v>2080</v>
      </c>
      <c r="V341" s="1190">
        <v>8.0282999999999998</v>
      </c>
    </row>
    <row r="342" spans="1:22" ht="0" hidden="1" customHeight="1" outlineLevel="3">
      <c r="A342" s="192" t="s">
        <v>2081</v>
      </c>
      <c r="B342" s="192"/>
      <c r="C342" s="197" t="s">
        <v>1609</v>
      </c>
      <c r="D342" s="198">
        <f>'02 项目基础信息（输入）'!$C$36</f>
        <v>0</v>
      </c>
      <c r="E342" s="199" t="s">
        <v>93</v>
      </c>
      <c r="F342" s="197" t="s">
        <v>754</v>
      </c>
      <c r="G342" s="82">
        <v>0</v>
      </c>
      <c r="H342" s="199" t="s">
        <v>298</v>
      </c>
      <c r="I342" s="198">
        <f>G342*D342</f>
        <v>0</v>
      </c>
      <c r="J342" s="199" t="s">
        <v>93</v>
      </c>
      <c r="K342" s="188">
        <v>0</v>
      </c>
      <c r="L342" s="209" t="s">
        <v>675</v>
      </c>
      <c r="M342" s="207">
        <f>ROUND(K342*I342/10000,6)</f>
        <v>0</v>
      </c>
      <c r="N342" s="198">
        <f>'02 项目基础信息（输入）'!$C$36</f>
        <v>0</v>
      </c>
      <c r="O342" s="198">
        <f t="shared" si="42"/>
        <v>0</v>
      </c>
      <c r="P342" s="198">
        <f>'02 项目基础信息（输入）'!$I$36</f>
        <v>0</v>
      </c>
      <c r="Q342" s="233">
        <f t="shared" si="43"/>
        <v>0</v>
      </c>
      <c r="S342" s="217"/>
      <c r="U342" s="220" t="s">
        <v>2082</v>
      </c>
      <c r="V342" s="1190">
        <v>0</v>
      </c>
    </row>
    <row r="343" spans="1:22" ht="0" hidden="1" customHeight="1" outlineLevel="3">
      <c r="A343" s="192" t="s">
        <v>2083</v>
      </c>
      <c r="B343" s="192"/>
      <c r="C343" s="197" t="s">
        <v>1609</v>
      </c>
      <c r="D343" s="198">
        <f>'02 项目基础信息（输入）'!$C$36</f>
        <v>0</v>
      </c>
      <c r="E343" s="199" t="s">
        <v>93</v>
      </c>
      <c r="F343" s="197" t="s">
        <v>2084</v>
      </c>
      <c r="G343" s="82">
        <v>0</v>
      </c>
      <c r="H343" s="199" t="s">
        <v>298</v>
      </c>
      <c r="I343" s="198">
        <f>G343*D343</f>
        <v>0</v>
      </c>
      <c r="J343" s="199" t="s">
        <v>93</v>
      </c>
      <c r="K343" s="188">
        <v>0</v>
      </c>
      <c r="L343" s="209" t="s">
        <v>675</v>
      </c>
      <c r="M343" s="207">
        <f>ROUND(K343*I343/10000,6)</f>
        <v>0</v>
      </c>
      <c r="N343" s="198">
        <f>'02 项目基础信息（输入）'!$C$36</f>
        <v>0</v>
      </c>
      <c r="O343" s="198">
        <f t="shared" si="42"/>
        <v>0</v>
      </c>
      <c r="P343" s="198">
        <f>'02 项目基础信息（输入）'!$I$36</f>
        <v>0</v>
      </c>
      <c r="Q343" s="233">
        <f t="shared" si="43"/>
        <v>0</v>
      </c>
      <c r="S343" s="217"/>
      <c r="U343" s="220" t="s">
        <v>2085</v>
      </c>
      <c r="V343" s="1190">
        <v>214.56100000000001</v>
      </c>
    </row>
    <row r="344" spans="1:22" ht="0" hidden="1" customHeight="1" outlineLevel="3">
      <c r="A344" s="192" t="s">
        <v>1788</v>
      </c>
      <c r="B344" s="192"/>
      <c r="C344" s="197" t="s">
        <v>1609</v>
      </c>
      <c r="D344" s="198">
        <f>'02 项目基础信息（输入）'!$C$36</f>
        <v>0</v>
      </c>
      <c r="E344" s="199" t="s">
        <v>93</v>
      </c>
      <c r="F344" s="197" t="s">
        <v>1609</v>
      </c>
      <c r="G344" s="199">
        <v>1</v>
      </c>
      <c r="H344" s="199" t="s">
        <v>298</v>
      </c>
      <c r="I344" s="198">
        <f>G344*D344</f>
        <v>0</v>
      </c>
      <c r="J344" s="199" t="s">
        <v>93</v>
      </c>
      <c r="K344" s="188">
        <v>0</v>
      </c>
      <c r="L344" s="209" t="s">
        <v>675</v>
      </c>
      <c r="M344" s="207">
        <f>ROUND(K344*I344/10000,6)</f>
        <v>0</v>
      </c>
      <c r="N344" s="198">
        <f>'02 项目基础信息（输入）'!$C$36</f>
        <v>0</v>
      </c>
      <c r="O344" s="198">
        <f t="shared" si="42"/>
        <v>0</v>
      </c>
      <c r="P344" s="198">
        <f>'02 项目基础信息（输入）'!$I$36</f>
        <v>0</v>
      </c>
      <c r="Q344" s="233">
        <f t="shared" si="43"/>
        <v>0</v>
      </c>
      <c r="S344" s="217"/>
      <c r="U344" s="220" t="s">
        <v>2086</v>
      </c>
      <c r="V344" s="1190">
        <v>207.97640000000001</v>
      </c>
    </row>
    <row r="345" spans="1:22" ht="0" hidden="1" customHeight="1" outlineLevel="2">
      <c r="A345" s="192" t="s">
        <v>1790</v>
      </c>
      <c r="B345" s="192"/>
      <c r="C345" s="197" t="s">
        <v>1609</v>
      </c>
      <c r="D345" s="198">
        <f>'02 项目基础信息（输入）'!$C$36</f>
        <v>0</v>
      </c>
      <c r="E345" s="199" t="s">
        <v>93</v>
      </c>
      <c r="F345" s="197"/>
      <c r="G345" s="199"/>
      <c r="H345" s="199"/>
      <c r="I345" s="197"/>
      <c r="J345" s="199"/>
      <c r="K345" s="198"/>
      <c r="L345" s="209"/>
      <c r="M345" s="198">
        <f>ROUND(SUM(M346:M349),6)</f>
        <v>0</v>
      </c>
      <c r="N345" s="198">
        <f>'02 项目基础信息（输入）'!$C$36</f>
        <v>0</v>
      </c>
      <c r="O345" s="198">
        <f t="shared" si="42"/>
        <v>0</v>
      </c>
      <c r="P345" s="198">
        <f>'02 项目基础信息（输入）'!$I$36</f>
        <v>0</v>
      </c>
      <c r="Q345" s="233">
        <f t="shared" si="43"/>
        <v>0</v>
      </c>
      <c r="S345" s="217" t="s">
        <v>1313</v>
      </c>
      <c r="U345" s="220" t="s">
        <v>2087</v>
      </c>
      <c r="V345" s="1190">
        <v>0</v>
      </c>
    </row>
    <row r="346" spans="1:22" ht="0" hidden="1" customHeight="1" outlineLevel="3">
      <c r="A346" s="192" t="s">
        <v>1792</v>
      </c>
      <c r="B346" s="192"/>
      <c r="C346" s="197" t="s">
        <v>1609</v>
      </c>
      <c r="D346" s="198">
        <f>'02 项目基础信息（输入）'!$C$36</f>
        <v>0</v>
      </c>
      <c r="E346" s="199" t="s">
        <v>93</v>
      </c>
      <c r="F346" s="197" t="s">
        <v>727</v>
      </c>
      <c r="G346" s="82">
        <v>0</v>
      </c>
      <c r="H346" s="199" t="s">
        <v>298</v>
      </c>
      <c r="I346" s="198">
        <f>G346*D346</f>
        <v>0</v>
      </c>
      <c r="J346" s="199" t="s">
        <v>93</v>
      </c>
      <c r="K346" s="188">
        <v>0</v>
      </c>
      <c r="L346" s="209" t="s">
        <v>675</v>
      </c>
      <c r="M346" s="207">
        <f>ROUND(K346*I346/10000,6)</f>
        <v>0</v>
      </c>
      <c r="N346" s="198">
        <f>'02 项目基础信息（输入）'!$C$36</f>
        <v>0</v>
      </c>
      <c r="O346" s="198">
        <f t="shared" si="42"/>
        <v>0</v>
      </c>
      <c r="P346" s="198">
        <f>'02 项目基础信息（输入）'!$I$36</f>
        <v>0</v>
      </c>
      <c r="Q346" s="233">
        <f t="shared" si="43"/>
        <v>0</v>
      </c>
      <c r="S346" s="217"/>
      <c r="U346" s="220" t="s">
        <v>2088</v>
      </c>
      <c r="V346" s="1190">
        <v>0.27729999999999999</v>
      </c>
    </row>
    <row r="347" spans="1:22" ht="0" hidden="1" customHeight="1" outlineLevel="3">
      <c r="A347" s="192" t="s">
        <v>1794</v>
      </c>
      <c r="B347" s="192"/>
      <c r="C347" s="197" t="s">
        <v>1609</v>
      </c>
      <c r="D347" s="198">
        <f>'02 项目基础信息（输入）'!$C$36</f>
        <v>0</v>
      </c>
      <c r="E347" s="199" t="s">
        <v>93</v>
      </c>
      <c r="F347" s="197" t="s">
        <v>727</v>
      </c>
      <c r="G347" s="82">
        <v>0</v>
      </c>
      <c r="H347" s="199" t="s">
        <v>298</v>
      </c>
      <c r="I347" s="198">
        <f>G347*D347</f>
        <v>0</v>
      </c>
      <c r="J347" s="199" t="s">
        <v>93</v>
      </c>
      <c r="K347" s="188">
        <v>0</v>
      </c>
      <c r="L347" s="209" t="s">
        <v>675</v>
      </c>
      <c r="M347" s="207">
        <f>ROUND(K347*I347/10000,6)</f>
        <v>0</v>
      </c>
      <c r="N347" s="198">
        <f>'02 项目基础信息（输入）'!$C$36</f>
        <v>0</v>
      </c>
      <c r="O347" s="198">
        <f t="shared" si="42"/>
        <v>0</v>
      </c>
      <c r="P347" s="198">
        <f>'02 项目基础信息（输入）'!$I$36</f>
        <v>0</v>
      </c>
      <c r="Q347" s="233">
        <f t="shared" si="43"/>
        <v>0</v>
      </c>
      <c r="S347" s="217"/>
      <c r="U347" s="220" t="s">
        <v>2089</v>
      </c>
      <c r="V347" s="1190">
        <v>0.2964</v>
      </c>
    </row>
    <row r="348" spans="1:22" ht="0" hidden="1" customHeight="1" outlineLevel="3">
      <c r="A348" s="192" t="s">
        <v>1796</v>
      </c>
      <c r="B348" s="192"/>
      <c r="C348" s="197" t="s">
        <v>1609</v>
      </c>
      <c r="D348" s="198">
        <f>'02 项目基础信息（输入）'!$C$36</f>
        <v>0</v>
      </c>
      <c r="E348" s="199" t="s">
        <v>93</v>
      </c>
      <c r="F348" s="197" t="s">
        <v>727</v>
      </c>
      <c r="G348" s="82">
        <v>0</v>
      </c>
      <c r="H348" s="199" t="s">
        <v>298</v>
      </c>
      <c r="I348" s="198">
        <f>G348*D348</f>
        <v>0</v>
      </c>
      <c r="J348" s="199" t="s">
        <v>93</v>
      </c>
      <c r="K348" s="188">
        <v>0</v>
      </c>
      <c r="L348" s="209" t="s">
        <v>675</v>
      </c>
      <c r="M348" s="207">
        <f>ROUND(K348*I348/10000,6)</f>
        <v>0</v>
      </c>
      <c r="N348" s="198">
        <f>'02 项目基础信息（输入）'!$C$36</f>
        <v>0</v>
      </c>
      <c r="O348" s="198">
        <f t="shared" si="42"/>
        <v>0</v>
      </c>
      <c r="P348" s="198">
        <f>'02 项目基础信息（输入）'!$I$36</f>
        <v>0</v>
      </c>
      <c r="Q348" s="233">
        <f t="shared" si="43"/>
        <v>0</v>
      </c>
      <c r="S348" s="217"/>
      <c r="U348" s="220" t="s">
        <v>2090</v>
      </c>
      <c r="V348" s="1190">
        <v>6.0106999999999999</v>
      </c>
    </row>
    <row r="349" spans="1:22" ht="0" hidden="1" customHeight="1" outlineLevel="3">
      <c r="A349" s="192" t="s">
        <v>1798</v>
      </c>
      <c r="B349" s="192"/>
      <c r="C349" s="197" t="s">
        <v>1609</v>
      </c>
      <c r="D349" s="198">
        <f>'02 项目基础信息（输入）'!$C$36</f>
        <v>0</v>
      </c>
      <c r="E349" s="199" t="s">
        <v>93</v>
      </c>
      <c r="F349" s="197" t="s">
        <v>727</v>
      </c>
      <c r="G349" s="82">
        <v>0</v>
      </c>
      <c r="H349" s="199" t="s">
        <v>298</v>
      </c>
      <c r="I349" s="198">
        <f>G349*D349</f>
        <v>0</v>
      </c>
      <c r="J349" s="199" t="s">
        <v>93</v>
      </c>
      <c r="K349" s="188">
        <v>0</v>
      </c>
      <c r="L349" s="209" t="s">
        <v>675</v>
      </c>
      <c r="M349" s="207">
        <f>ROUND(K349*I349/10000,6)</f>
        <v>0</v>
      </c>
      <c r="N349" s="198">
        <f>'02 项目基础信息（输入）'!$C$36</f>
        <v>0</v>
      </c>
      <c r="O349" s="198">
        <f t="shared" si="42"/>
        <v>0</v>
      </c>
      <c r="P349" s="198">
        <f>'02 项目基础信息（输入）'!$I$36</f>
        <v>0</v>
      </c>
      <c r="Q349" s="233">
        <f t="shared" si="43"/>
        <v>0</v>
      </c>
      <c r="S349" s="217"/>
      <c r="U349" s="220" t="s">
        <v>2091</v>
      </c>
      <c r="V349" s="1190">
        <v>99.013300000000001</v>
      </c>
    </row>
    <row r="350" spans="1:22" ht="0" hidden="1" customHeight="1" outlineLevel="2">
      <c r="A350" s="192" t="s">
        <v>1800</v>
      </c>
      <c r="B350" s="192"/>
      <c r="C350" s="197" t="s">
        <v>1609</v>
      </c>
      <c r="D350" s="198">
        <f>'02 项目基础信息（输入）'!$C$36</f>
        <v>0</v>
      </c>
      <c r="E350" s="199" t="s">
        <v>93</v>
      </c>
      <c r="F350" s="197"/>
      <c r="G350" s="199"/>
      <c r="H350" s="199"/>
      <c r="I350" s="197"/>
      <c r="J350" s="199"/>
      <c r="K350" s="198"/>
      <c r="L350" s="209"/>
      <c r="M350" s="198">
        <f>ROUND(SUM(M351:M366),6)</f>
        <v>0</v>
      </c>
      <c r="N350" s="198">
        <f>'02 项目基础信息（输入）'!$C$36</f>
        <v>0</v>
      </c>
      <c r="O350" s="198">
        <f t="shared" si="42"/>
        <v>0</v>
      </c>
      <c r="P350" s="198">
        <f>'02 项目基础信息（输入）'!$I$36</f>
        <v>0</v>
      </c>
      <c r="Q350" s="233">
        <f t="shared" si="43"/>
        <v>0</v>
      </c>
      <c r="S350" s="217" t="s">
        <v>1314</v>
      </c>
      <c r="U350" s="220" t="s">
        <v>2092</v>
      </c>
      <c r="V350" s="1190">
        <v>48.996899999999997</v>
      </c>
    </row>
    <row r="351" spans="1:22" ht="0" hidden="1" customHeight="1" outlineLevel="3">
      <c r="A351" s="192" t="s">
        <v>1802</v>
      </c>
      <c r="B351" s="192"/>
      <c r="C351" s="197" t="s">
        <v>476</v>
      </c>
      <c r="D351" s="198">
        <f>'02 项目基础信息（输入）'!$AF$36</f>
        <v>0</v>
      </c>
      <c r="E351" s="199" t="s">
        <v>93</v>
      </c>
      <c r="F351" s="197" t="s">
        <v>1803</v>
      </c>
      <c r="G351" s="237">
        <v>0</v>
      </c>
      <c r="H351" s="199" t="s">
        <v>123</v>
      </c>
      <c r="I351" s="198">
        <f t="shared" ref="I351:I364" si="44">G351*D351/100</f>
        <v>0</v>
      </c>
      <c r="J351" s="199" t="s">
        <v>93</v>
      </c>
      <c r="K351" s="188">
        <v>0</v>
      </c>
      <c r="L351" s="209" t="s">
        <v>675</v>
      </c>
      <c r="M351" s="207">
        <f t="shared" ref="M351:M366" si="45">ROUND(K351*I351/10000,6)</f>
        <v>0</v>
      </c>
      <c r="N351" s="198">
        <f>'02 项目基础信息（输入）'!$C$36</f>
        <v>0</v>
      </c>
      <c r="O351" s="198">
        <f t="shared" si="42"/>
        <v>0</v>
      </c>
      <c r="P351" s="198">
        <f>'02 项目基础信息（输入）'!$I$36</f>
        <v>0</v>
      </c>
      <c r="Q351" s="233">
        <f t="shared" si="43"/>
        <v>0</v>
      </c>
      <c r="S351" s="217"/>
      <c r="U351" s="220" t="s">
        <v>2093</v>
      </c>
      <c r="V351" s="1190">
        <v>50.016300000000001</v>
      </c>
    </row>
    <row r="352" spans="1:22" ht="0" hidden="1" customHeight="1" outlineLevel="3">
      <c r="A352" s="192" t="s">
        <v>1805</v>
      </c>
      <c r="B352" s="192"/>
      <c r="C352" s="197" t="s">
        <v>476</v>
      </c>
      <c r="D352" s="198">
        <f>'02 项目基础信息（输入）'!$AF$36</f>
        <v>0</v>
      </c>
      <c r="E352" s="199" t="s">
        <v>93</v>
      </c>
      <c r="F352" s="197" t="s">
        <v>1803</v>
      </c>
      <c r="G352" s="237">
        <v>0</v>
      </c>
      <c r="H352" s="199" t="s">
        <v>123</v>
      </c>
      <c r="I352" s="198">
        <f t="shared" si="44"/>
        <v>0</v>
      </c>
      <c r="J352" s="199" t="s">
        <v>93</v>
      </c>
      <c r="K352" s="188">
        <v>0</v>
      </c>
      <c r="L352" s="209" t="s">
        <v>675</v>
      </c>
      <c r="M352" s="207">
        <f t="shared" si="45"/>
        <v>0</v>
      </c>
      <c r="N352" s="198">
        <f>'02 项目基础信息（输入）'!$C$36</f>
        <v>0</v>
      </c>
      <c r="O352" s="198">
        <f t="shared" si="42"/>
        <v>0</v>
      </c>
      <c r="P352" s="198">
        <f>'02 项目基础信息（输入）'!$I$36</f>
        <v>0</v>
      </c>
      <c r="Q352" s="233">
        <f t="shared" si="43"/>
        <v>0</v>
      </c>
      <c r="S352" s="217"/>
      <c r="U352" s="220" t="s">
        <v>2094</v>
      </c>
      <c r="V352" s="1190">
        <v>0</v>
      </c>
    </row>
    <row r="353" spans="1:22" ht="0" hidden="1" customHeight="1" outlineLevel="3">
      <c r="A353" s="192" t="s">
        <v>1807</v>
      </c>
      <c r="B353" s="192"/>
      <c r="C353" s="197" t="s">
        <v>476</v>
      </c>
      <c r="D353" s="198">
        <f>'02 项目基础信息（输入）'!$AF$36</f>
        <v>0</v>
      </c>
      <c r="E353" s="199" t="s">
        <v>93</v>
      </c>
      <c r="F353" s="197" t="s">
        <v>1803</v>
      </c>
      <c r="G353" s="237">
        <v>0</v>
      </c>
      <c r="H353" s="199" t="s">
        <v>123</v>
      </c>
      <c r="I353" s="198">
        <f t="shared" si="44"/>
        <v>0</v>
      </c>
      <c r="J353" s="199" t="s">
        <v>93</v>
      </c>
      <c r="K353" s="188">
        <v>0</v>
      </c>
      <c r="L353" s="209" t="s">
        <v>675</v>
      </c>
      <c r="M353" s="207">
        <f t="shared" si="45"/>
        <v>0</v>
      </c>
      <c r="N353" s="198">
        <f>'02 项目基础信息（输入）'!$C$36</f>
        <v>0</v>
      </c>
      <c r="O353" s="198">
        <f t="shared" si="42"/>
        <v>0</v>
      </c>
      <c r="P353" s="198">
        <f>'02 项目基础信息（输入）'!$I$36</f>
        <v>0</v>
      </c>
      <c r="Q353" s="233">
        <f t="shared" si="43"/>
        <v>0</v>
      </c>
      <c r="S353" s="217"/>
      <c r="U353" s="220" t="s">
        <v>2095</v>
      </c>
      <c r="V353" s="1190">
        <v>0</v>
      </c>
    </row>
    <row r="354" spans="1:22" ht="0" hidden="1" customHeight="1" outlineLevel="3">
      <c r="A354" s="192" t="s">
        <v>1809</v>
      </c>
      <c r="B354" s="192"/>
      <c r="C354" s="197" t="s">
        <v>476</v>
      </c>
      <c r="D354" s="198">
        <f>'02 项目基础信息（输入）'!$AF$36</f>
        <v>0</v>
      </c>
      <c r="E354" s="199" t="s">
        <v>93</v>
      </c>
      <c r="F354" s="197" t="s">
        <v>1803</v>
      </c>
      <c r="G354" s="237">
        <v>0</v>
      </c>
      <c r="H354" s="199" t="s">
        <v>123</v>
      </c>
      <c r="I354" s="198">
        <f t="shared" si="44"/>
        <v>0</v>
      </c>
      <c r="J354" s="199" t="s">
        <v>93</v>
      </c>
      <c r="K354" s="188">
        <v>0</v>
      </c>
      <c r="L354" s="209" t="s">
        <v>675</v>
      </c>
      <c r="M354" s="207">
        <f t="shared" si="45"/>
        <v>0</v>
      </c>
      <c r="N354" s="198">
        <f>'02 项目基础信息（输入）'!$C$36</f>
        <v>0</v>
      </c>
      <c r="O354" s="198">
        <f t="shared" si="42"/>
        <v>0</v>
      </c>
      <c r="P354" s="198">
        <f>'02 项目基础信息（输入）'!$I$36</f>
        <v>0</v>
      </c>
      <c r="Q354" s="233">
        <f t="shared" si="43"/>
        <v>0</v>
      </c>
      <c r="S354" s="217"/>
      <c r="U354" s="220" t="s">
        <v>2096</v>
      </c>
      <c r="V354" s="1190">
        <v>393.68549999999999</v>
      </c>
    </row>
    <row r="355" spans="1:22" ht="0" hidden="1" customHeight="1" outlineLevel="3">
      <c r="A355" s="192" t="s">
        <v>1811</v>
      </c>
      <c r="B355" s="192"/>
      <c r="C355" s="197" t="s">
        <v>476</v>
      </c>
      <c r="D355" s="198">
        <f>'02 项目基础信息（输入）'!$AF$36</f>
        <v>0</v>
      </c>
      <c r="E355" s="199" t="s">
        <v>93</v>
      </c>
      <c r="F355" s="197" t="s">
        <v>1803</v>
      </c>
      <c r="G355" s="237">
        <v>0</v>
      </c>
      <c r="H355" s="199" t="s">
        <v>123</v>
      </c>
      <c r="I355" s="198">
        <f t="shared" si="44"/>
        <v>0</v>
      </c>
      <c r="J355" s="199" t="s">
        <v>93</v>
      </c>
      <c r="K355" s="188">
        <v>0</v>
      </c>
      <c r="L355" s="209" t="s">
        <v>675</v>
      </c>
      <c r="M355" s="207">
        <f t="shared" si="45"/>
        <v>0</v>
      </c>
      <c r="N355" s="198">
        <f>'02 项目基础信息（输入）'!$C$36</f>
        <v>0</v>
      </c>
      <c r="O355" s="198">
        <f t="shared" si="42"/>
        <v>0</v>
      </c>
      <c r="P355" s="198">
        <f>'02 项目基础信息（输入）'!$I$36</f>
        <v>0</v>
      </c>
      <c r="Q355" s="233">
        <f t="shared" si="43"/>
        <v>0</v>
      </c>
      <c r="S355" s="217"/>
      <c r="U355" s="220" t="s">
        <v>2097</v>
      </c>
      <c r="V355" s="1190">
        <v>2.3447</v>
      </c>
    </row>
    <row r="356" spans="1:22" ht="0" hidden="1" customHeight="1" outlineLevel="3">
      <c r="A356" s="192" t="s">
        <v>1813</v>
      </c>
      <c r="B356" s="192"/>
      <c r="C356" s="197" t="s">
        <v>476</v>
      </c>
      <c r="D356" s="198">
        <f>'02 项目基础信息（输入）'!$AF$36</f>
        <v>0</v>
      </c>
      <c r="E356" s="199" t="s">
        <v>93</v>
      </c>
      <c r="F356" s="197" t="s">
        <v>1803</v>
      </c>
      <c r="G356" s="237">
        <v>0</v>
      </c>
      <c r="H356" s="199" t="s">
        <v>123</v>
      </c>
      <c r="I356" s="198">
        <f t="shared" si="44"/>
        <v>0</v>
      </c>
      <c r="J356" s="199" t="s">
        <v>93</v>
      </c>
      <c r="K356" s="188">
        <v>0</v>
      </c>
      <c r="L356" s="209" t="s">
        <v>675</v>
      </c>
      <c r="M356" s="207">
        <f t="shared" si="45"/>
        <v>0</v>
      </c>
      <c r="N356" s="198">
        <f>'02 项目基础信息（输入）'!$C$36</f>
        <v>0</v>
      </c>
      <c r="O356" s="198">
        <f t="shared" si="42"/>
        <v>0</v>
      </c>
      <c r="P356" s="198">
        <f>'02 项目基础信息（输入）'!$I$36</f>
        <v>0</v>
      </c>
      <c r="Q356" s="233">
        <f t="shared" si="43"/>
        <v>0</v>
      </c>
      <c r="S356" s="217"/>
      <c r="U356" s="220" t="s">
        <v>2098</v>
      </c>
      <c r="V356" s="1190">
        <v>2.5221</v>
      </c>
    </row>
    <row r="357" spans="1:22" ht="0" hidden="1" customHeight="1" outlineLevel="3">
      <c r="A357" s="192" t="s">
        <v>1815</v>
      </c>
      <c r="B357" s="192"/>
      <c r="C357" s="197" t="s">
        <v>476</v>
      </c>
      <c r="D357" s="198">
        <f>'02 项目基础信息（输入）'!$AF$36</f>
        <v>0</v>
      </c>
      <c r="E357" s="199" t="s">
        <v>93</v>
      </c>
      <c r="F357" s="197" t="s">
        <v>1803</v>
      </c>
      <c r="G357" s="237">
        <v>0</v>
      </c>
      <c r="H357" s="199" t="s">
        <v>123</v>
      </c>
      <c r="I357" s="198">
        <f t="shared" si="44"/>
        <v>0</v>
      </c>
      <c r="J357" s="199" t="s">
        <v>93</v>
      </c>
      <c r="K357" s="188">
        <v>0</v>
      </c>
      <c r="L357" s="209" t="s">
        <v>675</v>
      </c>
      <c r="M357" s="207">
        <f t="shared" si="45"/>
        <v>0</v>
      </c>
      <c r="N357" s="198">
        <f>'02 项目基础信息（输入）'!$C$36</f>
        <v>0</v>
      </c>
      <c r="O357" s="198">
        <f t="shared" si="42"/>
        <v>0</v>
      </c>
      <c r="P357" s="198">
        <f>'02 项目基础信息（输入）'!$I$36</f>
        <v>0</v>
      </c>
      <c r="Q357" s="233">
        <f t="shared" si="43"/>
        <v>0</v>
      </c>
      <c r="S357" s="217"/>
      <c r="U357" s="220" t="s">
        <v>2099</v>
      </c>
      <c r="V357" s="1190">
        <v>0</v>
      </c>
    </row>
    <row r="358" spans="1:22" ht="0" hidden="1" customHeight="1" outlineLevel="3">
      <c r="A358" s="192" t="s">
        <v>1817</v>
      </c>
      <c r="B358" s="192"/>
      <c r="C358" s="197" t="s">
        <v>476</v>
      </c>
      <c r="D358" s="198">
        <f>'02 项目基础信息（输入）'!$AF$36</f>
        <v>0</v>
      </c>
      <c r="E358" s="199" t="s">
        <v>93</v>
      </c>
      <c r="F358" s="197" t="s">
        <v>1803</v>
      </c>
      <c r="G358" s="237">
        <v>0</v>
      </c>
      <c r="H358" s="199" t="s">
        <v>123</v>
      </c>
      <c r="I358" s="198">
        <f t="shared" si="44"/>
        <v>0</v>
      </c>
      <c r="J358" s="199" t="s">
        <v>93</v>
      </c>
      <c r="K358" s="188">
        <v>0</v>
      </c>
      <c r="L358" s="209" t="s">
        <v>675</v>
      </c>
      <c r="M358" s="207">
        <f t="shared" si="45"/>
        <v>0</v>
      </c>
      <c r="N358" s="198">
        <f>'02 项目基础信息（输入）'!$C$36</f>
        <v>0</v>
      </c>
      <c r="O358" s="198">
        <f t="shared" si="42"/>
        <v>0</v>
      </c>
      <c r="P358" s="198">
        <f>'02 项目基础信息（输入）'!$I$36</f>
        <v>0</v>
      </c>
      <c r="Q358" s="233">
        <f t="shared" si="43"/>
        <v>0</v>
      </c>
      <c r="S358" s="217"/>
      <c r="U358" s="220" t="s">
        <v>2100</v>
      </c>
      <c r="V358" s="1190">
        <v>0</v>
      </c>
    </row>
    <row r="359" spans="1:22" ht="0" hidden="1" customHeight="1" outlineLevel="3">
      <c r="A359" s="192" t="s">
        <v>1819</v>
      </c>
      <c r="B359" s="192"/>
      <c r="C359" s="197" t="s">
        <v>476</v>
      </c>
      <c r="D359" s="198">
        <f>'02 项目基础信息（输入）'!$AF$36</f>
        <v>0</v>
      </c>
      <c r="E359" s="199" t="s">
        <v>93</v>
      </c>
      <c r="F359" s="197" t="s">
        <v>1803</v>
      </c>
      <c r="G359" s="237">
        <v>0</v>
      </c>
      <c r="H359" s="199" t="s">
        <v>123</v>
      </c>
      <c r="I359" s="198">
        <f t="shared" si="44"/>
        <v>0</v>
      </c>
      <c r="J359" s="199" t="s">
        <v>93</v>
      </c>
      <c r="K359" s="188">
        <v>0</v>
      </c>
      <c r="L359" s="209" t="s">
        <v>675</v>
      </c>
      <c r="M359" s="207">
        <f t="shared" si="45"/>
        <v>0</v>
      </c>
      <c r="N359" s="198">
        <f>'02 项目基础信息（输入）'!$C$36</f>
        <v>0</v>
      </c>
      <c r="O359" s="198">
        <f t="shared" si="42"/>
        <v>0</v>
      </c>
      <c r="P359" s="198">
        <f>'02 项目基础信息（输入）'!$I$36</f>
        <v>0</v>
      </c>
      <c r="Q359" s="233">
        <f t="shared" si="43"/>
        <v>0</v>
      </c>
      <c r="S359" s="217"/>
      <c r="U359" s="220" t="s">
        <v>2101</v>
      </c>
      <c r="V359" s="1190">
        <v>0</v>
      </c>
    </row>
    <row r="360" spans="1:22" ht="0" hidden="1" customHeight="1" outlineLevel="3">
      <c r="A360" s="192" t="s">
        <v>1821</v>
      </c>
      <c r="B360" s="192"/>
      <c r="C360" s="197" t="s">
        <v>476</v>
      </c>
      <c r="D360" s="198">
        <f>'02 项目基础信息（输入）'!$AF$36</f>
        <v>0</v>
      </c>
      <c r="E360" s="199" t="s">
        <v>93</v>
      </c>
      <c r="F360" s="197" t="s">
        <v>1803</v>
      </c>
      <c r="G360" s="237">
        <v>0</v>
      </c>
      <c r="H360" s="199" t="s">
        <v>123</v>
      </c>
      <c r="I360" s="198">
        <f t="shared" si="44"/>
        <v>0</v>
      </c>
      <c r="J360" s="199" t="s">
        <v>93</v>
      </c>
      <c r="K360" s="188">
        <v>0</v>
      </c>
      <c r="L360" s="209" t="s">
        <v>675</v>
      </c>
      <c r="M360" s="207">
        <f t="shared" si="45"/>
        <v>0</v>
      </c>
      <c r="N360" s="198">
        <f>'02 项目基础信息（输入）'!$C$36</f>
        <v>0</v>
      </c>
      <c r="O360" s="198">
        <f t="shared" si="42"/>
        <v>0</v>
      </c>
      <c r="P360" s="198">
        <f>'02 项目基础信息（输入）'!$I$36</f>
        <v>0</v>
      </c>
      <c r="Q360" s="233">
        <f t="shared" si="43"/>
        <v>0</v>
      </c>
      <c r="S360" s="217"/>
      <c r="U360" s="220" t="s">
        <v>2102</v>
      </c>
      <c r="V360" s="1190">
        <v>0</v>
      </c>
    </row>
    <row r="361" spans="1:22" ht="0" hidden="1" customHeight="1" outlineLevel="3">
      <c r="A361" s="192" t="s">
        <v>1823</v>
      </c>
      <c r="B361" s="192"/>
      <c r="C361" s="197" t="s">
        <v>476</v>
      </c>
      <c r="D361" s="198">
        <f>'02 项目基础信息（输入）'!$AF$36</f>
        <v>0</v>
      </c>
      <c r="E361" s="199" t="s">
        <v>93</v>
      </c>
      <c r="F361" s="197" t="s">
        <v>1803</v>
      </c>
      <c r="G361" s="237">
        <v>0</v>
      </c>
      <c r="H361" s="199" t="s">
        <v>123</v>
      </c>
      <c r="I361" s="198">
        <f t="shared" si="44"/>
        <v>0</v>
      </c>
      <c r="J361" s="199" t="s">
        <v>93</v>
      </c>
      <c r="K361" s="188">
        <v>0</v>
      </c>
      <c r="L361" s="209" t="s">
        <v>675</v>
      </c>
      <c r="M361" s="207">
        <f t="shared" si="45"/>
        <v>0</v>
      </c>
      <c r="N361" s="198">
        <f>'02 项目基础信息（输入）'!$C$36</f>
        <v>0</v>
      </c>
      <c r="O361" s="198">
        <f t="shared" si="42"/>
        <v>0</v>
      </c>
      <c r="P361" s="198">
        <f>'02 项目基础信息（输入）'!$I$36</f>
        <v>0</v>
      </c>
      <c r="Q361" s="233">
        <f t="shared" si="43"/>
        <v>0</v>
      </c>
      <c r="S361" s="217"/>
      <c r="U361" s="220" t="s">
        <v>2103</v>
      </c>
      <c r="V361" s="1190">
        <v>44.093499999999999</v>
      </c>
    </row>
    <row r="362" spans="1:22" ht="0" hidden="1" customHeight="1" outlineLevel="3">
      <c r="A362" s="192" t="s">
        <v>1825</v>
      </c>
      <c r="B362" s="192"/>
      <c r="C362" s="197" t="s">
        <v>476</v>
      </c>
      <c r="D362" s="198">
        <f>'02 项目基础信息（输入）'!$AF$36</f>
        <v>0</v>
      </c>
      <c r="E362" s="199" t="s">
        <v>93</v>
      </c>
      <c r="F362" s="197" t="s">
        <v>1803</v>
      </c>
      <c r="G362" s="237">
        <v>0</v>
      </c>
      <c r="H362" s="199" t="s">
        <v>123</v>
      </c>
      <c r="I362" s="198">
        <f t="shared" si="44"/>
        <v>0</v>
      </c>
      <c r="J362" s="199" t="s">
        <v>93</v>
      </c>
      <c r="K362" s="188">
        <v>0</v>
      </c>
      <c r="L362" s="209" t="s">
        <v>675</v>
      </c>
      <c r="M362" s="207">
        <f t="shared" si="45"/>
        <v>0</v>
      </c>
      <c r="N362" s="198">
        <f>'02 项目基础信息（输入）'!$C$36</f>
        <v>0</v>
      </c>
      <c r="O362" s="198">
        <f t="shared" si="42"/>
        <v>0</v>
      </c>
      <c r="P362" s="198">
        <f>'02 项目基础信息（输入）'!$I$36</f>
        <v>0</v>
      </c>
      <c r="Q362" s="233">
        <f t="shared" si="43"/>
        <v>0</v>
      </c>
      <c r="S362" s="217"/>
      <c r="U362" s="220" t="s">
        <v>2104</v>
      </c>
      <c r="V362" s="1190">
        <v>0</v>
      </c>
    </row>
    <row r="363" spans="1:22" ht="0" hidden="1" customHeight="1" outlineLevel="3">
      <c r="A363" s="192" t="s">
        <v>1827</v>
      </c>
      <c r="B363" s="192"/>
      <c r="C363" s="197" t="s">
        <v>476</v>
      </c>
      <c r="D363" s="198">
        <f>'02 项目基础信息（输入）'!$AF$36</f>
        <v>0</v>
      </c>
      <c r="E363" s="199" t="s">
        <v>93</v>
      </c>
      <c r="F363" s="197" t="s">
        <v>1803</v>
      </c>
      <c r="G363" s="237">
        <v>0</v>
      </c>
      <c r="H363" s="199" t="s">
        <v>123</v>
      </c>
      <c r="I363" s="198">
        <f t="shared" si="44"/>
        <v>0</v>
      </c>
      <c r="J363" s="199" t="s">
        <v>93</v>
      </c>
      <c r="K363" s="188">
        <v>0</v>
      </c>
      <c r="L363" s="209" t="s">
        <v>675</v>
      </c>
      <c r="M363" s="207">
        <f t="shared" si="45"/>
        <v>0</v>
      </c>
      <c r="N363" s="198">
        <f>'02 项目基础信息（输入）'!$C$36</f>
        <v>0</v>
      </c>
      <c r="O363" s="198">
        <f t="shared" si="42"/>
        <v>0</v>
      </c>
      <c r="P363" s="198">
        <f>'02 项目基础信息（输入）'!$I$36</f>
        <v>0</v>
      </c>
      <c r="Q363" s="233">
        <f t="shared" si="43"/>
        <v>0</v>
      </c>
      <c r="S363" s="217"/>
      <c r="U363" s="220" t="s">
        <v>2105</v>
      </c>
      <c r="V363" s="1190">
        <v>0.70720000000000005</v>
      </c>
    </row>
    <row r="364" spans="1:22" ht="0" hidden="1" customHeight="1" outlineLevel="3">
      <c r="A364" s="192" t="s">
        <v>1829</v>
      </c>
      <c r="B364" s="192"/>
      <c r="C364" s="197" t="s">
        <v>476</v>
      </c>
      <c r="D364" s="198">
        <f>'02 项目基础信息（输入）'!$AF$36</f>
        <v>0</v>
      </c>
      <c r="E364" s="199" t="s">
        <v>93</v>
      </c>
      <c r="F364" s="197" t="s">
        <v>1803</v>
      </c>
      <c r="G364" s="237">
        <v>0</v>
      </c>
      <c r="H364" s="199" t="s">
        <v>123</v>
      </c>
      <c r="I364" s="198">
        <f t="shared" si="44"/>
        <v>0</v>
      </c>
      <c r="J364" s="199" t="s">
        <v>93</v>
      </c>
      <c r="K364" s="188">
        <v>0</v>
      </c>
      <c r="L364" s="209" t="s">
        <v>675</v>
      </c>
      <c r="M364" s="207">
        <f t="shared" si="45"/>
        <v>0</v>
      </c>
      <c r="N364" s="198">
        <f>'02 项目基础信息（输入）'!$C$36</f>
        <v>0</v>
      </c>
      <c r="O364" s="198">
        <f t="shared" si="42"/>
        <v>0</v>
      </c>
      <c r="P364" s="198">
        <f>'02 项目基础信息（输入）'!$I$36</f>
        <v>0</v>
      </c>
      <c r="Q364" s="233">
        <f t="shared" si="43"/>
        <v>0</v>
      </c>
      <c r="S364" s="217"/>
      <c r="U364" s="220" t="s">
        <v>2106</v>
      </c>
      <c r="V364" s="1190">
        <v>297.71809999999999</v>
      </c>
    </row>
    <row r="365" spans="1:22" ht="0" hidden="1" customHeight="1" outlineLevel="3">
      <c r="A365" s="192" t="s">
        <v>1831</v>
      </c>
      <c r="B365" s="192"/>
      <c r="C365" s="197" t="s">
        <v>1609</v>
      </c>
      <c r="D365" s="198">
        <f>'02 项目基础信息（输入）'!$C$36</f>
        <v>0</v>
      </c>
      <c r="E365" s="199" t="s">
        <v>93</v>
      </c>
      <c r="F365" s="197" t="s">
        <v>1609</v>
      </c>
      <c r="G365" s="199">
        <v>1</v>
      </c>
      <c r="H365" s="199" t="s">
        <v>298</v>
      </c>
      <c r="I365" s="198">
        <f>G365*D365</f>
        <v>0</v>
      </c>
      <c r="J365" s="199" t="s">
        <v>93</v>
      </c>
      <c r="K365" s="188">
        <v>0</v>
      </c>
      <c r="L365" s="209" t="s">
        <v>675</v>
      </c>
      <c r="M365" s="207">
        <f t="shared" si="45"/>
        <v>0</v>
      </c>
      <c r="N365" s="198">
        <f>'02 项目基础信息（输入）'!$C$36</f>
        <v>0</v>
      </c>
      <c r="O365" s="198">
        <f t="shared" si="42"/>
        <v>0</v>
      </c>
      <c r="P365" s="198">
        <f>'02 项目基础信息（输入）'!$I$36</f>
        <v>0</v>
      </c>
      <c r="Q365" s="233">
        <f t="shared" si="43"/>
        <v>0</v>
      </c>
      <c r="S365" s="217"/>
      <c r="U365" s="220" t="s">
        <v>2107</v>
      </c>
      <c r="V365" s="1190">
        <v>7.9402999999999997</v>
      </c>
    </row>
    <row r="366" spans="1:22" ht="0" hidden="1" customHeight="1" outlineLevel="3">
      <c r="A366" s="192" t="s">
        <v>1833</v>
      </c>
      <c r="B366" s="192"/>
      <c r="C366" s="197" t="s">
        <v>1609</v>
      </c>
      <c r="D366" s="198">
        <f>'02 项目基础信息（输入）'!$C$36</f>
        <v>0</v>
      </c>
      <c r="E366" s="199" t="s">
        <v>93</v>
      </c>
      <c r="F366" s="197" t="s">
        <v>1609</v>
      </c>
      <c r="G366" s="199">
        <v>1</v>
      </c>
      <c r="H366" s="199" t="s">
        <v>298</v>
      </c>
      <c r="I366" s="198">
        <f>G366*D366</f>
        <v>0</v>
      </c>
      <c r="J366" s="199" t="s">
        <v>93</v>
      </c>
      <c r="K366" s="188">
        <v>0</v>
      </c>
      <c r="L366" s="209" t="s">
        <v>675</v>
      </c>
      <c r="M366" s="207">
        <f t="shared" si="45"/>
        <v>0</v>
      </c>
      <c r="N366" s="198">
        <f>'02 项目基础信息（输入）'!$C$36</f>
        <v>0</v>
      </c>
      <c r="O366" s="198">
        <f t="shared" si="42"/>
        <v>0</v>
      </c>
      <c r="P366" s="198">
        <f>'02 项目基础信息（输入）'!$I$36</f>
        <v>0</v>
      </c>
      <c r="Q366" s="233">
        <f t="shared" si="43"/>
        <v>0</v>
      </c>
      <c r="S366" s="217"/>
      <c r="U366" s="220" t="s">
        <v>2108</v>
      </c>
      <c r="V366" s="1190">
        <v>6.1170999999999998</v>
      </c>
    </row>
    <row r="367" spans="1:22" ht="0" hidden="1" customHeight="1" outlineLevel="2">
      <c r="A367" s="192" t="s">
        <v>1835</v>
      </c>
      <c r="B367" s="192"/>
      <c r="C367" s="197" t="s">
        <v>1609</v>
      </c>
      <c r="D367" s="198">
        <f>'02 项目基础信息（输入）'!$C$36</f>
        <v>0</v>
      </c>
      <c r="E367" s="199" t="s">
        <v>93</v>
      </c>
      <c r="F367" s="197"/>
      <c r="G367" s="199"/>
      <c r="H367" s="199"/>
      <c r="I367" s="197"/>
      <c r="J367" s="199"/>
      <c r="K367" s="198"/>
      <c r="L367" s="209"/>
      <c r="M367" s="198">
        <f>ROUND(SUM(M368:M371),6)</f>
        <v>0</v>
      </c>
      <c r="N367" s="198">
        <f>'02 项目基础信息（输入）'!$C$36</f>
        <v>0</v>
      </c>
      <c r="O367" s="198">
        <f t="shared" si="42"/>
        <v>0</v>
      </c>
      <c r="P367" s="198">
        <f>'02 项目基础信息（输入）'!$I$36</f>
        <v>0</v>
      </c>
      <c r="Q367" s="233">
        <f t="shared" si="43"/>
        <v>0</v>
      </c>
      <c r="S367" s="217" t="s">
        <v>1314</v>
      </c>
      <c r="U367" s="220" t="s">
        <v>2109</v>
      </c>
      <c r="V367" s="1190">
        <v>23.451899999999998</v>
      </c>
    </row>
    <row r="368" spans="1:22" ht="0" hidden="1" customHeight="1" outlineLevel="3">
      <c r="A368" s="192" t="s">
        <v>2110</v>
      </c>
      <c r="B368" s="192"/>
      <c r="C368" s="197" t="s">
        <v>309</v>
      </c>
      <c r="D368" s="198">
        <f>'02 项目基础信息（输入）'!$AC$36</f>
        <v>0</v>
      </c>
      <c r="E368" s="199" t="s">
        <v>310</v>
      </c>
      <c r="F368" s="197" t="s">
        <v>1843</v>
      </c>
      <c r="G368" s="82">
        <v>0</v>
      </c>
      <c r="H368" s="199" t="s">
        <v>789</v>
      </c>
      <c r="I368" s="198">
        <f>G368*D368</f>
        <v>0</v>
      </c>
      <c r="J368" s="199" t="s">
        <v>131</v>
      </c>
      <c r="K368" s="188">
        <v>0</v>
      </c>
      <c r="L368" s="209" t="s">
        <v>792</v>
      </c>
      <c r="M368" s="207">
        <f>ROUND(K368*I368/10000,6)</f>
        <v>0</v>
      </c>
      <c r="N368" s="198">
        <f>'02 项目基础信息（输入）'!$C$36</f>
        <v>0</v>
      </c>
      <c r="O368" s="198">
        <f t="shared" si="42"/>
        <v>0</v>
      </c>
      <c r="P368" s="198">
        <f>'02 项目基础信息（输入）'!$I$36</f>
        <v>0</v>
      </c>
      <c r="Q368" s="233">
        <f t="shared" si="43"/>
        <v>0</v>
      </c>
      <c r="S368" s="217"/>
      <c r="U368" s="220" t="s">
        <v>2111</v>
      </c>
      <c r="V368" s="1190">
        <v>0</v>
      </c>
    </row>
    <row r="369" spans="1:22" ht="0" hidden="1" customHeight="1" outlineLevel="3">
      <c r="A369" s="192" t="s">
        <v>2112</v>
      </c>
      <c r="B369" s="192"/>
      <c r="C369" s="197" t="s">
        <v>309</v>
      </c>
      <c r="D369" s="198">
        <f>'02 项目基础信息（输入）'!$AC$36</f>
        <v>0</v>
      </c>
      <c r="E369" s="199" t="s">
        <v>310</v>
      </c>
      <c r="F369" s="197" t="s">
        <v>1843</v>
      </c>
      <c r="G369" s="82">
        <v>0</v>
      </c>
      <c r="H369" s="199" t="s">
        <v>789</v>
      </c>
      <c r="I369" s="198">
        <f>G369*D369</f>
        <v>0</v>
      </c>
      <c r="J369" s="199" t="s">
        <v>131</v>
      </c>
      <c r="K369" s="188">
        <v>0</v>
      </c>
      <c r="L369" s="209" t="s">
        <v>792</v>
      </c>
      <c r="M369" s="207">
        <f>ROUND(K369*I369/10000,6)</f>
        <v>0</v>
      </c>
      <c r="N369" s="198">
        <f>'02 项目基础信息（输入）'!$C$36</f>
        <v>0</v>
      </c>
      <c r="O369" s="198">
        <f t="shared" si="42"/>
        <v>0</v>
      </c>
      <c r="P369" s="198">
        <f>'02 项目基础信息（输入）'!$I$36</f>
        <v>0</v>
      </c>
      <c r="Q369" s="233">
        <f t="shared" si="43"/>
        <v>0</v>
      </c>
      <c r="S369" s="217"/>
      <c r="U369" s="220" t="s">
        <v>2113</v>
      </c>
      <c r="V369" s="1190">
        <v>0</v>
      </c>
    </row>
    <row r="370" spans="1:22" ht="0" hidden="1" customHeight="1" outlineLevel="3">
      <c r="A370" s="192" t="s">
        <v>1837</v>
      </c>
      <c r="B370" s="192"/>
      <c r="C370" s="197" t="s">
        <v>472</v>
      </c>
      <c r="D370" s="198">
        <f>'02 项目基础信息（输入）'!$AA$36</f>
        <v>0</v>
      </c>
      <c r="E370" s="199" t="s">
        <v>1838</v>
      </c>
      <c r="F370" s="197" t="s">
        <v>1839</v>
      </c>
      <c r="G370" s="82">
        <v>0</v>
      </c>
      <c r="H370" s="199" t="s">
        <v>1840</v>
      </c>
      <c r="I370" s="198">
        <f>G370*D370</f>
        <v>0</v>
      </c>
      <c r="J370" s="199" t="s">
        <v>131</v>
      </c>
      <c r="K370" s="188">
        <v>0</v>
      </c>
      <c r="L370" s="209" t="s">
        <v>792</v>
      </c>
      <c r="M370" s="207">
        <f>ROUND(K370*I370/10000,6)</f>
        <v>0</v>
      </c>
      <c r="N370" s="198">
        <f>'02 项目基础信息（输入）'!$C$36</f>
        <v>0</v>
      </c>
      <c r="O370" s="198">
        <f t="shared" si="42"/>
        <v>0</v>
      </c>
      <c r="P370" s="198">
        <f>'02 项目基础信息（输入）'!$I$36</f>
        <v>0</v>
      </c>
      <c r="Q370" s="233">
        <f t="shared" si="43"/>
        <v>0</v>
      </c>
      <c r="S370" s="217"/>
      <c r="U370" s="220" t="s">
        <v>2114</v>
      </c>
      <c r="V370" s="1190">
        <v>8.7903000000000002</v>
      </c>
    </row>
    <row r="371" spans="1:22" ht="0" hidden="1" customHeight="1" outlineLevel="3">
      <c r="A371" s="192" t="s">
        <v>1842</v>
      </c>
      <c r="B371" s="192"/>
      <c r="C371" s="197" t="s">
        <v>309</v>
      </c>
      <c r="D371" s="198">
        <f>'02 项目基础信息（输入）'!$AC$36</f>
        <v>0</v>
      </c>
      <c r="E371" s="199" t="s">
        <v>310</v>
      </c>
      <c r="F371" s="197" t="s">
        <v>1843</v>
      </c>
      <c r="G371" s="82">
        <v>0</v>
      </c>
      <c r="H371" s="199" t="s">
        <v>789</v>
      </c>
      <c r="I371" s="198">
        <f>G371*D371</f>
        <v>0</v>
      </c>
      <c r="J371" s="199" t="s">
        <v>131</v>
      </c>
      <c r="K371" s="188">
        <v>0</v>
      </c>
      <c r="L371" s="209" t="s">
        <v>792</v>
      </c>
      <c r="M371" s="207">
        <f>ROUND(K371*I371/10000,6)</f>
        <v>0</v>
      </c>
      <c r="N371" s="198">
        <f>'02 项目基础信息（输入）'!$C$36</f>
        <v>0</v>
      </c>
      <c r="O371" s="198">
        <f t="shared" si="42"/>
        <v>0</v>
      </c>
      <c r="P371" s="198">
        <f>'02 项目基础信息（输入）'!$I$36</f>
        <v>0</v>
      </c>
      <c r="Q371" s="233">
        <f t="shared" si="43"/>
        <v>0</v>
      </c>
      <c r="S371" s="217"/>
      <c r="U371" s="220" t="s">
        <v>2115</v>
      </c>
      <c r="V371" s="1190">
        <v>54.6539</v>
      </c>
    </row>
    <row r="372" spans="1:22" ht="0" hidden="1" customHeight="1" outlineLevel="2">
      <c r="A372" s="192" t="s">
        <v>1845</v>
      </c>
      <c r="B372" s="192"/>
      <c r="C372" s="197" t="s">
        <v>1609</v>
      </c>
      <c r="D372" s="198">
        <f>'02 项目基础信息（输入）'!$C$36</f>
        <v>0</v>
      </c>
      <c r="E372" s="199" t="s">
        <v>93</v>
      </c>
      <c r="F372" s="197"/>
      <c r="G372" s="199"/>
      <c r="H372" s="199"/>
      <c r="I372" s="197"/>
      <c r="J372" s="199"/>
      <c r="K372" s="198"/>
      <c r="L372" s="209"/>
      <c r="M372" s="198">
        <f>ROUND(M373+M382+M391+M392+M393,6)</f>
        <v>0</v>
      </c>
      <c r="N372" s="198">
        <f>'02 项目基础信息（输入）'!$C$36</f>
        <v>0</v>
      </c>
      <c r="O372" s="198">
        <f t="shared" si="42"/>
        <v>0</v>
      </c>
      <c r="P372" s="198">
        <f>'02 项目基础信息（输入）'!$I$36</f>
        <v>0</v>
      </c>
      <c r="Q372" s="233">
        <f t="shared" si="43"/>
        <v>0</v>
      </c>
      <c r="S372" s="217" t="s">
        <v>1314</v>
      </c>
      <c r="U372" s="220" t="s">
        <v>2116</v>
      </c>
      <c r="V372" s="1190">
        <v>34.832000000000001</v>
      </c>
    </row>
    <row r="373" spans="1:22" ht="0" hidden="1" customHeight="1" outlineLevel="3">
      <c r="A373" s="192" t="s">
        <v>2117</v>
      </c>
      <c r="B373" s="192"/>
      <c r="C373" s="197"/>
      <c r="D373" s="197">
        <v>0</v>
      </c>
      <c r="E373" s="199"/>
      <c r="F373" s="197"/>
      <c r="G373" s="199"/>
      <c r="H373" s="199"/>
      <c r="I373" s="197">
        <v>0</v>
      </c>
      <c r="J373" s="199"/>
      <c r="K373" s="198"/>
      <c r="L373" s="209"/>
      <c r="M373" s="198">
        <f>ROUND(SUM(M374:M381),6)</f>
        <v>0</v>
      </c>
      <c r="N373" s="198">
        <f>'02 项目基础信息（输入）'!$C$36</f>
        <v>0</v>
      </c>
      <c r="O373" s="198">
        <f t="shared" si="42"/>
        <v>0</v>
      </c>
      <c r="P373" s="198">
        <f>'02 项目基础信息（输入）'!$I$36</f>
        <v>0</v>
      </c>
      <c r="Q373" s="233">
        <f t="shared" si="43"/>
        <v>0</v>
      </c>
      <c r="S373" s="217"/>
      <c r="U373" s="220" t="s">
        <v>2118</v>
      </c>
      <c r="V373" s="1190">
        <v>6.2329999999999997</v>
      </c>
    </row>
    <row r="374" spans="1:22" ht="0" hidden="1" customHeight="1" outlineLevel="4">
      <c r="A374" s="192" t="s">
        <v>1849</v>
      </c>
      <c r="B374" s="192"/>
      <c r="C374" s="197" t="s">
        <v>1850</v>
      </c>
      <c r="D374" s="198">
        <f>'02 项目基础信息（输入）'!$N$36</f>
        <v>0</v>
      </c>
      <c r="E374" s="199" t="s">
        <v>411</v>
      </c>
      <c r="F374" s="197" t="s">
        <v>460</v>
      </c>
      <c r="G374" s="235">
        <f>'02 项目基础信息（输入）'!$O$36</f>
        <v>0</v>
      </c>
      <c r="H374" s="199" t="s">
        <v>400</v>
      </c>
      <c r="I374" s="198">
        <f t="shared" ref="I374:I381" si="46">G374*D374</f>
        <v>0</v>
      </c>
      <c r="J374" s="199" t="s">
        <v>93</v>
      </c>
      <c r="K374" s="188">
        <v>0</v>
      </c>
      <c r="L374" s="209" t="s">
        <v>675</v>
      </c>
      <c r="M374" s="207">
        <f t="shared" ref="M374:M381" si="47">ROUND(K374*I374/10000,6)</f>
        <v>0</v>
      </c>
      <c r="N374" s="198">
        <f>'02 项目基础信息（输入）'!$C$36</f>
        <v>0</v>
      </c>
      <c r="O374" s="198">
        <f t="shared" si="42"/>
        <v>0</v>
      </c>
      <c r="P374" s="198">
        <f>'02 项目基础信息（输入）'!$I$36</f>
        <v>0</v>
      </c>
      <c r="Q374" s="233">
        <f t="shared" si="43"/>
        <v>0</v>
      </c>
      <c r="S374" s="217"/>
      <c r="U374" s="220" t="s">
        <v>2119</v>
      </c>
      <c r="V374" s="1190">
        <v>5.0538999999999996</v>
      </c>
    </row>
    <row r="375" spans="1:22" ht="0" hidden="1" customHeight="1" outlineLevel="4">
      <c r="A375" s="192" t="s">
        <v>1852</v>
      </c>
      <c r="B375" s="192"/>
      <c r="C375" s="197" t="s">
        <v>1850</v>
      </c>
      <c r="D375" s="198">
        <f>'02 项目基础信息（输入）'!$N$36</f>
        <v>0</v>
      </c>
      <c r="E375" s="199" t="s">
        <v>411</v>
      </c>
      <c r="F375" s="197" t="s">
        <v>460</v>
      </c>
      <c r="G375" s="235">
        <f>'02 项目基础信息（输入）'!$O$36</f>
        <v>0</v>
      </c>
      <c r="H375" s="199" t="s">
        <v>400</v>
      </c>
      <c r="I375" s="198">
        <f t="shared" si="46"/>
        <v>0</v>
      </c>
      <c r="J375" s="199" t="s">
        <v>93</v>
      </c>
      <c r="K375" s="188">
        <v>0</v>
      </c>
      <c r="L375" s="209" t="s">
        <v>675</v>
      </c>
      <c r="M375" s="207">
        <f t="shared" si="47"/>
        <v>0</v>
      </c>
      <c r="N375" s="198">
        <f>'02 项目基础信息（输入）'!$C$36</f>
        <v>0</v>
      </c>
      <c r="O375" s="198">
        <f t="shared" si="42"/>
        <v>0</v>
      </c>
      <c r="P375" s="198">
        <f>'02 项目基础信息（输入）'!$I$36</f>
        <v>0</v>
      </c>
      <c r="Q375" s="233">
        <f t="shared" si="43"/>
        <v>0</v>
      </c>
      <c r="S375" s="217"/>
      <c r="U375" s="220" t="s">
        <v>2120</v>
      </c>
      <c r="V375" s="1190">
        <v>8.5349000000000004</v>
      </c>
    </row>
    <row r="376" spans="1:22" ht="0" hidden="1" customHeight="1" outlineLevel="4">
      <c r="A376" s="192" t="s">
        <v>1854</v>
      </c>
      <c r="B376" s="192"/>
      <c r="C376" s="197" t="s">
        <v>1850</v>
      </c>
      <c r="D376" s="198">
        <f>'02 项目基础信息（输入）'!$N$36</f>
        <v>0</v>
      </c>
      <c r="E376" s="199" t="s">
        <v>411</v>
      </c>
      <c r="F376" s="197" t="s">
        <v>460</v>
      </c>
      <c r="G376" s="235">
        <f>'02 项目基础信息（输入）'!$O$36</f>
        <v>0</v>
      </c>
      <c r="H376" s="199" t="s">
        <v>400</v>
      </c>
      <c r="I376" s="198">
        <f t="shared" si="46"/>
        <v>0</v>
      </c>
      <c r="J376" s="199" t="s">
        <v>93</v>
      </c>
      <c r="K376" s="188">
        <v>0</v>
      </c>
      <c r="L376" s="209" t="s">
        <v>675</v>
      </c>
      <c r="M376" s="207">
        <f t="shared" si="47"/>
        <v>0</v>
      </c>
      <c r="N376" s="198">
        <f>'02 项目基础信息（输入）'!$C$36</f>
        <v>0</v>
      </c>
      <c r="O376" s="198">
        <f t="shared" si="42"/>
        <v>0</v>
      </c>
      <c r="P376" s="198">
        <f>'02 项目基础信息（输入）'!$I$36</f>
        <v>0</v>
      </c>
      <c r="Q376" s="233">
        <f t="shared" si="43"/>
        <v>0</v>
      </c>
      <c r="S376" s="217"/>
      <c r="U376" s="220" t="s">
        <v>2121</v>
      </c>
      <c r="V376" s="1190">
        <v>40.692599999999999</v>
      </c>
    </row>
    <row r="377" spans="1:22" ht="0" hidden="1" customHeight="1" outlineLevel="4">
      <c r="A377" s="192" t="s">
        <v>1856</v>
      </c>
      <c r="B377" s="192"/>
      <c r="C377" s="197" t="s">
        <v>1850</v>
      </c>
      <c r="D377" s="198">
        <f>'02 项目基础信息（输入）'!$N$36</f>
        <v>0</v>
      </c>
      <c r="E377" s="199" t="s">
        <v>411</v>
      </c>
      <c r="F377" s="197" t="s">
        <v>460</v>
      </c>
      <c r="G377" s="235">
        <f>'02 项目基础信息（输入）'!$O$36</f>
        <v>0</v>
      </c>
      <c r="H377" s="199" t="s">
        <v>400</v>
      </c>
      <c r="I377" s="198">
        <f t="shared" si="46"/>
        <v>0</v>
      </c>
      <c r="J377" s="199" t="s">
        <v>93</v>
      </c>
      <c r="K377" s="188">
        <v>0</v>
      </c>
      <c r="L377" s="209" t="s">
        <v>675</v>
      </c>
      <c r="M377" s="207">
        <f t="shared" si="47"/>
        <v>0</v>
      </c>
      <c r="N377" s="198">
        <f>'02 项目基础信息（输入）'!$C$36</f>
        <v>0</v>
      </c>
      <c r="O377" s="198">
        <f t="shared" si="42"/>
        <v>0</v>
      </c>
      <c r="P377" s="198">
        <f>'02 项目基础信息（输入）'!$I$36</f>
        <v>0</v>
      </c>
      <c r="Q377" s="233">
        <f t="shared" si="43"/>
        <v>0</v>
      </c>
      <c r="S377" s="217"/>
      <c r="U377" s="220" t="s">
        <v>2122</v>
      </c>
      <c r="V377" s="1190">
        <v>33.727899999999998</v>
      </c>
    </row>
    <row r="378" spans="1:22" ht="0" hidden="1" customHeight="1" outlineLevel="4">
      <c r="A378" s="192" t="s">
        <v>1858</v>
      </c>
      <c r="B378" s="192"/>
      <c r="C378" s="197" t="s">
        <v>1850</v>
      </c>
      <c r="D378" s="198">
        <f>'02 项目基础信息（输入）'!$N$36</f>
        <v>0</v>
      </c>
      <c r="E378" s="199" t="s">
        <v>411</v>
      </c>
      <c r="F378" s="197" t="s">
        <v>460</v>
      </c>
      <c r="G378" s="235">
        <f>'02 项目基础信息（输入）'!$O$36</f>
        <v>0</v>
      </c>
      <c r="H378" s="199" t="s">
        <v>400</v>
      </c>
      <c r="I378" s="198">
        <f t="shared" si="46"/>
        <v>0</v>
      </c>
      <c r="J378" s="199" t="s">
        <v>93</v>
      </c>
      <c r="K378" s="188">
        <v>0</v>
      </c>
      <c r="L378" s="209" t="s">
        <v>675</v>
      </c>
      <c r="M378" s="207">
        <f t="shared" si="47"/>
        <v>0</v>
      </c>
      <c r="N378" s="198">
        <f>'02 项目基础信息（输入）'!$C$36</f>
        <v>0</v>
      </c>
      <c r="O378" s="198">
        <f t="shared" si="42"/>
        <v>0</v>
      </c>
      <c r="P378" s="198">
        <f>'02 项目基础信息（输入）'!$I$36</f>
        <v>0</v>
      </c>
      <c r="Q378" s="233">
        <f t="shared" si="43"/>
        <v>0</v>
      </c>
      <c r="S378" s="217"/>
      <c r="U378" s="220" t="s">
        <v>2123</v>
      </c>
      <c r="V378" s="1190">
        <v>18.470700000000001</v>
      </c>
    </row>
    <row r="379" spans="1:22" ht="0" hidden="1" customHeight="1" outlineLevel="4">
      <c r="A379" s="192" t="s">
        <v>1860</v>
      </c>
      <c r="B379" s="192"/>
      <c r="C379" s="197" t="s">
        <v>1850</v>
      </c>
      <c r="D379" s="198">
        <f>'02 项目基础信息（输入）'!$N$36</f>
        <v>0</v>
      </c>
      <c r="E379" s="199" t="s">
        <v>411</v>
      </c>
      <c r="F379" s="197" t="s">
        <v>460</v>
      </c>
      <c r="G379" s="235">
        <f>'02 项目基础信息（输入）'!$O$36</f>
        <v>0</v>
      </c>
      <c r="H379" s="199" t="s">
        <v>400</v>
      </c>
      <c r="I379" s="198">
        <f t="shared" si="46"/>
        <v>0</v>
      </c>
      <c r="J379" s="199" t="s">
        <v>93</v>
      </c>
      <c r="K379" s="188">
        <v>0</v>
      </c>
      <c r="L379" s="209" t="s">
        <v>675</v>
      </c>
      <c r="M379" s="207">
        <f t="shared" si="47"/>
        <v>0</v>
      </c>
      <c r="N379" s="198">
        <f>'02 项目基础信息（输入）'!$C$36</f>
        <v>0</v>
      </c>
      <c r="O379" s="198">
        <f t="shared" si="42"/>
        <v>0</v>
      </c>
      <c r="P379" s="198">
        <f>'02 项目基础信息（输入）'!$I$36</f>
        <v>0</v>
      </c>
      <c r="Q379" s="233">
        <f t="shared" si="43"/>
        <v>0</v>
      </c>
      <c r="S379" s="217"/>
      <c r="U379" s="220" t="s">
        <v>2124</v>
      </c>
      <c r="V379" s="1190">
        <v>0</v>
      </c>
    </row>
    <row r="380" spans="1:22" ht="0" hidden="1" customHeight="1" outlineLevel="4">
      <c r="A380" s="192" t="s">
        <v>1862</v>
      </c>
      <c r="B380" s="192"/>
      <c r="C380" s="197" t="s">
        <v>1850</v>
      </c>
      <c r="D380" s="198">
        <f>'02 项目基础信息（输入）'!$N$36</f>
        <v>0</v>
      </c>
      <c r="E380" s="199" t="s">
        <v>411</v>
      </c>
      <c r="F380" s="197" t="s">
        <v>460</v>
      </c>
      <c r="G380" s="235">
        <f>'02 项目基础信息（输入）'!$O$36</f>
        <v>0</v>
      </c>
      <c r="H380" s="199" t="s">
        <v>400</v>
      </c>
      <c r="I380" s="198">
        <f t="shared" si="46"/>
        <v>0</v>
      </c>
      <c r="J380" s="199" t="s">
        <v>93</v>
      </c>
      <c r="K380" s="188">
        <v>0</v>
      </c>
      <c r="L380" s="209" t="s">
        <v>675</v>
      </c>
      <c r="M380" s="207">
        <f t="shared" si="47"/>
        <v>0</v>
      </c>
      <c r="N380" s="198">
        <f>'02 项目基础信息（输入）'!$C$36</f>
        <v>0</v>
      </c>
      <c r="O380" s="198">
        <f t="shared" si="42"/>
        <v>0</v>
      </c>
      <c r="P380" s="198">
        <f>'02 项目基础信息（输入）'!$I$36</f>
        <v>0</v>
      </c>
      <c r="Q380" s="233">
        <f t="shared" si="43"/>
        <v>0</v>
      </c>
      <c r="S380" s="217"/>
      <c r="U380" s="220" t="s">
        <v>2125</v>
      </c>
      <c r="V380" s="1190">
        <v>0</v>
      </c>
    </row>
    <row r="381" spans="1:22" ht="0" hidden="1" customHeight="1" outlineLevel="4">
      <c r="A381" s="192" t="s">
        <v>1864</v>
      </c>
      <c r="B381" s="192"/>
      <c r="C381" s="197" t="s">
        <v>1850</v>
      </c>
      <c r="D381" s="198">
        <f>'02 项目基础信息（输入）'!$N$36</f>
        <v>0</v>
      </c>
      <c r="E381" s="199" t="s">
        <v>411</v>
      </c>
      <c r="F381" s="197" t="s">
        <v>460</v>
      </c>
      <c r="G381" s="235">
        <f>'02 项目基础信息（输入）'!$O$36</f>
        <v>0</v>
      </c>
      <c r="H381" s="199" t="s">
        <v>400</v>
      </c>
      <c r="I381" s="198">
        <f t="shared" si="46"/>
        <v>0</v>
      </c>
      <c r="J381" s="199" t="s">
        <v>93</v>
      </c>
      <c r="K381" s="188">
        <v>0</v>
      </c>
      <c r="L381" s="209" t="s">
        <v>675</v>
      </c>
      <c r="M381" s="207">
        <f t="shared" si="47"/>
        <v>0</v>
      </c>
      <c r="N381" s="198">
        <f>'02 项目基础信息（输入）'!$C$36</f>
        <v>0</v>
      </c>
      <c r="O381" s="198">
        <f t="shared" si="42"/>
        <v>0</v>
      </c>
      <c r="P381" s="198">
        <f>'02 项目基础信息（输入）'!$I$36</f>
        <v>0</v>
      </c>
      <c r="Q381" s="233">
        <f t="shared" si="43"/>
        <v>0</v>
      </c>
      <c r="S381" s="217"/>
      <c r="U381" s="220" t="s">
        <v>2126</v>
      </c>
      <c r="V381" s="1190">
        <v>0</v>
      </c>
    </row>
    <row r="382" spans="1:22" ht="0" hidden="1" customHeight="1" outlineLevel="3">
      <c r="A382" s="192" t="s">
        <v>2127</v>
      </c>
      <c r="B382" s="192"/>
      <c r="C382" s="197"/>
      <c r="D382" s="197">
        <v>0</v>
      </c>
      <c r="E382" s="199"/>
      <c r="F382" s="197"/>
      <c r="G382" s="199"/>
      <c r="H382" s="199"/>
      <c r="I382" s="197">
        <v>0</v>
      </c>
      <c r="J382" s="199"/>
      <c r="K382" s="198"/>
      <c r="L382" s="209"/>
      <c r="M382" s="198">
        <f>ROUND(SUM(M383:M390),6)</f>
        <v>0</v>
      </c>
      <c r="N382" s="198">
        <f>'02 项目基础信息（输入）'!$C$36</f>
        <v>0</v>
      </c>
      <c r="O382" s="198">
        <f t="shared" si="42"/>
        <v>0</v>
      </c>
      <c r="P382" s="198">
        <f>'02 项目基础信息（输入）'!$I$36</f>
        <v>0</v>
      </c>
      <c r="Q382" s="233">
        <f t="shared" si="43"/>
        <v>0</v>
      </c>
      <c r="S382" s="217"/>
      <c r="U382" s="220" t="s">
        <v>2128</v>
      </c>
      <c r="V382" s="1190">
        <v>15.257199999999999</v>
      </c>
    </row>
    <row r="383" spans="1:22" ht="0" hidden="1" customHeight="1" outlineLevel="4">
      <c r="A383" s="192" t="s">
        <v>2129</v>
      </c>
      <c r="B383" s="192"/>
      <c r="C383" s="197" t="s">
        <v>2130</v>
      </c>
      <c r="D383" s="198">
        <f>'02 项目基础信息（输入）'!$K$36</f>
        <v>0</v>
      </c>
      <c r="E383" s="199" t="s">
        <v>411</v>
      </c>
      <c r="F383" s="197" t="s">
        <v>457</v>
      </c>
      <c r="G383" s="235">
        <f>'02 项目基础信息（输入）'!$L$36</f>
        <v>0</v>
      </c>
      <c r="H383" s="199" t="s">
        <v>400</v>
      </c>
      <c r="I383" s="198">
        <f t="shared" ref="I383:I393" si="48">G383*D383</f>
        <v>0</v>
      </c>
      <c r="J383" s="199" t="s">
        <v>93</v>
      </c>
      <c r="K383" s="188">
        <v>0</v>
      </c>
      <c r="L383" s="209" t="s">
        <v>675</v>
      </c>
      <c r="M383" s="198">
        <f t="shared" ref="M383:M393" si="49">ROUND(K383*I383/10000,6)</f>
        <v>0</v>
      </c>
      <c r="N383" s="198">
        <f>'02 项目基础信息（输入）'!$C$36</f>
        <v>0</v>
      </c>
      <c r="O383" s="198">
        <f t="shared" si="42"/>
        <v>0</v>
      </c>
      <c r="P383" s="198">
        <f>'02 项目基础信息（输入）'!$I$36</f>
        <v>0</v>
      </c>
      <c r="Q383" s="233">
        <f t="shared" si="43"/>
        <v>0</v>
      </c>
      <c r="S383" s="217"/>
      <c r="U383" s="220" t="s">
        <v>2131</v>
      </c>
      <c r="V383" s="1190">
        <v>0</v>
      </c>
    </row>
    <row r="384" spans="1:22" ht="0" hidden="1" customHeight="1" outlineLevel="4">
      <c r="A384" s="192" t="s">
        <v>2132</v>
      </c>
      <c r="B384" s="192"/>
      <c r="C384" s="197" t="s">
        <v>2130</v>
      </c>
      <c r="D384" s="198">
        <f>'02 项目基础信息（输入）'!$K$36</f>
        <v>0</v>
      </c>
      <c r="E384" s="199" t="s">
        <v>411</v>
      </c>
      <c r="F384" s="197" t="s">
        <v>457</v>
      </c>
      <c r="G384" s="235">
        <f>'02 项目基础信息（输入）'!$L$36</f>
        <v>0</v>
      </c>
      <c r="H384" s="199" t="s">
        <v>400</v>
      </c>
      <c r="I384" s="198">
        <f t="shared" si="48"/>
        <v>0</v>
      </c>
      <c r="J384" s="199" t="s">
        <v>93</v>
      </c>
      <c r="K384" s="188">
        <v>0</v>
      </c>
      <c r="L384" s="209" t="s">
        <v>675</v>
      </c>
      <c r="M384" s="198">
        <f t="shared" si="49"/>
        <v>0</v>
      </c>
      <c r="N384" s="198">
        <f>'02 项目基础信息（输入）'!$C$36</f>
        <v>0</v>
      </c>
      <c r="O384" s="198">
        <f t="shared" si="42"/>
        <v>0</v>
      </c>
      <c r="P384" s="198">
        <f>'02 项目基础信息（输入）'!$I$36</f>
        <v>0</v>
      </c>
      <c r="Q384" s="233">
        <f t="shared" si="43"/>
        <v>0</v>
      </c>
      <c r="S384" s="217"/>
      <c r="U384" s="220" t="s">
        <v>2133</v>
      </c>
      <c r="V384" s="1190">
        <v>0</v>
      </c>
    </row>
    <row r="385" spans="1:22" ht="0" hidden="1" customHeight="1" outlineLevel="4">
      <c r="A385" s="192" t="s">
        <v>2134</v>
      </c>
      <c r="B385" s="192"/>
      <c r="C385" s="197" t="s">
        <v>2130</v>
      </c>
      <c r="D385" s="198">
        <f>'02 项目基础信息（输入）'!$K$36</f>
        <v>0</v>
      </c>
      <c r="E385" s="199" t="s">
        <v>411</v>
      </c>
      <c r="F385" s="197" t="s">
        <v>457</v>
      </c>
      <c r="G385" s="235">
        <f>'02 项目基础信息（输入）'!$L$36</f>
        <v>0</v>
      </c>
      <c r="H385" s="199" t="s">
        <v>400</v>
      </c>
      <c r="I385" s="198">
        <f t="shared" si="48"/>
        <v>0</v>
      </c>
      <c r="J385" s="199" t="s">
        <v>93</v>
      </c>
      <c r="K385" s="188">
        <v>0</v>
      </c>
      <c r="L385" s="209" t="s">
        <v>675</v>
      </c>
      <c r="M385" s="198">
        <f t="shared" si="49"/>
        <v>0</v>
      </c>
      <c r="N385" s="198">
        <f>'02 项目基础信息（输入）'!$C$36</f>
        <v>0</v>
      </c>
      <c r="O385" s="198">
        <f t="shared" si="42"/>
        <v>0</v>
      </c>
      <c r="P385" s="198">
        <f>'02 项目基础信息（输入）'!$I$36</f>
        <v>0</v>
      </c>
      <c r="Q385" s="233">
        <f t="shared" si="43"/>
        <v>0</v>
      </c>
      <c r="S385" s="217"/>
      <c r="U385" s="220" t="s">
        <v>2135</v>
      </c>
      <c r="V385" s="1190">
        <v>0</v>
      </c>
    </row>
    <row r="386" spans="1:22" ht="0" hidden="1" customHeight="1" outlineLevel="4">
      <c r="A386" s="192" t="s">
        <v>2136</v>
      </c>
      <c r="B386" s="192"/>
      <c r="C386" s="197" t="s">
        <v>2130</v>
      </c>
      <c r="D386" s="198">
        <f>'02 项目基础信息（输入）'!$K$36</f>
        <v>0</v>
      </c>
      <c r="E386" s="199" t="s">
        <v>411</v>
      </c>
      <c r="F386" s="197" t="s">
        <v>457</v>
      </c>
      <c r="G386" s="235">
        <f>'02 项目基础信息（输入）'!$L$36</f>
        <v>0</v>
      </c>
      <c r="H386" s="199" t="s">
        <v>400</v>
      </c>
      <c r="I386" s="198">
        <f t="shared" si="48"/>
        <v>0</v>
      </c>
      <c r="J386" s="199" t="s">
        <v>93</v>
      </c>
      <c r="K386" s="188">
        <v>0</v>
      </c>
      <c r="L386" s="209" t="s">
        <v>675</v>
      </c>
      <c r="M386" s="198">
        <f t="shared" si="49"/>
        <v>0</v>
      </c>
      <c r="N386" s="198">
        <f>'02 项目基础信息（输入）'!$C$36</f>
        <v>0</v>
      </c>
      <c r="O386" s="198">
        <f t="shared" si="42"/>
        <v>0</v>
      </c>
      <c r="P386" s="198">
        <f>'02 项目基础信息（输入）'!$I$36</f>
        <v>0</v>
      </c>
      <c r="Q386" s="233">
        <f t="shared" si="43"/>
        <v>0</v>
      </c>
      <c r="S386" s="217"/>
      <c r="U386" s="220" t="s">
        <v>2137</v>
      </c>
      <c r="V386" s="1190">
        <v>0.65690000000000004</v>
      </c>
    </row>
    <row r="387" spans="1:22" ht="0" hidden="1" customHeight="1" outlineLevel="4">
      <c r="A387" s="192" t="s">
        <v>2138</v>
      </c>
      <c r="B387" s="192"/>
      <c r="C387" s="197" t="s">
        <v>2130</v>
      </c>
      <c r="D387" s="198">
        <f>'02 项目基础信息（输入）'!$K$36</f>
        <v>0</v>
      </c>
      <c r="E387" s="199" t="s">
        <v>411</v>
      </c>
      <c r="F387" s="197" t="s">
        <v>457</v>
      </c>
      <c r="G387" s="235">
        <f>'02 项目基础信息（输入）'!$L$36</f>
        <v>0</v>
      </c>
      <c r="H387" s="199" t="s">
        <v>400</v>
      </c>
      <c r="I387" s="198">
        <f t="shared" si="48"/>
        <v>0</v>
      </c>
      <c r="J387" s="199" t="s">
        <v>93</v>
      </c>
      <c r="K387" s="188">
        <v>0</v>
      </c>
      <c r="L387" s="209" t="s">
        <v>675</v>
      </c>
      <c r="M387" s="198">
        <f t="shared" si="49"/>
        <v>0</v>
      </c>
      <c r="N387" s="198">
        <f>'02 项目基础信息（输入）'!$C$36</f>
        <v>0</v>
      </c>
      <c r="O387" s="198">
        <f t="shared" ref="O387:O450" si="50">ROUND(IFERROR(M387*10000/N387,0),2)</f>
        <v>0</v>
      </c>
      <c r="P387" s="198">
        <f>'02 项目基础信息（输入）'!$I$36</f>
        <v>0</v>
      </c>
      <c r="Q387" s="233">
        <f t="shared" ref="Q387:Q450" si="51">ROUND(IFERROR(M387*10000/P387,0),2)</f>
        <v>0</v>
      </c>
      <c r="S387" s="217"/>
      <c r="U387" s="220" t="s">
        <v>2139</v>
      </c>
      <c r="V387" s="1190">
        <v>0</v>
      </c>
    </row>
    <row r="388" spans="1:22" ht="0" hidden="1" customHeight="1" outlineLevel="4">
      <c r="A388" s="192" t="s">
        <v>2140</v>
      </c>
      <c r="B388" s="192"/>
      <c r="C388" s="197" t="s">
        <v>2130</v>
      </c>
      <c r="D388" s="198">
        <f>'02 项目基础信息（输入）'!$K$36</f>
        <v>0</v>
      </c>
      <c r="E388" s="199" t="s">
        <v>411</v>
      </c>
      <c r="F388" s="197" t="s">
        <v>457</v>
      </c>
      <c r="G388" s="235">
        <f>'02 项目基础信息（输入）'!$L$36</f>
        <v>0</v>
      </c>
      <c r="H388" s="199" t="s">
        <v>400</v>
      </c>
      <c r="I388" s="198">
        <f t="shared" si="48"/>
        <v>0</v>
      </c>
      <c r="J388" s="199" t="s">
        <v>93</v>
      </c>
      <c r="K388" s="188">
        <v>0</v>
      </c>
      <c r="L388" s="209" t="s">
        <v>675</v>
      </c>
      <c r="M388" s="198">
        <f t="shared" si="49"/>
        <v>0</v>
      </c>
      <c r="N388" s="198">
        <f>'02 项目基础信息（输入）'!$C$36</f>
        <v>0</v>
      </c>
      <c r="O388" s="198">
        <f t="shared" si="50"/>
        <v>0</v>
      </c>
      <c r="P388" s="198">
        <f>'02 项目基础信息（输入）'!$I$36</f>
        <v>0</v>
      </c>
      <c r="Q388" s="233">
        <f t="shared" si="51"/>
        <v>0</v>
      </c>
      <c r="S388" s="217"/>
      <c r="U388" s="220" t="s">
        <v>2141</v>
      </c>
      <c r="V388" s="1190">
        <v>0.65690000000000004</v>
      </c>
    </row>
    <row r="389" spans="1:22" ht="0" hidden="1" customHeight="1" outlineLevel="4">
      <c r="A389" s="192" t="s">
        <v>2142</v>
      </c>
      <c r="B389" s="192"/>
      <c r="C389" s="197" t="s">
        <v>2130</v>
      </c>
      <c r="D389" s="198">
        <f>'02 项目基础信息（输入）'!$K$36</f>
        <v>0</v>
      </c>
      <c r="E389" s="199" t="s">
        <v>411</v>
      </c>
      <c r="F389" s="197" t="s">
        <v>457</v>
      </c>
      <c r="G389" s="235">
        <f>'02 项目基础信息（输入）'!$L$36</f>
        <v>0</v>
      </c>
      <c r="H389" s="199" t="s">
        <v>400</v>
      </c>
      <c r="I389" s="198">
        <f t="shared" si="48"/>
        <v>0</v>
      </c>
      <c r="J389" s="199" t="s">
        <v>93</v>
      </c>
      <c r="K389" s="188">
        <v>0</v>
      </c>
      <c r="L389" s="209" t="s">
        <v>675</v>
      </c>
      <c r="M389" s="198">
        <f t="shared" si="49"/>
        <v>0</v>
      </c>
      <c r="N389" s="198">
        <f>'02 项目基础信息（输入）'!$C$36</f>
        <v>0</v>
      </c>
      <c r="O389" s="198">
        <f t="shared" si="50"/>
        <v>0</v>
      </c>
      <c r="P389" s="198">
        <f>'02 项目基础信息（输入）'!$I$36</f>
        <v>0</v>
      </c>
      <c r="Q389" s="233">
        <f t="shared" si="51"/>
        <v>0</v>
      </c>
      <c r="S389" s="217"/>
      <c r="U389" s="220" t="s">
        <v>2143</v>
      </c>
      <c r="V389" s="1190">
        <v>0</v>
      </c>
    </row>
    <row r="390" spans="1:22" ht="0" hidden="1" customHeight="1" outlineLevel="4">
      <c r="A390" s="192" t="s">
        <v>2144</v>
      </c>
      <c r="B390" s="192"/>
      <c r="C390" s="197" t="s">
        <v>2130</v>
      </c>
      <c r="D390" s="198">
        <f>'02 项目基础信息（输入）'!$K$36</f>
        <v>0</v>
      </c>
      <c r="E390" s="199" t="s">
        <v>411</v>
      </c>
      <c r="F390" s="197" t="s">
        <v>457</v>
      </c>
      <c r="G390" s="235">
        <f>'02 项目基础信息（输入）'!$L$36</f>
        <v>0</v>
      </c>
      <c r="H390" s="199" t="s">
        <v>400</v>
      </c>
      <c r="I390" s="198">
        <f t="shared" si="48"/>
        <v>0</v>
      </c>
      <c r="J390" s="199" t="s">
        <v>93</v>
      </c>
      <c r="K390" s="188">
        <v>0</v>
      </c>
      <c r="L390" s="209" t="s">
        <v>675</v>
      </c>
      <c r="M390" s="198">
        <f t="shared" si="49"/>
        <v>0</v>
      </c>
      <c r="N390" s="198">
        <f>'02 项目基础信息（输入）'!$C$36</f>
        <v>0</v>
      </c>
      <c r="O390" s="198">
        <f t="shared" si="50"/>
        <v>0</v>
      </c>
      <c r="P390" s="198">
        <f>'02 项目基础信息（输入）'!$I$36</f>
        <v>0</v>
      </c>
      <c r="Q390" s="233">
        <f t="shared" si="51"/>
        <v>0</v>
      </c>
      <c r="S390" s="217"/>
      <c r="U390" s="220" t="s">
        <v>2145</v>
      </c>
      <c r="V390" s="1190">
        <v>0</v>
      </c>
    </row>
    <row r="391" spans="1:22" ht="0" hidden="1" customHeight="1" outlineLevel="3">
      <c r="A391" s="192" t="s">
        <v>2146</v>
      </c>
      <c r="B391" s="192"/>
      <c r="C391" s="197" t="s">
        <v>455</v>
      </c>
      <c r="D391" s="198">
        <f>'02 项目基础信息（输入）'!$J$36</f>
        <v>0</v>
      </c>
      <c r="E391" s="199" t="s">
        <v>400</v>
      </c>
      <c r="F391" s="197" t="s">
        <v>455</v>
      </c>
      <c r="G391" s="199">
        <v>1</v>
      </c>
      <c r="H391" s="199" t="s">
        <v>1748</v>
      </c>
      <c r="I391" s="198">
        <f t="shared" si="48"/>
        <v>0</v>
      </c>
      <c r="J391" s="199" t="s">
        <v>400</v>
      </c>
      <c r="K391" s="188">
        <v>0</v>
      </c>
      <c r="L391" s="209" t="s">
        <v>1749</v>
      </c>
      <c r="M391" s="198">
        <f t="shared" si="49"/>
        <v>0</v>
      </c>
      <c r="N391" s="198">
        <f>'02 项目基础信息（输入）'!$C$36</f>
        <v>0</v>
      </c>
      <c r="O391" s="198">
        <f t="shared" si="50"/>
        <v>0</v>
      </c>
      <c r="P391" s="198">
        <f>'02 项目基础信息（输入）'!$I$36</f>
        <v>0</v>
      </c>
      <c r="Q391" s="233">
        <f t="shared" si="51"/>
        <v>0</v>
      </c>
      <c r="S391" s="217"/>
      <c r="U391" s="220" t="s">
        <v>2147</v>
      </c>
      <c r="V391" s="1190">
        <v>0</v>
      </c>
    </row>
    <row r="392" spans="1:22" ht="0" hidden="1" customHeight="1" outlineLevel="3">
      <c r="A392" s="192" t="s">
        <v>2148</v>
      </c>
      <c r="B392" s="192"/>
      <c r="C392" s="197" t="s">
        <v>309</v>
      </c>
      <c r="D392" s="198">
        <f>'02 项目基础信息（输入）'!$AC$36</f>
        <v>0</v>
      </c>
      <c r="E392" s="199" t="s">
        <v>310</v>
      </c>
      <c r="F392" s="197" t="s">
        <v>2149</v>
      </c>
      <c r="G392" s="199">
        <v>1</v>
      </c>
      <c r="H392" s="199" t="s">
        <v>2150</v>
      </c>
      <c r="I392" s="198">
        <f t="shared" si="48"/>
        <v>0</v>
      </c>
      <c r="J392" s="199" t="s">
        <v>400</v>
      </c>
      <c r="K392" s="188">
        <v>0</v>
      </c>
      <c r="L392" s="209" t="s">
        <v>1749</v>
      </c>
      <c r="M392" s="207">
        <f t="shared" si="49"/>
        <v>0</v>
      </c>
      <c r="N392" s="198">
        <f>'02 项目基础信息（输入）'!$C$36</f>
        <v>0</v>
      </c>
      <c r="O392" s="198">
        <f t="shared" si="50"/>
        <v>0</v>
      </c>
      <c r="P392" s="198">
        <f>'02 项目基础信息（输入）'!$I$36</f>
        <v>0</v>
      </c>
      <c r="Q392" s="233">
        <f t="shared" si="51"/>
        <v>0</v>
      </c>
      <c r="S392" s="217"/>
      <c r="U392" s="220" t="s">
        <v>2151</v>
      </c>
      <c r="V392" s="1190">
        <v>0</v>
      </c>
    </row>
    <row r="393" spans="1:22" ht="0" hidden="1" customHeight="1" outlineLevel="3">
      <c r="A393" s="192" t="s">
        <v>1868</v>
      </c>
      <c r="B393" s="192"/>
      <c r="C393" s="197" t="s">
        <v>1609</v>
      </c>
      <c r="D393" s="198">
        <f>'02 项目基础信息（输入）'!$C$36</f>
        <v>0</v>
      </c>
      <c r="E393" s="199" t="s">
        <v>93</v>
      </c>
      <c r="F393" s="197" t="s">
        <v>1648</v>
      </c>
      <c r="G393" s="82">
        <v>0</v>
      </c>
      <c r="H393" s="199" t="s">
        <v>298</v>
      </c>
      <c r="I393" s="198">
        <f t="shared" si="48"/>
        <v>0</v>
      </c>
      <c r="J393" s="199" t="s">
        <v>93</v>
      </c>
      <c r="K393" s="188">
        <v>0</v>
      </c>
      <c r="L393" s="209" t="s">
        <v>675</v>
      </c>
      <c r="M393" s="207">
        <f t="shared" si="49"/>
        <v>0</v>
      </c>
      <c r="N393" s="198">
        <f>'02 项目基础信息（输入）'!$C$36</f>
        <v>0</v>
      </c>
      <c r="O393" s="198">
        <f t="shared" si="50"/>
        <v>0</v>
      </c>
      <c r="P393" s="198">
        <f>'02 项目基础信息（输入）'!$I$36</f>
        <v>0</v>
      </c>
      <c r="Q393" s="233">
        <f t="shared" si="51"/>
        <v>0</v>
      </c>
      <c r="S393" s="217"/>
      <c r="U393" s="220" t="s">
        <v>2152</v>
      </c>
      <c r="V393" s="1190">
        <v>0</v>
      </c>
    </row>
    <row r="394" spans="1:22" ht="0" hidden="1" customHeight="1" outlineLevel="2">
      <c r="A394" s="192" t="s">
        <v>1870</v>
      </c>
      <c r="B394" s="192"/>
      <c r="C394" s="197" t="s">
        <v>1609</v>
      </c>
      <c r="D394" s="198">
        <f>'02 项目基础信息（输入）'!$C$36</f>
        <v>0</v>
      </c>
      <c r="E394" s="199" t="s">
        <v>93</v>
      </c>
      <c r="F394" s="197"/>
      <c r="G394" s="199"/>
      <c r="H394" s="199"/>
      <c r="I394" s="197"/>
      <c r="J394" s="199"/>
      <c r="K394" s="198"/>
      <c r="L394" s="209"/>
      <c r="M394" s="198">
        <f>ROUND(SUM(M395),6)</f>
        <v>0</v>
      </c>
      <c r="N394" s="198">
        <f>'02 项目基础信息（输入）'!$C$36</f>
        <v>0</v>
      </c>
      <c r="O394" s="198">
        <f t="shared" si="50"/>
        <v>0</v>
      </c>
      <c r="P394" s="198">
        <f>'02 项目基础信息（输入）'!$I$36</f>
        <v>0</v>
      </c>
      <c r="Q394" s="233">
        <f t="shared" si="51"/>
        <v>0</v>
      </c>
      <c r="S394" s="217" t="s">
        <v>1313</v>
      </c>
      <c r="U394" s="220" t="s">
        <v>2153</v>
      </c>
      <c r="V394" s="1190">
        <v>0</v>
      </c>
    </row>
    <row r="395" spans="1:22" ht="0" hidden="1" customHeight="1" outlineLevel="3">
      <c r="A395" s="192" t="s">
        <v>1872</v>
      </c>
      <c r="B395" s="192"/>
      <c r="C395" s="197" t="s">
        <v>460</v>
      </c>
      <c r="D395" s="198">
        <f>'02 项目基础信息（输入）'!$O$36</f>
        <v>0</v>
      </c>
      <c r="E395" s="199" t="s">
        <v>400</v>
      </c>
      <c r="F395" s="197" t="s">
        <v>460</v>
      </c>
      <c r="G395" s="199">
        <v>1</v>
      </c>
      <c r="H395" s="199" t="s">
        <v>1873</v>
      </c>
      <c r="I395" s="198">
        <f>G395*D395</f>
        <v>0</v>
      </c>
      <c r="J395" s="199" t="s">
        <v>1052</v>
      </c>
      <c r="K395" s="188">
        <v>0</v>
      </c>
      <c r="L395" s="209" t="s">
        <v>746</v>
      </c>
      <c r="M395" s="207">
        <f>ROUND(K395*I395/10000,6)</f>
        <v>0</v>
      </c>
      <c r="N395" s="198">
        <f>'02 项目基础信息（输入）'!$C$36</f>
        <v>0</v>
      </c>
      <c r="O395" s="198">
        <f t="shared" si="50"/>
        <v>0</v>
      </c>
      <c r="P395" s="198">
        <f>'02 项目基础信息（输入）'!$I$36</f>
        <v>0</v>
      </c>
      <c r="Q395" s="233">
        <f t="shared" si="51"/>
        <v>0</v>
      </c>
      <c r="S395" s="217"/>
      <c r="U395" s="220" t="s">
        <v>2154</v>
      </c>
      <c r="V395" s="1190">
        <v>0</v>
      </c>
    </row>
    <row r="396" spans="1:22" ht="0" hidden="1" customHeight="1" outlineLevel="2">
      <c r="A396" s="192" t="s">
        <v>1875</v>
      </c>
      <c r="B396" s="192"/>
      <c r="C396" s="197" t="s">
        <v>1609</v>
      </c>
      <c r="D396" s="198">
        <f>'02 项目基础信息（输入）'!$C$36</f>
        <v>0</v>
      </c>
      <c r="E396" s="199" t="s">
        <v>93</v>
      </c>
      <c r="F396" s="197"/>
      <c r="G396" s="199"/>
      <c r="H396" s="199"/>
      <c r="I396" s="197"/>
      <c r="J396" s="199"/>
      <c r="K396" s="198"/>
      <c r="L396" s="209"/>
      <c r="M396" s="198">
        <f>ROUND(SUM(M397:M399),6)</f>
        <v>0</v>
      </c>
      <c r="N396" s="198">
        <f>'02 项目基础信息（输入）'!$C$36</f>
        <v>0</v>
      </c>
      <c r="O396" s="198">
        <f t="shared" si="50"/>
        <v>0</v>
      </c>
      <c r="P396" s="198">
        <f>'02 项目基础信息（输入）'!$I$36</f>
        <v>0</v>
      </c>
      <c r="Q396" s="233">
        <f t="shared" si="51"/>
        <v>0</v>
      </c>
      <c r="S396" s="217" t="s">
        <v>1313</v>
      </c>
      <c r="U396" s="220" t="s">
        <v>2155</v>
      </c>
      <c r="V396" s="1190">
        <v>6.1862000000000004</v>
      </c>
    </row>
    <row r="397" spans="1:22" ht="0" hidden="1" customHeight="1" outlineLevel="3">
      <c r="A397" s="192" t="s">
        <v>1877</v>
      </c>
      <c r="B397" s="192"/>
      <c r="C397" s="197" t="s">
        <v>1609</v>
      </c>
      <c r="D397" s="198">
        <f>'02 项目基础信息（输入）'!$C$36</f>
        <v>0</v>
      </c>
      <c r="E397" s="199" t="s">
        <v>93</v>
      </c>
      <c r="F397" s="197" t="s">
        <v>694</v>
      </c>
      <c r="G397" s="82"/>
      <c r="H397" s="199" t="s">
        <v>298</v>
      </c>
      <c r="I397" s="198">
        <f>G397*D397</f>
        <v>0</v>
      </c>
      <c r="J397" s="199" t="s">
        <v>93</v>
      </c>
      <c r="K397" s="188">
        <v>0</v>
      </c>
      <c r="L397" s="209" t="s">
        <v>675</v>
      </c>
      <c r="M397" s="207">
        <f>ROUND(K397*I397/10000,6)</f>
        <v>0</v>
      </c>
      <c r="N397" s="198">
        <f>'02 项目基础信息（输入）'!$C$36</f>
        <v>0</v>
      </c>
      <c r="O397" s="198">
        <f t="shared" si="50"/>
        <v>0</v>
      </c>
      <c r="P397" s="198">
        <f>'02 项目基础信息（输入）'!$I$36</f>
        <v>0</v>
      </c>
      <c r="Q397" s="233">
        <f t="shared" si="51"/>
        <v>0</v>
      </c>
      <c r="S397" s="217"/>
      <c r="U397" s="220" t="s">
        <v>2156</v>
      </c>
      <c r="V397" s="1190">
        <v>0.12139999999999999</v>
      </c>
    </row>
    <row r="398" spans="1:22" ht="0" hidden="1" customHeight="1" outlineLevel="3">
      <c r="A398" s="192" t="s">
        <v>1879</v>
      </c>
      <c r="B398" s="192"/>
      <c r="C398" s="197" t="s">
        <v>1609</v>
      </c>
      <c r="D398" s="198">
        <f>'02 项目基础信息（输入）'!$C$36</f>
        <v>0</v>
      </c>
      <c r="E398" s="199" t="s">
        <v>93</v>
      </c>
      <c r="F398" s="197" t="s">
        <v>694</v>
      </c>
      <c r="G398" s="82"/>
      <c r="H398" s="199" t="s">
        <v>298</v>
      </c>
      <c r="I398" s="198">
        <f>G398*D398</f>
        <v>0</v>
      </c>
      <c r="J398" s="199" t="s">
        <v>93</v>
      </c>
      <c r="K398" s="188">
        <v>0</v>
      </c>
      <c r="L398" s="209" t="s">
        <v>675</v>
      </c>
      <c r="M398" s="207">
        <f>ROUND(K398*I398/10000,6)</f>
        <v>0</v>
      </c>
      <c r="N398" s="198">
        <f>'02 项目基础信息（输入）'!$C$36</f>
        <v>0</v>
      </c>
      <c r="O398" s="198">
        <f t="shared" si="50"/>
        <v>0</v>
      </c>
      <c r="P398" s="198">
        <f>'02 项目基础信息（输入）'!$I$36</f>
        <v>0</v>
      </c>
      <c r="Q398" s="233">
        <f t="shared" si="51"/>
        <v>0</v>
      </c>
      <c r="S398" s="217"/>
      <c r="U398" s="220" t="s">
        <v>2157</v>
      </c>
      <c r="V398" s="1190">
        <v>4.5057</v>
      </c>
    </row>
    <row r="399" spans="1:22" ht="0" hidden="1" customHeight="1" outlineLevel="3">
      <c r="A399" s="192" t="s">
        <v>1881</v>
      </c>
      <c r="B399" s="192"/>
      <c r="C399" s="197" t="s">
        <v>1609</v>
      </c>
      <c r="D399" s="198">
        <f>'02 项目基础信息（输入）'!$C$36</f>
        <v>0</v>
      </c>
      <c r="E399" s="199" t="s">
        <v>93</v>
      </c>
      <c r="F399" s="197" t="s">
        <v>694</v>
      </c>
      <c r="G399" s="82"/>
      <c r="H399" s="199" t="s">
        <v>298</v>
      </c>
      <c r="I399" s="198">
        <f>G399*D399</f>
        <v>0</v>
      </c>
      <c r="J399" s="199" t="s">
        <v>93</v>
      </c>
      <c r="K399" s="188">
        <v>0</v>
      </c>
      <c r="L399" s="209" t="s">
        <v>675</v>
      </c>
      <c r="M399" s="207">
        <f>ROUND(K399*I399/10000,6)</f>
        <v>0</v>
      </c>
      <c r="N399" s="198">
        <f>'02 项目基础信息（输入）'!$C$36</f>
        <v>0</v>
      </c>
      <c r="O399" s="198">
        <f t="shared" si="50"/>
        <v>0</v>
      </c>
      <c r="P399" s="198">
        <f>'02 项目基础信息（输入）'!$I$36</f>
        <v>0</v>
      </c>
      <c r="Q399" s="233">
        <f t="shared" si="51"/>
        <v>0</v>
      </c>
      <c r="S399" s="217"/>
      <c r="U399" s="220" t="s">
        <v>2158</v>
      </c>
      <c r="V399" s="1190">
        <v>4.5057</v>
      </c>
    </row>
    <row r="400" spans="1:22" ht="0" hidden="1" customHeight="1" outlineLevel="2">
      <c r="A400" s="192" t="s">
        <v>2159</v>
      </c>
      <c r="B400" s="192"/>
      <c r="C400" s="197" t="s">
        <v>1609</v>
      </c>
      <c r="D400" s="198">
        <f>'02 项目基础信息（输入）'!$C$36</f>
        <v>0</v>
      </c>
      <c r="E400" s="199" t="s">
        <v>93</v>
      </c>
      <c r="F400" s="197"/>
      <c r="G400" s="199"/>
      <c r="H400" s="199"/>
      <c r="I400" s="197"/>
      <c r="J400" s="199"/>
      <c r="K400" s="198"/>
      <c r="L400" s="209"/>
      <c r="M400" s="198">
        <f>ROUND(SUM(M401),6)</f>
        <v>0</v>
      </c>
      <c r="N400" s="198">
        <f>'02 项目基础信息（输入）'!$C$36</f>
        <v>0</v>
      </c>
      <c r="O400" s="198">
        <f t="shared" si="50"/>
        <v>0</v>
      </c>
      <c r="P400" s="198">
        <f>'02 项目基础信息（输入）'!$I$36</f>
        <v>0</v>
      </c>
      <c r="Q400" s="233">
        <f t="shared" si="51"/>
        <v>0</v>
      </c>
      <c r="S400" s="217" t="s">
        <v>1313</v>
      </c>
      <c r="U400" s="220" t="s">
        <v>2160</v>
      </c>
      <c r="V400" s="1190">
        <v>91.661600000000007</v>
      </c>
    </row>
    <row r="401" spans="1:22" ht="0" hidden="1" customHeight="1" outlineLevel="3">
      <c r="A401" s="192" t="s">
        <v>2161</v>
      </c>
      <c r="B401" s="192"/>
      <c r="C401" s="197" t="s">
        <v>1609</v>
      </c>
      <c r="D401" s="198">
        <f>'02 项目基础信息（输入）'!$C$36</f>
        <v>0</v>
      </c>
      <c r="E401" s="199" t="s">
        <v>93</v>
      </c>
      <c r="F401" s="197" t="s">
        <v>1886</v>
      </c>
      <c r="G401" s="199">
        <v>1</v>
      </c>
      <c r="H401" s="199" t="s">
        <v>298</v>
      </c>
      <c r="I401" s="198">
        <f>G401*D401</f>
        <v>0</v>
      </c>
      <c r="J401" s="199" t="s">
        <v>93</v>
      </c>
      <c r="K401" s="188">
        <v>0</v>
      </c>
      <c r="L401" s="209" t="s">
        <v>675</v>
      </c>
      <c r="M401" s="207">
        <f>ROUND(K401*I401/10000,6)</f>
        <v>0</v>
      </c>
      <c r="N401" s="198">
        <f>'02 项目基础信息（输入）'!$C$36</f>
        <v>0</v>
      </c>
      <c r="O401" s="198">
        <f t="shared" si="50"/>
        <v>0</v>
      </c>
      <c r="P401" s="198">
        <f>'02 项目基础信息（输入）'!$I$36</f>
        <v>0</v>
      </c>
      <c r="Q401" s="233">
        <f t="shared" si="51"/>
        <v>0</v>
      </c>
      <c r="S401" s="217"/>
      <c r="U401" s="220" t="s">
        <v>2162</v>
      </c>
      <c r="V401" s="1190">
        <v>19.8584</v>
      </c>
    </row>
    <row r="402" spans="1:22" ht="0" hidden="1" customHeight="1" outlineLevel="2">
      <c r="A402" s="192" t="s">
        <v>1883</v>
      </c>
      <c r="B402" s="192"/>
      <c r="C402" s="197" t="s">
        <v>1609</v>
      </c>
      <c r="D402" s="198">
        <f>'02 项目基础信息（输入）'!$C$36</f>
        <v>0</v>
      </c>
      <c r="E402" s="199" t="s">
        <v>93</v>
      </c>
      <c r="F402" s="197"/>
      <c r="G402" s="199"/>
      <c r="H402" s="199"/>
      <c r="I402" s="197"/>
      <c r="J402" s="199"/>
      <c r="K402" s="198"/>
      <c r="L402" s="209"/>
      <c r="M402" s="198">
        <f>ROUND(SUM(M403),6)</f>
        <v>0</v>
      </c>
      <c r="N402" s="198">
        <f>'02 项目基础信息（输入）'!$C$36</f>
        <v>0</v>
      </c>
      <c r="O402" s="198">
        <f t="shared" si="50"/>
        <v>0</v>
      </c>
      <c r="P402" s="198">
        <f>'02 项目基础信息（输入）'!$I$36</f>
        <v>0</v>
      </c>
      <c r="Q402" s="233">
        <f t="shared" si="51"/>
        <v>0</v>
      </c>
      <c r="S402" s="217" t="s">
        <v>1313</v>
      </c>
      <c r="U402" s="220" t="s">
        <v>2163</v>
      </c>
      <c r="V402" s="1190">
        <v>71.803200000000004</v>
      </c>
    </row>
    <row r="403" spans="1:22" ht="0" hidden="1" customHeight="1" outlineLevel="3">
      <c r="A403" s="192" t="s">
        <v>1885</v>
      </c>
      <c r="B403" s="192"/>
      <c r="C403" s="197" t="s">
        <v>1609</v>
      </c>
      <c r="D403" s="198">
        <f>'02 项目基础信息（输入）'!$C$36</f>
        <v>0</v>
      </c>
      <c r="E403" s="199" t="s">
        <v>93</v>
      </c>
      <c r="F403" s="197" t="s">
        <v>1886</v>
      </c>
      <c r="G403" s="199">
        <v>1</v>
      </c>
      <c r="H403" s="199" t="s">
        <v>298</v>
      </c>
      <c r="I403" s="198">
        <f>G403*D403</f>
        <v>0</v>
      </c>
      <c r="J403" s="199" t="s">
        <v>93</v>
      </c>
      <c r="K403" s="188">
        <v>0</v>
      </c>
      <c r="L403" s="209" t="s">
        <v>675</v>
      </c>
      <c r="M403" s="207">
        <f>ROUND(K403*I403/10000,6)</f>
        <v>0</v>
      </c>
      <c r="N403" s="198">
        <f>'02 项目基础信息（输入）'!$C$36</f>
        <v>0</v>
      </c>
      <c r="O403" s="198">
        <f t="shared" si="50"/>
        <v>0</v>
      </c>
      <c r="P403" s="198">
        <f>'02 项目基础信息（输入）'!$I$36</f>
        <v>0</v>
      </c>
      <c r="Q403" s="233">
        <f t="shared" si="51"/>
        <v>0</v>
      </c>
      <c r="S403" s="217"/>
      <c r="U403" s="220" t="s">
        <v>2164</v>
      </c>
      <c r="V403" s="1190">
        <v>0</v>
      </c>
    </row>
    <row r="404" spans="1:22" ht="0" hidden="1" customHeight="1" outlineLevel="2">
      <c r="A404" s="192" t="s">
        <v>1888</v>
      </c>
      <c r="B404" s="192"/>
      <c r="C404" s="197" t="s">
        <v>1609</v>
      </c>
      <c r="D404" s="198">
        <f>'02 项目基础信息（输入）'!$C$36</f>
        <v>0</v>
      </c>
      <c r="E404" s="199" t="s">
        <v>93</v>
      </c>
      <c r="F404" s="197"/>
      <c r="G404" s="199"/>
      <c r="H404" s="199"/>
      <c r="I404" s="197"/>
      <c r="J404" s="199"/>
      <c r="K404" s="198"/>
      <c r="L404" s="209"/>
      <c r="M404" s="198">
        <f>ROUND(SUM(M405:M409),6)</f>
        <v>0</v>
      </c>
      <c r="N404" s="198">
        <f>'02 项目基础信息（输入）'!$C$36</f>
        <v>0</v>
      </c>
      <c r="O404" s="198">
        <f t="shared" si="50"/>
        <v>0</v>
      </c>
      <c r="P404" s="198">
        <f>'02 项目基础信息（输入）'!$I$36</f>
        <v>0</v>
      </c>
      <c r="Q404" s="233">
        <f t="shared" si="51"/>
        <v>0</v>
      </c>
      <c r="S404" s="217" t="s">
        <v>1313</v>
      </c>
      <c r="U404" s="220" t="s">
        <v>2165</v>
      </c>
      <c r="V404" s="1190">
        <v>0</v>
      </c>
    </row>
    <row r="405" spans="1:22" ht="0" hidden="1" customHeight="1" outlineLevel="3">
      <c r="A405" s="192" t="s">
        <v>1890</v>
      </c>
      <c r="B405" s="192"/>
      <c r="C405" s="197" t="s">
        <v>1609</v>
      </c>
      <c r="D405" s="198">
        <f>'02 项目基础信息（输入）'!$C$36</f>
        <v>0</v>
      </c>
      <c r="E405" s="199" t="s">
        <v>93</v>
      </c>
      <c r="F405" s="197" t="s">
        <v>1886</v>
      </c>
      <c r="G405" s="199">
        <v>1</v>
      </c>
      <c r="H405" s="199" t="s">
        <v>298</v>
      </c>
      <c r="I405" s="198">
        <f>G405*D405</f>
        <v>0</v>
      </c>
      <c r="J405" s="199" t="s">
        <v>93</v>
      </c>
      <c r="K405" s="188">
        <v>0</v>
      </c>
      <c r="L405" s="209" t="s">
        <v>675</v>
      </c>
      <c r="M405" s="207">
        <f>ROUND(K405*I405/10000,6)</f>
        <v>0</v>
      </c>
      <c r="N405" s="198">
        <f>'02 项目基础信息（输入）'!$C$36</f>
        <v>0</v>
      </c>
      <c r="O405" s="198">
        <f t="shared" si="50"/>
        <v>0</v>
      </c>
      <c r="P405" s="198">
        <f>'02 项目基础信息（输入）'!$I$36</f>
        <v>0</v>
      </c>
      <c r="Q405" s="233">
        <f t="shared" si="51"/>
        <v>0</v>
      </c>
      <c r="S405" s="217"/>
      <c r="U405" s="220" t="s">
        <v>2166</v>
      </c>
      <c r="V405" s="1190">
        <v>0</v>
      </c>
    </row>
    <row r="406" spans="1:22" ht="0" hidden="1" customHeight="1" outlineLevel="3">
      <c r="A406" s="192" t="s">
        <v>1892</v>
      </c>
      <c r="B406" s="192"/>
      <c r="C406" s="197" t="s">
        <v>1609</v>
      </c>
      <c r="D406" s="198">
        <f>'02 项目基础信息（输入）'!$C$36</f>
        <v>0</v>
      </c>
      <c r="E406" s="199" t="s">
        <v>93</v>
      </c>
      <c r="F406" s="197" t="s">
        <v>1886</v>
      </c>
      <c r="G406" s="199">
        <v>1</v>
      </c>
      <c r="H406" s="199" t="s">
        <v>298</v>
      </c>
      <c r="I406" s="198">
        <f>G406*D406</f>
        <v>0</v>
      </c>
      <c r="J406" s="199" t="s">
        <v>93</v>
      </c>
      <c r="K406" s="188">
        <v>0</v>
      </c>
      <c r="L406" s="209" t="s">
        <v>675</v>
      </c>
      <c r="M406" s="207">
        <f>ROUND(K406*I406/10000,6)</f>
        <v>0</v>
      </c>
      <c r="N406" s="198">
        <f>'02 项目基础信息（输入）'!$C$36</f>
        <v>0</v>
      </c>
      <c r="O406" s="198">
        <f t="shared" si="50"/>
        <v>0</v>
      </c>
      <c r="P406" s="198">
        <f>'02 项目基础信息（输入）'!$I$36</f>
        <v>0</v>
      </c>
      <c r="Q406" s="233">
        <f t="shared" si="51"/>
        <v>0</v>
      </c>
      <c r="S406" s="217"/>
      <c r="U406" s="220" t="s">
        <v>2167</v>
      </c>
      <c r="V406" s="1190">
        <v>0</v>
      </c>
    </row>
    <row r="407" spans="1:22" ht="0" hidden="1" customHeight="1" outlineLevel="3">
      <c r="A407" s="192" t="s">
        <v>1894</v>
      </c>
      <c r="B407" s="192"/>
      <c r="C407" s="197" t="s">
        <v>1609</v>
      </c>
      <c r="D407" s="198">
        <f>'02 项目基础信息（输入）'!$C$36</f>
        <v>0</v>
      </c>
      <c r="E407" s="199" t="s">
        <v>93</v>
      </c>
      <c r="F407" s="197" t="s">
        <v>1886</v>
      </c>
      <c r="G407" s="199">
        <v>1</v>
      </c>
      <c r="H407" s="199" t="s">
        <v>298</v>
      </c>
      <c r="I407" s="198">
        <f>G407*D407</f>
        <v>0</v>
      </c>
      <c r="J407" s="199" t="s">
        <v>93</v>
      </c>
      <c r="K407" s="188">
        <v>0</v>
      </c>
      <c r="L407" s="209" t="s">
        <v>675</v>
      </c>
      <c r="M407" s="207">
        <f>ROUND(K407*I407/10000,6)</f>
        <v>0</v>
      </c>
      <c r="N407" s="198">
        <f>'02 项目基础信息（输入）'!$C$36</f>
        <v>0</v>
      </c>
      <c r="O407" s="198">
        <f t="shared" si="50"/>
        <v>0</v>
      </c>
      <c r="P407" s="198">
        <f>'02 项目基础信息（输入）'!$I$36</f>
        <v>0</v>
      </c>
      <c r="Q407" s="233">
        <f t="shared" si="51"/>
        <v>0</v>
      </c>
      <c r="S407" s="217"/>
      <c r="U407" s="220" t="s">
        <v>2168</v>
      </c>
      <c r="V407" s="1190">
        <v>0</v>
      </c>
    </row>
    <row r="408" spans="1:22" ht="0" hidden="1" customHeight="1" outlineLevel="3">
      <c r="A408" s="192" t="s">
        <v>1896</v>
      </c>
      <c r="B408" s="192"/>
      <c r="C408" s="197" t="s">
        <v>1609</v>
      </c>
      <c r="D408" s="198">
        <f>'02 项目基础信息（输入）'!$C$36</f>
        <v>0</v>
      </c>
      <c r="E408" s="199" t="s">
        <v>93</v>
      </c>
      <c r="F408" s="197" t="s">
        <v>1886</v>
      </c>
      <c r="G408" s="199">
        <v>1</v>
      </c>
      <c r="H408" s="199" t="s">
        <v>298</v>
      </c>
      <c r="I408" s="198">
        <f>G408*D408</f>
        <v>0</v>
      </c>
      <c r="J408" s="199" t="s">
        <v>93</v>
      </c>
      <c r="K408" s="188">
        <v>0</v>
      </c>
      <c r="L408" s="209" t="s">
        <v>675</v>
      </c>
      <c r="M408" s="207">
        <f>ROUND(K408*I408/10000,6)</f>
        <v>0</v>
      </c>
      <c r="N408" s="198">
        <f>'02 项目基础信息（输入）'!$C$36</f>
        <v>0</v>
      </c>
      <c r="O408" s="198">
        <f t="shared" si="50"/>
        <v>0</v>
      </c>
      <c r="P408" s="198">
        <f>'02 项目基础信息（输入）'!$I$36</f>
        <v>0</v>
      </c>
      <c r="Q408" s="233">
        <f t="shared" si="51"/>
        <v>0</v>
      </c>
      <c r="S408" s="217"/>
      <c r="U408" s="220" t="s">
        <v>2169</v>
      </c>
      <c r="V408" s="1190">
        <v>2.7839</v>
      </c>
    </row>
    <row r="409" spans="1:22" ht="0" hidden="1" customHeight="1" outlineLevel="3">
      <c r="A409" s="192" t="s">
        <v>1898</v>
      </c>
      <c r="B409" s="192"/>
      <c r="C409" s="197" t="s">
        <v>1609</v>
      </c>
      <c r="D409" s="198">
        <f>'02 项目基础信息（输入）'!$C$36</f>
        <v>0</v>
      </c>
      <c r="E409" s="199" t="s">
        <v>93</v>
      </c>
      <c r="F409" s="197" t="s">
        <v>1886</v>
      </c>
      <c r="G409" s="199">
        <v>1</v>
      </c>
      <c r="H409" s="199" t="s">
        <v>298</v>
      </c>
      <c r="I409" s="198">
        <f>G409*D409</f>
        <v>0</v>
      </c>
      <c r="J409" s="199" t="s">
        <v>93</v>
      </c>
      <c r="K409" s="188">
        <v>0</v>
      </c>
      <c r="L409" s="209" t="s">
        <v>675</v>
      </c>
      <c r="M409" s="207">
        <f>ROUND(K409*I409/10000,6)</f>
        <v>0</v>
      </c>
      <c r="N409" s="198">
        <f>'02 项目基础信息（输入）'!$C$36</f>
        <v>0</v>
      </c>
      <c r="O409" s="198">
        <f t="shared" si="50"/>
        <v>0</v>
      </c>
      <c r="P409" s="198">
        <f>'02 项目基础信息（输入）'!$I$36</f>
        <v>0</v>
      </c>
      <c r="Q409" s="233">
        <f t="shared" si="51"/>
        <v>0</v>
      </c>
      <c r="S409" s="217"/>
      <c r="U409" s="220" t="s">
        <v>2170</v>
      </c>
      <c r="V409" s="1190">
        <v>0.30330000000000001</v>
      </c>
    </row>
    <row r="410" spans="1:22" ht="0" hidden="1" customHeight="1" outlineLevel="2">
      <c r="A410" s="192" t="s">
        <v>1900</v>
      </c>
      <c r="B410" s="192"/>
      <c r="C410" s="197" t="s">
        <v>1609</v>
      </c>
      <c r="D410" s="198">
        <f>'02 项目基础信息（输入）'!$C$36</f>
        <v>0</v>
      </c>
      <c r="E410" s="199" t="s">
        <v>93</v>
      </c>
      <c r="F410" s="197"/>
      <c r="G410" s="199"/>
      <c r="H410" s="199"/>
      <c r="I410" s="197"/>
      <c r="J410" s="199"/>
      <c r="K410" s="198"/>
      <c r="L410" s="209"/>
      <c r="M410" s="198">
        <f>ROUND(SUM(M411:M416),6)</f>
        <v>0</v>
      </c>
      <c r="N410" s="198">
        <f>'02 项目基础信息（输入）'!$C$36</f>
        <v>0</v>
      </c>
      <c r="O410" s="198">
        <f t="shared" si="50"/>
        <v>0</v>
      </c>
      <c r="P410" s="198">
        <f>'02 项目基础信息（输入）'!$I$36</f>
        <v>0</v>
      </c>
      <c r="Q410" s="233">
        <f t="shared" si="51"/>
        <v>0</v>
      </c>
      <c r="S410" s="217" t="s">
        <v>1314</v>
      </c>
      <c r="U410" s="220" t="s">
        <v>2171</v>
      </c>
      <c r="V410" s="1190">
        <v>0</v>
      </c>
    </row>
    <row r="411" spans="1:22" ht="0" hidden="1" customHeight="1" outlineLevel="3">
      <c r="A411" s="192" t="s">
        <v>1902</v>
      </c>
      <c r="B411" s="192"/>
      <c r="C411" s="197" t="s">
        <v>309</v>
      </c>
      <c r="D411" s="198">
        <f>'02 项目基础信息（输入）'!$AC$36</f>
        <v>0</v>
      </c>
      <c r="E411" s="199" t="s">
        <v>310</v>
      </c>
      <c r="F411" s="197" t="s">
        <v>309</v>
      </c>
      <c r="G411" s="199">
        <v>1</v>
      </c>
      <c r="H411" s="199" t="s">
        <v>1903</v>
      </c>
      <c r="I411" s="198">
        <f t="shared" ref="I411:I416" si="52">G411*D411</f>
        <v>0</v>
      </c>
      <c r="J411" s="199" t="s">
        <v>310</v>
      </c>
      <c r="K411" s="188">
        <v>0</v>
      </c>
      <c r="L411" s="209" t="s">
        <v>736</v>
      </c>
      <c r="M411" s="207">
        <f t="shared" ref="M411:M416" si="53">ROUND(K411*I411/10000,6)</f>
        <v>0</v>
      </c>
      <c r="N411" s="198">
        <f>'02 项目基础信息（输入）'!$C$36</f>
        <v>0</v>
      </c>
      <c r="O411" s="198">
        <f t="shared" si="50"/>
        <v>0</v>
      </c>
      <c r="P411" s="198">
        <f>'02 项目基础信息（输入）'!$I$36</f>
        <v>0</v>
      </c>
      <c r="Q411" s="233">
        <f t="shared" si="51"/>
        <v>0</v>
      </c>
      <c r="S411" s="217"/>
      <c r="U411" s="220" t="s">
        <v>2172</v>
      </c>
      <c r="V411" s="1190">
        <v>0</v>
      </c>
    </row>
    <row r="412" spans="1:22" ht="0" hidden="1" customHeight="1" outlineLevel="3">
      <c r="A412" s="192" t="s">
        <v>1905</v>
      </c>
      <c r="B412" s="192"/>
      <c r="C412" s="197" t="s">
        <v>309</v>
      </c>
      <c r="D412" s="198">
        <f>'02 项目基础信息（输入）'!$AC$36</f>
        <v>0</v>
      </c>
      <c r="E412" s="199" t="s">
        <v>310</v>
      </c>
      <c r="F412" s="197" t="s">
        <v>309</v>
      </c>
      <c r="G412" s="199">
        <v>1</v>
      </c>
      <c r="H412" s="199" t="s">
        <v>1903</v>
      </c>
      <c r="I412" s="198">
        <f t="shared" si="52"/>
        <v>0</v>
      </c>
      <c r="J412" s="199" t="s">
        <v>310</v>
      </c>
      <c r="K412" s="188">
        <v>0</v>
      </c>
      <c r="L412" s="209" t="s">
        <v>736</v>
      </c>
      <c r="M412" s="207">
        <f t="shared" si="53"/>
        <v>0</v>
      </c>
      <c r="N412" s="198">
        <f>'02 项目基础信息（输入）'!$C$36</f>
        <v>0</v>
      </c>
      <c r="O412" s="198">
        <f t="shared" si="50"/>
        <v>0</v>
      </c>
      <c r="P412" s="198">
        <f>'02 项目基础信息（输入）'!$I$36</f>
        <v>0</v>
      </c>
      <c r="Q412" s="233">
        <f t="shared" si="51"/>
        <v>0</v>
      </c>
      <c r="S412" s="217"/>
      <c r="U412" s="220" t="s">
        <v>2173</v>
      </c>
      <c r="V412" s="1190">
        <v>2.4805999999999999</v>
      </c>
    </row>
    <row r="413" spans="1:22" ht="0" hidden="1" customHeight="1" outlineLevel="3">
      <c r="A413" s="192" t="s">
        <v>1907</v>
      </c>
      <c r="B413" s="192"/>
      <c r="C413" s="197" t="s">
        <v>309</v>
      </c>
      <c r="D413" s="198">
        <f>'02 项目基础信息（输入）'!$AC$36</f>
        <v>0</v>
      </c>
      <c r="E413" s="199" t="s">
        <v>310</v>
      </c>
      <c r="F413" s="197" t="s">
        <v>309</v>
      </c>
      <c r="G413" s="199">
        <v>1</v>
      </c>
      <c r="H413" s="199" t="s">
        <v>1903</v>
      </c>
      <c r="I413" s="198">
        <f t="shared" si="52"/>
        <v>0</v>
      </c>
      <c r="J413" s="199" t="s">
        <v>310</v>
      </c>
      <c r="K413" s="188">
        <v>0</v>
      </c>
      <c r="L413" s="209" t="s">
        <v>736</v>
      </c>
      <c r="M413" s="207">
        <f t="shared" si="53"/>
        <v>0</v>
      </c>
      <c r="N413" s="198">
        <f>'02 项目基础信息（输入）'!$C$36</f>
        <v>0</v>
      </c>
      <c r="O413" s="198">
        <f t="shared" si="50"/>
        <v>0</v>
      </c>
      <c r="P413" s="198">
        <f>'02 项目基础信息（输入）'!$I$36</f>
        <v>0</v>
      </c>
      <c r="Q413" s="233">
        <f t="shared" si="51"/>
        <v>0</v>
      </c>
      <c r="S413" s="217"/>
      <c r="U413" s="220" t="s">
        <v>2174</v>
      </c>
      <c r="V413" s="1190">
        <v>0</v>
      </c>
    </row>
    <row r="414" spans="1:22" ht="0" hidden="1" customHeight="1" outlineLevel="3">
      <c r="A414" s="192" t="s">
        <v>1909</v>
      </c>
      <c r="B414" s="192"/>
      <c r="C414" s="197" t="s">
        <v>309</v>
      </c>
      <c r="D414" s="198">
        <f>'02 项目基础信息（输入）'!$AC$36</f>
        <v>0</v>
      </c>
      <c r="E414" s="199" t="s">
        <v>310</v>
      </c>
      <c r="F414" s="197" t="s">
        <v>309</v>
      </c>
      <c r="G414" s="199">
        <v>1</v>
      </c>
      <c r="H414" s="199" t="s">
        <v>1903</v>
      </c>
      <c r="I414" s="198">
        <f t="shared" si="52"/>
        <v>0</v>
      </c>
      <c r="J414" s="199" t="s">
        <v>310</v>
      </c>
      <c r="K414" s="188">
        <v>0</v>
      </c>
      <c r="L414" s="209" t="s">
        <v>736</v>
      </c>
      <c r="M414" s="207">
        <f t="shared" si="53"/>
        <v>0</v>
      </c>
      <c r="N414" s="198">
        <f>'02 项目基础信息（输入）'!$C$36</f>
        <v>0</v>
      </c>
      <c r="O414" s="198">
        <f t="shared" si="50"/>
        <v>0</v>
      </c>
      <c r="P414" s="198">
        <f>'02 项目基础信息（输入）'!$I$36</f>
        <v>0</v>
      </c>
      <c r="Q414" s="233">
        <f t="shared" si="51"/>
        <v>0</v>
      </c>
      <c r="S414" s="217"/>
      <c r="U414" s="220" t="s">
        <v>2175</v>
      </c>
      <c r="V414" s="1190">
        <v>32.750599999999999</v>
      </c>
    </row>
    <row r="415" spans="1:22" ht="0" hidden="1" customHeight="1" outlineLevel="3">
      <c r="A415" s="192" t="s">
        <v>1911</v>
      </c>
      <c r="B415" s="192"/>
      <c r="C415" s="197" t="s">
        <v>309</v>
      </c>
      <c r="D415" s="198">
        <f>'02 项目基础信息（输入）'!$AC$36</f>
        <v>0</v>
      </c>
      <c r="E415" s="199" t="s">
        <v>310</v>
      </c>
      <c r="F415" s="197" t="s">
        <v>309</v>
      </c>
      <c r="G415" s="199">
        <v>1</v>
      </c>
      <c r="H415" s="199" t="s">
        <v>1903</v>
      </c>
      <c r="I415" s="198">
        <f t="shared" si="52"/>
        <v>0</v>
      </c>
      <c r="J415" s="199" t="s">
        <v>310</v>
      </c>
      <c r="K415" s="188">
        <v>0</v>
      </c>
      <c r="L415" s="209" t="s">
        <v>736</v>
      </c>
      <c r="M415" s="207">
        <f t="shared" si="53"/>
        <v>0</v>
      </c>
      <c r="N415" s="198">
        <f>'02 项目基础信息（输入）'!$C$36</f>
        <v>0</v>
      </c>
      <c r="O415" s="198">
        <f t="shared" si="50"/>
        <v>0</v>
      </c>
      <c r="P415" s="198">
        <f>'02 项目基础信息（输入）'!$I$36</f>
        <v>0</v>
      </c>
      <c r="Q415" s="233">
        <f t="shared" si="51"/>
        <v>0</v>
      </c>
      <c r="S415" s="217"/>
      <c r="U415" s="220" t="s">
        <v>2176</v>
      </c>
      <c r="V415" s="1190">
        <v>26.4313</v>
      </c>
    </row>
    <row r="416" spans="1:22" ht="0" hidden="1" customHeight="1" outlineLevel="3">
      <c r="A416" s="192" t="s">
        <v>1913</v>
      </c>
      <c r="B416" s="192"/>
      <c r="C416" s="197" t="s">
        <v>309</v>
      </c>
      <c r="D416" s="198">
        <f>'02 项目基础信息（输入）'!$AC$36</f>
        <v>0</v>
      </c>
      <c r="E416" s="199" t="s">
        <v>310</v>
      </c>
      <c r="F416" s="197" t="s">
        <v>309</v>
      </c>
      <c r="G416" s="199">
        <v>1</v>
      </c>
      <c r="H416" s="199" t="s">
        <v>1903</v>
      </c>
      <c r="I416" s="198">
        <f t="shared" si="52"/>
        <v>0</v>
      </c>
      <c r="J416" s="199" t="s">
        <v>310</v>
      </c>
      <c r="K416" s="188">
        <v>0</v>
      </c>
      <c r="L416" s="209" t="s">
        <v>736</v>
      </c>
      <c r="M416" s="207">
        <f t="shared" si="53"/>
        <v>0</v>
      </c>
      <c r="N416" s="198">
        <f>'02 项目基础信息（输入）'!$C$36</f>
        <v>0</v>
      </c>
      <c r="O416" s="198">
        <f t="shared" si="50"/>
        <v>0</v>
      </c>
      <c r="P416" s="198">
        <f>'02 项目基础信息（输入）'!$I$36</f>
        <v>0</v>
      </c>
      <c r="Q416" s="233">
        <f t="shared" si="51"/>
        <v>0</v>
      </c>
      <c r="S416" s="217"/>
      <c r="U416" s="220" t="s">
        <v>2177</v>
      </c>
      <c r="V416" s="1190">
        <v>0.2707</v>
      </c>
    </row>
    <row r="417" spans="1:22" ht="0" hidden="1" customHeight="1" outlineLevel="2">
      <c r="A417" s="192" t="s">
        <v>2178</v>
      </c>
      <c r="B417" s="192"/>
      <c r="C417" s="197" t="s">
        <v>1609</v>
      </c>
      <c r="D417" s="198">
        <f>'02 项目基础信息（输入）'!$C$36</f>
        <v>0</v>
      </c>
      <c r="E417" s="199" t="s">
        <v>93</v>
      </c>
      <c r="F417" s="197"/>
      <c r="G417" s="199"/>
      <c r="H417" s="199"/>
      <c r="I417" s="197"/>
      <c r="J417" s="199"/>
      <c r="K417" s="198"/>
      <c r="L417" s="209"/>
      <c r="M417" s="198">
        <f>ROUND(SUM(M418),6)</f>
        <v>0</v>
      </c>
      <c r="N417" s="198">
        <f>'02 项目基础信息（输入）'!$C$36</f>
        <v>0</v>
      </c>
      <c r="O417" s="198">
        <f t="shared" si="50"/>
        <v>0</v>
      </c>
      <c r="P417" s="198">
        <f>'02 项目基础信息（输入）'!$I$36</f>
        <v>0</v>
      </c>
      <c r="Q417" s="233">
        <f t="shared" si="51"/>
        <v>0</v>
      </c>
      <c r="S417" s="217" t="s">
        <v>1313</v>
      </c>
      <c r="U417" s="220" t="s">
        <v>2179</v>
      </c>
      <c r="V417" s="1190">
        <v>4.9126000000000003</v>
      </c>
    </row>
    <row r="418" spans="1:22" ht="0" hidden="1" customHeight="1" outlineLevel="3">
      <c r="A418" s="192" t="s">
        <v>2180</v>
      </c>
      <c r="B418" s="192"/>
      <c r="C418" s="197" t="s">
        <v>309</v>
      </c>
      <c r="D418" s="198">
        <f>'02 项目基础信息（输入）'!$AC$36</f>
        <v>0</v>
      </c>
      <c r="E418" s="199" t="s">
        <v>310</v>
      </c>
      <c r="F418" s="197" t="s">
        <v>309</v>
      </c>
      <c r="G418" s="199">
        <v>1</v>
      </c>
      <c r="H418" s="199" t="s">
        <v>1903</v>
      </c>
      <c r="I418" s="198">
        <f>G418*D418</f>
        <v>0</v>
      </c>
      <c r="J418" s="199" t="s">
        <v>310</v>
      </c>
      <c r="K418" s="188">
        <v>0</v>
      </c>
      <c r="L418" s="209" t="s">
        <v>736</v>
      </c>
      <c r="M418" s="207">
        <f>ROUND(K418*I418/10000,6)</f>
        <v>0</v>
      </c>
      <c r="N418" s="198">
        <f>'02 项目基础信息（输入）'!$C$36</f>
        <v>0</v>
      </c>
      <c r="O418" s="198">
        <f t="shared" si="50"/>
        <v>0</v>
      </c>
      <c r="P418" s="198">
        <f>'02 项目基础信息（输入）'!$I$36</f>
        <v>0</v>
      </c>
      <c r="Q418" s="233">
        <f t="shared" si="51"/>
        <v>0</v>
      </c>
      <c r="S418" s="217"/>
      <c r="U418" s="220" t="s">
        <v>2181</v>
      </c>
      <c r="V418" s="1190">
        <v>0</v>
      </c>
    </row>
    <row r="419" spans="1:22" ht="0" hidden="1" customHeight="1" outlineLevel="2">
      <c r="A419" s="192" t="s">
        <v>2182</v>
      </c>
      <c r="B419" s="192"/>
      <c r="C419" s="197" t="s">
        <v>1609</v>
      </c>
      <c r="D419" s="198">
        <f>'02 项目基础信息（输入）'!$C$36</f>
        <v>0</v>
      </c>
      <c r="E419" s="199" t="s">
        <v>93</v>
      </c>
      <c r="F419" s="197"/>
      <c r="G419" s="199"/>
      <c r="H419" s="199"/>
      <c r="I419" s="197"/>
      <c r="J419" s="199"/>
      <c r="K419" s="198"/>
      <c r="L419" s="209"/>
      <c r="M419" s="198">
        <f>ROUND(SUM(M420),6)</f>
        <v>0</v>
      </c>
      <c r="N419" s="198">
        <f>'02 项目基础信息（输入）'!$C$36</f>
        <v>0</v>
      </c>
      <c r="O419" s="198">
        <f t="shared" si="50"/>
        <v>0</v>
      </c>
      <c r="P419" s="198">
        <f>'02 项目基础信息（输入）'!$I$36</f>
        <v>0</v>
      </c>
      <c r="Q419" s="233">
        <f t="shared" si="51"/>
        <v>0</v>
      </c>
      <c r="S419" s="217" t="s">
        <v>1313</v>
      </c>
      <c r="U419" s="220" t="s">
        <v>2183</v>
      </c>
      <c r="V419" s="1190">
        <v>0</v>
      </c>
    </row>
    <row r="420" spans="1:22" ht="0" hidden="1" customHeight="1" outlineLevel="3">
      <c r="A420" s="192" t="s">
        <v>2184</v>
      </c>
      <c r="B420" s="192"/>
      <c r="C420" s="197" t="s">
        <v>309</v>
      </c>
      <c r="D420" s="198">
        <f>'02 项目基础信息（输入）'!$AC$36</f>
        <v>0</v>
      </c>
      <c r="E420" s="199" t="s">
        <v>310</v>
      </c>
      <c r="F420" s="197" t="s">
        <v>309</v>
      </c>
      <c r="G420" s="199">
        <v>1</v>
      </c>
      <c r="H420" s="199" t="s">
        <v>1903</v>
      </c>
      <c r="I420" s="198">
        <f>G420*D420</f>
        <v>0</v>
      </c>
      <c r="J420" s="199" t="s">
        <v>310</v>
      </c>
      <c r="K420" s="188">
        <v>0</v>
      </c>
      <c r="L420" s="209" t="s">
        <v>736</v>
      </c>
      <c r="M420" s="198">
        <f>ROUND(K420*I420/10000,6)</f>
        <v>0</v>
      </c>
      <c r="N420" s="198">
        <f>'02 项目基础信息（输入）'!$C$36</f>
        <v>0</v>
      </c>
      <c r="O420" s="198">
        <f t="shared" si="50"/>
        <v>0</v>
      </c>
      <c r="P420" s="198">
        <f>'02 项目基础信息（输入）'!$I$36</f>
        <v>0</v>
      </c>
      <c r="Q420" s="233">
        <f t="shared" si="51"/>
        <v>0</v>
      </c>
      <c r="S420" s="217"/>
      <c r="U420" s="220" t="s">
        <v>2185</v>
      </c>
      <c r="V420" s="1190">
        <v>1.1358999999999999</v>
      </c>
    </row>
    <row r="421" spans="1:22" ht="0" hidden="1" customHeight="1" outlineLevel="2">
      <c r="A421" s="192" t="s">
        <v>1915</v>
      </c>
      <c r="B421" s="192"/>
      <c r="C421" s="197" t="s">
        <v>1609</v>
      </c>
      <c r="D421" s="198">
        <f>'02 项目基础信息（输入）'!$C$36</f>
        <v>0</v>
      </c>
      <c r="E421" s="199" t="s">
        <v>93</v>
      </c>
      <c r="F421" s="197"/>
      <c r="G421" s="199"/>
      <c r="H421" s="199"/>
      <c r="I421" s="197"/>
      <c r="J421" s="199"/>
      <c r="K421" s="198"/>
      <c r="L421" s="209"/>
      <c r="M421" s="198">
        <f>ROUND(SUM(M422:M424),6)</f>
        <v>0</v>
      </c>
      <c r="N421" s="198">
        <f>'02 项目基础信息（输入）'!$C$36</f>
        <v>0</v>
      </c>
      <c r="O421" s="198">
        <f t="shared" si="50"/>
        <v>0</v>
      </c>
      <c r="P421" s="198">
        <f>'02 项目基础信息（输入）'!$I$36</f>
        <v>0</v>
      </c>
      <c r="Q421" s="233">
        <f t="shared" si="51"/>
        <v>0</v>
      </c>
      <c r="S421" s="217" t="s">
        <v>1314</v>
      </c>
      <c r="U421" s="220" t="s">
        <v>2186</v>
      </c>
      <c r="V421" s="1190">
        <v>32.077100000000002</v>
      </c>
    </row>
    <row r="422" spans="1:22" ht="0" hidden="1" customHeight="1" outlineLevel="3">
      <c r="A422" s="192" t="s">
        <v>1917</v>
      </c>
      <c r="B422" s="192"/>
      <c r="C422" s="197" t="s">
        <v>455</v>
      </c>
      <c r="D422" s="198">
        <f>'02 项目基础信息（输入）'!$J$36</f>
        <v>0</v>
      </c>
      <c r="E422" s="199" t="s">
        <v>400</v>
      </c>
      <c r="F422" s="197" t="s">
        <v>455</v>
      </c>
      <c r="G422" s="199">
        <v>1</v>
      </c>
      <c r="H422" s="199" t="s">
        <v>1918</v>
      </c>
      <c r="I422" s="198">
        <f>G422*D422</f>
        <v>0</v>
      </c>
      <c r="J422" s="199" t="s">
        <v>1082</v>
      </c>
      <c r="K422" s="188">
        <v>0</v>
      </c>
      <c r="L422" s="209" t="s">
        <v>1087</v>
      </c>
      <c r="M422" s="207">
        <f>ROUND(K422*I422/10000,6)</f>
        <v>0</v>
      </c>
      <c r="N422" s="198">
        <f>'02 项目基础信息（输入）'!$C$36</f>
        <v>0</v>
      </c>
      <c r="O422" s="198">
        <f t="shared" si="50"/>
        <v>0</v>
      </c>
      <c r="P422" s="198">
        <f>'02 项目基础信息（输入）'!$I$36</f>
        <v>0</v>
      </c>
      <c r="Q422" s="233">
        <f t="shared" si="51"/>
        <v>0</v>
      </c>
      <c r="S422" s="217"/>
      <c r="U422" s="220" t="s">
        <v>2187</v>
      </c>
      <c r="V422" s="1190">
        <v>32.077100000000002</v>
      </c>
    </row>
    <row r="423" spans="1:22" ht="0" hidden="1" customHeight="1" outlineLevel="3">
      <c r="A423" s="192" t="s">
        <v>1920</v>
      </c>
      <c r="B423" s="192"/>
      <c r="C423" s="197" t="s">
        <v>455</v>
      </c>
      <c r="D423" s="198">
        <f>'02 项目基础信息（输入）'!$J$36</f>
        <v>0</v>
      </c>
      <c r="E423" s="199" t="s">
        <v>400</v>
      </c>
      <c r="F423" s="197" t="s">
        <v>455</v>
      </c>
      <c r="G423" s="199">
        <v>1</v>
      </c>
      <c r="H423" s="199" t="s">
        <v>1918</v>
      </c>
      <c r="I423" s="198">
        <f>G423*D423</f>
        <v>0</v>
      </c>
      <c r="J423" s="199" t="s">
        <v>1082</v>
      </c>
      <c r="K423" s="188">
        <v>0</v>
      </c>
      <c r="L423" s="209" t="s">
        <v>1087</v>
      </c>
      <c r="M423" s="207">
        <f>ROUND(K423*I423/10000,6)</f>
        <v>0</v>
      </c>
      <c r="N423" s="198">
        <f>'02 项目基础信息（输入）'!$C$36</f>
        <v>0</v>
      </c>
      <c r="O423" s="198">
        <f t="shared" si="50"/>
        <v>0</v>
      </c>
      <c r="P423" s="198">
        <f>'02 项目基础信息（输入）'!$I$36</f>
        <v>0</v>
      </c>
      <c r="Q423" s="233">
        <f t="shared" si="51"/>
        <v>0</v>
      </c>
      <c r="S423" s="217"/>
      <c r="U423" s="220" t="s">
        <v>2188</v>
      </c>
      <c r="V423" s="1190">
        <v>17.817900000000002</v>
      </c>
    </row>
    <row r="424" spans="1:22" ht="0" hidden="1" customHeight="1" outlineLevel="3">
      <c r="A424" s="192" t="s">
        <v>1922</v>
      </c>
      <c r="B424" s="192"/>
      <c r="C424" s="197" t="s">
        <v>455</v>
      </c>
      <c r="D424" s="198">
        <f>'02 项目基础信息（输入）'!$J$36</f>
        <v>0</v>
      </c>
      <c r="E424" s="199" t="s">
        <v>400</v>
      </c>
      <c r="F424" s="197" t="s">
        <v>455</v>
      </c>
      <c r="G424" s="199">
        <v>1</v>
      </c>
      <c r="H424" s="199" t="s">
        <v>1918</v>
      </c>
      <c r="I424" s="198">
        <f>G424*D424</f>
        <v>0</v>
      </c>
      <c r="J424" s="199" t="s">
        <v>1082</v>
      </c>
      <c r="K424" s="188">
        <v>0</v>
      </c>
      <c r="L424" s="209" t="s">
        <v>1087</v>
      </c>
      <c r="M424" s="207">
        <f>ROUND(K424*I424/10000,6)</f>
        <v>0</v>
      </c>
      <c r="N424" s="198">
        <f>'02 项目基础信息（输入）'!$C$36</f>
        <v>0</v>
      </c>
      <c r="O424" s="198">
        <f t="shared" si="50"/>
        <v>0</v>
      </c>
      <c r="P424" s="198">
        <f>'02 项目基础信息（输入）'!$I$36</f>
        <v>0</v>
      </c>
      <c r="Q424" s="233">
        <f t="shared" si="51"/>
        <v>0</v>
      </c>
      <c r="S424" s="217"/>
      <c r="U424" s="220" t="s">
        <v>2189</v>
      </c>
      <c r="V424" s="1190">
        <v>17.817900000000002</v>
      </c>
    </row>
    <row r="425" spans="1:22" ht="0" hidden="1" customHeight="1" outlineLevel="2">
      <c r="A425" s="192" t="s">
        <v>1924</v>
      </c>
      <c r="B425" s="192"/>
      <c r="C425" s="197" t="s">
        <v>1609</v>
      </c>
      <c r="D425" s="198">
        <f>'02 项目基础信息（输入）'!$C$36</f>
        <v>0</v>
      </c>
      <c r="E425" s="199" t="s">
        <v>93</v>
      </c>
      <c r="F425" s="197"/>
      <c r="G425" s="199"/>
      <c r="H425" s="199"/>
      <c r="I425" s="197"/>
      <c r="J425" s="199"/>
      <c r="K425" s="198"/>
      <c r="L425" s="209"/>
      <c r="M425" s="198">
        <f>ROUND(SUM(M426),6)</f>
        <v>0</v>
      </c>
      <c r="N425" s="198">
        <f>'02 项目基础信息（输入）'!$C$36</f>
        <v>0</v>
      </c>
      <c r="O425" s="198">
        <f t="shared" si="50"/>
        <v>0</v>
      </c>
      <c r="P425" s="198">
        <f>'02 项目基础信息（输入）'!$I$36</f>
        <v>0</v>
      </c>
      <c r="Q425" s="233">
        <f t="shared" si="51"/>
        <v>0</v>
      </c>
      <c r="S425" s="217" t="s">
        <v>1313</v>
      </c>
      <c r="U425" s="220" t="s">
        <v>2190</v>
      </c>
      <c r="V425" s="1190">
        <v>84.616799999999998</v>
      </c>
    </row>
    <row r="426" spans="1:22" ht="0" hidden="1" customHeight="1" outlineLevel="3">
      <c r="A426" s="192" t="s">
        <v>1926</v>
      </c>
      <c r="B426" s="192"/>
      <c r="C426" s="197" t="s">
        <v>1609</v>
      </c>
      <c r="D426" s="198">
        <f>'02 项目基础信息（输入）'!$C$36</f>
        <v>0</v>
      </c>
      <c r="E426" s="199" t="s">
        <v>93</v>
      </c>
      <c r="F426" s="197" t="s">
        <v>1927</v>
      </c>
      <c r="G426" s="82">
        <v>0</v>
      </c>
      <c r="H426" s="199" t="s">
        <v>298</v>
      </c>
      <c r="I426" s="198">
        <f>G426*D426</f>
        <v>0</v>
      </c>
      <c r="J426" s="199" t="s">
        <v>93</v>
      </c>
      <c r="K426" s="188">
        <v>0</v>
      </c>
      <c r="L426" s="209" t="s">
        <v>675</v>
      </c>
      <c r="M426" s="207">
        <f>ROUND(K426*I426/10000,6)</f>
        <v>0</v>
      </c>
      <c r="N426" s="198">
        <f>'02 项目基础信息（输入）'!$C$36</f>
        <v>0</v>
      </c>
      <c r="O426" s="198">
        <f t="shared" si="50"/>
        <v>0</v>
      </c>
      <c r="P426" s="198">
        <f>'02 项目基础信息（输入）'!$I$36</f>
        <v>0</v>
      </c>
      <c r="Q426" s="233">
        <f t="shared" si="51"/>
        <v>0</v>
      </c>
      <c r="S426" s="217"/>
      <c r="U426" s="220" t="s">
        <v>2191</v>
      </c>
      <c r="V426" s="1190">
        <v>61.415599999999998</v>
      </c>
    </row>
    <row r="427" spans="1:22" ht="0" hidden="1" customHeight="1" outlineLevel="2">
      <c r="A427" s="192" t="s">
        <v>1931</v>
      </c>
      <c r="B427" s="192"/>
      <c r="C427" s="197" t="s">
        <v>1609</v>
      </c>
      <c r="D427" s="198">
        <f>'02 项目基础信息（输入）'!$C$36</f>
        <v>0</v>
      </c>
      <c r="E427" s="199" t="s">
        <v>93</v>
      </c>
      <c r="F427" s="197"/>
      <c r="G427" s="199"/>
      <c r="H427" s="199"/>
      <c r="I427" s="197"/>
      <c r="J427" s="199"/>
      <c r="K427" s="198"/>
      <c r="L427" s="209"/>
      <c r="M427" s="198">
        <f>ROUND(SUM(M428),6)</f>
        <v>0</v>
      </c>
      <c r="N427" s="198">
        <f>'02 项目基础信息（输入）'!$C$36</f>
        <v>0</v>
      </c>
      <c r="O427" s="198">
        <f t="shared" si="50"/>
        <v>0</v>
      </c>
      <c r="P427" s="198">
        <f>'02 项目基础信息（输入）'!$I$36</f>
        <v>0</v>
      </c>
      <c r="Q427" s="233">
        <f t="shared" si="51"/>
        <v>0</v>
      </c>
      <c r="S427" s="217" t="s">
        <v>1313</v>
      </c>
      <c r="U427" s="220" t="s">
        <v>2192</v>
      </c>
      <c r="V427" s="1190">
        <v>23.2012</v>
      </c>
    </row>
    <row r="428" spans="1:22" ht="0" hidden="1" customHeight="1" outlineLevel="3">
      <c r="A428" s="192" t="s">
        <v>1933</v>
      </c>
      <c r="B428" s="192"/>
      <c r="C428" s="197" t="s">
        <v>1609</v>
      </c>
      <c r="D428" s="198">
        <f>'02 项目基础信息（输入）'!$C$36</f>
        <v>0</v>
      </c>
      <c r="E428" s="199" t="s">
        <v>93</v>
      </c>
      <c r="F428" s="197" t="s">
        <v>1886</v>
      </c>
      <c r="G428" s="199">
        <v>1</v>
      </c>
      <c r="H428" s="199" t="s">
        <v>298</v>
      </c>
      <c r="I428" s="198">
        <f>G428*D428</f>
        <v>0</v>
      </c>
      <c r="J428" s="199" t="s">
        <v>93</v>
      </c>
      <c r="K428" s="188">
        <v>0</v>
      </c>
      <c r="L428" s="209" t="s">
        <v>675</v>
      </c>
      <c r="M428" s="207">
        <f>ROUND(K428*I428/10000,6)</f>
        <v>0</v>
      </c>
      <c r="N428" s="198">
        <f>'02 项目基础信息（输入）'!$C$36</f>
        <v>0</v>
      </c>
      <c r="O428" s="198">
        <f t="shared" si="50"/>
        <v>0</v>
      </c>
      <c r="P428" s="198">
        <f>'02 项目基础信息（输入）'!$I$36</f>
        <v>0</v>
      </c>
      <c r="Q428" s="233">
        <f t="shared" si="51"/>
        <v>0</v>
      </c>
      <c r="S428" s="217"/>
      <c r="U428" s="220" t="s">
        <v>2193</v>
      </c>
      <c r="V428" s="1190">
        <v>0</v>
      </c>
    </row>
    <row r="429" spans="1:22" ht="0" hidden="1" customHeight="1" outlineLevel="2">
      <c r="A429" s="192" t="s">
        <v>1935</v>
      </c>
      <c r="B429" s="192"/>
      <c r="C429" s="197" t="s">
        <v>1609</v>
      </c>
      <c r="D429" s="198">
        <f>'02 项目基础信息（输入）'!$C$36</f>
        <v>0</v>
      </c>
      <c r="E429" s="199" t="s">
        <v>93</v>
      </c>
      <c r="F429" s="197"/>
      <c r="G429" s="199"/>
      <c r="H429" s="199"/>
      <c r="I429" s="197"/>
      <c r="J429" s="199"/>
      <c r="K429" s="198"/>
      <c r="L429" s="209"/>
      <c r="M429" s="198">
        <f>ROUND(SUM(M430:M432),6)</f>
        <v>0</v>
      </c>
      <c r="N429" s="198">
        <f>'02 项目基础信息（输入）'!$C$36</f>
        <v>0</v>
      </c>
      <c r="O429" s="198">
        <f t="shared" si="50"/>
        <v>0</v>
      </c>
      <c r="P429" s="198">
        <f>'02 项目基础信息（输入）'!$I$36</f>
        <v>0</v>
      </c>
      <c r="Q429" s="233">
        <f t="shared" si="51"/>
        <v>0</v>
      </c>
      <c r="S429" s="217" t="s">
        <v>1313</v>
      </c>
      <c r="U429" s="220" t="s">
        <v>2194</v>
      </c>
      <c r="V429" s="1190">
        <v>0</v>
      </c>
    </row>
    <row r="430" spans="1:22" ht="0" hidden="1" customHeight="1" outlineLevel="3">
      <c r="A430" s="192" t="s">
        <v>2195</v>
      </c>
      <c r="B430" s="192"/>
      <c r="C430" s="197" t="s">
        <v>309</v>
      </c>
      <c r="D430" s="198">
        <f>'02 项目基础信息（输入）'!$AC$36</f>
        <v>0</v>
      </c>
      <c r="E430" s="199" t="s">
        <v>310</v>
      </c>
      <c r="F430" s="197" t="s">
        <v>2196</v>
      </c>
      <c r="G430" s="82">
        <v>0</v>
      </c>
      <c r="H430" s="199" t="s">
        <v>2197</v>
      </c>
      <c r="I430" s="198">
        <f>G430*D430</f>
        <v>0</v>
      </c>
      <c r="J430" s="199" t="s">
        <v>2198</v>
      </c>
      <c r="K430" s="188">
        <v>0</v>
      </c>
      <c r="L430" s="209" t="s">
        <v>841</v>
      </c>
      <c r="M430" s="207">
        <f>ROUND(K430*I430/10000,6)</f>
        <v>0</v>
      </c>
      <c r="N430" s="198">
        <f>'02 项目基础信息（输入）'!$C$36</f>
        <v>0</v>
      </c>
      <c r="O430" s="198">
        <f t="shared" si="50"/>
        <v>0</v>
      </c>
      <c r="P430" s="198">
        <f>'02 项目基础信息（输入）'!$I$36</f>
        <v>0</v>
      </c>
      <c r="Q430" s="233">
        <f t="shared" si="51"/>
        <v>0</v>
      </c>
      <c r="S430" s="217"/>
      <c r="U430" s="220" t="s">
        <v>2199</v>
      </c>
      <c r="V430" s="1190">
        <v>0</v>
      </c>
    </row>
    <row r="431" spans="1:22" ht="0" hidden="1" customHeight="1" outlineLevel="3">
      <c r="A431" s="192" t="s">
        <v>2200</v>
      </c>
      <c r="B431" s="192"/>
      <c r="C431" s="197" t="s">
        <v>309</v>
      </c>
      <c r="D431" s="198">
        <f>'02 项目基础信息（输入）'!$AC$36</f>
        <v>0</v>
      </c>
      <c r="E431" s="199" t="s">
        <v>310</v>
      </c>
      <c r="F431" s="197" t="s">
        <v>2196</v>
      </c>
      <c r="G431" s="82">
        <v>0</v>
      </c>
      <c r="H431" s="199" t="s">
        <v>2197</v>
      </c>
      <c r="I431" s="198">
        <f>G431*D431</f>
        <v>0</v>
      </c>
      <c r="J431" s="199" t="s">
        <v>2198</v>
      </c>
      <c r="K431" s="188">
        <v>0</v>
      </c>
      <c r="L431" s="209" t="s">
        <v>841</v>
      </c>
      <c r="M431" s="207">
        <f>ROUND(K431*I431/10000,6)</f>
        <v>0</v>
      </c>
      <c r="N431" s="198">
        <f>'02 项目基础信息（输入）'!$C$36</f>
        <v>0</v>
      </c>
      <c r="O431" s="198">
        <f t="shared" si="50"/>
        <v>0</v>
      </c>
      <c r="P431" s="198">
        <f>'02 项目基础信息（输入）'!$I$36</f>
        <v>0</v>
      </c>
      <c r="Q431" s="233">
        <f t="shared" si="51"/>
        <v>0</v>
      </c>
      <c r="S431" s="217"/>
      <c r="U431" s="220" t="s">
        <v>2201</v>
      </c>
      <c r="V431" s="1190">
        <v>0</v>
      </c>
    </row>
    <row r="432" spans="1:22" ht="0" hidden="1" customHeight="1" outlineLevel="3">
      <c r="A432" s="192" t="s">
        <v>2202</v>
      </c>
      <c r="B432" s="192"/>
      <c r="C432" s="197" t="s">
        <v>309</v>
      </c>
      <c r="D432" s="198">
        <f>'02 项目基础信息（输入）'!$AC$36</f>
        <v>0</v>
      </c>
      <c r="E432" s="199" t="s">
        <v>310</v>
      </c>
      <c r="F432" s="197" t="s">
        <v>2196</v>
      </c>
      <c r="G432" s="82">
        <v>0</v>
      </c>
      <c r="H432" s="199" t="s">
        <v>2197</v>
      </c>
      <c r="I432" s="198">
        <f>G432*D432</f>
        <v>0</v>
      </c>
      <c r="J432" s="199" t="s">
        <v>2198</v>
      </c>
      <c r="K432" s="188">
        <v>0</v>
      </c>
      <c r="L432" s="209" t="s">
        <v>841</v>
      </c>
      <c r="M432" s="207">
        <f>ROUND(K432*I432/10000,6)</f>
        <v>0</v>
      </c>
      <c r="N432" s="198">
        <f>'02 项目基础信息（输入）'!$C$36</f>
        <v>0</v>
      </c>
      <c r="O432" s="198">
        <f t="shared" si="50"/>
        <v>0</v>
      </c>
      <c r="P432" s="198">
        <f>'02 项目基础信息（输入）'!$I$36</f>
        <v>0</v>
      </c>
      <c r="Q432" s="233">
        <f t="shared" si="51"/>
        <v>0</v>
      </c>
      <c r="S432" s="217"/>
      <c r="U432" s="220" t="s">
        <v>2203</v>
      </c>
      <c r="V432" s="1190">
        <v>0</v>
      </c>
    </row>
    <row r="433" spans="1:22" ht="0" hidden="1" customHeight="1" outlineLevel="2">
      <c r="A433" s="192" t="s">
        <v>1937</v>
      </c>
      <c r="B433" s="192"/>
      <c r="C433" s="197" t="s">
        <v>1609</v>
      </c>
      <c r="D433" s="198">
        <f>'02 项目基础信息（输入）'!$C$36</f>
        <v>0</v>
      </c>
      <c r="E433" s="199" t="s">
        <v>93</v>
      </c>
      <c r="F433" s="197"/>
      <c r="G433" s="199"/>
      <c r="H433" s="199"/>
      <c r="I433" s="197"/>
      <c r="J433" s="199"/>
      <c r="K433" s="198"/>
      <c r="L433" s="209"/>
      <c r="M433" s="198">
        <f>ROUND(SUM(M434),6)</f>
        <v>0</v>
      </c>
      <c r="N433" s="198">
        <f>'02 项目基础信息（输入）'!$C$36</f>
        <v>0</v>
      </c>
      <c r="O433" s="198">
        <f t="shared" si="50"/>
        <v>0</v>
      </c>
      <c r="P433" s="198">
        <f>'02 项目基础信息（输入）'!$I$36</f>
        <v>0</v>
      </c>
      <c r="Q433" s="233">
        <f t="shared" si="51"/>
        <v>0</v>
      </c>
      <c r="S433" s="217" t="s">
        <v>1313</v>
      </c>
      <c r="U433" s="220" t="s">
        <v>2204</v>
      </c>
      <c r="V433" s="1190">
        <v>15.043100000000001</v>
      </c>
    </row>
    <row r="434" spans="1:22" ht="0" hidden="1" customHeight="1" outlineLevel="3">
      <c r="A434" s="192" t="s">
        <v>2205</v>
      </c>
      <c r="B434" s="192"/>
      <c r="C434" s="197" t="s">
        <v>1609</v>
      </c>
      <c r="D434" s="198">
        <f>'02 项目基础信息（输入）'!$C$36</f>
        <v>0</v>
      </c>
      <c r="E434" s="199" t="s">
        <v>93</v>
      </c>
      <c r="F434" s="197" t="s">
        <v>1609</v>
      </c>
      <c r="G434" s="199">
        <v>1</v>
      </c>
      <c r="H434" s="199" t="s">
        <v>298</v>
      </c>
      <c r="I434" s="198">
        <f>G434*D434</f>
        <v>0</v>
      </c>
      <c r="J434" s="199" t="s">
        <v>93</v>
      </c>
      <c r="K434" s="188">
        <v>0</v>
      </c>
      <c r="L434" s="209" t="s">
        <v>675</v>
      </c>
      <c r="M434" s="207">
        <f>ROUND(K434*I434/10000,6)</f>
        <v>0</v>
      </c>
      <c r="N434" s="198">
        <f>'02 项目基础信息（输入）'!$C$36</f>
        <v>0</v>
      </c>
      <c r="O434" s="198">
        <f t="shared" si="50"/>
        <v>0</v>
      </c>
      <c r="P434" s="198">
        <f>'02 项目基础信息（输入）'!$I$36</f>
        <v>0</v>
      </c>
      <c r="Q434" s="233">
        <f t="shared" si="51"/>
        <v>0</v>
      </c>
      <c r="S434" s="217"/>
      <c r="U434" s="220" t="s">
        <v>2206</v>
      </c>
      <c r="V434" s="1190">
        <v>15.043100000000001</v>
      </c>
    </row>
    <row r="435" spans="1:22" ht="0" hidden="1" customHeight="1" outlineLevel="2">
      <c r="A435" s="192" t="s">
        <v>1939</v>
      </c>
      <c r="B435" s="192"/>
      <c r="C435" s="197" t="s">
        <v>1609</v>
      </c>
      <c r="D435" s="198">
        <f>'02 项目基础信息（输入）'!$C$36</f>
        <v>0</v>
      </c>
      <c r="E435" s="199" t="s">
        <v>93</v>
      </c>
      <c r="F435" s="197"/>
      <c r="G435" s="199"/>
      <c r="H435" s="199"/>
      <c r="I435" s="197"/>
      <c r="J435" s="199"/>
      <c r="K435" s="198"/>
      <c r="L435" s="209"/>
      <c r="M435" s="198">
        <f>ROUND(SUM(M436),6)</f>
        <v>0</v>
      </c>
      <c r="N435" s="198">
        <f>'02 项目基础信息（输入）'!$C$36</f>
        <v>0</v>
      </c>
      <c r="O435" s="198">
        <f t="shared" si="50"/>
        <v>0</v>
      </c>
      <c r="P435" s="198">
        <f>'02 项目基础信息（输入）'!$I$36</f>
        <v>0</v>
      </c>
      <c r="Q435" s="233">
        <f t="shared" si="51"/>
        <v>0</v>
      </c>
      <c r="S435" s="217" t="s">
        <v>1313</v>
      </c>
      <c r="U435" s="220" t="s">
        <v>2207</v>
      </c>
      <c r="V435" s="1190">
        <v>0</v>
      </c>
    </row>
    <row r="436" spans="1:22" ht="0" hidden="1" customHeight="1" outlineLevel="3">
      <c r="A436" s="192" t="s">
        <v>2208</v>
      </c>
      <c r="B436" s="192"/>
      <c r="C436" s="197" t="s">
        <v>477</v>
      </c>
      <c r="D436" s="198">
        <f>'02 项目基础信息（输入）'!$AG$36</f>
        <v>0</v>
      </c>
      <c r="E436" s="199" t="s">
        <v>2209</v>
      </c>
      <c r="F436" s="197" t="s">
        <v>477</v>
      </c>
      <c r="G436" s="199">
        <v>1</v>
      </c>
      <c r="H436" s="199" t="s">
        <v>2210</v>
      </c>
      <c r="I436" s="198">
        <f>G436*D436</f>
        <v>0</v>
      </c>
      <c r="J436" s="199" t="s">
        <v>2209</v>
      </c>
      <c r="K436" s="188">
        <v>0</v>
      </c>
      <c r="L436" s="209" t="s">
        <v>2211</v>
      </c>
      <c r="M436" s="207">
        <f>ROUND(K436*I436/10000,6)</f>
        <v>0</v>
      </c>
      <c r="N436" s="198">
        <f>'02 项目基础信息（输入）'!$C$36</f>
        <v>0</v>
      </c>
      <c r="O436" s="198">
        <f t="shared" si="50"/>
        <v>0</v>
      </c>
      <c r="P436" s="198">
        <f>'02 项目基础信息（输入）'!$I$36</f>
        <v>0</v>
      </c>
      <c r="Q436" s="233">
        <f t="shared" si="51"/>
        <v>0</v>
      </c>
      <c r="S436" s="217"/>
      <c r="U436" s="220" t="s">
        <v>2212</v>
      </c>
      <c r="V436" s="1190">
        <v>0</v>
      </c>
    </row>
    <row r="437" spans="1:22" ht="0" hidden="1" customHeight="1" outlineLevel="2">
      <c r="A437" s="192" t="s">
        <v>1941</v>
      </c>
      <c r="B437" s="192"/>
      <c r="C437" s="197" t="s">
        <v>1609</v>
      </c>
      <c r="D437" s="198">
        <f>'02 项目基础信息（输入）'!$C$36</f>
        <v>0</v>
      </c>
      <c r="E437" s="199" t="s">
        <v>93</v>
      </c>
      <c r="F437" s="197"/>
      <c r="G437" s="199"/>
      <c r="H437" s="199"/>
      <c r="I437" s="197"/>
      <c r="J437" s="199"/>
      <c r="K437" s="198"/>
      <c r="L437" s="209"/>
      <c r="M437" s="197">
        <v>0</v>
      </c>
      <c r="N437" s="198">
        <f>'02 项目基础信息（输入）'!$C$36</f>
        <v>0</v>
      </c>
      <c r="O437" s="198">
        <f t="shared" si="50"/>
        <v>0</v>
      </c>
      <c r="P437" s="198">
        <f>'02 项目基础信息（输入）'!$I$36</f>
        <v>0</v>
      </c>
      <c r="Q437" s="233">
        <f t="shared" si="51"/>
        <v>0</v>
      </c>
      <c r="S437" s="217" t="s">
        <v>1313</v>
      </c>
      <c r="U437" s="220" t="s">
        <v>2213</v>
      </c>
      <c r="V437" s="1190">
        <v>0</v>
      </c>
    </row>
    <row r="438" spans="1:22" ht="0" hidden="1" customHeight="1" outlineLevel="2">
      <c r="A438" s="192" t="s">
        <v>1952</v>
      </c>
      <c r="B438" s="192"/>
      <c r="C438" s="197" t="s">
        <v>1609</v>
      </c>
      <c r="D438" s="198">
        <f>'02 项目基础信息（输入）'!$C$36</f>
        <v>0</v>
      </c>
      <c r="E438" s="199" t="s">
        <v>93</v>
      </c>
      <c r="F438" s="197"/>
      <c r="G438" s="199"/>
      <c r="H438" s="199"/>
      <c r="I438" s="197"/>
      <c r="J438" s="199"/>
      <c r="K438" s="198"/>
      <c r="L438" s="209"/>
      <c r="M438" s="197">
        <v>0</v>
      </c>
      <c r="N438" s="198">
        <f>'02 项目基础信息（输入）'!$C$36</f>
        <v>0</v>
      </c>
      <c r="O438" s="198">
        <f t="shared" si="50"/>
        <v>0</v>
      </c>
      <c r="P438" s="198">
        <f>'02 项目基础信息（输入）'!$I$36</f>
        <v>0</v>
      </c>
      <c r="Q438" s="233">
        <f t="shared" si="51"/>
        <v>0</v>
      </c>
      <c r="S438" s="217" t="s">
        <v>1313</v>
      </c>
      <c r="U438" s="220" t="s">
        <v>2214</v>
      </c>
      <c r="V438" s="1190">
        <v>0</v>
      </c>
    </row>
    <row r="439" spans="1:22" ht="0" hidden="1" customHeight="1" outlineLevel="2">
      <c r="A439" s="192" t="s">
        <v>1957</v>
      </c>
      <c r="B439" s="192"/>
      <c r="C439" s="197" t="s">
        <v>1609</v>
      </c>
      <c r="D439" s="198">
        <f>'02 项目基础信息（输入）'!$C$36</f>
        <v>0</v>
      </c>
      <c r="E439" s="199" t="s">
        <v>93</v>
      </c>
      <c r="F439" s="197"/>
      <c r="G439" s="199"/>
      <c r="H439" s="199"/>
      <c r="I439" s="197"/>
      <c r="J439" s="199"/>
      <c r="K439" s="198"/>
      <c r="L439" s="209"/>
      <c r="M439" s="198">
        <f>ROUND(SUM(M440:M443),6)</f>
        <v>0</v>
      </c>
      <c r="N439" s="198">
        <f>'02 项目基础信息（输入）'!$C$36</f>
        <v>0</v>
      </c>
      <c r="O439" s="198">
        <f t="shared" si="50"/>
        <v>0</v>
      </c>
      <c r="P439" s="198">
        <f>'02 项目基础信息（输入）'!$I$36</f>
        <v>0</v>
      </c>
      <c r="Q439" s="233">
        <f t="shared" si="51"/>
        <v>0</v>
      </c>
      <c r="S439" s="217" t="s">
        <v>1313</v>
      </c>
      <c r="U439" s="220" t="s">
        <v>2215</v>
      </c>
      <c r="V439" s="1190">
        <v>7.8331999999999997</v>
      </c>
    </row>
    <row r="440" spans="1:22" ht="0" hidden="1" customHeight="1" outlineLevel="3">
      <c r="A440" s="192" t="s">
        <v>1959</v>
      </c>
      <c r="B440" s="192"/>
      <c r="C440" s="197" t="s">
        <v>1609</v>
      </c>
      <c r="D440" s="198">
        <f>'02 项目基础信息（输入）'!$C$36</f>
        <v>0</v>
      </c>
      <c r="E440" s="199" t="s">
        <v>93</v>
      </c>
      <c r="F440" s="197" t="s">
        <v>1960</v>
      </c>
      <c r="G440" s="82">
        <v>0</v>
      </c>
      <c r="H440" s="199" t="s">
        <v>298</v>
      </c>
      <c r="I440" s="198">
        <f>G440*D440</f>
        <v>0</v>
      </c>
      <c r="J440" s="199" t="s">
        <v>93</v>
      </c>
      <c r="K440" s="188">
        <v>0</v>
      </c>
      <c r="L440" s="209" t="s">
        <v>675</v>
      </c>
      <c r="M440" s="207">
        <f>ROUND(K440*I440/10000,6)</f>
        <v>0</v>
      </c>
      <c r="N440" s="198">
        <f>'02 项目基础信息（输入）'!$C$36</f>
        <v>0</v>
      </c>
      <c r="O440" s="198">
        <f t="shared" si="50"/>
        <v>0</v>
      </c>
      <c r="P440" s="198">
        <f>'02 项目基础信息（输入）'!$I$36</f>
        <v>0</v>
      </c>
      <c r="Q440" s="233">
        <f t="shared" si="51"/>
        <v>0</v>
      </c>
      <c r="S440" s="217"/>
      <c r="U440" s="220" t="s">
        <v>2216</v>
      </c>
      <c r="V440" s="1190">
        <v>7.8331999999999997</v>
      </c>
    </row>
    <row r="441" spans="1:22" ht="0" hidden="1" customHeight="1" outlineLevel="3">
      <c r="A441" s="192" t="s">
        <v>1962</v>
      </c>
      <c r="B441" s="192"/>
      <c r="C441" s="197" t="s">
        <v>1609</v>
      </c>
      <c r="D441" s="198">
        <f>'02 项目基础信息（输入）'!$C$36</f>
        <v>0</v>
      </c>
      <c r="E441" s="199" t="s">
        <v>93</v>
      </c>
      <c r="F441" s="197" t="s">
        <v>1960</v>
      </c>
      <c r="G441" s="82">
        <v>0</v>
      </c>
      <c r="H441" s="199" t="s">
        <v>298</v>
      </c>
      <c r="I441" s="198">
        <f>G441*D441</f>
        <v>0</v>
      </c>
      <c r="J441" s="199" t="s">
        <v>93</v>
      </c>
      <c r="K441" s="188">
        <v>0</v>
      </c>
      <c r="L441" s="209" t="s">
        <v>675</v>
      </c>
      <c r="M441" s="207">
        <f>ROUND(K441*I441/10000,6)</f>
        <v>0</v>
      </c>
      <c r="N441" s="198">
        <f>'02 项目基础信息（输入）'!$C$36</f>
        <v>0</v>
      </c>
      <c r="O441" s="198">
        <f t="shared" si="50"/>
        <v>0</v>
      </c>
      <c r="P441" s="198">
        <f>'02 项目基础信息（输入）'!$I$36</f>
        <v>0</v>
      </c>
      <c r="Q441" s="233">
        <f t="shared" si="51"/>
        <v>0</v>
      </c>
      <c r="S441" s="217"/>
      <c r="U441" s="220" t="s">
        <v>2217</v>
      </c>
      <c r="V441" s="1190">
        <v>0</v>
      </c>
    </row>
    <row r="442" spans="1:22" ht="0" hidden="1" customHeight="1" outlineLevel="3">
      <c r="A442" s="192" t="s">
        <v>1964</v>
      </c>
      <c r="B442" s="192"/>
      <c r="C442" s="197" t="s">
        <v>1609</v>
      </c>
      <c r="D442" s="198">
        <f>'02 项目基础信息（输入）'!$C$36</f>
        <v>0</v>
      </c>
      <c r="E442" s="199" t="s">
        <v>93</v>
      </c>
      <c r="F442" s="197" t="s">
        <v>1960</v>
      </c>
      <c r="G442" s="82">
        <v>0</v>
      </c>
      <c r="H442" s="199" t="s">
        <v>298</v>
      </c>
      <c r="I442" s="198">
        <f>G442*D442</f>
        <v>0</v>
      </c>
      <c r="J442" s="199" t="s">
        <v>93</v>
      </c>
      <c r="K442" s="188">
        <v>0</v>
      </c>
      <c r="L442" s="209" t="s">
        <v>675</v>
      </c>
      <c r="M442" s="207">
        <f>ROUND(K442*I442/10000,6)</f>
        <v>0</v>
      </c>
      <c r="N442" s="198">
        <f>'02 项目基础信息（输入）'!$C$36</f>
        <v>0</v>
      </c>
      <c r="O442" s="198">
        <f t="shared" si="50"/>
        <v>0</v>
      </c>
      <c r="P442" s="198">
        <f>'02 项目基础信息（输入）'!$I$36</f>
        <v>0</v>
      </c>
      <c r="Q442" s="233">
        <f t="shared" si="51"/>
        <v>0</v>
      </c>
      <c r="S442" s="217"/>
      <c r="U442" s="220" t="s">
        <v>2218</v>
      </c>
      <c r="V442" s="1190">
        <v>0</v>
      </c>
    </row>
    <row r="443" spans="1:22" ht="0" hidden="1" customHeight="1" outlineLevel="3">
      <c r="A443" s="192" t="s">
        <v>1966</v>
      </c>
      <c r="B443" s="192"/>
      <c r="C443" s="197" t="s">
        <v>1609</v>
      </c>
      <c r="D443" s="198">
        <f>'02 项目基础信息（输入）'!$C$36</f>
        <v>0</v>
      </c>
      <c r="E443" s="199" t="s">
        <v>93</v>
      </c>
      <c r="F443" s="197" t="s">
        <v>1960</v>
      </c>
      <c r="G443" s="82">
        <v>0</v>
      </c>
      <c r="H443" s="199" t="s">
        <v>298</v>
      </c>
      <c r="I443" s="198">
        <f>G443*D443</f>
        <v>0</v>
      </c>
      <c r="J443" s="199" t="s">
        <v>93</v>
      </c>
      <c r="K443" s="188">
        <v>0</v>
      </c>
      <c r="L443" s="209" t="s">
        <v>675</v>
      </c>
      <c r="M443" s="207">
        <f>ROUND(K443*I443/10000,6)</f>
        <v>0</v>
      </c>
      <c r="N443" s="198">
        <f>'02 项目基础信息（输入）'!$C$36</f>
        <v>0</v>
      </c>
      <c r="O443" s="198">
        <f t="shared" si="50"/>
        <v>0</v>
      </c>
      <c r="P443" s="198">
        <f>'02 项目基础信息（输入）'!$I$36</f>
        <v>0</v>
      </c>
      <c r="Q443" s="233">
        <f t="shared" si="51"/>
        <v>0</v>
      </c>
      <c r="S443" s="217"/>
      <c r="U443" s="220" t="s">
        <v>2219</v>
      </c>
      <c r="V443" s="1190">
        <v>0</v>
      </c>
    </row>
    <row r="444" spans="1:22" ht="0" hidden="1" customHeight="1" outlineLevel="2">
      <c r="A444" s="192" t="s">
        <v>1968</v>
      </c>
      <c r="B444" s="192"/>
      <c r="C444" s="197" t="s">
        <v>1609</v>
      </c>
      <c r="D444" s="198">
        <f>'02 项目基础信息（输入）'!$C$36</f>
        <v>0</v>
      </c>
      <c r="E444" s="199" t="s">
        <v>93</v>
      </c>
      <c r="F444" s="197"/>
      <c r="G444" s="199"/>
      <c r="H444" s="199"/>
      <c r="I444" s="197"/>
      <c r="J444" s="199"/>
      <c r="K444" s="198"/>
      <c r="L444" s="209"/>
      <c r="M444" s="198">
        <f>ROUND(SUM(M445),6)</f>
        <v>0</v>
      </c>
      <c r="N444" s="198">
        <f>'02 项目基础信息（输入）'!$C$36</f>
        <v>0</v>
      </c>
      <c r="O444" s="198">
        <f t="shared" si="50"/>
        <v>0</v>
      </c>
      <c r="P444" s="198">
        <f>'02 项目基础信息（输入）'!$I$36</f>
        <v>0</v>
      </c>
      <c r="Q444" s="233">
        <f t="shared" si="51"/>
        <v>0</v>
      </c>
      <c r="S444" s="217" t="s">
        <v>1313</v>
      </c>
      <c r="U444" s="220" t="s">
        <v>2220</v>
      </c>
      <c r="V444" s="1190">
        <v>0</v>
      </c>
    </row>
    <row r="445" spans="1:22" ht="0" hidden="1" customHeight="1" outlineLevel="3">
      <c r="A445" s="192" t="s">
        <v>1970</v>
      </c>
      <c r="B445" s="192"/>
      <c r="C445" s="197" t="s">
        <v>1609</v>
      </c>
      <c r="D445" s="198">
        <f>'02 项目基础信息（输入）'!$C$36</f>
        <v>0</v>
      </c>
      <c r="E445" s="199" t="s">
        <v>93</v>
      </c>
      <c r="F445" s="197" t="s">
        <v>1609</v>
      </c>
      <c r="G445" s="199">
        <v>1</v>
      </c>
      <c r="H445" s="199" t="s">
        <v>298</v>
      </c>
      <c r="I445" s="198">
        <f>G445*D445</f>
        <v>0</v>
      </c>
      <c r="J445" s="199" t="s">
        <v>93</v>
      </c>
      <c r="K445" s="188">
        <v>0</v>
      </c>
      <c r="L445" s="209" t="s">
        <v>675</v>
      </c>
      <c r="M445" s="207">
        <f>ROUND(K445*I445/10000,6)</f>
        <v>0</v>
      </c>
      <c r="N445" s="198">
        <f>'02 项目基础信息（输入）'!$C$36</f>
        <v>0</v>
      </c>
      <c r="O445" s="198">
        <f t="shared" si="50"/>
        <v>0</v>
      </c>
      <c r="P445" s="198">
        <f>'02 项目基础信息（输入）'!$I$36</f>
        <v>0</v>
      </c>
      <c r="Q445" s="233">
        <f t="shared" si="51"/>
        <v>0</v>
      </c>
      <c r="S445" s="217"/>
      <c r="U445" s="220" t="s">
        <v>2221</v>
      </c>
      <c r="V445" s="1190">
        <v>0</v>
      </c>
    </row>
    <row r="446" spans="1:22" ht="0" hidden="1" customHeight="1" outlineLevel="2">
      <c r="A446" s="192" t="s">
        <v>1972</v>
      </c>
      <c r="B446" s="192"/>
      <c r="C446" s="197" t="s">
        <v>1609</v>
      </c>
      <c r="D446" s="198">
        <f>'02 项目基础信息（输入）'!$C$36</f>
        <v>0</v>
      </c>
      <c r="E446" s="199" t="s">
        <v>93</v>
      </c>
      <c r="F446" s="197"/>
      <c r="G446" s="199"/>
      <c r="H446" s="199"/>
      <c r="I446" s="197"/>
      <c r="J446" s="199"/>
      <c r="K446" s="198"/>
      <c r="L446" s="209"/>
      <c r="M446" s="198">
        <f>ROUND(SUM(M447),6)</f>
        <v>0</v>
      </c>
      <c r="N446" s="198">
        <f>'02 项目基础信息（输入）'!$C$36</f>
        <v>0</v>
      </c>
      <c r="O446" s="198">
        <f t="shared" si="50"/>
        <v>0</v>
      </c>
      <c r="P446" s="198">
        <f>'02 项目基础信息（输入）'!$I$36</f>
        <v>0</v>
      </c>
      <c r="Q446" s="233">
        <f t="shared" si="51"/>
        <v>0</v>
      </c>
      <c r="S446" s="217" t="s">
        <v>1313</v>
      </c>
      <c r="U446" s="220" t="s">
        <v>2222</v>
      </c>
      <c r="V446" s="1190">
        <v>0</v>
      </c>
    </row>
    <row r="447" spans="1:22" ht="0" hidden="1" customHeight="1" outlineLevel="3">
      <c r="A447" s="192" t="s">
        <v>1974</v>
      </c>
      <c r="B447" s="192"/>
      <c r="C447" s="197" t="s">
        <v>1609</v>
      </c>
      <c r="D447" s="198">
        <f>'02 项目基础信息（输入）'!$C$36</f>
        <v>0</v>
      </c>
      <c r="E447" s="199" t="s">
        <v>93</v>
      </c>
      <c r="F447" s="197" t="s">
        <v>1609</v>
      </c>
      <c r="G447" s="199">
        <v>1</v>
      </c>
      <c r="H447" s="199" t="s">
        <v>298</v>
      </c>
      <c r="I447" s="198">
        <f>G447*D447</f>
        <v>0</v>
      </c>
      <c r="J447" s="199" t="s">
        <v>93</v>
      </c>
      <c r="K447" s="188">
        <v>0</v>
      </c>
      <c r="L447" s="209" t="s">
        <v>675</v>
      </c>
      <c r="M447" s="207">
        <f>ROUND(K447*I447/10000,6)</f>
        <v>0</v>
      </c>
      <c r="N447" s="198">
        <f>'02 项目基础信息（输入）'!$C$36</f>
        <v>0</v>
      </c>
      <c r="O447" s="198">
        <f t="shared" si="50"/>
        <v>0</v>
      </c>
      <c r="P447" s="198">
        <f>'02 项目基础信息（输入）'!$I$36</f>
        <v>0</v>
      </c>
      <c r="Q447" s="233">
        <f t="shared" si="51"/>
        <v>0</v>
      </c>
      <c r="S447" s="217"/>
      <c r="U447" s="220" t="s">
        <v>2223</v>
      </c>
      <c r="V447" s="1190">
        <v>0</v>
      </c>
    </row>
    <row r="448" spans="1:22" ht="0" hidden="1" customHeight="1" outlineLevel="1" collapsed="1">
      <c r="A448" s="196" t="s">
        <v>496</v>
      </c>
      <c r="B448" s="196"/>
      <c r="C448" s="197" t="s">
        <v>1609</v>
      </c>
      <c r="D448" s="198">
        <f>'02 项目基础信息（输入）'!$C$39</f>
        <v>0</v>
      </c>
      <c r="E448" s="199" t="s">
        <v>93</v>
      </c>
      <c r="F448" s="197"/>
      <c r="G448" s="199"/>
      <c r="H448" s="199"/>
      <c r="I448" s="197"/>
      <c r="J448" s="199"/>
      <c r="K448" s="197"/>
      <c r="L448" s="209"/>
      <c r="M448" s="198">
        <f>ROUND(M449+M471+M474+M487+M490+M493+M512+M524+M526+M532+M538+M543+M560+M565+M587+M589+M593+M595+M597+M603+M610+M612+M614+M618+M620+M622+M626+M628+M630+M631+M632+M637+M639,6)</f>
        <v>0</v>
      </c>
      <c r="N448" s="198">
        <f>'02 项目基础信息（输入）'!$C$39</f>
        <v>0</v>
      </c>
      <c r="O448" s="198">
        <f t="shared" si="50"/>
        <v>0</v>
      </c>
      <c r="P448" s="198">
        <f>'02 项目基础信息（输入）'!$I$39</f>
        <v>0</v>
      </c>
      <c r="Q448" s="233">
        <f t="shared" si="51"/>
        <v>0</v>
      </c>
      <c r="S448" s="217"/>
      <c r="U448" s="220" t="s">
        <v>2224</v>
      </c>
      <c r="V448" s="1190">
        <v>0</v>
      </c>
    </row>
    <row r="449" spans="1:22" ht="0" hidden="1" customHeight="1" outlineLevel="2">
      <c r="A449" s="192" t="s">
        <v>1611</v>
      </c>
      <c r="B449" s="192"/>
      <c r="C449" s="197" t="s">
        <v>1609</v>
      </c>
      <c r="D449" s="198">
        <f>'02 项目基础信息（输入）'!$C$39</f>
        <v>0</v>
      </c>
      <c r="E449" s="199" t="s">
        <v>93</v>
      </c>
      <c r="F449" s="197"/>
      <c r="G449" s="199"/>
      <c r="H449" s="199"/>
      <c r="I449" s="197"/>
      <c r="J449" s="199"/>
      <c r="K449" s="197"/>
      <c r="L449" s="209"/>
      <c r="M449" s="198">
        <f>ROUND(M450+M453+M454+M459+M460+M466+M467+M470,6)</f>
        <v>0</v>
      </c>
      <c r="N449" s="198">
        <f>'02 项目基础信息（输入）'!$C$39</f>
        <v>0</v>
      </c>
      <c r="O449" s="198">
        <f t="shared" si="50"/>
        <v>0</v>
      </c>
      <c r="P449" s="198">
        <f>'02 项目基础信息（输入）'!$I$39</f>
        <v>0</v>
      </c>
      <c r="Q449" s="233">
        <f t="shared" si="51"/>
        <v>0</v>
      </c>
      <c r="S449" s="217" t="s">
        <v>1313</v>
      </c>
      <c r="U449" s="220" t="s">
        <v>2225</v>
      </c>
      <c r="V449" s="1190">
        <v>0</v>
      </c>
    </row>
    <row r="450" spans="1:22" ht="0" hidden="1" customHeight="1" outlineLevel="3">
      <c r="A450" s="192" t="s">
        <v>1613</v>
      </c>
      <c r="B450" s="192"/>
      <c r="C450" s="197"/>
      <c r="D450" s="198">
        <f>'02 项目基础信息（输入）'!$C$39</f>
        <v>0</v>
      </c>
      <c r="E450" s="199"/>
      <c r="F450" s="197"/>
      <c r="G450" s="199"/>
      <c r="H450" s="199"/>
      <c r="I450" s="197">
        <v>0</v>
      </c>
      <c r="J450" s="199"/>
      <c r="K450" s="197"/>
      <c r="L450" s="209"/>
      <c r="M450" s="198">
        <f>ROUND(SUM(M451:M452),6)</f>
        <v>0</v>
      </c>
      <c r="N450" s="198">
        <f>'02 项目基础信息（输入）'!$C$39</f>
        <v>0</v>
      </c>
      <c r="O450" s="198">
        <f t="shared" si="50"/>
        <v>0</v>
      </c>
      <c r="P450" s="198">
        <f>'02 项目基础信息（输入）'!$I$39</f>
        <v>0</v>
      </c>
      <c r="Q450" s="233">
        <f t="shared" si="51"/>
        <v>0</v>
      </c>
      <c r="S450" s="217"/>
      <c r="U450" s="220" t="s">
        <v>2226</v>
      </c>
      <c r="V450" s="1190">
        <v>0</v>
      </c>
    </row>
    <row r="451" spans="1:22" ht="0" hidden="1" customHeight="1" outlineLevel="4">
      <c r="A451" s="192" t="s">
        <v>1615</v>
      </c>
      <c r="B451" s="192"/>
      <c r="C451" s="197" t="s">
        <v>1609</v>
      </c>
      <c r="D451" s="198">
        <f>'02 项目基础信息（输入）'!$C$39</f>
        <v>0</v>
      </c>
      <c r="E451" s="199" t="s">
        <v>93</v>
      </c>
      <c r="F451" s="197" t="s">
        <v>1616</v>
      </c>
      <c r="G451" s="225"/>
      <c r="H451" s="199" t="s">
        <v>966</v>
      </c>
      <c r="I451" s="198">
        <f>G451*D451</f>
        <v>0</v>
      </c>
      <c r="J451" s="199" t="s">
        <v>1617</v>
      </c>
      <c r="K451" s="228">
        <f>'03 成本测算（输入）'!$D$11</f>
        <v>3.36</v>
      </c>
      <c r="L451" s="209" t="s">
        <v>664</v>
      </c>
      <c r="M451" s="198">
        <f>ROUND(K451*I451/10000,6)</f>
        <v>0</v>
      </c>
      <c r="N451" s="198">
        <f>'02 项目基础信息（输入）'!$C$39</f>
        <v>0</v>
      </c>
      <c r="O451" s="198">
        <f t="shared" ref="O451:O514" si="54">ROUND(IFERROR(M451*10000/N451,0),2)</f>
        <v>0</v>
      </c>
      <c r="P451" s="198">
        <f>'02 项目基础信息（输入）'!$I$39</f>
        <v>0</v>
      </c>
      <c r="Q451" s="233">
        <f t="shared" ref="Q451:Q514" si="55">ROUND(IFERROR(M451*10000/P451,0),2)</f>
        <v>0</v>
      </c>
      <c r="S451" s="217"/>
      <c r="U451" s="220" t="s">
        <v>2227</v>
      </c>
      <c r="V451" s="1190">
        <v>0</v>
      </c>
    </row>
    <row r="452" spans="1:22" ht="0" hidden="1" customHeight="1" outlineLevel="4">
      <c r="A452" s="192" t="s">
        <v>1619</v>
      </c>
      <c r="B452" s="192"/>
      <c r="C452" s="197" t="s">
        <v>1609</v>
      </c>
      <c r="D452" s="198">
        <f>'02 项目基础信息（输入）'!$C$39</f>
        <v>0</v>
      </c>
      <c r="E452" s="199" t="s">
        <v>93</v>
      </c>
      <c r="F452" s="197" t="s">
        <v>1616</v>
      </c>
      <c r="G452" s="199">
        <f>$G$451</f>
        <v>0</v>
      </c>
      <c r="H452" s="199" t="s">
        <v>966</v>
      </c>
      <c r="I452" s="198">
        <f>G452*D452</f>
        <v>0</v>
      </c>
      <c r="J452" s="199" t="s">
        <v>1617</v>
      </c>
      <c r="K452" s="208"/>
      <c r="L452" s="209" t="s">
        <v>664</v>
      </c>
      <c r="M452" s="198">
        <f>ROUND(K452*I452/10000,6)</f>
        <v>0</v>
      </c>
      <c r="N452" s="198">
        <f>'02 项目基础信息（输入）'!$C$39</f>
        <v>0</v>
      </c>
      <c r="O452" s="198">
        <f t="shared" si="54"/>
        <v>0</v>
      </c>
      <c r="P452" s="198">
        <f>'02 项目基础信息（输入）'!$I$39</f>
        <v>0</v>
      </c>
      <c r="Q452" s="233">
        <f t="shared" si="55"/>
        <v>0</v>
      </c>
      <c r="S452" s="217"/>
      <c r="U452" s="220" t="s">
        <v>2228</v>
      </c>
      <c r="V452" s="1190">
        <v>0</v>
      </c>
    </row>
    <row r="453" spans="1:22" ht="0" hidden="1" customHeight="1" outlineLevel="3">
      <c r="A453" s="192" t="s">
        <v>1621</v>
      </c>
      <c r="B453" s="192"/>
      <c r="C453" s="197" t="s">
        <v>1609</v>
      </c>
      <c r="D453" s="198">
        <f>'02 项目基础信息（输入）'!$C$39</f>
        <v>0</v>
      </c>
      <c r="E453" s="199" t="s">
        <v>93</v>
      </c>
      <c r="F453" s="197" t="s">
        <v>1622</v>
      </c>
      <c r="G453" s="225"/>
      <c r="H453" s="199" t="s">
        <v>298</v>
      </c>
      <c r="I453" s="198">
        <f>G453*D453</f>
        <v>0</v>
      </c>
      <c r="J453" s="199" t="s">
        <v>93</v>
      </c>
      <c r="K453" s="208"/>
      <c r="L453" s="209" t="s">
        <v>675</v>
      </c>
      <c r="M453" s="198">
        <f>ROUND(K453*I453/10000,6)</f>
        <v>0</v>
      </c>
      <c r="N453" s="198">
        <f>'02 项目基础信息（输入）'!$C$39</f>
        <v>0</v>
      </c>
      <c r="O453" s="198">
        <f t="shared" si="54"/>
        <v>0</v>
      </c>
      <c r="P453" s="198">
        <f>'02 项目基础信息（输入）'!$I$39</f>
        <v>0</v>
      </c>
      <c r="Q453" s="233">
        <f t="shared" si="55"/>
        <v>0</v>
      </c>
      <c r="S453" s="217"/>
      <c r="U453" s="220" t="s">
        <v>2229</v>
      </c>
      <c r="V453" s="1190">
        <v>0.122</v>
      </c>
    </row>
    <row r="454" spans="1:22" ht="0" hidden="1" customHeight="1" outlineLevel="3">
      <c r="A454" s="192" t="s">
        <v>1624</v>
      </c>
      <c r="B454" s="192"/>
      <c r="C454" s="197"/>
      <c r="D454" s="198">
        <f>'02 项目基础信息（输入）'!$C$39</f>
        <v>0</v>
      </c>
      <c r="E454" s="199"/>
      <c r="F454" s="197"/>
      <c r="G454" s="199"/>
      <c r="H454" s="199"/>
      <c r="I454" s="197">
        <v>0</v>
      </c>
      <c r="J454" s="199"/>
      <c r="K454" s="207"/>
      <c r="L454" s="209"/>
      <c r="M454" s="198">
        <f>ROUND(SUM(M455:M458),6)</f>
        <v>0</v>
      </c>
      <c r="N454" s="198">
        <f>'02 项目基础信息（输入）'!$C$39</f>
        <v>0</v>
      </c>
      <c r="O454" s="198">
        <f t="shared" si="54"/>
        <v>0</v>
      </c>
      <c r="P454" s="198">
        <f>'02 项目基础信息（输入）'!$I$39</f>
        <v>0</v>
      </c>
      <c r="Q454" s="233">
        <f t="shared" si="55"/>
        <v>0</v>
      </c>
      <c r="S454" s="217"/>
      <c r="U454" s="220" t="s">
        <v>2230</v>
      </c>
      <c r="V454" s="1190">
        <v>0</v>
      </c>
    </row>
    <row r="455" spans="1:22" ht="0" hidden="1" customHeight="1" outlineLevel="4">
      <c r="A455" s="192" t="s">
        <v>1626</v>
      </c>
      <c r="B455" s="192"/>
      <c r="C455" s="197" t="s">
        <v>1609</v>
      </c>
      <c r="D455" s="198">
        <f>'02 项目基础信息（输入）'!$C$39</f>
        <v>0</v>
      </c>
      <c r="E455" s="199" t="s">
        <v>93</v>
      </c>
      <c r="F455" s="197" t="s">
        <v>1627</v>
      </c>
      <c r="G455" s="225"/>
      <c r="H455" s="199" t="s">
        <v>976</v>
      </c>
      <c r="I455" s="198">
        <f>G455*D455</f>
        <v>0</v>
      </c>
      <c r="J455" s="199" t="s">
        <v>1511</v>
      </c>
      <c r="K455" s="228">
        <f>'03 成本测算（输入）'!$D$12</f>
        <v>367.07400000000001</v>
      </c>
      <c r="L455" s="209" t="s">
        <v>671</v>
      </c>
      <c r="M455" s="198">
        <f>ROUND(K455*I455/10000,6)</f>
        <v>0</v>
      </c>
      <c r="N455" s="198">
        <f>'02 项目基础信息（输入）'!$C$39</f>
        <v>0</v>
      </c>
      <c r="O455" s="198">
        <f t="shared" si="54"/>
        <v>0</v>
      </c>
      <c r="P455" s="198">
        <f>'02 项目基础信息（输入）'!$I$39</f>
        <v>0</v>
      </c>
      <c r="Q455" s="233">
        <f t="shared" si="55"/>
        <v>0</v>
      </c>
      <c r="S455" s="217"/>
      <c r="U455" s="220" t="s">
        <v>2231</v>
      </c>
      <c r="V455" s="1190">
        <v>0.1182</v>
      </c>
    </row>
    <row r="456" spans="1:22" ht="0" hidden="1" customHeight="1" outlineLevel="4">
      <c r="A456" s="192" t="s">
        <v>1629</v>
      </c>
      <c r="B456" s="192"/>
      <c r="C456" s="197" t="s">
        <v>1609</v>
      </c>
      <c r="D456" s="198">
        <f>'02 项目基础信息（输入）'!$C$39</f>
        <v>0</v>
      </c>
      <c r="E456" s="199" t="s">
        <v>93</v>
      </c>
      <c r="F456" s="197" t="s">
        <v>1627</v>
      </c>
      <c r="G456" s="199">
        <f>$G$455</f>
        <v>0</v>
      </c>
      <c r="H456" s="199" t="s">
        <v>976</v>
      </c>
      <c r="I456" s="198">
        <f>G456*D456</f>
        <v>0</v>
      </c>
      <c r="J456" s="199" t="s">
        <v>1511</v>
      </c>
      <c r="K456" s="208"/>
      <c r="L456" s="209" t="s">
        <v>671</v>
      </c>
      <c r="M456" s="198">
        <f>ROUND(K456*I456/10000,6)</f>
        <v>0</v>
      </c>
      <c r="N456" s="198">
        <f>'02 项目基础信息（输入）'!$C$39</f>
        <v>0</v>
      </c>
      <c r="O456" s="198">
        <f t="shared" si="54"/>
        <v>0</v>
      </c>
      <c r="P456" s="198">
        <f>'02 项目基础信息（输入）'!$I$39</f>
        <v>0</v>
      </c>
      <c r="Q456" s="233">
        <f t="shared" si="55"/>
        <v>0</v>
      </c>
      <c r="S456" s="217"/>
      <c r="U456" s="220" t="s">
        <v>2232</v>
      </c>
      <c r="V456" s="1190">
        <v>0</v>
      </c>
    </row>
    <row r="457" spans="1:22" ht="0" hidden="1" customHeight="1" outlineLevel="4">
      <c r="A457" s="192" t="s">
        <v>1631</v>
      </c>
      <c r="B457" s="192"/>
      <c r="C457" s="197" t="s">
        <v>1609</v>
      </c>
      <c r="D457" s="198">
        <f>'02 项目基础信息（输入）'!$C$39</f>
        <v>0</v>
      </c>
      <c r="E457" s="199" t="s">
        <v>93</v>
      </c>
      <c r="F457" s="197" t="s">
        <v>1609</v>
      </c>
      <c r="G457" s="199">
        <v>1</v>
      </c>
      <c r="H457" s="199" t="s">
        <v>298</v>
      </c>
      <c r="I457" s="198">
        <f>G457*D457</f>
        <v>0</v>
      </c>
      <c r="J457" s="199" t="s">
        <v>93</v>
      </c>
      <c r="K457" s="228">
        <f>'03 成本测算（输入）'!$D$23</f>
        <v>0</v>
      </c>
      <c r="L457" s="209" t="s">
        <v>675</v>
      </c>
      <c r="M457" s="198">
        <f>ROUND(K457*I457/10000,6)</f>
        <v>0</v>
      </c>
      <c r="N457" s="198">
        <f>'02 项目基础信息（输入）'!$C$39</f>
        <v>0</v>
      </c>
      <c r="O457" s="198">
        <f t="shared" si="54"/>
        <v>0</v>
      </c>
      <c r="P457" s="198">
        <f>'02 项目基础信息（输入）'!$I$39</f>
        <v>0</v>
      </c>
      <c r="Q457" s="233">
        <f t="shared" si="55"/>
        <v>0</v>
      </c>
      <c r="R457" s="188" t="s">
        <v>2233</v>
      </c>
      <c r="S457" s="217"/>
      <c r="U457" s="220" t="s">
        <v>2234</v>
      </c>
      <c r="V457" s="1190">
        <v>17.852499999999999</v>
      </c>
    </row>
    <row r="458" spans="1:22" ht="0" hidden="1" customHeight="1" outlineLevel="4">
      <c r="A458" s="192" t="s">
        <v>1634</v>
      </c>
      <c r="B458" s="192"/>
      <c r="C458" s="197" t="s">
        <v>1609</v>
      </c>
      <c r="D458" s="198">
        <f>'02 项目基础信息（输入）'!$C$39</f>
        <v>0</v>
      </c>
      <c r="E458" s="199" t="s">
        <v>93</v>
      </c>
      <c r="F458" s="197" t="s">
        <v>1632</v>
      </c>
      <c r="G458" s="199">
        <v>1</v>
      </c>
      <c r="H458" s="199" t="s">
        <v>976</v>
      </c>
      <c r="I458" s="198">
        <f>G458*D458</f>
        <v>0</v>
      </c>
      <c r="J458" s="199" t="s">
        <v>93</v>
      </c>
      <c r="K458" s="207">
        <v>0</v>
      </c>
      <c r="L458" s="209" t="s">
        <v>675</v>
      </c>
      <c r="M458" s="198">
        <f>ROUND(K458*I458/10000,6)</f>
        <v>0</v>
      </c>
      <c r="N458" s="198">
        <f>'02 项目基础信息（输入）'!$C$39</f>
        <v>0</v>
      </c>
      <c r="O458" s="198">
        <f t="shared" si="54"/>
        <v>0</v>
      </c>
      <c r="P458" s="198">
        <f>'02 项目基础信息（输入）'!$I$39</f>
        <v>0</v>
      </c>
      <c r="Q458" s="233">
        <f t="shared" si="55"/>
        <v>0</v>
      </c>
      <c r="S458" s="217"/>
      <c r="U458" s="220" t="s">
        <v>2235</v>
      </c>
      <c r="V458" s="1190">
        <v>17.048100000000002</v>
      </c>
    </row>
    <row r="459" spans="1:22" ht="0" hidden="1" customHeight="1" outlineLevel="3">
      <c r="A459" s="192" t="s">
        <v>1636</v>
      </c>
      <c r="B459" s="192"/>
      <c r="C459" s="197" t="s">
        <v>1609</v>
      </c>
      <c r="D459" s="198">
        <f>'02 项目基础信息（输入）'!$C$39</f>
        <v>0</v>
      </c>
      <c r="E459" s="199" t="s">
        <v>93</v>
      </c>
      <c r="F459" s="197" t="s">
        <v>1637</v>
      </c>
      <c r="G459" s="225"/>
      <c r="H459" s="199" t="s">
        <v>976</v>
      </c>
      <c r="I459" s="198">
        <f>G459*D459</f>
        <v>0</v>
      </c>
      <c r="J459" s="199" t="s">
        <v>1511</v>
      </c>
      <c r="K459" s="229"/>
      <c r="L459" s="209" t="s">
        <v>671</v>
      </c>
      <c r="M459" s="198">
        <f>ROUND(K459*I459/10000,6)</f>
        <v>0</v>
      </c>
      <c r="N459" s="198">
        <f>'02 项目基础信息（输入）'!$C$39</f>
        <v>0</v>
      </c>
      <c r="O459" s="198">
        <f t="shared" si="54"/>
        <v>0</v>
      </c>
      <c r="P459" s="198">
        <f>'02 项目基础信息（输入）'!$I$39</f>
        <v>0</v>
      </c>
      <c r="Q459" s="233">
        <f t="shared" si="55"/>
        <v>0</v>
      </c>
      <c r="S459" s="217"/>
      <c r="U459" s="220" t="s">
        <v>2236</v>
      </c>
      <c r="V459" s="1190">
        <v>0.8044</v>
      </c>
    </row>
    <row r="460" spans="1:22" ht="0" hidden="1" customHeight="1" outlineLevel="3">
      <c r="A460" s="192" t="s">
        <v>1640</v>
      </c>
      <c r="B460" s="192"/>
      <c r="C460" s="197"/>
      <c r="D460" s="198">
        <f>'02 项目基础信息（输入）'!$C$39</f>
        <v>0</v>
      </c>
      <c r="E460" s="199"/>
      <c r="F460" s="197"/>
      <c r="G460" s="199"/>
      <c r="H460" s="199"/>
      <c r="I460" s="197">
        <v>0</v>
      </c>
      <c r="J460" s="199"/>
      <c r="K460" s="207"/>
      <c r="L460" s="209"/>
      <c r="M460" s="198">
        <f>ROUND(SUM(M461:M465),6)</f>
        <v>0</v>
      </c>
      <c r="N460" s="198">
        <f>'02 项目基础信息（输入）'!$C$39</f>
        <v>0</v>
      </c>
      <c r="O460" s="198">
        <f t="shared" si="54"/>
        <v>0</v>
      </c>
      <c r="P460" s="198">
        <f>'02 项目基础信息（输入）'!$I$39</f>
        <v>0</v>
      </c>
      <c r="Q460" s="233">
        <f t="shared" si="55"/>
        <v>0</v>
      </c>
      <c r="S460" s="217"/>
      <c r="U460" s="220" t="s">
        <v>2237</v>
      </c>
      <c r="V460" s="1190">
        <v>12.0558</v>
      </c>
    </row>
    <row r="461" spans="1:22" ht="0" hidden="1" customHeight="1" outlineLevel="4">
      <c r="A461" s="192" t="s">
        <v>1642</v>
      </c>
      <c r="B461" s="192"/>
      <c r="C461" s="197" t="s">
        <v>1609</v>
      </c>
      <c r="D461" s="198">
        <f>'02 项目基础信息（输入）'!$C$39</f>
        <v>0</v>
      </c>
      <c r="E461" s="199" t="s">
        <v>93</v>
      </c>
      <c r="F461" s="197" t="s">
        <v>1609</v>
      </c>
      <c r="G461" s="199">
        <v>1</v>
      </c>
      <c r="H461" s="199" t="s">
        <v>298</v>
      </c>
      <c r="I461" s="198">
        <f t="shared" ref="I461:I466" si="56">G461*D461</f>
        <v>0</v>
      </c>
      <c r="J461" s="199" t="s">
        <v>93</v>
      </c>
      <c r="K461" s="229"/>
      <c r="L461" s="209" t="s">
        <v>675</v>
      </c>
      <c r="M461" s="198">
        <f t="shared" ref="M461:M466" si="57">ROUND(K461*I461/10000,6)</f>
        <v>0</v>
      </c>
      <c r="N461" s="198">
        <f>'02 项目基础信息（输入）'!$C$39</f>
        <v>0</v>
      </c>
      <c r="O461" s="198">
        <f t="shared" si="54"/>
        <v>0</v>
      </c>
      <c r="P461" s="198">
        <f>'02 项目基础信息（输入）'!$I$39</f>
        <v>0</v>
      </c>
      <c r="Q461" s="233">
        <f t="shared" si="55"/>
        <v>0</v>
      </c>
      <c r="S461" s="217"/>
      <c r="U461" s="220" t="s">
        <v>2238</v>
      </c>
      <c r="V461" s="1190">
        <v>2.6070000000000002</v>
      </c>
    </row>
    <row r="462" spans="1:22" ht="0" hidden="1" customHeight="1" outlineLevel="4">
      <c r="A462" s="192" t="s">
        <v>1645</v>
      </c>
      <c r="B462" s="192"/>
      <c r="C462" s="197" t="s">
        <v>1609</v>
      </c>
      <c r="D462" s="198">
        <f>'02 项目基础信息（输入）'!$C$39</f>
        <v>0</v>
      </c>
      <c r="E462" s="199" t="s">
        <v>93</v>
      </c>
      <c r="F462" s="197" t="s">
        <v>1609</v>
      </c>
      <c r="G462" s="199">
        <v>1</v>
      </c>
      <c r="H462" s="199" t="s">
        <v>298</v>
      </c>
      <c r="I462" s="198">
        <f t="shared" si="56"/>
        <v>0</v>
      </c>
      <c r="J462" s="199" t="s">
        <v>93</v>
      </c>
      <c r="K462" s="228">
        <f>'03 成本测算（输入）'!$D$26</f>
        <v>0</v>
      </c>
      <c r="L462" s="209" t="s">
        <v>675</v>
      </c>
      <c r="M462" s="198">
        <f t="shared" si="57"/>
        <v>0</v>
      </c>
      <c r="N462" s="198">
        <f>'02 项目基础信息（输入）'!$C$39</f>
        <v>0</v>
      </c>
      <c r="O462" s="198">
        <f t="shared" si="54"/>
        <v>0</v>
      </c>
      <c r="P462" s="198">
        <f>'02 项目基础信息（输入）'!$I$39</f>
        <v>0</v>
      </c>
      <c r="Q462" s="233">
        <f t="shared" si="55"/>
        <v>0</v>
      </c>
      <c r="R462" s="188" t="s">
        <v>2239</v>
      </c>
      <c r="S462" s="234"/>
      <c r="U462" s="220" t="s">
        <v>2240</v>
      </c>
      <c r="V462">
        <v>9.4488000000000003</v>
      </c>
    </row>
    <row r="463" spans="1:22" ht="0" hidden="1" customHeight="1" outlineLevel="4">
      <c r="A463" s="192" t="s">
        <v>1647</v>
      </c>
      <c r="B463" s="192"/>
      <c r="C463" s="197" t="s">
        <v>1609</v>
      </c>
      <c r="D463" s="198">
        <f>'02 项目基础信息（输入）'!$C$39</f>
        <v>0</v>
      </c>
      <c r="E463" s="199" t="s">
        <v>93</v>
      </c>
      <c r="F463" s="197" t="s">
        <v>1648</v>
      </c>
      <c r="G463" s="199">
        <v>1</v>
      </c>
      <c r="H463" s="199" t="s">
        <v>298</v>
      </c>
      <c r="I463" s="198">
        <f t="shared" si="56"/>
        <v>0</v>
      </c>
      <c r="J463" s="199" t="s">
        <v>93</v>
      </c>
      <c r="K463" s="229"/>
      <c r="L463" s="209" t="s">
        <v>675</v>
      </c>
      <c r="M463" s="198">
        <f t="shared" si="57"/>
        <v>0</v>
      </c>
      <c r="N463" s="198">
        <f>'02 项目基础信息（输入）'!$C$39</f>
        <v>0</v>
      </c>
      <c r="O463" s="198">
        <f t="shared" si="54"/>
        <v>0</v>
      </c>
      <c r="P463" s="198">
        <f>'02 项目基础信息（输入）'!$I$39</f>
        <v>0</v>
      </c>
      <c r="Q463" s="233">
        <f t="shared" si="55"/>
        <v>0</v>
      </c>
      <c r="S463" s="217"/>
      <c r="U463" s="220" t="s">
        <v>2241</v>
      </c>
    </row>
    <row r="464" spans="1:22" ht="0" hidden="1" customHeight="1" outlineLevel="4">
      <c r="A464" s="192" t="s">
        <v>1993</v>
      </c>
      <c r="B464" s="192"/>
      <c r="C464" s="197" t="s">
        <v>1609</v>
      </c>
      <c r="D464" s="198">
        <f>'02 项目基础信息（输入）'!$C$39</f>
        <v>0</v>
      </c>
      <c r="E464" s="199" t="s">
        <v>93</v>
      </c>
      <c r="F464" s="197" t="s">
        <v>1648</v>
      </c>
      <c r="G464" s="199">
        <v>1</v>
      </c>
      <c r="H464" s="199" t="s">
        <v>298</v>
      </c>
      <c r="I464" s="198">
        <f t="shared" si="56"/>
        <v>0</v>
      </c>
      <c r="J464" s="199" t="s">
        <v>93</v>
      </c>
      <c r="K464" s="229"/>
      <c r="L464" s="209" t="s">
        <v>675</v>
      </c>
      <c r="M464" s="198">
        <f t="shared" si="57"/>
        <v>0</v>
      </c>
      <c r="N464" s="198">
        <f>'02 项目基础信息（输入）'!$C$39</f>
        <v>0</v>
      </c>
      <c r="O464" s="198">
        <f t="shared" si="54"/>
        <v>0</v>
      </c>
      <c r="P464" s="198">
        <f>'02 项目基础信息（输入）'!$I$39</f>
        <v>0</v>
      </c>
      <c r="Q464" s="233">
        <f t="shared" si="55"/>
        <v>0</v>
      </c>
      <c r="S464" s="217"/>
      <c r="U464" s="220" t="s">
        <v>2242</v>
      </c>
    </row>
    <row r="465" spans="1:21" ht="0" hidden="1" customHeight="1" outlineLevel="4">
      <c r="A465" s="192" t="s">
        <v>1650</v>
      </c>
      <c r="B465" s="192"/>
      <c r="C465" s="197" t="s">
        <v>1609</v>
      </c>
      <c r="D465" s="198">
        <f>'02 项目基础信息（输入）'!$C$39</f>
        <v>0</v>
      </c>
      <c r="E465" s="199" t="s">
        <v>93</v>
      </c>
      <c r="F465" s="197" t="s">
        <v>1648</v>
      </c>
      <c r="G465" s="199">
        <v>1</v>
      </c>
      <c r="H465" s="199" t="s">
        <v>298</v>
      </c>
      <c r="I465" s="198">
        <f t="shared" si="56"/>
        <v>0</v>
      </c>
      <c r="J465" s="199" t="s">
        <v>93</v>
      </c>
      <c r="K465" s="229"/>
      <c r="L465" s="209" t="s">
        <v>675</v>
      </c>
      <c r="M465" s="198">
        <f t="shared" si="57"/>
        <v>0</v>
      </c>
      <c r="N465" s="198">
        <f>'02 项目基础信息（输入）'!$C$39</f>
        <v>0</v>
      </c>
      <c r="O465" s="198">
        <f t="shared" si="54"/>
        <v>0</v>
      </c>
      <c r="P465" s="198">
        <f>'02 项目基础信息（输入）'!$I$39</f>
        <v>0</v>
      </c>
      <c r="Q465" s="233">
        <f t="shared" si="55"/>
        <v>0</v>
      </c>
      <c r="S465" s="217"/>
      <c r="U465" s="220" t="s">
        <v>2243</v>
      </c>
    </row>
    <row r="466" spans="1:21" ht="0" hidden="1" customHeight="1" outlineLevel="3">
      <c r="A466" s="192" t="s">
        <v>1652</v>
      </c>
      <c r="B466" s="192"/>
      <c r="C466" s="197" t="s">
        <v>1609</v>
      </c>
      <c r="D466" s="198">
        <f>'02 项目基础信息（输入）'!$C$39</f>
        <v>0</v>
      </c>
      <c r="E466" s="199" t="s">
        <v>93</v>
      </c>
      <c r="F466" s="197" t="s">
        <v>1648</v>
      </c>
      <c r="G466" s="199">
        <v>1</v>
      </c>
      <c r="H466" s="199" t="s">
        <v>298</v>
      </c>
      <c r="I466" s="198">
        <f t="shared" si="56"/>
        <v>0</v>
      </c>
      <c r="J466" s="199" t="s">
        <v>93</v>
      </c>
      <c r="K466" s="229"/>
      <c r="L466" s="209" t="s">
        <v>675</v>
      </c>
      <c r="M466" s="198">
        <f t="shared" si="57"/>
        <v>0</v>
      </c>
      <c r="N466" s="198">
        <f>'02 项目基础信息（输入）'!$C$39</f>
        <v>0</v>
      </c>
      <c r="O466" s="198">
        <f t="shared" si="54"/>
        <v>0</v>
      </c>
      <c r="P466" s="198">
        <f>'02 项目基础信息（输入）'!$I$39</f>
        <v>0</v>
      </c>
      <c r="Q466" s="233">
        <f t="shared" si="55"/>
        <v>0</v>
      </c>
      <c r="S466" s="217"/>
      <c r="U466" s="220" t="s">
        <v>2244</v>
      </c>
    </row>
    <row r="467" spans="1:21" ht="0" hidden="1" customHeight="1" outlineLevel="3">
      <c r="A467" s="192" t="s">
        <v>1654</v>
      </c>
      <c r="B467" s="192"/>
      <c r="C467" s="197"/>
      <c r="D467" s="198">
        <f>'02 项目基础信息（输入）'!$C$39</f>
        <v>0</v>
      </c>
      <c r="E467" s="199"/>
      <c r="F467" s="197"/>
      <c r="G467" s="199"/>
      <c r="H467" s="199"/>
      <c r="I467" s="197">
        <v>0</v>
      </c>
      <c r="J467" s="199"/>
      <c r="K467" s="207"/>
      <c r="L467" s="209"/>
      <c r="M467" s="198">
        <f>ROUND(SUM(M468:M469),6)</f>
        <v>0</v>
      </c>
      <c r="N467" s="198">
        <f>'02 项目基础信息（输入）'!$C$39</f>
        <v>0</v>
      </c>
      <c r="O467" s="198">
        <f t="shared" si="54"/>
        <v>0</v>
      </c>
      <c r="P467" s="198">
        <f>'02 项目基础信息（输入）'!$I$39</f>
        <v>0</v>
      </c>
      <c r="Q467" s="233">
        <f t="shared" si="55"/>
        <v>0</v>
      </c>
      <c r="S467" s="217"/>
      <c r="U467" s="220" t="s">
        <v>2245</v>
      </c>
    </row>
    <row r="468" spans="1:21" ht="0" hidden="1" customHeight="1" outlineLevel="4">
      <c r="A468" s="192" t="s">
        <v>1656</v>
      </c>
      <c r="B468" s="192"/>
      <c r="C468" s="197" t="s">
        <v>1609</v>
      </c>
      <c r="D468" s="198">
        <f>'02 项目基础信息（输入）'!$C$39</f>
        <v>0</v>
      </c>
      <c r="E468" s="199" t="s">
        <v>93</v>
      </c>
      <c r="F468" s="197" t="s">
        <v>1657</v>
      </c>
      <c r="G468" s="225"/>
      <c r="H468" s="199" t="s">
        <v>1658</v>
      </c>
      <c r="I468" s="198">
        <f>G468*D468</f>
        <v>0</v>
      </c>
      <c r="J468" s="199" t="s">
        <v>376</v>
      </c>
      <c r="K468" s="229"/>
      <c r="L468" s="209" t="s">
        <v>1659</v>
      </c>
      <c r="M468" s="198">
        <f>ROUND(K468*I468/10000,6)</f>
        <v>0</v>
      </c>
      <c r="N468" s="198">
        <f>'02 项目基础信息（输入）'!$C$39</f>
        <v>0</v>
      </c>
      <c r="O468" s="198">
        <f t="shared" si="54"/>
        <v>0</v>
      </c>
      <c r="P468" s="198">
        <f>'02 项目基础信息（输入）'!$I$39</f>
        <v>0</v>
      </c>
      <c r="Q468" s="233">
        <f t="shared" si="55"/>
        <v>0</v>
      </c>
      <c r="S468" s="217"/>
      <c r="U468" s="220" t="s">
        <v>2246</v>
      </c>
    </row>
    <row r="469" spans="1:21" ht="0" hidden="1" customHeight="1" outlineLevel="4">
      <c r="A469" s="192" t="s">
        <v>1661</v>
      </c>
      <c r="B469" s="192"/>
      <c r="C469" s="197" t="s">
        <v>1609</v>
      </c>
      <c r="D469" s="198">
        <f>'02 项目基础信息（输入）'!$C$39</f>
        <v>0</v>
      </c>
      <c r="E469" s="199" t="s">
        <v>93</v>
      </c>
      <c r="F469" s="197" t="s">
        <v>1609</v>
      </c>
      <c r="G469" s="199">
        <v>1</v>
      </c>
      <c r="H469" s="199" t="s">
        <v>298</v>
      </c>
      <c r="I469" s="198">
        <f>G469*D469</f>
        <v>0</v>
      </c>
      <c r="J469" s="199" t="s">
        <v>93</v>
      </c>
      <c r="K469" s="229"/>
      <c r="L469" s="209" t="s">
        <v>675</v>
      </c>
      <c r="M469" s="198">
        <f>ROUND(K469*I469/10000,6)</f>
        <v>0</v>
      </c>
      <c r="N469" s="198">
        <f>'02 项目基础信息（输入）'!$C$39</f>
        <v>0</v>
      </c>
      <c r="O469" s="198">
        <f t="shared" si="54"/>
        <v>0</v>
      </c>
      <c r="P469" s="198">
        <f>'02 项目基础信息（输入）'!$I$39</f>
        <v>0</v>
      </c>
      <c r="Q469" s="233">
        <f t="shared" si="55"/>
        <v>0</v>
      </c>
      <c r="S469" s="217"/>
      <c r="U469" s="220" t="s">
        <v>2247</v>
      </c>
    </row>
    <row r="470" spans="1:21" ht="0" hidden="1" customHeight="1" outlineLevel="3">
      <c r="A470" s="192" t="s">
        <v>1664</v>
      </c>
      <c r="B470" s="192"/>
      <c r="C470" s="197" t="s">
        <v>1665</v>
      </c>
      <c r="D470" s="198">
        <f>SUM(M450+M453+M454+M459+M460+M466+M467)*10000</f>
        <v>0</v>
      </c>
      <c r="E470" s="199" t="s">
        <v>1666</v>
      </c>
      <c r="F470" s="197" t="s">
        <v>1667</v>
      </c>
      <c r="G470" s="226">
        <f>IFERROR(I470/D470*100,0)</f>
        <v>0</v>
      </c>
      <c r="H470" s="195" t="s">
        <v>123</v>
      </c>
      <c r="I470" s="194">
        <f>K470*N470</f>
        <v>0</v>
      </c>
      <c r="J470" s="195" t="s">
        <v>1666</v>
      </c>
      <c r="K470" s="208">
        <v>0</v>
      </c>
      <c r="L470" s="230" t="s">
        <v>1669</v>
      </c>
      <c r="M470" s="231">
        <f>ROUND(I470/10000,6)</f>
        <v>0</v>
      </c>
      <c r="N470" s="198">
        <f>'02 项目基础信息（输入）'!$C$39</f>
        <v>0</v>
      </c>
      <c r="O470" s="198">
        <f t="shared" si="54"/>
        <v>0</v>
      </c>
      <c r="P470" s="198">
        <f>'02 项目基础信息（输入）'!$I$39</f>
        <v>0</v>
      </c>
      <c r="Q470" s="233">
        <f t="shared" si="55"/>
        <v>0</v>
      </c>
      <c r="S470" s="217"/>
      <c r="U470" s="220" t="s">
        <v>2248</v>
      </c>
    </row>
    <row r="471" spans="1:21" ht="0" hidden="1" customHeight="1" outlineLevel="2">
      <c r="A471" s="192" t="s">
        <v>1671</v>
      </c>
      <c r="B471" s="192"/>
      <c r="C471" s="197" t="s">
        <v>1609</v>
      </c>
      <c r="D471" s="198">
        <f>'02 项目基础信息（输入）'!$C$39</f>
        <v>0</v>
      </c>
      <c r="E471" s="199" t="s">
        <v>93</v>
      </c>
      <c r="F471" s="197"/>
      <c r="G471" s="199"/>
      <c r="H471" s="199"/>
      <c r="I471" s="197"/>
      <c r="J471" s="199"/>
      <c r="K471" s="207"/>
      <c r="L471" s="209"/>
      <c r="M471" s="198">
        <f>ROUND(SUM(M472:M473),6)</f>
        <v>0</v>
      </c>
      <c r="N471" s="198">
        <f>'02 项目基础信息（输入）'!$C$39</f>
        <v>0</v>
      </c>
      <c r="O471" s="198">
        <f t="shared" si="54"/>
        <v>0</v>
      </c>
      <c r="P471" s="198">
        <f>'02 项目基础信息（输入）'!$I$39</f>
        <v>0</v>
      </c>
      <c r="Q471" s="233">
        <f t="shared" si="55"/>
        <v>0</v>
      </c>
      <c r="S471" s="217" t="s">
        <v>1313</v>
      </c>
      <c r="U471" s="220" t="s">
        <v>2249</v>
      </c>
    </row>
    <row r="472" spans="1:21" ht="0" hidden="1" customHeight="1" outlineLevel="3">
      <c r="A472" s="192" t="s">
        <v>1673</v>
      </c>
      <c r="B472" s="192"/>
      <c r="C472" s="197" t="s">
        <v>1609</v>
      </c>
      <c r="D472" s="198">
        <f>'02 项目基础信息（输入）'!$C$39</f>
        <v>0</v>
      </c>
      <c r="E472" s="199" t="s">
        <v>93</v>
      </c>
      <c r="F472" s="197" t="s">
        <v>705</v>
      </c>
      <c r="G472" s="199"/>
      <c r="H472" s="199" t="s">
        <v>298</v>
      </c>
      <c r="I472" s="198">
        <f>G472*D472</f>
        <v>0</v>
      </c>
      <c r="J472" s="199" t="s">
        <v>93</v>
      </c>
      <c r="K472" s="207"/>
      <c r="L472" s="209" t="s">
        <v>675</v>
      </c>
      <c r="M472" s="207">
        <f>ROUND(K472*I472/10000,6)</f>
        <v>0</v>
      </c>
      <c r="N472" s="198">
        <f>'02 项目基础信息（输入）'!$C$39</f>
        <v>0</v>
      </c>
      <c r="O472" s="198">
        <f t="shared" si="54"/>
        <v>0</v>
      </c>
      <c r="P472" s="198">
        <f>'02 项目基础信息（输入）'!$I$39</f>
        <v>0</v>
      </c>
      <c r="Q472" s="233">
        <f t="shared" si="55"/>
        <v>0</v>
      </c>
      <c r="S472" s="217"/>
      <c r="U472" s="220" t="s">
        <v>2250</v>
      </c>
    </row>
    <row r="473" spans="1:21" ht="0" hidden="1" customHeight="1" outlineLevel="3">
      <c r="A473" s="192" t="s">
        <v>1676</v>
      </c>
      <c r="B473" s="192"/>
      <c r="C473" s="197" t="s">
        <v>1609</v>
      </c>
      <c r="D473" s="198">
        <f>'02 项目基础信息（输入）'!$C$39</f>
        <v>0</v>
      </c>
      <c r="E473" s="199" t="s">
        <v>93</v>
      </c>
      <c r="F473" s="197" t="s">
        <v>705</v>
      </c>
      <c r="G473" s="199"/>
      <c r="H473" s="199" t="s">
        <v>298</v>
      </c>
      <c r="I473" s="198">
        <f>G473*D473</f>
        <v>0</v>
      </c>
      <c r="J473" s="199" t="s">
        <v>93</v>
      </c>
      <c r="K473" s="207"/>
      <c r="L473" s="209" t="s">
        <v>675</v>
      </c>
      <c r="M473" s="207">
        <f>ROUND(K473*I473/10000,6)</f>
        <v>0</v>
      </c>
      <c r="N473" s="198">
        <f>'02 项目基础信息（输入）'!$C$39</f>
        <v>0</v>
      </c>
      <c r="O473" s="198">
        <f t="shared" si="54"/>
        <v>0</v>
      </c>
      <c r="P473" s="198">
        <f>'02 项目基础信息（输入）'!$I$39</f>
        <v>0</v>
      </c>
      <c r="Q473" s="233">
        <f t="shared" si="55"/>
        <v>0</v>
      </c>
      <c r="S473" s="217"/>
      <c r="U473" s="220" t="s">
        <v>2251</v>
      </c>
    </row>
    <row r="474" spans="1:21" ht="0" hidden="1" customHeight="1" outlineLevel="2">
      <c r="A474" s="192" t="s">
        <v>1679</v>
      </c>
      <c r="B474" s="192"/>
      <c r="C474" s="197" t="s">
        <v>1609</v>
      </c>
      <c r="D474" s="198">
        <f>'02 项目基础信息（输入）'!$C$39</f>
        <v>0</v>
      </c>
      <c r="E474" s="199" t="s">
        <v>93</v>
      </c>
      <c r="F474" s="197"/>
      <c r="G474" s="199"/>
      <c r="H474" s="199"/>
      <c r="I474" s="197"/>
      <c r="J474" s="199"/>
      <c r="K474" s="207"/>
      <c r="L474" s="209"/>
      <c r="M474" s="198">
        <f>ROUND(SUM(M475:M486),6)</f>
        <v>0</v>
      </c>
      <c r="N474" s="198">
        <f>'02 项目基础信息（输入）'!$C$39</f>
        <v>0</v>
      </c>
      <c r="O474" s="198">
        <f t="shared" si="54"/>
        <v>0</v>
      </c>
      <c r="P474" s="198">
        <f>'02 项目基础信息（输入）'!$I$39</f>
        <v>0</v>
      </c>
      <c r="Q474" s="233">
        <f t="shared" si="55"/>
        <v>0</v>
      </c>
      <c r="S474" s="217" t="s">
        <v>1313</v>
      </c>
      <c r="U474" s="220" t="s">
        <v>2252</v>
      </c>
    </row>
    <row r="475" spans="1:21" ht="0" hidden="1" customHeight="1" outlineLevel="3">
      <c r="A475" s="192" t="s">
        <v>1681</v>
      </c>
      <c r="B475" s="192"/>
      <c r="C475" s="197" t="s">
        <v>1609</v>
      </c>
      <c r="D475" s="198">
        <f>'02 项目基础信息（输入）'!$C$39</f>
        <v>0</v>
      </c>
      <c r="E475" s="199" t="s">
        <v>93</v>
      </c>
      <c r="F475" s="197" t="s">
        <v>1682</v>
      </c>
      <c r="G475" s="238"/>
      <c r="H475" s="199" t="s">
        <v>298</v>
      </c>
      <c r="I475" s="198">
        <f t="shared" ref="I475:I486" si="58">G475*D475</f>
        <v>0</v>
      </c>
      <c r="J475" s="199" t="s">
        <v>93</v>
      </c>
      <c r="K475" s="208"/>
      <c r="L475" s="209" t="s">
        <v>675</v>
      </c>
      <c r="M475" s="207">
        <f t="shared" ref="M475:M486" si="59">ROUND(K475*I475/10000,6)</f>
        <v>0</v>
      </c>
      <c r="N475" s="198">
        <f>'02 项目基础信息（输入）'!$C$39</f>
        <v>0</v>
      </c>
      <c r="O475" s="198">
        <f t="shared" si="54"/>
        <v>0</v>
      </c>
      <c r="P475" s="198">
        <f>'02 项目基础信息（输入）'!$I$39</f>
        <v>0</v>
      </c>
      <c r="Q475" s="233">
        <f t="shared" si="55"/>
        <v>0</v>
      </c>
      <c r="S475" s="217"/>
      <c r="U475" s="220" t="s">
        <v>2253</v>
      </c>
    </row>
    <row r="476" spans="1:21" ht="0" hidden="1" customHeight="1" outlineLevel="3">
      <c r="A476" s="192" t="s">
        <v>1684</v>
      </c>
      <c r="B476" s="192"/>
      <c r="C476" s="197" t="s">
        <v>1609</v>
      </c>
      <c r="D476" s="198">
        <f>'02 项目基础信息（输入）'!$C$39</f>
        <v>0</v>
      </c>
      <c r="E476" s="199" t="s">
        <v>93</v>
      </c>
      <c r="F476" s="197" t="s">
        <v>1682</v>
      </c>
      <c r="G476" s="238"/>
      <c r="H476" s="199" t="s">
        <v>298</v>
      </c>
      <c r="I476" s="198">
        <f t="shared" si="58"/>
        <v>0</v>
      </c>
      <c r="J476" s="199" t="s">
        <v>93</v>
      </c>
      <c r="K476" s="208"/>
      <c r="L476" s="209" t="s">
        <v>675</v>
      </c>
      <c r="M476" s="207">
        <f t="shared" si="59"/>
        <v>0</v>
      </c>
      <c r="N476" s="198">
        <f>'02 项目基础信息（输入）'!$C$39</f>
        <v>0</v>
      </c>
      <c r="O476" s="198">
        <f t="shared" si="54"/>
        <v>0</v>
      </c>
      <c r="P476" s="198">
        <f>'02 项目基础信息（输入）'!$I$39</f>
        <v>0</v>
      </c>
      <c r="Q476" s="233">
        <f t="shared" si="55"/>
        <v>0</v>
      </c>
      <c r="S476" s="217"/>
      <c r="U476" s="220" t="s">
        <v>2254</v>
      </c>
    </row>
    <row r="477" spans="1:21" ht="0" hidden="1" customHeight="1" outlineLevel="3">
      <c r="A477" s="192" t="s">
        <v>2008</v>
      </c>
      <c r="B477" s="192"/>
      <c r="C477" s="197" t="s">
        <v>1609</v>
      </c>
      <c r="D477" s="198">
        <f>'02 项目基础信息（输入）'!$C$39</f>
        <v>0</v>
      </c>
      <c r="E477" s="199" t="s">
        <v>93</v>
      </c>
      <c r="F477" s="197" t="s">
        <v>1682</v>
      </c>
      <c r="G477" s="238"/>
      <c r="H477" s="199" t="s">
        <v>298</v>
      </c>
      <c r="I477" s="198">
        <f t="shared" si="58"/>
        <v>0</v>
      </c>
      <c r="J477" s="199" t="s">
        <v>93</v>
      </c>
      <c r="K477" s="208"/>
      <c r="L477" s="209" t="s">
        <v>675</v>
      </c>
      <c r="M477" s="207">
        <f t="shared" si="59"/>
        <v>0</v>
      </c>
      <c r="N477" s="198">
        <f>'02 项目基础信息（输入）'!$C$39</f>
        <v>0</v>
      </c>
      <c r="O477" s="198">
        <f t="shared" si="54"/>
        <v>0</v>
      </c>
      <c r="P477" s="198">
        <f>'02 项目基础信息（输入）'!$I$39</f>
        <v>0</v>
      </c>
      <c r="Q477" s="233">
        <f t="shared" si="55"/>
        <v>0</v>
      </c>
      <c r="S477" s="217"/>
      <c r="U477" s="220" t="s">
        <v>2255</v>
      </c>
    </row>
    <row r="478" spans="1:21" ht="0" hidden="1" customHeight="1" outlineLevel="3">
      <c r="A478" s="192" t="s">
        <v>2010</v>
      </c>
      <c r="B478" s="192"/>
      <c r="C478" s="197" t="s">
        <v>1609</v>
      </c>
      <c r="D478" s="198">
        <f>'02 项目基础信息（输入）'!$C$39</f>
        <v>0</v>
      </c>
      <c r="E478" s="199" t="s">
        <v>93</v>
      </c>
      <c r="F478" s="197" t="s">
        <v>1682</v>
      </c>
      <c r="G478" s="238"/>
      <c r="H478" s="199" t="s">
        <v>298</v>
      </c>
      <c r="I478" s="198">
        <f t="shared" si="58"/>
        <v>0</v>
      </c>
      <c r="J478" s="199" t="s">
        <v>93</v>
      </c>
      <c r="K478" s="208"/>
      <c r="L478" s="209" t="s">
        <v>675</v>
      </c>
      <c r="M478" s="207">
        <f t="shared" si="59"/>
        <v>0</v>
      </c>
      <c r="N478" s="198">
        <f>'02 项目基础信息（输入）'!$C$39</f>
        <v>0</v>
      </c>
      <c r="O478" s="198">
        <f t="shared" si="54"/>
        <v>0</v>
      </c>
      <c r="P478" s="198">
        <f>'02 项目基础信息（输入）'!$I$39</f>
        <v>0</v>
      </c>
      <c r="Q478" s="233">
        <f t="shared" si="55"/>
        <v>0</v>
      </c>
      <c r="S478" s="217"/>
      <c r="U478" s="220" t="s">
        <v>2256</v>
      </c>
    </row>
    <row r="479" spans="1:21" ht="0" hidden="1" customHeight="1" outlineLevel="3">
      <c r="A479" s="192" t="s">
        <v>2012</v>
      </c>
      <c r="B479" s="192"/>
      <c r="C479" s="197" t="s">
        <v>474</v>
      </c>
      <c r="D479" s="198">
        <f>'02 项目基础信息（输入）'!$AD$39</f>
        <v>0</v>
      </c>
      <c r="E479" s="199" t="s">
        <v>400</v>
      </c>
      <c r="F479" s="197" t="s">
        <v>1682</v>
      </c>
      <c r="G479" s="238"/>
      <c r="H479" s="199" t="s">
        <v>411</v>
      </c>
      <c r="I479" s="198">
        <f t="shared" si="58"/>
        <v>0</v>
      </c>
      <c r="J479" s="199" t="s">
        <v>93</v>
      </c>
      <c r="K479" s="208"/>
      <c r="L479" s="209" t="s">
        <v>675</v>
      </c>
      <c r="M479" s="207">
        <f t="shared" si="59"/>
        <v>0</v>
      </c>
      <c r="N479" s="198">
        <f>'02 项目基础信息（输入）'!$C$39</f>
        <v>0</v>
      </c>
      <c r="O479" s="198">
        <f t="shared" si="54"/>
        <v>0</v>
      </c>
      <c r="P479" s="198">
        <f>'02 项目基础信息（输入）'!$I$39</f>
        <v>0</v>
      </c>
      <c r="Q479" s="233">
        <f t="shared" si="55"/>
        <v>0</v>
      </c>
      <c r="S479" s="217"/>
      <c r="U479" s="220" t="s">
        <v>2257</v>
      </c>
    </row>
    <row r="480" spans="1:21" ht="0" hidden="1" customHeight="1" outlineLevel="3">
      <c r="A480" s="192" t="s">
        <v>2014</v>
      </c>
      <c r="B480" s="192"/>
      <c r="C480" s="197" t="s">
        <v>474</v>
      </c>
      <c r="D480" s="198">
        <f>'02 项目基础信息（输入）'!$AD$39</f>
        <v>0</v>
      </c>
      <c r="E480" s="199" t="s">
        <v>400</v>
      </c>
      <c r="F480" s="197" t="s">
        <v>1682</v>
      </c>
      <c r="G480" s="238"/>
      <c r="H480" s="199" t="s">
        <v>411</v>
      </c>
      <c r="I480" s="198">
        <f t="shared" si="58"/>
        <v>0</v>
      </c>
      <c r="J480" s="199" t="s">
        <v>93</v>
      </c>
      <c r="K480" s="208"/>
      <c r="L480" s="209" t="s">
        <v>675</v>
      </c>
      <c r="M480" s="207">
        <f t="shared" si="59"/>
        <v>0</v>
      </c>
      <c r="N480" s="198">
        <f>'02 项目基础信息（输入）'!$C$39</f>
        <v>0</v>
      </c>
      <c r="O480" s="198">
        <f t="shared" si="54"/>
        <v>0</v>
      </c>
      <c r="P480" s="198">
        <f>'02 项目基础信息（输入）'!$I$39</f>
        <v>0</v>
      </c>
      <c r="Q480" s="233">
        <f t="shared" si="55"/>
        <v>0</v>
      </c>
      <c r="S480" s="217"/>
      <c r="U480" s="220" t="s">
        <v>2258</v>
      </c>
    </row>
    <row r="481" spans="1:21" ht="0" hidden="1" customHeight="1" outlineLevel="3">
      <c r="A481" s="192" t="s">
        <v>2016</v>
      </c>
      <c r="B481" s="192"/>
      <c r="C481" s="197" t="s">
        <v>1609</v>
      </c>
      <c r="D481" s="198">
        <f>'02 项目基础信息（输入）'!$C$39</f>
        <v>0</v>
      </c>
      <c r="E481" s="199" t="s">
        <v>93</v>
      </c>
      <c r="F481" s="197" t="s">
        <v>1682</v>
      </c>
      <c r="G481" s="238"/>
      <c r="H481" s="199" t="s">
        <v>298</v>
      </c>
      <c r="I481" s="198">
        <f t="shared" si="58"/>
        <v>0</v>
      </c>
      <c r="J481" s="199" t="s">
        <v>93</v>
      </c>
      <c r="K481" s="208"/>
      <c r="L481" s="209" t="s">
        <v>675</v>
      </c>
      <c r="M481" s="207">
        <f t="shared" si="59"/>
        <v>0</v>
      </c>
      <c r="N481" s="198">
        <f>'02 项目基础信息（输入）'!$C$39</f>
        <v>0</v>
      </c>
      <c r="O481" s="198">
        <f t="shared" si="54"/>
        <v>0</v>
      </c>
      <c r="P481" s="198">
        <f>'02 项目基础信息（输入）'!$I$39</f>
        <v>0</v>
      </c>
      <c r="Q481" s="233">
        <f t="shared" si="55"/>
        <v>0</v>
      </c>
      <c r="S481" s="217"/>
      <c r="U481" s="220" t="s">
        <v>2259</v>
      </c>
    </row>
    <row r="482" spans="1:21" ht="0" hidden="1" customHeight="1" outlineLevel="3">
      <c r="A482" s="192" t="s">
        <v>2018</v>
      </c>
      <c r="B482" s="192"/>
      <c r="C482" s="197" t="s">
        <v>1609</v>
      </c>
      <c r="D482" s="198">
        <f>'02 项目基础信息（输入）'!$C$39</f>
        <v>0</v>
      </c>
      <c r="E482" s="199" t="s">
        <v>93</v>
      </c>
      <c r="F482" s="197" t="s">
        <v>1682</v>
      </c>
      <c r="G482" s="238"/>
      <c r="H482" s="199" t="s">
        <v>298</v>
      </c>
      <c r="I482" s="198">
        <f t="shared" si="58"/>
        <v>0</v>
      </c>
      <c r="J482" s="199" t="s">
        <v>93</v>
      </c>
      <c r="K482" s="208"/>
      <c r="L482" s="209" t="s">
        <v>675</v>
      </c>
      <c r="M482" s="207">
        <f t="shared" si="59"/>
        <v>0</v>
      </c>
      <c r="N482" s="198">
        <f>'02 项目基础信息（输入）'!$C$39</f>
        <v>0</v>
      </c>
      <c r="O482" s="198">
        <f t="shared" si="54"/>
        <v>0</v>
      </c>
      <c r="P482" s="198">
        <f>'02 项目基础信息（输入）'!$I$39</f>
        <v>0</v>
      </c>
      <c r="Q482" s="233">
        <f t="shared" si="55"/>
        <v>0</v>
      </c>
      <c r="S482" s="217"/>
      <c r="U482" s="220" t="s">
        <v>2260</v>
      </c>
    </row>
    <row r="483" spans="1:21" ht="0" hidden="1" customHeight="1" outlineLevel="3">
      <c r="A483" s="192" t="s">
        <v>2020</v>
      </c>
      <c r="B483" s="192"/>
      <c r="C483" s="197" t="s">
        <v>1609</v>
      </c>
      <c r="D483" s="198">
        <f>'02 项目基础信息（输入）'!$C$39</f>
        <v>0</v>
      </c>
      <c r="E483" s="199" t="s">
        <v>93</v>
      </c>
      <c r="F483" s="197" t="s">
        <v>1682</v>
      </c>
      <c r="G483" s="238"/>
      <c r="H483" s="199" t="s">
        <v>298</v>
      </c>
      <c r="I483" s="198">
        <f t="shared" si="58"/>
        <v>0</v>
      </c>
      <c r="J483" s="199" t="s">
        <v>93</v>
      </c>
      <c r="K483" s="208"/>
      <c r="L483" s="209" t="s">
        <v>675</v>
      </c>
      <c r="M483" s="207">
        <f t="shared" si="59"/>
        <v>0</v>
      </c>
      <c r="N483" s="198">
        <f>'02 项目基础信息（输入）'!$C$39</f>
        <v>0</v>
      </c>
      <c r="O483" s="198">
        <f t="shared" si="54"/>
        <v>0</v>
      </c>
      <c r="P483" s="198">
        <f>'02 项目基础信息（输入）'!$I$39</f>
        <v>0</v>
      </c>
      <c r="Q483" s="233">
        <f t="shared" si="55"/>
        <v>0</v>
      </c>
      <c r="S483" s="217"/>
      <c r="U483" s="220" t="s">
        <v>2261</v>
      </c>
    </row>
    <row r="484" spans="1:21" ht="0" hidden="1" customHeight="1" outlineLevel="3">
      <c r="A484" s="192" t="s">
        <v>2022</v>
      </c>
      <c r="B484" s="192"/>
      <c r="C484" s="197" t="s">
        <v>1609</v>
      </c>
      <c r="D484" s="198">
        <f>'02 项目基础信息（输入）'!$C$39</f>
        <v>0</v>
      </c>
      <c r="E484" s="199" t="s">
        <v>93</v>
      </c>
      <c r="F484" s="197" t="s">
        <v>1682</v>
      </c>
      <c r="G484" s="238"/>
      <c r="H484" s="199" t="s">
        <v>298</v>
      </c>
      <c r="I484" s="198">
        <f t="shared" si="58"/>
        <v>0</v>
      </c>
      <c r="J484" s="199" t="s">
        <v>93</v>
      </c>
      <c r="K484" s="208"/>
      <c r="L484" s="209" t="s">
        <v>675</v>
      </c>
      <c r="M484" s="207">
        <f t="shared" si="59"/>
        <v>0</v>
      </c>
      <c r="N484" s="198">
        <f>'02 项目基础信息（输入）'!$C$39</f>
        <v>0</v>
      </c>
      <c r="O484" s="198">
        <f t="shared" si="54"/>
        <v>0</v>
      </c>
      <c r="P484" s="198">
        <f>'02 项目基础信息（输入）'!$I$39</f>
        <v>0</v>
      </c>
      <c r="Q484" s="233">
        <f t="shared" si="55"/>
        <v>0</v>
      </c>
      <c r="S484" s="217"/>
      <c r="U484" s="220" t="s">
        <v>2262</v>
      </c>
    </row>
    <row r="485" spans="1:21" ht="0" hidden="1" customHeight="1" outlineLevel="3">
      <c r="A485" s="192" t="s">
        <v>1694</v>
      </c>
      <c r="B485" s="192"/>
      <c r="C485" s="197" t="s">
        <v>1609</v>
      </c>
      <c r="D485" s="198">
        <f>'02 项目基础信息（输入）'!$C$39</f>
        <v>0</v>
      </c>
      <c r="E485" s="199" t="s">
        <v>93</v>
      </c>
      <c r="F485" s="197" t="s">
        <v>1682</v>
      </c>
      <c r="G485" s="238"/>
      <c r="H485" s="199" t="s">
        <v>298</v>
      </c>
      <c r="I485" s="198">
        <f t="shared" si="58"/>
        <v>0</v>
      </c>
      <c r="J485" s="199" t="s">
        <v>93</v>
      </c>
      <c r="K485" s="208"/>
      <c r="L485" s="209" t="s">
        <v>675</v>
      </c>
      <c r="M485" s="207">
        <f t="shared" si="59"/>
        <v>0</v>
      </c>
      <c r="N485" s="198">
        <f>'02 项目基础信息（输入）'!$C$39</f>
        <v>0</v>
      </c>
      <c r="O485" s="198">
        <f t="shared" si="54"/>
        <v>0</v>
      </c>
      <c r="P485" s="198">
        <f>'02 项目基础信息（输入）'!$I$39</f>
        <v>0</v>
      </c>
      <c r="Q485" s="233">
        <f t="shared" si="55"/>
        <v>0</v>
      </c>
      <c r="S485" s="217"/>
      <c r="U485" s="220" t="s">
        <v>2263</v>
      </c>
    </row>
    <row r="486" spans="1:21" ht="0" hidden="1" customHeight="1" outlineLevel="3">
      <c r="A486" s="192" t="s">
        <v>1696</v>
      </c>
      <c r="B486" s="192"/>
      <c r="C486" s="197" t="s">
        <v>1609</v>
      </c>
      <c r="D486" s="198">
        <f>'02 项目基础信息（输入）'!$C$39</f>
        <v>0</v>
      </c>
      <c r="E486" s="199" t="s">
        <v>93</v>
      </c>
      <c r="F486" s="197" t="s">
        <v>1682</v>
      </c>
      <c r="G486" s="238"/>
      <c r="H486" s="199" t="s">
        <v>298</v>
      </c>
      <c r="I486" s="198">
        <f t="shared" si="58"/>
        <v>0</v>
      </c>
      <c r="J486" s="199" t="s">
        <v>93</v>
      </c>
      <c r="K486" s="208"/>
      <c r="L486" s="209" t="s">
        <v>675</v>
      </c>
      <c r="M486" s="207">
        <f t="shared" si="59"/>
        <v>0</v>
      </c>
      <c r="N486" s="198">
        <f>'02 项目基础信息（输入）'!$C$39</f>
        <v>0</v>
      </c>
      <c r="O486" s="198">
        <f t="shared" si="54"/>
        <v>0</v>
      </c>
      <c r="P486" s="198">
        <f>'02 项目基础信息（输入）'!$I$39</f>
        <v>0</v>
      </c>
      <c r="Q486" s="233">
        <f t="shared" si="55"/>
        <v>0</v>
      </c>
      <c r="S486" s="217"/>
      <c r="U486" s="220" t="s">
        <v>2264</v>
      </c>
    </row>
    <row r="487" spans="1:21" ht="0" hidden="1" customHeight="1" outlineLevel="2">
      <c r="A487" s="192" t="s">
        <v>1698</v>
      </c>
      <c r="B487" s="192"/>
      <c r="C487" s="197" t="s">
        <v>1609</v>
      </c>
      <c r="D487" s="198">
        <f>'02 项目基础信息（输入）'!$C$39</f>
        <v>0</v>
      </c>
      <c r="E487" s="199" t="s">
        <v>93</v>
      </c>
      <c r="F487" s="197"/>
      <c r="G487" s="199"/>
      <c r="H487" s="199"/>
      <c r="I487" s="197"/>
      <c r="J487" s="199"/>
      <c r="K487" s="207"/>
      <c r="L487" s="209"/>
      <c r="M487" s="198">
        <f>ROUND(SUM(M488:M489),6)</f>
        <v>0</v>
      </c>
      <c r="N487" s="198">
        <f>'02 项目基础信息（输入）'!$C$39</f>
        <v>0</v>
      </c>
      <c r="O487" s="198">
        <f t="shared" si="54"/>
        <v>0</v>
      </c>
      <c r="P487" s="198">
        <f>'02 项目基础信息（输入）'!$I$39</f>
        <v>0</v>
      </c>
      <c r="Q487" s="233">
        <f t="shared" si="55"/>
        <v>0</v>
      </c>
      <c r="S487" s="217" t="s">
        <v>1313</v>
      </c>
      <c r="U487" s="220" t="s">
        <v>2265</v>
      </c>
    </row>
    <row r="488" spans="1:21" ht="0" hidden="1" customHeight="1" outlineLevel="3">
      <c r="A488" s="192" t="s">
        <v>1700</v>
      </c>
      <c r="B488" s="192"/>
      <c r="C488" s="197" t="s">
        <v>1609</v>
      </c>
      <c r="D488" s="198">
        <f>'02 项目基础信息（输入）'!$C$39</f>
        <v>0</v>
      </c>
      <c r="E488" s="199" t="s">
        <v>93</v>
      </c>
      <c r="F488" s="197" t="s">
        <v>1701</v>
      </c>
      <c r="G488" s="238"/>
      <c r="H488" s="199" t="s">
        <v>298</v>
      </c>
      <c r="I488" s="198">
        <f>G488*D488</f>
        <v>0</v>
      </c>
      <c r="J488" s="199" t="s">
        <v>93</v>
      </c>
      <c r="K488" s="208"/>
      <c r="L488" s="209" t="s">
        <v>675</v>
      </c>
      <c r="M488" s="207">
        <f>ROUND(K488*I488/10000,6)</f>
        <v>0</v>
      </c>
      <c r="N488" s="198">
        <f>'02 项目基础信息（输入）'!$C$39</f>
        <v>0</v>
      </c>
      <c r="O488" s="198">
        <f t="shared" si="54"/>
        <v>0</v>
      </c>
      <c r="P488" s="198">
        <f>'02 项目基础信息（输入）'!$I$39</f>
        <v>0</v>
      </c>
      <c r="Q488" s="233">
        <f t="shared" si="55"/>
        <v>0</v>
      </c>
      <c r="S488" s="217"/>
      <c r="U488" s="220" t="s">
        <v>2266</v>
      </c>
    </row>
    <row r="489" spans="1:21" ht="0" hidden="1" customHeight="1" outlineLevel="3">
      <c r="A489" s="192" t="s">
        <v>1703</v>
      </c>
      <c r="B489" s="192"/>
      <c r="C489" s="197" t="s">
        <v>1609</v>
      </c>
      <c r="D489" s="198">
        <f>'02 项目基础信息（输入）'!$C$39</f>
        <v>0</v>
      </c>
      <c r="E489" s="199" t="s">
        <v>93</v>
      </c>
      <c r="F489" s="197" t="s">
        <v>1704</v>
      </c>
      <c r="G489" s="238"/>
      <c r="H489" s="199" t="s">
        <v>298</v>
      </c>
      <c r="I489" s="198">
        <f>G489*D489</f>
        <v>0</v>
      </c>
      <c r="J489" s="199" t="s">
        <v>93</v>
      </c>
      <c r="K489" s="208"/>
      <c r="L489" s="209" t="s">
        <v>675</v>
      </c>
      <c r="M489" s="207">
        <f>ROUND(K489*I489/10000,6)</f>
        <v>0</v>
      </c>
      <c r="N489" s="198">
        <f>'02 项目基础信息（输入）'!$C$39</f>
        <v>0</v>
      </c>
      <c r="O489" s="198">
        <f t="shared" si="54"/>
        <v>0</v>
      </c>
      <c r="P489" s="198">
        <f>'02 项目基础信息（输入）'!$I$39</f>
        <v>0</v>
      </c>
      <c r="Q489" s="233">
        <f t="shared" si="55"/>
        <v>0</v>
      </c>
      <c r="S489" s="217"/>
      <c r="U489" s="220" t="s">
        <v>2267</v>
      </c>
    </row>
    <row r="490" spans="1:21" ht="0" hidden="1" customHeight="1" outlineLevel="2">
      <c r="A490" s="192" t="s">
        <v>1706</v>
      </c>
      <c r="B490" s="192"/>
      <c r="C490" s="197" t="s">
        <v>1609</v>
      </c>
      <c r="D490" s="198">
        <f>'02 项目基础信息（输入）'!$C$39</f>
        <v>0</v>
      </c>
      <c r="E490" s="199" t="s">
        <v>93</v>
      </c>
      <c r="F490" s="197"/>
      <c r="G490" s="199"/>
      <c r="H490" s="199"/>
      <c r="I490" s="197"/>
      <c r="J490" s="199"/>
      <c r="K490" s="207"/>
      <c r="L490" s="209"/>
      <c r="M490" s="198">
        <f>ROUND(SUM(M491:M492),6)</f>
        <v>0</v>
      </c>
      <c r="N490" s="198">
        <f>'02 项目基础信息（输入）'!$C$39</f>
        <v>0</v>
      </c>
      <c r="O490" s="198">
        <f t="shared" si="54"/>
        <v>0</v>
      </c>
      <c r="P490" s="198">
        <f>'02 项目基础信息（输入）'!$I$39</f>
        <v>0</v>
      </c>
      <c r="Q490" s="233">
        <f t="shared" si="55"/>
        <v>0</v>
      </c>
      <c r="S490" s="217" t="s">
        <v>1313</v>
      </c>
      <c r="U490" s="220" t="s">
        <v>2268</v>
      </c>
    </row>
    <row r="491" spans="1:21" ht="0" hidden="1" customHeight="1" outlineLevel="3">
      <c r="A491" s="192" t="s">
        <v>1708</v>
      </c>
      <c r="B491" s="192"/>
      <c r="C491" s="197" t="s">
        <v>1609</v>
      </c>
      <c r="D491" s="198">
        <f>'02 项目基础信息（输入）'!$C$39</f>
        <v>0</v>
      </c>
      <c r="E491" s="199" t="s">
        <v>93</v>
      </c>
      <c r="F491" s="197" t="s">
        <v>1648</v>
      </c>
      <c r="G491" s="238"/>
      <c r="H491" s="199" t="s">
        <v>298</v>
      </c>
      <c r="I491" s="198">
        <f>G491*D491</f>
        <v>0</v>
      </c>
      <c r="J491" s="199" t="s">
        <v>93</v>
      </c>
      <c r="K491" s="208"/>
      <c r="L491" s="209" t="s">
        <v>675</v>
      </c>
      <c r="M491" s="207">
        <f>ROUND(K491*I491/10000,6)</f>
        <v>0</v>
      </c>
      <c r="N491" s="198">
        <f>'02 项目基础信息（输入）'!$C$39</f>
        <v>0</v>
      </c>
      <c r="O491" s="198">
        <f t="shared" si="54"/>
        <v>0</v>
      </c>
      <c r="P491" s="198">
        <f>'02 项目基础信息（输入）'!$I$39</f>
        <v>0</v>
      </c>
      <c r="Q491" s="233">
        <f t="shared" si="55"/>
        <v>0</v>
      </c>
      <c r="S491" s="217"/>
      <c r="U491" s="220" t="s">
        <v>2269</v>
      </c>
    </row>
    <row r="492" spans="1:21" ht="0" hidden="1" customHeight="1" outlineLevel="3">
      <c r="A492" s="192" t="s">
        <v>1710</v>
      </c>
      <c r="B492" s="192"/>
      <c r="C492" s="197" t="s">
        <v>1609</v>
      </c>
      <c r="D492" s="198">
        <f>'02 项目基础信息（输入）'!$C$39</f>
        <v>0</v>
      </c>
      <c r="E492" s="199" t="s">
        <v>93</v>
      </c>
      <c r="F492" s="197" t="s">
        <v>1648</v>
      </c>
      <c r="G492" s="238"/>
      <c r="H492" s="199" t="s">
        <v>298</v>
      </c>
      <c r="I492" s="198">
        <f>G492*D492</f>
        <v>0</v>
      </c>
      <c r="J492" s="199" t="s">
        <v>93</v>
      </c>
      <c r="K492" s="208"/>
      <c r="L492" s="209" t="s">
        <v>675</v>
      </c>
      <c r="M492" s="207">
        <f>ROUND(K492*I492/10000,6)</f>
        <v>0</v>
      </c>
      <c r="N492" s="198">
        <f>'02 项目基础信息（输入）'!$C$39</f>
        <v>0</v>
      </c>
      <c r="O492" s="198">
        <f t="shared" si="54"/>
        <v>0</v>
      </c>
      <c r="P492" s="198">
        <f>'02 项目基础信息（输入）'!$I$39</f>
        <v>0</v>
      </c>
      <c r="Q492" s="233">
        <f t="shared" si="55"/>
        <v>0</v>
      </c>
      <c r="S492" s="217"/>
      <c r="U492" s="220" t="s">
        <v>2270</v>
      </c>
    </row>
    <row r="493" spans="1:21" ht="0" hidden="1" customHeight="1" outlineLevel="2">
      <c r="A493" s="192" t="s">
        <v>1712</v>
      </c>
      <c r="B493" s="192"/>
      <c r="C493" s="197" t="s">
        <v>1609</v>
      </c>
      <c r="D493" s="198">
        <f>'02 项目基础信息（输入）'!$C$39</f>
        <v>0</v>
      </c>
      <c r="E493" s="199" t="s">
        <v>93</v>
      </c>
      <c r="F493" s="197"/>
      <c r="G493" s="199"/>
      <c r="H493" s="199"/>
      <c r="I493" s="197"/>
      <c r="J493" s="199"/>
      <c r="K493" s="207"/>
      <c r="L493" s="209"/>
      <c r="M493" s="198">
        <f>ROUND(SUM(M494:M511),6)</f>
        <v>0</v>
      </c>
      <c r="N493" s="198">
        <f>'02 项目基础信息（输入）'!$C$39</f>
        <v>0</v>
      </c>
      <c r="O493" s="198">
        <f t="shared" si="54"/>
        <v>0</v>
      </c>
      <c r="P493" s="198">
        <f>'02 项目基础信息（输入）'!$I$39</f>
        <v>0</v>
      </c>
      <c r="Q493" s="233">
        <f t="shared" si="55"/>
        <v>0</v>
      </c>
      <c r="S493" s="217" t="s">
        <v>1313</v>
      </c>
      <c r="U493" s="220" t="s">
        <v>2271</v>
      </c>
    </row>
    <row r="494" spans="1:21" ht="0" hidden="1" customHeight="1" outlineLevel="3">
      <c r="A494" s="192" t="s">
        <v>1714</v>
      </c>
      <c r="B494" s="192"/>
      <c r="C494" s="197" t="s">
        <v>1609</v>
      </c>
      <c r="D494" s="198">
        <f>'02 项目基础信息（输入）'!$C$39</f>
        <v>0</v>
      </c>
      <c r="E494" s="199" t="s">
        <v>93</v>
      </c>
      <c r="F494" s="197" t="s">
        <v>1609</v>
      </c>
      <c r="G494" s="199">
        <v>1</v>
      </c>
      <c r="H494" s="199" t="s">
        <v>298</v>
      </c>
      <c r="I494" s="198">
        <f t="shared" ref="I494:I511" si="60">G494*D494</f>
        <v>0</v>
      </c>
      <c r="J494" s="199" t="s">
        <v>93</v>
      </c>
      <c r="K494" s="208"/>
      <c r="L494" s="209" t="s">
        <v>675</v>
      </c>
      <c r="M494" s="207">
        <f t="shared" ref="M494:M511" si="61">ROUND(K494*I494/10000,6)</f>
        <v>0</v>
      </c>
      <c r="N494" s="198">
        <f>'02 项目基础信息（输入）'!$C$39</f>
        <v>0</v>
      </c>
      <c r="O494" s="198">
        <f t="shared" si="54"/>
        <v>0</v>
      </c>
      <c r="P494" s="198">
        <f>'02 项目基础信息（输入）'!$I$39</f>
        <v>0</v>
      </c>
      <c r="Q494" s="233">
        <f t="shared" si="55"/>
        <v>0</v>
      </c>
      <c r="S494" s="217"/>
      <c r="U494" s="220" t="s">
        <v>2272</v>
      </c>
    </row>
    <row r="495" spans="1:21" ht="0" hidden="1" customHeight="1" outlineLevel="3">
      <c r="A495" s="192" t="s">
        <v>1717</v>
      </c>
      <c r="B495" s="192"/>
      <c r="C495" s="197" t="s">
        <v>1609</v>
      </c>
      <c r="D495" s="198">
        <f>'02 项目基础信息（输入）'!$C$39</f>
        <v>0</v>
      </c>
      <c r="E495" s="199" t="s">
        <v>93</v>
      </c>
      <c r="F495" s="197" t="s">
        <v>1609</v>
      </c>
      <c r="G495" s="199">
        <v>1</v>
      </c>
      <c r="H495" s="199" t="s">
        <v>298</v>
      </c>
      <c r="I495" s="198">
        <f t="shared" si="60"/>
        <v>0</v>
      </c>
      <c r="J495" s="199" t="s">
        <v>93</v>
      </c>
      <c r="K495" s="208"/>
      <c r="L495" s="209" t="s">
        <v>675</v>
      </c>
      <c r="M495" s="207">
        <f t="shared" si="61"/>
        <v>0</v>
      </c>
      <c r="N495" s="198">
        <f>'02 项目基础信息（输入）'!$C$39</f>
        <v>0</v>
      </c>
      <c r="O495" s="198">
        <f t="shared" si="54"/>
        <v>0</v>
      </c>
      <c r="P495" s="198">
        <f>'02 项目基础信息（输入）'!$I$39</f>
        <v>0</v>
      </c>
      <c r="Q495" s="233">
        <f t="shared" si="55"/>
        <v>0</v>
      </c>
      <c r="S495" s="217"/>
      <c r="U495" s="220" t="s">
        <v>2273</v>
      </c>
    </row>
    <row r="496" spans="1:21" ht="0" hidden="1" customHeight="1" outlineLevel="3">
      <c r="A496" s="192" t="s">
        <v>1719</v>
      </c>
      <c r="B496" s="192"/>
      <c r="C496" s="197" t="s">
        <v>1609</v>
      </c>
      <c r="D496" s="198">
        <f>'02 项目基础信息（输入）'!$C$39</f>
        <v>0</v>
      </c>
      <c r="E496" s="199" t="s">
        <v>93</v>
      </c>
      <c r="F496" s="197" t="s">
        <v>1609</v>
      </c>
      <c r="G496" s="199">
        <v>1</v>
      </c>
      <c r="H496" s="199" t="s">
        <v>298</v>
      </c>
      <c r="I496" s="198">
        <f t="shared" si="60"/>
        <v>0</v>
      </c>
      <c r="J496" s="199" t="s">
        <v>93</v>
      </c>
      <c r="K496" s="208"/>
      <c r="L496" s="209" t="s">
        <v>675</v>
      </c>
      <c r="M496" s="207">
        <f t="shared" si="61"/>
        <v>0</v>
      </c>
      <c r="N496" s="198">
        <f>'02 项目基础信息（输入）'!$C$39</f>
        <v>0</v>
      </c>
      <c r="O496" s="198">
        <f t="shared" si="54"/>
        <v>0</v>
      </c>
      <c r="P496" s="198">
        <f>'02 项目基础信息（输入）'!$I$39</f>
        <v>0</v>
      </c>
      <c r="Q496" s="233">
        <f t="shared" si="55"/>
        <v>0</v>
      </c>
      <c r="S496" s="217"/>
      <c r="U496" s="220" t="s">
        <v>2274</v>
      </c>
    </row>
    <row r="497" spans="1:21" ht="0" hidden="1" customHeight="1" outlineLevel="3">
      <c r="A497" s="192" t="s">
        <v>1721</v>
      </c>
      <c r="B497" s="192"/>
      <c r="C497" s="197" t="s">
        <v>1609</v>
      </c>
      <c r="D497" s="198">
        <f>'02 项目基础信息（输入）'!$C$39</f>
        <v>0</v>
      </c>
      <c r="E497" s="199" t="s">
        <v>93</v>
      </c>
      <c r="F497" s="197" t="s">
        <v>1609</v>
      </c>
      <c r="G497" s="199">
        <v>1</v>
      </c>
      <c r="H497" s="199" t="s">
        <v>298</v>
      </c>
      <c r="I497" s="198">
        <f t="shared" si="60"/>
        <v>0</v>
      </c>
      <c r="J497" s="199" t="s">
        <v>93</v>
      </c>
      <c r="K497" s="208"/>
      <c r="L497" s="209" t="s">
        <v>675</v>
      </c>
      <c r="M497" s="207">
        <f t="shared" si="61"/>
        <v>0</v>
      </c>
      <c r="N497" s="198">
        <f>'02 项目基础信息（输入）'!$C$39</f>
        <v>0</v>
      </c>
      <c r="O497" s="198">
        <f t="shared" si="54"/>
        <v>0</v>
      </c>
      <c r="P497" s="198">
        <f>'02 项目基础信息（输入）'!$I$39</f>
        <v>0</v>
      </c>
      <c r="Q497" s="233">
        <f t="shared" si="55"/>
        <v>0</v>
      </c>
      <c r="S497" s="217"/>
      <c r="U497" s="220" t="s">
        <v>2275</v>
      </c>
    </row>
    <row r="498" spans="1:21" ht="0" hidden="1" customHeight="1" outlineLevel="3">
      <c r="A498" s="192" t="s">
        <v>1723</v>
      </c>
      <c r="B498" s="192"/>
      <c r="C498" s="197" t="s">
        <v>1609</v>
      </c>
      <c r="D498" s="198">
        <f>'02 项目基础信息（输入）'!$C$39</f>
        <v>0</v>
      </c>
      <c r="E498" s="199" t="s">
        <v>93</v>
      </c>
      <c r="F498" s="197" t="s">
        <v>1609</v>
      </c>
      <c r="G498" s="199">
        <v>1</v>
      </c>
      <c r="H498" s="199" t="s">
        <v>298</v>
      </c>
      <c r="I498" s="198">
        <f t="shared" si="60"/>
        <v>0</v>
      </c>
      <c r="J498" s="199" t="s">
        <v>93</v>
      </c>
      <c r="K498" s="208"/>
      <c r="L498" s="209" t="s">
        <v>675</v>
      </c>
      <c r="M498" s="207">
        <f t="shared" si="61"/>
        <v>0</v>
      </c>
      <c r="N498" s="198">
        <f>'02 项目基础信息（输入）'!$C$39</f>
        <v>0</v>
      </c>
      <c r="O498" s="198">
        <f t="shared" si="54"/>
        <v>0</v>
      </c>
      <c r="P498" s="198">
        <f>'02 项目基础信息（输入）'!$I$39</f>
        <v>0</v>
      </c>
      <c r="Q498" s="233">
        <f t="shared" si="55"/>
        <v>0</v>
      </c>
      <c r="S498" s="217"/>
      <c r="U498" s="220" t="s">
        <v>2276</v>
      </c>
    </row>
    <row r="499" spans="1:21" ht="0" hidden="1" customHeight="1" outlineLevel="3">
      <c r="A499" s="192" t="s">
        <v>1725</v>
      </c>
      <c r="B499" s="192"/>
      <c r="C499" s="197" t="s">
        <v>1609</v>
      </c>
      <c r="D499" s="198">
        <f>'02 项目基础信息（输入）'!$C$39</f>
        <v>0</v>
      </c>
      <c r="E499" s="199" t="s">
        <v>93</v>
      </c>
      <c r="F499" s="197" t="s">
        <v>1609</v>
      </c>
      <c r="G499" s="199">
        <v>1</v>
      </c>
      <c r="H499" s="199" t="s">
        <v>298</v>
      </c>
      <c r="I499" s="198">
        <f t="shared" si="60"/>
        <v>0</v>
      </c>
      <c r="J499" s="199" t="s">
        <v>93</v>
      </c>
      <c r="K499" s="208"/>
      <c r="L499" s="209" t="s">
        <v>675</v>
      </c>
      <c r="M499" s="207">
        <f t="shared" si="61"/>
        <v>0</v>
      </c>
      <c r="N499" s="198">
        <f>'02 项目基础信息（输入）'!$C$39</f>
        <v>0</v>
      </c>
      <c r="O499" s="198">
        <f t="shared" si="54"/>
        <v>0</v>
      </c>
      <c r="P499" s="198">
        <f>'02 项目基础信息（输入）'!$I$39</f>
        <v>0</v>
      </c>
      <c r="Q499" s="233">
        <f t="shared" si="55"/>
        <v>0</v>
      </c>
      <c r="S499" s="217"/>
      <c r="U499" s="220" t="s">
        <v>2277</v>
      </c>
    </row>
    <row r="500" spans="1:21" ht="0" hidden="1" customHeight="1" outlineLevel="3">
      <c r="A500" s="192" t="s">
        <v>1727</v>
      </c>
      <c r="B500" s="192"/>
      <c r="C500" s="197" t="s">
        <v>1609</v>
      </c>
      <c r="D500" s="198">
        <f>'02 项目基础信息（输入）'!$C$39</f>
        <v>0</v>
      </c>
      <c r="E500" s="199" t="s">
        <v>93</v>
      </c>
      <c r="F500" s="197" t="s">
        <v>1609</v>
      </c>
      <c r="G500" s="199">
        <v>1</v>
      </c>
      <c r="H500" s="199" t="s">
        <v>298</v>
      </c>
      <c r="I500" s="198">
        <f t="shared" si="60"/>
        <v>0</v>
      </c>
      <c r="J500" s="199" t="s">
        <v>93</v>
      </c>
      <c r="K500" s="208"/>
      <c r="L500" s="209" t="s">
        <v>675</v>
      </c>
      <c r="M500" s="207">
        <f t="shared" si="61"/>
        <v>0</v>
      </c>
      <c r="N500" s="198">
        <f>'02 项目基础信息（输入）'!$C$39</f>
        <v>0</v>
      </c>
      <c r="O500" s="198">
        <f t="shared" si="54"/>
        <v>0</v>
      </c>
      <c r="P500" s="198">
        <f>'02 项目基础信息（输入）'!$I$39</f>
        <v>0</v>
      </c>
      <c r="Q500" s="233">
        <f t="shared" si="55"/>
        <v>0</v>
      </c>
      <c r="S500" s="217"/>
      <c r="U500" s="220" t="s">
        <v>2278</v>
      </c>
    </row>
    <row r="501" spans="1:21" ht="0" hidden="1" customHeight="1" outlineLevel="3">
      <c r="A501" s="192" t="s">
        <v>1729</v>
      </c>
      <c r="B501" s="192"/>
      <c r="C501" s="197" t="s">
        <v>1609</v>
      </c>
      <c r="D501" s="198">
        <f>'02 项目基础信息（输入）'!$C$39</f>
        <v>0</v>
      </c>
      <c r="E501" s="199" t="s">
        <v>93</v>
      </c>
      <c r="F501" s="197" t="s">
        <v>1609</v>
      </c>
      <c r="G501" s="199">
        <v>1</v>
      </c>
      <c r="H501" s="199" t="s">
        <v>298</v>
      </c>
      <c r="I501" s="198">
        <f t="shared" si="60"/>
        <v>0</v>
      </c>
      <c r="J501" s="199" t="s">
        <v>93</v>
      </c>
      <c r="K501" s="208"/>
      <c r="L501" s="209" t="s">
        <v>675</v>
      </c>
      <c r="M501" s="207">
        <f t="shared" si="61"/>
        <v>0</v>
      </c>
      <c r="N501" s="198">
        <f>'02 项目基础信息（输入）'!$C$39</f>
        <v>0</v>
      </c>
      <c r="O501" s="198">
        <f t="shared" si="54"/>
        <v>0</v>
      </c>
      <c r="P501" s="198">
        <f>'02 项目基础信息（输入）'!$I$39</f>
        <v>0</v>
      </c>
      <c r="Q501" s="233">
        <f t="shared" si="55"/>
        <v>0</v>
      </c>
      <c r="S501" s="217"/>
      <c r="U501" s="220" t="s">
        <v>2279</v>
      </c>
    </row>
    <row r="502" spans="1:21" ht="0" hidden="1" customHeight="1" outlineLevel="3">
      <c r="A502" s="192" t="s">
        <v>1731</v>
      </c>
      <c r="B502" s="192"/>
      <c r="C502" s="197" t="s">
        <v>1609</v>
      </c>
      <c r="D502" s="198">
        <f>'02 项目基础信息（输入）'!$C$39</f>
        <v>0</v>
      </c>
      <c r="E502" s="199" t="s">
        <v>93</v>
      </c>
      <c r="F502" s="197" t="s">
        <v>1609</v>
      </c>
      <c r="G502" s="199">
        <v>1</v>
      </c>
      <c r="H502" s="199" t="s">
        <v>298</v>
      </c>
      <c r="I502" s="198">
        <f t="shared" si="60"/>
        <v>0</v>
      </c>
      <c r="J502" s="199" t="s">
        <v>93</v>
      </c>
      <c r="K502" s="208"/>
      <c r="L502" s="209" t="s">
        <v>675</v>
      </c>
      <c r="M502" s="207">
        <f t="shared" si="61"/>
        <v>0</v>
      </c>
      <c r="N502" s="198">
        <f>'02 项目基础信息（输入）'!$C$39</f>
        <v>0</v>
      </c>
      <c r="O502" s="198">
        <f t="shared" si="54"/>
        <v>0</v>
      </c>
      <c r="P502" s="198">
        <f>'02 项目基础信息（输入）'!$I$39</f>
        <v>0</v>
      </c>
      <c r="Q502" s="233">
        <f t="shared" si="55"/>
        <v>0</v>
      </c>
      <c r="S502" s="217"/>
      <c r="U502" s="220" t="s">
        <v>2280</v>
      </c>
    </row>
    <row r="503" spans="1:21" ht="0" hidden="1" customHeight="1" outlineLevel="3">
      <c r="A503" s="192" t="s">
        <v>1733</v>
      </c>
      <c r="B503" s="192"/>
      <c r="C503" s="197" t="s">
        <v>1609</v>
      </c>
      <c r="D503" s="198">
        <f>'02 项目基础信息（输入）'!$C$39</f>
        <v>0</v>
      </c>
      <c r="E503" s="199" t="s">
        <v>93</v>
      </c>
      <c r="F503" s="197" t="s">
        <v>1609</v>
      </c>
      <c r="G503" s="199">
        <v>1</v>
      </c>
      <c r="H503" s="199" t="s">
        <v>298</v>
      </c>
      <c r="I503" s="198">
        <f t="shared" si="60"/>
        <v>0</v>
      </c>
      <c r="J503" s="199" t="s">
        <v>93</v>
      </c>
      <c r="K503" s="208"/>
      <c r="L503" s="209" t="s">
        <v>675</v>
      </c>
      <c r="M503" s="207">
        <f t="shared" si="61"/>
        <v>0</v>
      </c>
      <c r="N503" s="198">
        <f>'02 项目基础信息（输入）'!$C$39</f>
        <v>0</v>
      </c>
      <c r="O503" s="198">
        <f t="shared" si="54"/>
        <v>0</v>
      </c>
      <c r="P503" s="198">
        <f>'02 项目基础信息（输入）'!$I$39</f>
        <v>0</v>
      </c>
      <c r="Q503" s="233">
        <f t="shared" si="55"/>
        <v>0</v>
      </c>
      <c r="S503" s="217"/>
      <c r="U503" s="220" t="s">
        <v>2281</v>
      </c>
    </row>
    <row r="504" spans="1:21" ht="0" hidden="1" customHeight="1" outlineLevel="3">
      <c r="A504" s="192" t="s">
        <v>1735</v>
      </c>
      <c r="B504" s="192"/>
      <c r="C504" s="197" t="s">
        <v>1609</v>
      </c>
      <c r="D504" s="198">
        <f>'02 项目基础信息（输入）'!$C$39</f>
        <v>0</v>
      </c>
      <c r="E504" s="199" t="s">
        <v>93</v>
      </c>
      <c r="F504" s="197" t="s">
        <v>1609</v>
      </c>
      <c r="G504" s="199">
        <v>1</v>
      </c>
      <c r="H504" s="199" t="s">
        <v>298</v>
      </c>
      <c r="I504" s="198">
        <f t="shared" si="60"/>
        <v>0</v>
      </c>
      <c r="J504" s="199" t="s">
        <v>93</v>
      </c>
      <c r="K504" s="208"/>
      <c r="L504" s="209" t="s">
        <v>675</v>
      </c>
      <c r="M504" s="207">
        <f t="shared" si="61"/>
        <v>0</v>
      </c>
      <c r="N504" s="198">
        <f>'02 项目基础信息（输入）'!$C$39</f>
        <v>0</v>
      </c>
      <c r="O504" s="198">
        <f t="shared" si="54"/>
        <v>0</v>
      </c>
      <c r="P504" s="198">
        <f>'02 项目基础信息（输入）'!$I$39</f>
        <v>0</v>
      </c>
      <c r="Q504" s="233">
        <f t="shared" si="55"/>
        <v>0</v>
      </c>
      <c r="S504" s="217"/>
      <c r="U504" s="220" t="s">
        <v>2282</v>
      </c>
    </row>
    <row r="505" spans="1:21" ht="0" hidden="1" customHeight="1" outlineLevel="3">
      <c r="A505" s="192" t="s">
        <v>1737</v>
      </c>
      <c r="B505" s="192"/>
      <c r="C505" s="197" t="s">
        <v>1609</v>
      </c>
      <c r="D505" s="198">
        <f>'02 项目基础信息（输入）'!$C$39</f>
        <v>0</v>
      </c>
      <c r="E505" s="199" t="s">
        <v>93</v>
      </c>
      <c r="F505" s="197" t="s">
        <v>1609</v>
      </c>
      <c r="G505" s="199">
        <v>1</v>
      </c>
      <c r="H505" s="199" t="s">
        <v>298</v>
      </c>
      <c r="I505" s="198">
        <f t="shared" si="60"/>
        <v>0</v>
      </c>
      <c r="J505" s="199" t="s">
        <v>93</v>
      </c>
      <c r="K505" s="208"/>
      <c r="L505" s="209" t="s">
        <v>675</v>
      </c>
      <c r="M505" s="207">
        <f t="shared" si="61"/>
        <v>0</v>
      </c>
      <c r="N505" s="198">
        <f>'02 项目基础信息（输入）'!$C$39</f>
        <v>0</v>
      </c>
      <c r="O505" s="198">
        <f t="shared" si="54"/>
        <v>0</v>
      </c>
      <c r="P505" s="198">
        <f>'02 项目基础信息（输入）'!$I$39</f>
        <v>0</v>
      </c>
      <c r="Q505" s="233">
        <f t="shared" si="55"/>
        <v>0</v>
      </c>
      <c r="S505" s="217"/>
      <c r="U505" s="220" t="s">
        <v>2283</v>
      </c>
    </row>
    <row r="506" spans="1:21" ht="0" hidden="1" customHeight="1" outlineLevel="3">
      <c r="A506" s="192" t="s">
        <v>1739</v>
      </c>
      <c r="B506" s="192"/>
      <c r="C506" s="197" t="s">
        <v>1609</v>
      </c>
      <c r="D506" s="198">
        <f>'02 项目基础信息（输入）'!$C$39</f>
        <v>0</v>
      </c>
      <c r="E506" s="199" t="s">
        <v>93</v>
      </c>
      <c r="F506" s="197" t="s">
        <v>1609</v>
      </c>
      <c r="G506" s="199">
        <v>1</v>
      </c>
      <c r="H506" s="199" t="s">
        <v>298</v>
      </c>
      <c r="I506" s="198">
        <f t="shared" si="60"/>
        <v>0</v>
      </c>
      <c r="J506" s="199" t="s">
        <v>93</v>
      </c>
      <c r="K506" s="208"/>
      <c r="L506" s="209" t="s">
        <v>675</v>
      </c>
      <c r="M506" s="207">
        <f t="shared" si="61"/>
        <v>0</v>
      </c>
      <c r="N506" s="198">
        <f>'02 项目基础信息（输入）'!$C$39</f>
        <v>0</v>
      </c>
      <c r="O506" s="198">
        <f t="shared" si="54"/>
        <v>0</v>
      </c>
      <c r="P506" s="198">
        <f>'02 项目基础信息（输入）'!$I$39</f>
        <v>0</v>
      </c>
      <c r="Q506" s="233">
        <f t="shared" si="55"/>
        <v>0</v>
      </c>
      <c r="S506" s="217"/>
      <c r="U506" s="220" t="s">
        <v>2284</v>
      </c>
    </row>
    <row r="507" spans="1:21" ht="0" hidden="1" customHeight="1" outlineLevel="3">
      <c r="A507" s="192" t="s">
        <v>1741</v>
      </c>
      <c r="B507" s="192"/>
      <c r="C507" s="197" t="s">
        <v>1609</v>
      </c>
      <c r="D507" s="198">
        <f>'02 项目基础信息（输入）'!$C$39</f>
        <v>0</v>
      </c>
      <c r="E507" s="199" t="s">
        <v>93</v>
      </c>
      <c r="F507" s="197" t="s">
        <v>1609</v>
      </c>
      <c r="G507" s="199">
        <v>1</v>
      </c>
      <c r="H507" s="199" t="s">
        <v>298</v>
      </c>
      <c r="I507" s="198">
        <f t="shared" si="60"/>
        <v>0</v>
      </c>
      <c r="J507" s="199" t="s">
        <v>93</v>
      </c>
      <c r="K507" s="208"/>
      <c r="L507" s="209" t="s">
        <v>675</v>
      </c>
      <c r="M507" s="207">
        <f t="shared" si="61"/>
        <v>0</v>
      </c>
      <c r="N507" s="198">
        <f>'02 项目基础信息（输入）'!$C$39</f>
        <v>0</v>
      </c>
      <c r="O507" s="198">
        <f t="shared" si="54"/>
        <v>0</v>
      </c>
      <c r="P507" s="198">
        <f>'02 项目基础信息（输入）'!$I$39</f>
        <v>0</v>
      </c>
      <c r="Q507" s="233">
        <f t="shared" si="55"/>
        <v>0</v>
      </c>
      <c r="S507" s="217"/>
      <c r="U507" s="220" t="s">
        <v>2285</v>
      </c>
    </row>
    <row r="508" spans="1:21" ht="0" hidden="1" customHeight="1" outlineLevel="3">
      <c r="A508" s="192" t="s">
        <v>1743</v>
      </c>
      <c r="B508" s="192"/>
      <c r="C508" s="197" t="s">
        <v>1609</v>
      </c>
      <c r="D508" s="198">
        <f>'02 项目基础信息（输入）'!$C$39</f>
        <v>0</v>
      </c>
      <c r="E508" s="199" t="s">
        <v>93</v>
      </c>
      <c r="F508" s="197" t="s">
        <v>1609</v>
      </c>
      <c r="G508" s="199">
        <v>1</v>
      </c>
      <c r="H508" s="199" t="s">
        <v>298</v>
      </c>
      <c r="I508" s="198">
        <f t="shared" si="60"/>
        <v>0</v>
      </c>
      <c r="J508" s="199" t="s">
        <v>93</v>
      </c>
      <c r="K508" s="208"/>
      <c r="L508" s="209" t="s">
        <v>675</v>
      </c>
      <c r="M508" s="207">
        <f t="shared" si="61"/>
        <v>0</v>
      </c>
      <c r="N508" s="198">
        <f>'02 项目基础信息（输入）'!$C$39</f>
        <v>0</v>
      </c>
      <c r="O508" s="198">
        <f t="shared" si="54"/>
        <v>0</v>
      </c>
      <c r="P508" s="198">
        <f>'02 项目基础信息（输入）'!$I$39</f>
        <v>0</v>
      </c>
      <c r="Q508" s="233">
        <f t="shared" si="55"/>
        <v>0</v>
      </c>
      <c r="S508" s="217"/>
      <c r="U508" s="220" t="s">
        <v>2286</v>
      </c>
    </row>
    <row r="509" spans="1:21" ht="0" hidden="1" customHeight="1" outlineLevel="3">
      <c r="A509" s="192" t="s">
        <v>1745</v>
      </c>
      <c r="B509" s="192"/>
      <c r="C509" s="197" t="s">
        <v>1609</v>
      </c>
      <c r="D509" s="198">
        <f>'02 项目基础信息（输入）'!$C$39</f>
        <v>0</v>
      </c>
      <c r="E509" s="199" t="s">
        <v>93</v>
      </c>
      <c r="F509" s="197" t="s">
        <v>1609</v>
      </c>
      <c r="G509" s="199">
        <v>1</v>
      </c>
      <c r="H509" s="199" t="s">
        <v>298</v>
      </c>
      <c r="I509" s="198">
        <f t="shared" si="60"/>
        <v>0</v>
      </c>
      <c r="J509" s="199" t="s">
        <v>93</v>
      </c>
      <c r="K509" s="208"/>
      <c r="L509" s="209" t="s">
        <v>675</v>
      </c>
      <c r="M509" s="207">
        <f t="shared" si="61"/>
        <v>0</v>
      </c>
      <c r="N509" s="198">
        <f>'02 项目基础信息（输入）'!$C$39</f>
        <v>0</v>
      </c>
      <c r="O509" s="198">
        <f t="shared" si="54"/>
        <v>0</v>
      </c>
      <c r="P509" s="198">
        <f>'02 项目基础信息（输入）'!$I$39</f>
        <v>0</v>
      </c>
      <c r="Q509" s="233">
        <f t="shared" si="55"/>
        <v>0</v>
      </c>
      <c r="S509" s="217"/>
      <c r="U509" s="220" t="s">
        <v>2287</v>
      </c>
    </row>
    <row r="510" spans="1:21" ht="0" hidden="1" customHeight="1" outlineLevel="3">
      <c r="A510" s="192" t="s">
        <v>1747</v>
      </c>
      <c r="B510" s="192"/>
      <c r="C510" s="197" t="s">
        <v>416</v>
      </c>
      <c r="D510" s="198">
        <f>'02 项目基础信息（输入）'!$AJ$39</f>
        <v>0</v>
      </c>
      <c r="E510" s="199" t="s">
        <v>417</v>
      </c>
      <c r="F510" s="197" t="s">
        <v>416</v>
      </c>
      <c r="G510" s="199">
        <v>0</v>
      </c>
      <c r="H510" s="199" t="s">
        <v>1748</v>
      </c>
      <c r="I510" s="198">
        <f t="shared" si="60"/>
        <v>0</v>
      </c>
      <c r="J510" s="199" t="s">
        <v>400</v>
      </c>
      <c r="K510" s="207">
        <v>0</v>
      </c>
      <c r="L510" s="209" t="s">
        <v>1749</v>
      </c>
      <c r="M510" s="207">
        <f t="shared" si="61"/>
        <v>0</v>
      </c>
      <c r="N510" s="198">
        <f>'02 项目基础信息（输入）'!$C$39</f>
        <v>0</v>
      </c>
      <c r="O510" s="198">
        <f t="shared" si="54"/>
        <v>0</v>
      </c>
      <c r="P510" s="198">
        <f>'02 项目基础信息（输入）'!$I$39</f>
        <v>0</v>
      </c>
      <c r="Q510" s="233">
        <f t="shared" si="55"/>
        <v>0</v>
      </c>
      <c r="S510" s="217"/>
      <c r="U510" s="220" t="s">
        <v>2288</v>
      </c>
    </row>
    <row r="511" spans="1:21" ht="0" hidden="1" customHeight="1" outlineLevel="3">
      <c r="A511" s="192" t="s">
        <v>1751</v>
      </c>
      <c r="B511" s="192"/>
      <c r="C511" s="197" t="s">
        <v>1609</v>
      </c>
      <c r="D511" s="198">
        <f>'02 项目基础信息（输入）'!$C$39</f>
        <v>0</v>
      </c>
      <c r="E511" s="199" t="s">
        <v>93</v>
      </c>
      <c r="F511" s="197" t="s">
        <v>1609</v>
      </c>
      <c r="G511" s="199">
        <v>1</v>
      </c>
      <c r="H511" s="199" t="s">
        <v>298</v>
      </c>
      <c r="I511" s="198">
        <f t="shared" si="60"/>
        <v>0</v>
      </c>
      <c r="J511" s="199" t="s">
        <v>93</v>
      </c>
      <c r="K511" s="208"/>
      <c r="L511" s="209" t="s">
        <v>675</v>
      </c>
      <c r="M511" s="207">
        <f t="shared" si="61"/>
        <v>0</v>
      </c>
      <c r="N511" s="198">
        <f>'02 项目基础信息（输入）'!$C$39</f>
        <v>0</v>
      </c>
      <c r="O511" s="198">
        <f t="shared" si="54"/>
        <v>0</v>
      </c>
      <c r="P511" s="198">
        <f>'02 项目基础信息（输入）'!$I$39</f>
        <v>0</v>
      </c>
      <c r="Q511" s="233">
        <f t="shared" si="55"/>
        <v>0</v>
      </c>
      <c r="S511" s="217"/>
      <c r="U511" s="220" t="s">
        <v>2289</v>
      </c>
    </row>
    <row r="512" spans="1:21" ht="0" hidden="1" customHeight="1" outlineLevel="2">
      <c r="A512" s="192" t="s">
        <v>1753</v>
      </c>
      <c r="B512" s="192"/>
      <c r="C512" s="197" t="s">
        <v>1609</v>
      </c>
      <c r="D512" s="198">
        <f>'02 项目基础信息（输入）'!$C$39</f>
        <v>0</v>
      </c>
      <c r="E512" s="199" t="s">
        <v>93</v>
      </c>
      <c r="F512" s="197"/>
      <c r="G512" s="199"/>
      <c r="H512" s="199"/>
      <c r="I512" s="197"/>
      <c r="J512" s="199"/>
      <c r="K512" s="207"/>
      <c r="L512" s="209"/>
      <c r="M512" s="198">
        <f>ROUND(SUM(M513:M523),6)</f>
        <v>0</v>
      </c>
      <c r="N512" s="198">
        <f>'02 项目基础信息（输入）'!$C$39</f>
        <v>0</v>
      </c>
      <c r="O512" s="198">
        <f t="shared" si="54"/>
        <v>0</v>
      </c>
      <c r="P512" s="198">
        <f>'02 项目基础信息（输入）'!$I$39</f>
        <v>0</v>
      </c>
      <c r="Q512" s="233">
        <f t="shared" si="55"/>
        <v>0</v>
      </c>
      <c r="S512" s="217" t="s">
        <v>1313</v>
      </c>
      <c r="U512" s="220" t="s">
        <v>2290</v>
      </c>
    </row>
    <row r="513" spans="1:21" ht="0" hidden="1" customHeight="1" outlineLevel="3">
      <c r="A513" s="192" t="s">
        <v>1755</v>
      </c>
      <c r="B513" s="192"/>
      <c r="C513" s="197" t="s">
        <v>1609</v>
      </c>
      <c r="D513" s="198">
        <f>'02 项目基础信息（输入）'!$C$39</f>
        <v>0</v>
      </c>
      <c r="E513" s="199" t="s">
        <v>93</v>
      </c>
      <c r="F513" s="197" t="s">
        <v>1609</v>
      </c>
      <c r="G513" s="199">
        <v>1</v>
      </c>
      <c r="H513" s="199" t="s">
        <v>298</v>
      </c>
      <c r="I513" s="198">
        <f t="shared" ref="I513:I523" si="62">G513*D513</f>
        <v>0</v>
      </c>
      <c r="J513" s="199" t="s">
        <v>93</v>
      </c>
      <c r="K513" s="208"/>
      <c r="L513" s="209" t="s">
        <v>675</v>
      </c>
      <c r="M513" s="207">
        <f t="shared" ref="M513:M523" si="63">ROUND(K513*I513/10000,6)</f>
        <v>0</v>
      </c>
      <c r="N513" s="198">
        <f>'02 项目基础信息（输入）'!$C$39</f>
        <v>0</v>
      </c>
      <c r="O513" s="198">
        <f t="shared" si="54"/>
        <v>0</v>
      </c>
      <c r="P513" s="198">
        <f>'02 项目基础信息（输入）'!$I$39</f>
        <v>0</v>
      </c>
      <c r="Q513" s="233">
        <f t="shared" si="55"/>
        <v>0</v>
      </c>
      <c r="S513" s="217"/>
      <c r="U513" s="220" t="s">
        <v>2291</v>
      </c>
    </row>
    <row r="514" spans="1:21" ht="0" hidden="1" customHeight="1" outlineLevel="3">
      <c r="A514" s="192" t="s">
        <v>1757</v>
      </c>
      <c r="B514" s="192"/>
      <c r="C514" s="197" t="s">
        <v>1609</v>
      </c>
      <c r="D514" s="198">
        <f>'02 项目基础信息（输入）'!$C$39</f>
        <v>0</v>
      </c>
      <c r="E514" s="199" t="s">
        <v>93</v>
      </c>
      <c r="F514" s="197" t="s">
        <v>1609</v>
      </c>
      <c r="G514" s="199">
        <v>1</v>
      </c>
      <c r="H514" s="199" t="s">
        <v>298</v>
      </c>
      <c r="I514" s="198">
        <f t="shared" si="62"/>
        <v>0</v>
      </c>
      <c r="J514" s="199" t="s">
        <v>93</v>
      </c>
      <c r="K514" s="208"/>
      <c r="L514" s="209" t="s">
        <v>675</v>
      </c>
      <c r="M514" s="207">
        <f t="shared" si="63"/>
        <v>0</v>
      </c>
      <c r="N514" s="198">
        <f>'02 项目基础信息（输入）'!$C$39</f>
        <v>0</v>
      </c>
      <c r="O514" s="198">
        <f t="shared" si="54"/>
        <v>0</v>
      </c>
      <c r="P514" s="198">
        <f>'02 项目基础信息（输入）'!$I$39</f>
        <v>0</v>
      </c>
      <c r="Q514" s="233">
        <f t="shared" si="55"/>
        <v>0</v>
      </c>
      <c r="S514" s="217"/>
      <c r="U514" s="220" t="s">
        <v>2292</v>
      </c>
    </row>
    <row r="515" spans="1:21" ht="0" hidden="1" customHeight="1" outlineLevel="3">
      <c r="A515" s="192" t="s">
        <v>1759</v>
      </c>
      <c r="B515" s="192"/>
      <c r="C515" s="197" t="s">
        <v>1609</v>
      </c>
      <c r="D515" s="198">
        <f>'02 项目基础信息（输入）'!$C$39</f>
        <v>0</v>
      </c>
      <c r="E515" s="199" t="s">
        <v>93</v>
      </c>
      <c r="F515" s="197" t="s">
        <v>1609</v>
      </c>
      <c r="G515" s="199">
        <v>1</v>
      </c>
      <c r="H515" s="199" t="s">
        <v>298</v>
      </c>
      <c r="I515" s="198">
        <f t="shared" si="62"/>
        <v>0</v>
      </c>
      <c r="J515" s="199" t="s">
        <v>93</v>
      </c>
      <c r="K515" s="208"/>
      <c r="L515" s="209" t="s">
        <v>675</v>
      </c>
      <c r="M515" s="207">
        <f t="shared" si="63"/>
        <v>0</v>
      </c>
      <c r="N515" s="198">
        <f>'02 项目基础信息（输入）'!$C$39</f>
        <v>0</v>
      </c>
      <c r="O515" s="198">
        <f t="shared" ref="O515:O578" si="64">ROUND(IFERROR(M515*10000/N515,0),2)</f>
        <v>0</v>
      </c>
      <c r="P515" s="198">
        <f>'02 项目基础信息（输入）'!$I$39</f>
        <v>0</v>
      </c>
      <c r="Q515" s="233">
        <f t="shared" ref="Q515:Q578" si="65">ROUND(IFERROR(M515*10000/P515,0),2)</f>
        <v>0</v>
      </c>
      <c r="S515" s="217"/>
      <c r="U515" s="220" t="s">
        <v>2293</v>
      </c>
    </row>
    <row r="516" spans="1:21" ht="0" hidden="1" customHeight="1" outlineLevel="3">
      <c r="A516" s="192" t="s">
        <v>1761</v>
      </c>
      <c r="B516" s="192"/>
      <c r="C516" s="197" t="s">
        <v>1609</v>
      </c>
      <c r="D516" s="198">
        <f>'02 项目基础信息（输入）'!$C$39</f>
        <v>0</v>
      </c>
      <c r="E516" s="199" t="s">
        <v>93</v>
      </c>
      <c r="F516" s="197" t="s">
        <v>1609</v>
      </c>
      <c r="G516" s="199">
        <v>1</v>
      </c>
      <c r="H516" s="199" t="s">
        <v>298</v>
      </c>
      <c r="I516" s="198">
        <f t="shared" si="62"/>
        <v>0</v>
      </c>
      <c r="J516" s="199" t="s">
        <v>93</v>
      </c>
      <c r="K516" s="208"/>
      <c r="L516" s="209" t="s">
        <v>675</v>
      </c>
      <c r="M516" s="207">
        <f t="shared" si="63"/>
        <v>0</v>
      </c>
      <c r="N516" s="198">
        <f>'02 项目基础信息（输入）'!$C$39</f>
        <v>0</v>
      </c>
      <c r="O516" s="198">
        <f t="shared" si="64"/>
        <v>0</v>
      </c>
      <c r="P516" s="198">
        <f>'02 项目基础信息（输入）'!$I$39</f>
        <v>0</v>
      </c>
      <c r="Q516" s="233">
        <f t="shared" si="65"/>
        <v>0</v>
      </c>
      <c r="S516" s="217"/>
      <c r="U516" s="220" t="s">
        <v>2294</v>
      </c>
    </row>
    <row r="517" spans="1:21" ht="0" hidden="1" customHeight="1" outlineLevel="3">
      <c r="A517" s="192" t="s">
        <v>1763</v>
      </c>
      <c r="B517" s="192"/>
      <c r="C517" s="197" t="s">
        <v>1609</v>
      </c>
      <c r="D517" s="198">
        <f>'02 项目基础信息（输入）'!$C$39</f>
        <v>0</v>
      </c>
      <c r="E517" s="199" t="s">
        <v>93</v>
      </c>
      <c r="F517" s="197" t="s">
        <v>1609</v>
      </c>
      <c r="G517" s="199">
        <v>1</v>
      </c>
      <c r="H517" s="199" t="s">
        <v>298</v>
      </c>
      <c r="I517" s="198">
        <f t="shared" si="62"/>
        <v>0</v>
      </c>
      <c r="J517" s="199" t="s">
        <v>93</v>
      </c>
      <c r="K517" s="208"/>
      <c r="L517" s="209" t="s">
        <v>675</v>
      </c>
      <c r="M517" s="207">
        <f t="shared" si="63"/>
        <v>0</v>
      </c>
      <c r="N517" s="198">
        <f>'02 项目基础信息（输入）'!$C$39</f>
        <v>0</v>
      </c>
      <c r="O517" s="198">
        <f t="shared" si="64"/>
        <v>0</v>
      </c>
      <c r="P517" s="198">
        <f>'02 项目基础信息（输入）'!$I$39</f>
        <v>0</v>
      </c>
      <c r="Q517" s="233">
        <f t="shared" si="65"/>
        <v>0</v>
      </c>
      <c r="S517" s="217"/>
      <c r="U517" s="220" t="s">
        <v>2295</v>
      </c>
    </row>
    <row r="518" spans="1:21" ht="0" hidden="1" customHeight="1" outlineLevel="3">
      <c r="A518" s="192" t="s">
        <v>1765</v>
      </c>
      <c r="B518" s="192"/>
      <c r="C518" s="197" t="s">
        <v>1609</v>
      </c>
      <c r="D518" s="198">
        <f>'02 项目基础信息（输入）'!$C$39</f>
        <v>0</v>
      </c>
      <c r="E518" s="199" t="s">
        <v>93</v>
      </c>
      <c r="F518" s="197" t="s">
        <v>1609</v>
      </c>
      <c r="G518" s="199">
        <v>1</v>
      </c>
      <c r="H518" s="199" t="s">
        <v>298</v>
      </c>
      <c r="I518" s="198">
        <f t="shared" si="62"/>
        <v>0</v>
      </c>
      <c r="J518" s="199" t="s">
        <v>93</v>
      </c>
      <c r="K518" s="208"/>
      <c r="L518" s="209" t="s">
        <v>675</v>
      </c>
      <c r="M518" s="207">
        <f t="shared" si="63"/>
        <v>0</v>
      </c>
      <c r="N518" s="198">
        <f>'02 项目基础信息（输入）'!$C$39</f>
        <v>0</v>
      </c>
      <c r="O518" s="198">
        <f t="shared" si="64"/>
        <v>0</v>
      </c>
      <c r="P518" s="198">
        <f>'02 项目基础信息（输入）'!$I$39</f>
        <v>0</v>
      </c>
      <c r="Q518" s="233">
        <f t="shared" si="65"/>
        <v>0</v>
      </c>
      <c r="S518" s="217"/>
      <c r="U518" s="220" t="s">
        <v>2296</v>
      </c>
    </row>
    <row r="519" spans="1:21" ht="0" hidden="1" customHeight="1" outlineLevel="3">
      <c r="A519" s="192" t="s">
        <v>1767</v>
      </c>
      <c r="B519" s="192"/>
      <c r="C519" s="197" t="s">
        <v>1609</v>
      </c>
      <c r="D519" s="198">
        <f>'02 项目基础信息（输入）'!$C$39</f>
        <v>0</v>
      </c>
      <c r="E519" s="199" t="s">
        <v>93</v>
      </c>
      <c r="F519" s="197" t="s">
        <v>1609</v>
      </c>
      <c r="G519" s="199">
        <v>1</v>
      </c>
      <c r="H519" s="199" t="s">
        <v>298</v>
      </c>
      <c r="I519" s="198">
        <f t="shared" si="62"/>
        <v>0</v>
      </c>
      <c r="J519" s="199" t="s">
        <v>93</v>
      </c>
      <c r="K519" s="208"/>
      <c r="L519" s="209" t="s">
        <v>675</v>
      </c>
      <c r="M519" s="207">
        <f t="shared" si="63"/>
        <v>0</v>
      </c>
      <c r="N519" s="198">
        <f>'02 项目基础信息（输入）'!$C$39</f>
        <v>0</v>
      </c>
      <c r="O519" s="198">
        <f t="shared" si="64"/>
        <v>0</v>
      </c>
      <c r="P519" s="198">
        <f>'02 项目基础信息（输入）'!$I$39</f>
        <v>0</v>
      </c>
      <c r="Q519" s="233">
        <f t="shared" si="65"/>
        <v>0</v>
      </c>
      <c r="S519" s="217"/>
      <c r="U519" s="220" t="s">
        <v>2297</v>
      </c>
    </row>
    <row r="520" spans="1:21" ht="0" hidden="1" customHeight="1" outlineLevel="3">
      <c r="A520" s="192" t="s">
        <v>1769</v>
      </c>
      <c r="B520" s="192"/>
      <c r="C520" s="197" t="s">
        <v>1609</v>
      </c>
      <c r="D520" s="198">
        <f>'02 项目基础信息（输入）'!$C$39</f>
        <v>0</v>
      </c>
      <c r="E520" s="199" t="s">
        <v>93</v>
      </c>
      <c r="F520" s="197" t="s">
        <v>1609</v>
      </c>
      <c r="G520" s="199">
        <v>1</v>
      </c>
      <c r="H520" s="199" t="s">
        <v>298</v>
      </c>
      <c r="I520" s="198">
        <f t="shared" si="62"/>
        <v>0</v>
      </c>
      <c r="J520" s="199" t="s">
        <v>93</v>
      </c>
      <c r="K520" s="208"/>
      <c r="L520" s="209" t="s">
        <v>675</v>
      </c>
      <c r="M520" s="207">
        <f t="shared" si="63"/>
        <v>0</v>
      </c>
      <c r="N520" s="198">
        <f>'02 项目基础信息（输入）'!$C$39</f>
        <v>0</v>
      </c>
      <c r="O520" s="198">
        <f t="shared" si="64"/>
        <v>0</v>
      </c>
      <c r="P520" s="198">
        <f>'02 项目基础信息（输入）'!$I$39</f>
        <v>0</v>
      </c>
      <c r="Q520" s="233">
        <f t="shared" si="65"/>
        <v>0</v>
      </c>
      <c r="S520" s="217"/>
      <c r="U520" s="220" t="s">
        <v>2298</v>
      </c>
    </row>
    <row r="521" spans="1:21" ht="0" hidden="1" customHeight="1" outlineLevel="3">
      <c r="A521" s="192" t="s">
        <v>1771</v>
      </c>
      <c r="B521" s="192"/>
      <c r="C521" s="197" t="s">
        <v>1609</v>
      </c>
      <c r="D521" s="198">
        <f>'02 项目基础信息（输入）'!$C$39</f>
        <v>0</v>
      </c>
      <c r="E521" s="199" t="s">
        <v>93</v>
      </c>
      <c r="F521" s="197" t="s">
        <v>1609</v>
      </c>
      <c r="G521" s="199">
        <v>1</v>
      </c>
      <c r="H521" s="199" t="s">
        <v>298</v>
      </c>
      <c r="I521" s="198">
        <f t="shared" si="62"/>
        <v>0</v>
      </c>
      <c r="J521" s="199" t="s">
        <v>93</v>
      </c>
      <c r="K521" s="208"/>
      <c r="L521" s="209" t="s">
        <v>675</v>
      </c>
      <c r="M521" s="207">
        <f t="shared" si="63"/>
        <v>0</v>
      </c>
      <c r="N521" s="198">
        <f>'02 项目基础信息（输入）'!$C$39</f>
        <v>0</v>
      </c>
      <c r="O521" s="198">
        <f t="shared" si="64"/>
        <v>0</v>
      </c>
      <c r="P521" s="198">
        <f>'02 项目基础信息（输入）'!$I$39</f>
        <v>0</v>
      </c>
      <c r="Q521" s="233">
        <f t="shared" si="65"/>
        <v>0</v>
      </c>
      <c r="S521" s="217"/>
      <c r="U521" s="220" t="s">
        <v>2299</v>
      </c>
    </row>
    <row r="522" spans="1:21" ht="0" hidden="1" customHeight="1" outlineLevel="3">
      <c r="A522" s="192" t="s">
        <v>1773</v>
      </c>
      <c r="B522" s="192"/>
      <c r="C522" s="197" t="s">
        <v>1609</v>
      </c>
      <c r="D522" s="198">
        <f>'02 项目基础信息（输入）'!$C$39</f>
        <v>0</v>
      </c>
      <c r="E522" s="199" t="s">
        <v>93</v>
      </c>
      <c r="F522" s="197" t="s">
        <v>1609</v>
      </c>
      <c r="G522" s="199">
        <v>1</v>
      </c>
      <c r="H522" s="199" t="s">
        <v>298</v>
      </c>
      <c r="I522" s="198">
        <f t="shared" si="62"/>
        <v>0</v>
      </c>
      <c r="J522" s="199" t="s">
        <v>93</v>
      </c>
      <c r="K522" s="208"/>
      <c r="L522" s="209" t="s">
        <v>675</v>
      </c>
      <c r="M522" s="207">
        <f t="shared" si="63"/>
        <v>0</v>
      </c>
      <c r="N522" s="198">
        <f>'02 项目基础信息（输入）'!$C$39</f>
        <v>0</v>
      </c>
      <c r="O522" s="198">
        <f t="shared" si="64"/>
        <v>0</v>
      </c>
      <c r="P522" s="198">
        <f>'02 项目基础信息（输入）'!$I$39</f>
        <v>0</v>
      </c>
      <c r="Q522" s="233">
        <f t="shared" si="65"/>
        <v>0</v>
      </c>
      <c r="S522" s="217"/>
      <c r="U522" s="220" t="s">
        <v>2300</v>
      </c>
    </row>
    <row r="523" spans="1:21" ht="0" hidden="1" customHeight="1" outlineLevel="3">
      <c r="A523" s="192" t="s">
        <v>1775</v>
      </c>
      <c r="B523" s="192"/>
      <c r="C523" s="197" t="s">
        <v>1609</v>
      </c>
      <c r="D523" s="198">
        <f>'02 项目基础信息（输入）'!$C$39</f>
        <v>0</v>
      </c>
      <c r="E523" s="199" t="s">
        <v>93</v>
      </c>
      <c r="F523" s="197" t="s">
        <v>1609</v>
      </c>
      <c r="G523" s="199">
        <v>1</v>
      </c>
      <c r="H523" s="199" t="s">
        <v>298</v>
      </c>
      <c r="I523" s="198">
        <f t="shared" si="62"/>
        <v>0</v>
      </c>
      <c r="J523" s="199" t="s">
        <v>93</v>
      </c>
      <c r="K523" s="208"/>
      <c r="L523" s="209" t="s">
        <v>675</v>
      </c>
      <c r="M523" s="207">
        <f t="shared" si="63"/>
        <v>0</v>
      </c>
      <c r="N523" s="198">
        <f>'02 项目基础信息（输入）'!$C$39</f>
        <v>0</v>
      </c>
      <c r="O523" s="198">
        <f t="shared" si="64"/>
        <v>0</v>
      </c>
      <c r="P523" s="198">
        <f>'02 项目基础信息（输入）'!$I$39</f>
        <v>0</v>
      </c>
      <c r="Q523" s="233">
        <f t="shared" si="65"/>
        <v>0</v>
      </c>
      <c r="S523" s="217"/>
      <c r="U523" s="220" t="s">
        <v>2301</v>
      </c>
    </row>
    <row r="524" spans="1:21" ht="0" hidden="1" customHeight="1" outlineLevel="2">
      <c r="A524" s="192" t="s">
        <v>1777</v>
      </c>
      <c r="B524" s="192"/>
      <c r="C524" s="197" t="s">
        <v>1609</v>
      </c>
      <c r="D524" s="198">
        <f>'02 项目基础信息（输入）'!$C$39</f>
        <v>0</v>
      </c>
      <c r="E524" s="199" t="s">
        <v>93</v>
      </c>
      <c r="F524" s="197"/>
      <c r="G524" s="199"/>
      <c r="H524" s="199"/>
      <c r="I524" s="197"/>
      <c r="J524" s="199"/>
      <c r="K524" s="207"/>
      <c r="L524" s="209"/>
      <c r="M524" s="198">
        <f>ROUND(SUM(M525),6)</f>
        <v>0</v>
      </c>
      <c r="N524" s="198">
        <f>'02 项目基础信息（输入）'!$C$39</f>
        <v>0</v>
      </c>
      <c r="O524" s="198">
        <f t="shared" si="64"/>
        <v>0</v>
      </c>
      <c r="P524" s="198">
        <f>'02 项目基础信息（输入）'!$I$39</f>
        <v>0</v>
      </c>
      <c r="Q524" s="233">
        <f t="shared" si="65"/>
        <v>0</v>
      </c>
      <c r="S524" s="217" t="s">
        <v>1313</v>
      </c>
      <c r="U524" s="220" t="s">
        <v>2302</v>
      </c>
    </row>
    <row r="525" spans="1:21" ht="0" hidden="1" customHeight="1" outlineLevel="3">
      <c r="A525" s="192" t="s">
        <v>1779</v>
      </c>
      <c r="B525" s="192"/>
      <c r="C525" s="197" t="s">
        <v>1609</v>
      </c>
      <c r="D525" s="198">
        <f>'02 项目基础信息（输入）'!$C$39</f>
        <v>0</v>
      </c>
      <c r="E525" s="199" t="s">
        <v>93</v>
      </c>
      <c r="F525" s="197" t="s">
        <v>984</v>
      </c>
      <c r="G525" s="199">
        <v>0</v>
      </c>
      <c r="H525" s="199" t="s">
        <v>966</v>
      </c>
      <c r="I525" s="198">
        <f>G525*D525</f>
        <v>0</v>
      </c>
      <c r="J525" s="199" t="s">
        <v>1617</v>
      </c>
      <c r="K525" s="207">
        <v>0</v>
      </c>
      <c r="L525" s="209" t="s">
        <v>664</v>
      </c>
      <c r="M525" s="207">
        <f>ROUND(K525*I525/10000,6)</f>
        <v>0</v>
      </c>
      <c r="N525" s="198">
        <f>'02 项目基础信息（输入）'!$C$39</f>
        <v>0</v>
      </c>
      <c r="O525" s="198">
        <f t="shared" si="64"/>
        <v>0</v>
      </c>
      <c r="P525" s="198">
        <f>'02 项目基础信息（输入）'!$I$39</f>
        <v>0</v>
      </c>
      <c r="Q525" s="233">
        <f t="shared" si="65"/>
        <v>0</v>
      </c>
      <c r="S525" s="217"/>
      <c r="U525" s="220" t="s">
        <v>2303</v>
      </c>
    </row>
    <row r="526" spans="1:21" ht="0" hidden="1" customHeight="1" outlineLevel="2">
      <c r="A526" s="192" t="s">
        <v>1781</v>
      </c>
      <c r="B526" s="192"/>
      <c r="C526" s="197" t="s">
        <v>1609</v>
      </c>
      <c r="D526" s="198">
        <f>'02 项目基础信息（输入）'!$C$39</f>
        <v>0</v>
      </c>
      <c r="E526" s="199" t="s">
        <v>93</v>
      </c>
      <c r="F526" s="197"/>
      <c r="G526" s="199"/>
      <c r="H526" s="199"/>
      <c r="I526" s="197"/>
      <c r="J526" s="199"/>
      <c r="K526" s="207"/>
      <c r="L526" s="209"/>
      <c r="M526" s="198">
        <f>ROUND(SUM(M527:M531),6)</f>
        <v>0</v>
      </c>
      <c r="N526" s="198">
        <f>'02 项目基础信息（输入）'!$C$39</f>
        <v>0</v>
      </c>
      <c r="O526" s="198">
        <f t="shared" si="64"/>
        <v>0</v>
      </c>
      <c r="P526" s="198">
        <f>'02 项目基础信息（输入）'!$I$39</f>
        <v>0</v>
      </c>
      <c r="Q526" s="233">
        <f t="shared" si="65"/>
        <v>0</v>
      </c>
      <c r="S526" s="217" t="s">
        <v>1314</v>
      </c>
      <c r="U526" s="220" t="s">
        <v>2304</v>
      </c>
    </row>
    <row r="527" spans="1:21" ht="0" hidden="1" customHeight="1" outlineLevel="3">
      <c r="A527" s="192" t="s">
        <v>2066</v>
      </c>
      <c r="B527" s="192"/>
      <c r="C527" s="197" t="s">
        <v>309</v>
      </c>
      <c r="D527" s="198">
        <f>'02 项目基础信息（输入）'!$AC$39</f>
        <v>0</v>
      </c>
      <c r="E527" s="199" t="s">
        <v>310</v>
      </c>
      <c r="F527" s="197" t="s">
        <v>2067</v>
      </c>
      <c r="G527" s="199">
        <v>1</v>
      </c>
      <c r="H527" s="199" t="s">
        <v>2067</v>
      </c>
      <c r="I527" s="198">
        <f>G527*D527</f>
        <v>0</v>
      </c>
      <c r="J527" s="199" t="s">
        <v>1946</v>
      </c>
      <c r="K527" s="207">
        <v>0</v>
      </c>
      <c r="L527" s="209" t="s">
        <v>1948</v>
      </c>
      <c r="M527" s="207">
        <f>ROUND(K527*I527/10000,6)</f>
        <v>0</v>
      </c>
      <c r="N527" s="198">
        <f>'02 项目基础信息（输入）'!$C$39</f>
        <v>0</v>
      </c>
      <c r="O527" s="198">
        <f t="shared" si="64"/>
        <v>0</v>
      </c>
      <c r="P527" s="198">
        <f>'02 项目基础信息（输入）'!$I$39</f>
        <v>0</v>
      </c>
      <c r="Q527" s="233">
        <f t="shared" si="65"/>
        <v>0</v>
      </c>
      <c r="S527" s="217"/>
      <c r="U527" s="220" t="s">
        <v>2305</v>
      </c>
    </row>
    <row r="528" spans="1:21" ht="0" hidden="1" customHeight="1" outlineLevel="3">
      <c r="A528" s="192" t="s">
        <v>2069</v>
      </c>
      <c r="B528" s="192"/>
      <c r="C528" s="197" t="s">
        <v>309</v>
      </c>
      <c r="D528" s="198">
        <f>'02 项目基础信息（输入）'!$AC$39</f>
        <v>0</v>
      </c>
      <c r="E528" s="199" t="s">
        <v>310</v>
      </c>
      <c r="F528" s="197" t="s">
        <v>2067</v>
      </c>
      <c r="G528" s="199">
        <v>1</v>
      </c>
      <c r="H528" s="199" t="s">
        <v>2067</v>
      </c>
      <c r="I528" s="198">
        <f>G528*D528</f>
        <v>0</v>
      </c>
      <c r="J528" s="199" t="s">
        <v>1946</v>
      </c>
      <c r="K528" s="228">
        <f>'03 成本测算（输入）'!D30</f>
        <v>0</v>
      </c>
      <c r="L528" s="209" t="s">
        <v>1948</v>
      </c>
      <c r="M528" s="207">
        <f>ROUND(K528*I528/10000,6)</f>
        <v>0</v>
      </c>
      <c r="N528" s="198">
        <f>'02 项目基础信息（输入）'!$C$39</f>
        <v>0</v>
      </c>
      <c r="O528" s="198">
        <f t="shared" si="64"/>
        <v>0</v>
      </c>
      <c r="P528" s="198">
        <f>'02 项目基础信息（输入）'!$I$39</f>
        <v>0</v>
      </c>
      <c r="Q528" s="233">
        <f t="shared" si="65"/>
        <v>0</v>
      </c>
      <c r="S528" s="234"/>
      <c r="U528" s="220" t="s">
        <v>2306</v>
      </c>
    </row>
    <row r="529" spans="1:21" ht="0" hidden="1" customHeight="1" outlineLevel="3">
      <c r="A529" s="192" t="s">
        <v>2071</v>
      </c>
      <c r="B529" s="192"/>
      <c r="C529" s="197" t="s">
        <v>309</v>
      </c>
      <c r="D529" s="198">
        <f>'02 项目基础信息（输入）'!$AC$39</f>
        <v>0</v>
      </c>
      <c r="E529" s="199" t="s">
        <v>310</v>
      </c>
      <c r="F529" s="197" t="s">
        <v>2067</v>
      </c>
      <c r="G529" s="199">
        <v>1</v>
      </c>
      <c r="H529" s="199" t="s">
        <v>2067</v>
      </c>
      <c r="I529" s="198">
        <f>G529*D529</f>
        <v>0</v>
      </c>
      <c r="J529" s="199" t="s">
        <v>1946</v>
      </c>
      <c r="K529" s="207">
        <v>0</v>
      </c>
      <c r="L529" s="209" t="s">
        <v>1948</v>
      </c>
      <c r="M529" s="207">
        <f>ROUND(K529*I529/10000,6)</f>
        <v>0</v>
      </c>
      <c r="N529" s="198">
        <f>'02 项目基础信息（输入）'!$C$39</f>
        <v>0</v>
      </c>
      <c r="O529" s="198">
        <f t="shared" si="64"/>
        <v>0</v>
      </c>
      <c r="P529" s="198">
        <f>'02 项目基础信息（输入）'!$I$39</f>
        <v>0</v>
      </c>
      <c r="Q529" s="233">
        <f t="shared" si="65"/>
        <v>0</v>
      </c>
      <c r="S529" s="217"/>
      <c r="U529" s="220" t="s">
        <v>2307</v>
      </c>
    </row>
    <row r="530" spans="1:21" ht="0" hidden="1" customHeight="1" outlineLevel="3">
      <c r="A530" s="192" t="s">
        <v>2073</v>
      </c>
      <c r="B530" s="192"/>
      <c r="C530" s="197" t="s">
        <v>309</v>
      </c>
      <c r="D530" s="198">
        <f>'02 项目基础信息（输入）'!$AC$39</f>
        <v>0</v>
      </c>
      <c r="E530" s="199" t="s">
        <v>310</v>
      </c>
      <c r="F530" s="197" t="s">
        <v>2067</v>
      </c>
      <c r="G530" s="199">
        <v>1</v>
      </c>
      <c r="H530" s="199" t="s">
        <v>1946</v>
      </c>
      <c r="I530" s="198">
        <f>G530*D530</f>
        <v>0</v>
      </c>
      <c r="J530" s="199" t="s">
        <v>1946</v>
      </c>
      <c r="K530" s="228">
        <f>'03 成本测算（输入）'!$D$31</f>
        <v>0</v>
      </c>
      <c r="L530" s="209" t="s">
        <v>1948</v>
      </c>
      <c r="M530" s="207">
        <f>ROUND(K530*I530/10000,6)</f>
        <v>0</v>
      </c>
      <c r="N530" s="198">
        <f>'02 项目基础信息（输入）'!$C$39</f>
        <v>0</v>
      </c>
      <c r="O530" s="198">
        <f t="shared" si="64"/>
        <v>0</v>
      </c>
      <c r="P530" s="198">
        <f>'02 项目基础信息（输入）'!$I$39</f>
        <v>0</v>
      </c>
      <c r="Q530" s="233">
        <f t="shared" si="65"/>
        <v>0</v>
      </c>
      <c r="S530" s="217"/>
      <c r="U530" s="220" t="s">
        <v>2308</v>
      </c>
    </row>
    <row r="531" spans="1:21" ht="0" hidden="1" customHeight="1" outlineLevel="3">
      <c r="A531" s="192" t="s">
        <v>1783</v>
      </c>
      <c r="B531" s="192"/>
      <c r="C531" s="197" t="s">
        <v>309</v>
      </c>
      <c r="D531" s="198">
        <f>'02 项目基础信息（输入）'!$AC$39</f>
        <v>0</v>
      </c>
      <c r="E531" s="199" t="s">
        <v>310</v>
      </c>
      <c r="F531" s="197" t="s">
        <v>1784</v>
      </c>
      <c r="G531" s="199">
        <v>1</v>
      </c>
      <c r="H531" s="199" t="s">
        <v>1784</v>
      </c>
      <c r="I531" s="198">
        <f>G531*D531</f>
        <v>0</v>
      </c>
      <c r="J531" s="199" t="s">
        <v>1600</v>
      </c>
      <c r="K531" s="207">
        <v>0</v>
      </c>
      <c r="L531" s="209" t="s">
        <v>1601</v>
      </c>
      <c r="M531" s="207">
        <f>ROUND(K531*I531/10000,6)</f>
        <v>0</v>
      </c>
      <c r="N531" s="198">
        <f>'02 项目基础信息（输入）'!$C$39</f>
        <v>0</v>
      </c>
      <c r="O531" s="198">
        <f t="shared" si="64"/>
        <v>0</v>
      </c>
      <c r="P531" s="198">
        <f>'02 项目基础信息（输入）'!$I$39</f>
        <v>0</v>
      </c>
      <c r="Q531" s="233">
        <f t="shared" si="65"/>
        <v>0</v>
      </c>
      <c r="S531" s="217"/>
      <c r="U531" s="220" t="s">
        <v>2309</v>
      </c>
    </row>
    <row r="532" spans="1:21" ht="0" hidden="1" customHeight="1" outlineLevel="2">
      <c r="A532" s="192" t="s">
        <v>1786</v>
      </c>
      <c r="B532" s="192"/>
      <c r="C532" s="197" t="s">
        <v>1609</v>
      </c>
      <c r="D532" s="198">
        <f>'02 项目基础信息（输入）'!$C$39</f>
        <v>0</v>
      </c>
      <c r="E532" s="199" t="s">
        <v>93</v>
      </c>
      <c r="F532" s="197"/>
      <c r="G532" s="199"/>
      <c r="H532" s="199"/>
      <c r="I532" s="197"/>
      <c r="J532" s="199"/>
      <c r="K532" s="207"/>
      <c r="L532" s="209"/>
      <c r="M532" s="198">
        <f>ROUND(SUM(M533:M537),6)</f>
        <v>0</v>
      </c>
      <c r="N532" s="198">
        <f>'02 项目基础信息（输入）'!$C$39</f>
        <v>0</v>
      </c>
      <c r="O532" s="198">
        <f t="shared" si="64"/>
        <v>0</v>
      </c>
      <c r="P532" s="198">
        <f>'02 项目基础信息（输入）'!$I$39</f>
        <v>0</v>
      </c>
      <c r="Q532" s="233">
        <f t="shared" si="65"/>
        <v>0</v>
      </c>
      <c r="S532" s="217" t="s">
        <v>1314</v>
      </c>
      <c r="U532" s="220" t="s">
        <v>2310</v>
      </c>
    </row>
    <row r="533" spans="1:21" ht="0" hidden="1" customHeight="1" outlineLevel="3">
      <c r="A533" s="192" t="s">
        <v>2077</v>
      </c>
      <c r="B533" s="192"/>
      <c r="C533" s="197" t="s">
        <v>1609</v>
      </c>
      <c r="D533" s="198">
        <f>'02 项目基础信息（输入）'!$C$39</f>
        <v>0</v>
      </c>
      <c r="E533" s="199" t="s">
        <v>93</v>
      </c>
      <c r="F533" s="197" t="s">
        <v>754</v>
      </c>
      <c r="G533" s="224">
        <f>'03 成本测算（输入）'!$D$32</f>
        <v>0</v>
      </c>
      <c r="H533" s="199" t="s">
        <v>298</v>
      </c>
      <c r="I533" s="198">
        <f>G533*D533</f>
        <v>0</v>
      </c>
      <c r="J533" s="199" t="s">
        <v>93</v>
      </c>
      <c r="K533" s="228">
        <f>'03 成本测算（输入）'!$D$33</f>
        <v>0</v>
      </c>
      <c r="L533" s="209" t="s">
        <v>675</v>
      </c>
      <c r="M533" s="207">
        <f>ROUND(K533*I533/10000,6)</f>
        <v>0</v>
      </c>
      <c r="N533" s="198">
        <f>'02 项目基础信息（输入）'!$C$39</f>
        <v>0</v>
      </c>
      <c r="O533" s="198">
        <f t="shared" si="64"/>
        <v>0</v>
      </c>
      <c r="P533" s="198">
        <f>'02 项目基础信息（输入）'!$I$39</f>
        <v>0</v>
      </c>
      <c r="Q533" s="233">
        <f t="shared" si="65"/>
        <v>0</v>
      </c>
      <c r="S533" s="217"/>
      <c r="U533" s="220" t="s">
        <v>2311</v>
      </c>
    </row>
    <row r="534" spans="1:21" ht="0" hidden="1" customHeight="1" outlineLevel="3">
      <c r="A534" s="192" t="s">
        <v>2079</v>
      </c>
      <c r="B534" s="192"/>
      <c r="C534" s="197" t="s">
        <v>1609</v>
      </c>
      <c r="D534" s="198">
        <f>'02 项目基础信息（输入）'!$C$39</f>
        <v>0</v>
      </c>
      <c r="E534" s="199" t="s">
        <v>93</v>
      </c>
      <c r="F534" s="197" t="s">
        <v>754</v>
      </c>
      <c r="G534" s="199">
        <v>0</v>
      </c>
      <c r="H534" s="199" t="s">
        <v>298</v>
      </c>
      <c r="I534" s="198">
        <f>G534*D534</f>
        <v>0</v>
      </c>
      <c r="J534" s="199" t="s">
        <v>93</v>
      </c>
      <c r="K534" s="207">
        <v>0</v>
      </c>
      <c r="L534" s="209" t="s">
        <v>675</v>
      </c>
      <c r="M534" s="207">
        <f>ROUND(K534*I534/10000,6)</f>
        <v>0</v>
      </c>
      <c r="N534" s="198">
        <f>'02 项目基础信息（输入）'!$C$39</f>
        <v>0</v>
      </c>
      <c r="O534" s="198">
        <f t="shared" si="64"/>
        <v>0</v>
      </c>
      <c r="P534" s="198">
        <f>'02 项目基础信息（输入）'!$I$39</f>
        <v>0</v>
      </c>
      <c r="Q534" s="233">
        <f t="shared" si="65"/>
        <v>0</v>
      </c>
      <c r="S534" s="217"/>
      <c r="U534" s="220" t="s">
        <v>2312</v>
      </c>
    </row>
    <row r="535" spans="1:21" ht="0" hidden="1" customHeight="1" outlineLevel="3">
      <c r="A535" s="192" t="s">
        <v>2081</v>
      </c>
      <c r="B535" s="192"/>
      <c r="C535" s="197" t="s">
        <v>1609</v>
      </c>
      <c r="D535" s="198">
        <f>'02 项目基础信息（输入）'!$C$39</f>
        <v>0</v>
      </c>
      <c r="E535" s="199" t="s">
        <v>93</v>
      </c>
      <c r="F535" s="197" t="s">
        <v>754</v>
      </c>
      <c r="G535" s="199">
        <v>0</v>
      </c>
      <c r="H535" s="199" t="s">
        <v>298</v>
      </c>
      <c r="I535" s="198">
        <f>G535*D535</f>
        <v>0</v>
      </c>
      <c r="J535" s="199" t="s">
        <v>93</v>
      </c>
      <c r="K535" s="207">
        <v>0</v>
      </c>
      <c r="L535" s="209" t="s">
        <v>675</v>
      </c>
      <c r="M535" s="207">
        <f>ROUND(K535*I535/10000,6)</f>
        <v>0</v>
      </c>
      <c r="N535" s="198">
        <f>'02 项目基础信息（输入）'!$C$39</f>
        <v>0</v>
      </c>
      <c r="O535" s="198">
        <f t="shared" si="64"/>
        <v>0</v>
      </c>
      <c r="P535" s="198">
        <f>'02 项目基础信息（输入）'!$I$39</f>
        <v>0</v>
      </c>
      <c r="Q535" s="233">
        <f t="shared" si="65"/>
        <v>0</v>
      </c>
      <c r="S535" s="217"/>
      <c r="U535" s="220" t="s">
        <v>2313</v>
      </c>
    </row>
    <row r="536" spans="1:21" ht="0" hidden="1" customHeight="1" outlineLevel="3">
      <c r="A536" s="192" t="s">
        <v>2083</v>
      </c>
      <c r="B536" s="192"/>
      <c r="C536" s="197" t="s">
        <v>1609</v>
      </c>
      <c r="D536" s="198">
        <f>'02 项目基础信息（输入）'!$C$39</f>
        <v>0</v>
      </c>
      <c r="E536" s="199" t="s">
        <v>93</v>
      </c>
      <c r="F536" s="197" t="s">
        <v>2084</v>
      </c>
      <c r="G536" s="225"/>
      <c r="H536" s="199" t="s">
        <v>298</v>
      </c>
      <c r="I536" s="198">
        <f>G536*D536</f>
        <v>0</v>
      </c>
      <c r="J536" s="199" t="s">
        <v>93</v>
      </c>
      <c r="K536" s="208"/>
      <c r="L536" s="209" t="s">
        <v>675</v>
      </c>
      <c r="M536" s="207">
        <f>ROUND(K536*I536/10000,6)</f>
        <v>0</v>
      </c>
      <c r="N536" s="198">
        <f>'02 项目基础信息（输入）'!$C$39</f>
        <v>0</v>
      </c>
      <c r="O536" s="198">
        <f t="shared" si="64"/>
        <v>0</v>
      </c>
      <c r="P536" s="198">
        <f>'02 项目基础信息（输入）'!$I$39</f>
        <v>0</v>
      </c>
      <c r="Q536" s="233">
        <f t="shared" si="65"/>
        <v>0</v>
      </c>
      <c r="S536" s="217"/>
      <c r="U536" s="220" t="s">
        <v>2314</v>
      </c>
    </row>
    <row r="537" spans="1:21" ht="0" hidden="1" customHeight="1" outlineLevel="3">
      <c r="A537" s="192" t="s">
        <v>1788</v>
      </c>
      <c r="B537" s="192"/>
      <c r="C537" s="197" t="s">
        <v>1609</v>
      </c>
      <c r="D537" s="198">
        <f>'02 项目基础信息（输入）'!$C$39</f>
        <v>0</v>
      </c>
      <c r="E537" s="199" t="s">
        <v>93</v>
      </c>
      <c r="F537" s="197" t="s">
        <v>1609</v>
      </c>
      <c r="G537" s="199">
        <v>0</v>
      </c>
      <c r="H537" s="199" t="s">
        <v>298</v>
      </c>
      <c r="I537" s="198">
        <f>G537*D537</f>
        <v>0</v>
      </c>
      <c r="J537" s="199" t="s">
        <v>93</v>
      </c>
      <c r="K537" s="207">
        <v>0</v>
      </c>
      <c r="L537" s="209" t="s">
        <v>675</v>
      </c>
      <c r="M537" s="207">
        <f>ROUND(K537*I537/10000,6)</f>
        <v>0</v>
      </c>
      <c r="N537" s="198">
        <f>'02 项目基础信息（输入）'!$C$39</f>
        <v>0</v>
      </c>
      <c r="O537" s="198">
        <f t="shared" si="64"/>
        <v>0</v>
      </c>
      <c r="P537" s="198">
        <f>'02 项目基础信息（输入）'!$I$39</f>
        <v>0</v>
      </c>
      <c r="Q537" s="233">
        <f t="shared" si="65"/>
        <v>0</v>
      </c>
      <c r="S537" s="217"/>
      <c r="U537" s="220" t="s">
        <v>2315</v>
      </c>
    </row>
    <row r="538" spans="1:21" ht="0" hidden="1" customHeight="1" outlineLevel="2">
      <c r="A538" s="192" t="s">
        <v>1790</v>
      </c>
      <c r="B538" s="192"/>
      <c r="C538" s="197" t="s">
        <v>1609</v>
      </c>
      <c r="D538" s="198">
        <f>'02 项目基础信息（输入）'!$C$39</f>
        <v>0</v>
      </c>
      <c r="E538" s="199" t="s">
        <v>93</v>
      </c>
      <c r="F538" s="197"/>
      <c r="G538" s="199"/>
      <c r="H538" s="199"/>
      <c r="I538" s="197"/>
      <c r="J538" s="199"/>
      <c r="K538" s="207"/>
      <c r="L538" s="209"/>
      <c r="M538" s="198">
        <f>ROUND(SUM(M539:M542),6)</f>
        <v>0</v>
      </c>
      <c r="N538" s="198">
        <f>'02 项目基础信息（输入）'!$C$39</f>
        <v>0</v>
      </c>
      <c r="O538" s="198">
        <f t="shared" si="64"/>
        <v>0</v>
      </c>
      <c r="P538" s="198">
        <f>'02 项目基础信息（输入）'!$I$39</f>
        <v>0</v>
      </c>
      <c r="Q538" s="233">
        <f t="shared" si="65"/>
        <v>0</v>
      </c>
      <c r="S538" s="217" t="s">
        <v>1313</v>
      </c>
      <c r="U538" s="220" t="s">
        <v>2316</v>
      </c>
    </row>
    <row r="539" spans="1:21" ht="0" hidden="1" customHeight="1" outlineLevel="3">
      <c r="A539" s="192" t="s">
        <v>1792</v>
      </c>
      <c r="B539" s="192"/>
      <c r="C539" s="197" t="s">
        <v>1609</v>
      </c>
      <c r="D539" s="198">
        <f>'02 项目基础信息（输入）'!$C$39</f>
        <v>0</v>
      </c>
      <c r="E539" s="199" t="s">
        <v>93</v>
      </c>
      <c r="F539" s="197" t="s">
        <v>727</v>
      </c>
      <c r="G539" s="224">
        <f>'03 成本测算（输入）'!$D$24</f>
        <v>0</v>
      </c>
      <c r="H539" s="199" t="s">
        <v>298</v>
      </c>
      <c r="I539" s="198">
        <f>G539*D539</f>
        <v>0</v>
      </c>
      <c r="J539" s="199" t="s">
        <v>93</v>
      </c>
      <c r="K539" s="228">
        <f>'03 成本测算（输入）'!$D$25</f>
        <v>0</v>
      </c>
      <c r="L539" s="209" t="s">
        <v>675</v>
      </c>
      <c r="M539" s="207">
        <f>ROUND(K539*I539/10000,6)</f>
        <v>0</v>
      </c>
      <c r="N539" s="198">
        <f>'02 项目基础信息（输入）'!$C$39</f>
        <v>0</v>
      </c>
      <c r="O539" s="198">
        <f t="shared" si="64"/>
        <v>0</v>
      </c>
      <c r="P539" s="198">
        <f>'02 项目基础信息（输入）'!$I$39</f>
        <v>0</v>
      </c>
      <c r="Q539" s="233">
        <f t="shared" si="65"/>
        <v>0</v>
      </c>
      <c r="S539" s="217"/>
      <c r="U539" s="220" t="s">
        <v>2317</v>
      </c>
    </row>
    <row r="540" spans="1:21" ht="0" hidden="1" customHeight="1" outlineLevel="3">
      <c r="A540" s="192" t="s">
        <v>1794</v>
      </c>
      <c r="B540" s="192"/>
      <c r="C540" s="197" t="s">
        <v>1609</v>
      </c>
      <c r="D540" s="198">
        <f>'02 项目基础信息（输入）'!$C$39</f>
        <v>0</v>
      </c>
      <c r="E540" s="199" t="s">
        <v>93</v>
      </c>
      <c r="F540" s="197" t="s">
        <v>727</v>
      </c>
      <c r="G540" s="199">
        <f>G539</f>
        <v>0</v>
      </c>
      <c r="H540" s="199" t="s">
        <v>298</v>
      </c>
      <c r="I540" s="198">
        <f>G540*D540</f>
        <v>0</v>
      </c>
      <c r="J540" s="199" t="s">
        <v>93</v>
      </c>
      <c r="K540" s="207">
        <v>0</v>
      </c>
      <c r="L540" s="209" t="s">
        <v>675</v>
      </c>
      <c r="M540" s="207">
        <f>ROUND(K540*I540/10000,6)</f>
        <v>0</v>
      </c>
      <c r="N540" s="198">
        <f>'02 项目基础信息（输入）'!$C$39</f>
        <v>0</v>
      </c>
      <c r="O540" s="198">
        <f t="shared" si="64"/>
        <v>0</v>
      </c>
      <c r="P540" s="198">
        <f>'02 项目基础信息（输入）'!$I$39</f>
        <v>0</v>
      </c>
      <c r="Q540" s="233">
        <f t="shared" si="65"/>
        <v>0</v>
      </c>
      <c r="S540" s="217"/>
      <c r="U540" s="220" t="s">
        <v>2318</v>
      </c>
    </row>
    <row r="541" spans="1:21" ht="0" hidden="1" customHeight="1" outlineLevel="3">
      <c r="A541" s="192" t="s">
        <v>1796</v>
      </c>
      <c r="B541" s="192"/>
      <c r="C541" s="197" t="s">
        <v>1609</v>
      </c>
      <c r="D541" s="198">
        <f>'02 项目基础信息（输入）'!$C$39</f>
        <v>0</v>
      </c>
      <c r="E541" s="199" t="s">
        <v>93</v>
      </c>
      <c r="F541" s="197" t="s">
        <v>727</v>
      </c>
      <c r="G541" s="199">
        <v>0</v>
      </c>
      <c r="H541" s="199" t="s">
        <v>298</v>
      </c>
      <c r="I541" s="198">
        <f>G541*D541</f>
        <v>0</v>
      </c>
      <c r="J541" s="199" t="s">
        <v>93</v>
      </c>
      <c r="K541" s="207">
        <v>0</v>
      </c>
      <c r="L541" s="209" t="s">
        <v>675</v>
      </c>
      <c r="M541" s="207">
        <f>ROUND(K541*I541/10000,6)</f>
        <v>0</v>
      </c>
      <c r="N541" s="198">
        <f>'02 项目基础信息（输入）'!$C$39</f>
        <v>0</v>
      </c>
      <c r="O541" s="198">
        <f t="shared" si="64"/>
        <v>0</v>
      </c>
      <c r="P541" s="198">
        <f>'02 项目基础信息（输入）'!$I$39</f>
        <v>0</v>
      </c>
      <c r="Q541" s="233">
        <f t="shared" si="65"/>
        <v>0</v>
      </c>
      <c r="S541" s="217"/>
      <c r="U541" s="220" t="s">
        <v>2319</v>
      </c>
    </row>
    <row r="542" spans="1:21" ht="0" hidden="1" customHeight="1" outlineLevel="3">
      <c r="A542" s="192" t="s">
        <v>1798</v>
      </c>
      <c r="B542" s="192"/>
      <c r="C542" s="197" t="s">
        <v>1609</v>
      </c>
      <c r="D542" s="198">
        <f>'02 项目基础信息（输入）'!$C$39</f>
        <v>0</v>
      </c>
      <c r="E542" s="199" t="s">
        <v>93</v>
      </c>
      <c r="F542" s="197" t="s">
        <v>727</v>
      </c>
      <c r="G542" s="199">
        <v>0</v>
      </c>
      <c r="H542" s="199" t="s">
        <v>298</v>
      </c>
      <c r="I542" s="198">
        <f>G542*D542</f>
        <v>0</v>
      </c>
      <c r="J542" s="199" t="s">
        <v>93</v>
      </c>
      <c r="K542" s="207">
        <v>0</v>
      </c>
      <c r="L542" s="209" t="s">
        <v>675</v>
      </c>
      <c r="M542" s="207">
        <f>ROUND(K542*I542/10000,6)</f>
        <v>0</v>
      </c>
      <c r="N542" s="198">
        <f>'02 项目基础信息（输入）'!$C$39</f>
        <v>0</v>
      </c>
      <c r="O542" s="198">
        <f t="shared" si="64"/>
        <v>0</v>
      </c>
      <c r="P542" s="198">
        <f>'02 项目基础信息（输入）'!$I$39</f>
        <v>0</v>
      </c>
      <c r="Q542" s="233">
        <f t="shared" si="65"/>
        <v>0</v>
      </c>
      <c r="S542" s="217"/>
      <c r="U542" s="220" t="s">
        <v>2320</v>
      </c>
    </row>
    <row r="543" spans="1:21" ht="0" hidden="1" customHeight="1" outlineLevel="2">
      <c r="A543" s="192" t="s">
        <v>1800</v>
      </c>
      <c r="B543" s="192"/>
      <c r="C543" s="197" t="s">
        <v>1609</v>
      </c>
      <c r="D543" s="198">
        <f>'02 项目基础信息（输入）'!$C$39</f>
        <v>0</v>
      </c>
      <c r="E543" s="199" t="s">
        <v>93</v>
      </c>
      <c r="F543" s="197"/>
      <c r="G543" s="199"/>
      <c r="H543" s="199"/>
      <c r="I543" s="197"/>
      <c r="J543" s="199"/>
      <c r="K543" s="207"/>
      <c r="L543" s="209"/>
      <c r="M543" s="198">
        <f>ROUND(SUM(M544:M559),6)</f>
        <v>0</v>
      </c>
      <c r="N543" s="198">
        <f>'02 项目基础信息（输入）'!$C$39</f>
        <v>0</v>
      </c>
      <c r="O543" s="198">
        <f t="shared" si="64"/>
        <v>0</v>
      </c>
      <c r="P543" s="198">
        <f>'02 项目基础信息（输入）'!$I$39</f>
        <v>0</v>
      </c>
      <c r="Q543" s="233">
        <f t="shared" si="65"/>
        <v>0</v>
      </c>
      <c r="S543" s="217" t="s">
        <v>1314</v>
      </c>
      <c r="U543" s="220" t="s">
        <v>2321</v>
      </c>
    </row>
    <row r="544" spans="1:21" ht="0" hidden="1" customHeight="1" outlineLevel="3">
      <c r="A544" s="192" t="s">
        <v>1802</v>
      </c>
      <c r="B544" s="192"/>
      <c r="C544" s="199" t="s">
        <v>476</v>
      </c>
      <c r="D544" s="198">
        <f>'02 项目基础信息（输入）'!$AF$39</f>
        <v>0</v>
      </c>
      <c r="E544" s="199" t="s">
        <v>93</v>
      </c>
      <c r="F544" s="197" t="s">
        <v>1803</v>
      </c>
      <c r="G544" s="224">
        <f>'03 成本测算（输入）'!$D$36</f>
        <v>0</v>
      </c>
      <c r="H544" s="199" t="s">
        <v>123</v>
      </c>
      <c r="I544" s="198">
        <f t="shared" ref="I544:I557" si="66">G544*D544/100</f>
        <v>0</v>
      </c>
      <c r="J544" s="199" t="s">
        <v>93</v>
      </c>
      <c r="K544" s="228">
        <f>'03 成本测算（输入）'!$D$37</f>
        <v>0</v>
      </c>
      <c r="L544" s="209" t="s">
        <v>675</v>
      </c>
      <c r="M544" s="207">
        <f t="shared" ref="M544:M559" si="67">ROUND(K544*I544/10000,6)</f>
        <v>0</v>
      </c>
      <c r="N544" s="198">
        <f>'02 项目基础信息（输入）'!$C$39</f>
        <v>0</v>
      </c>
      <c r="O544" s="198">
        <f t="shared" si="64"/>
        <v>0</v>
      </c>
      <c r="P544" s="198">
        <f>'02 项目基础信息（输入）'!$I$39</f>
        <v>0</v>
      </c>
      <c r="Q544" s="233">
        <f t="shared" si="65"/>
        <v>0</v>
      </c>
      <c r="S544" s="217"/>
      <c r="U544" s="220" t="s">
        <v>2322</v>
      </c>
    </row>
    <row r="545" spans="1:21" ht="0" hidden="1" customHeight="1" outlineLevel="3">
      <c r="A545" s="192" t="s">
        <v>1805</v>
      </c>
      <c r="B545" s="192"/>
      <c r="C545" s="199" t="s">
        <v>476</v>
      </c>
      <c r="D545" s="198">
        <f>'02 项目基础信息（输入）'!$AF$39</f>
        <v>0</v>
      </c>
      <c r="E545" s="199" t="s">
        <v>93</v>
      </c>
      <c r="F545" s="197" t="s">
        <v>1803</v>
      </c>
      <c r="G545" s="199">
        <f>G544</f>
        <v>0</v>
      </c>
      <c r="H545" s="199" t="s">
        <v>123</v>
      </c>
      <c r="I545" s="198">
        <f t="shared" si="66"/>
        <v>0</v>
      </c>
      <c r="J545" s="199" t="s">
        <v>93</v>
      </c>
      <c r="K545" s="207">
        <v>0</v>
      </c>
      <c r="L545" s="209" t="s">
        <v>675</v>
      </c>
      <c r="M545" s="207">
        <f t="shared" si="67"/>
        <v>0</v>
      </c>
      <c r="N545" s="198">
        <f>'02 项目基础信息（输入）'!$C$39</f>
        <v>0</v>
      </c>
      <c r="O545" s="198">
        <f t="shared" si="64"/>
        <v>0</v>
      </c>
      <c r="P545" s="198">
        <f>'02 项目基础信息（输入）'!$I$39</f>
        <v>0</v>
      </c>
      <c r="Q545" s="233">
        <f t="shared" si="65"/>
        <v>0</v>
      </c>
      <c r="S545" s="217"/>
      <c r="U545" s="220" t="s">
        <v>2323</v>
      </c>
    </row>
    <row r="546" spans="1:21" ht="0" hidden="1" customHeight="1" outlineLevel="3">
      <c r="A546" s="192" t="s">
        <v>1807</v>
      </c>
      <c r="B546" s="192"/>
      <c r="C546" s="199" t="s">
        <v>476</v>
      </c>
      <c r="D546" s="198">
        <f>'02 项目基础信息（输入）'!$AF$39</f>
        <v>0</v>
      </c>
      <c r="E546" s="199" t="s">
        <v>93</v>
      </c>
      <c r="F546" s="197" t="s">
        <v>1803</v>
      </c>
      <c r="G546" s="224">
        <f>'03 成本测算（输入）'!$D$38</f>
        <v>0</v>
      </c>
      <c r="H546" s="199" t="s">
        <v>123</v>
      </c>
      <c r="I546" s="198">
        <f t="shared" si="66"/>
        <v>0</v>
      </c>
      <c r="J546" s="199" t="s">
        <v>93</v>
      </c>
      <c r="K546" s="228">
        <f>'03 成本测算（输入）'!$D$39</f>
        <v>0</v>
      </c>
      <c r="L546" s="209" t="s">
        <v>675</v>
      </c>
      <c r="M546" s="207">
        <f t="shared" si="67"/>
        <v>0</v>
      </c>
      <c r="N546" s="198">
        <f>'02 项目基础信息（输入）'!$C$39</f>
        <v>0</v>
      </c>
      <c r="O546" s="198">
        <f t="shared" si="64"/>
        <v>0</v>
      </c>
      <c r="P546" s="198">
        <f>'02 项目基础信息（输入）'!$I$39</f>
        <v>0</v>
      </c>
      <c r="Q546" s="233">
        <f t="shared" si="65"/>
        <v>0</v>
      </c>
      <c r="S546" s="217"/>
      <c r="U546" s="220" t="s">
        <v>2324</v>
      </c>
    </row>
    <row r="547" spans="1:21" ht="0" hidden="1" customHeight="1" outlineLevel="3">
      <c r="A547" s="192" t="s">
        <v>1809</v>
      </c>
      <c r="B547" s="192"/>
      <c r="C547" s="199" t="s">
        <v>476</v>
      </c>
      <c r="D547" s="198">
        <f>'02 项目基础信息（输入）'!$AF$39</f>
        <v>0</v>
      </c>
      <c r="E547" s="199" t="s">
        <v>93</v>
      </c>
      <c r="F547" s="197" t="s">
        <v>1803</v>
      </c>
      <c r="G547" s="199">
        <f>G546</f>
        <v>0</v>
      </c>
      <c r="H547" s="199" t="s">
        <v>123</v>
      </c>
      <c r="I547" s="198">
        <f t="shared" si="66"/>
        <v>0</v>
      </c>
      <c r="J547" s="199" t="s">
        <v>93</v>
      </c>
      <c r="K547" s="207">
        <v>0</v>
      </c>
      <c r="L547" s="209" t="s">
        <v>675</v>
      </c>
      <c r="M547" s="207">
        <f t="shared" si="67"/>
        <v>0</v>
      </c>
      <c r="N547" s="198">
        <f>'02 项目基础信息（输入）'!$C$39</f>
        <v>0</v>
      </c>
      <c r="O547" s="198">
        <f t="shared" si="64"/>
        <v>0</v>
      </c>
      <c r="P547" s="198">
        <f>'02 项目基础信息（输入）'!$I$39</f>
        <v>0</v>
      </c>
      <c r="Q547" s="233">
        <f t="shared" si="65"/>
        <v>0</v>
      </c>
      <c r="S547" s="217"/>
      <c r="U547" s="220" t="s">
        <v>2325</v>
      </c>
    </row>
    <row r="548" spans="1:21" ht="0" hidden="1" customHeight="1" outlineLevel="3">
      <c r="A548" s="192" t="s">
        <v>1811</v>
      </c>
      <c r="B548" s="192"/>
      <c r="C548" s="199" t="s">
        <v>476</v>
      </c>
      <c r="D548" s="198">
        <f>'02 项目基础信息（输入）'!$AF$39</f>
        <v>0</v>
      </c>
      <c r="E548" s="199" t="s">
        <v>93</v>
      </c>
      <c r="F548" s="197" t="s">
        <v>1803</v>
      </c>
      <c r="G548" s="199">
        <v>0</v>
      </c>
      <c r="H548" s="199" t="s">
        <v>123</v>
      </c>
      <c r="I548" s="198">
        <f t="shared" si="66"/>
        <v>0</v>
      </c>
      <c r="J548" s="199" t="s">
        <v>93</v>
      </c>
      <c r="K548" s="207">
        <v>0</v>
      </c>
      <c r="L548" s="209" t="s">
        <v>675</v>
      </c>
      <c r="M548" s="207">
        <f t="shared" si="67"/>
        <v>0</v>
      </c>
      <c r="N548" s="198">
        <f>'02 项目基础信息（输入）'!$C$39</f>
        <v>0</v>
      </c>
      <c r="O548" s="198">
        <f t="shared" si="64"/>
        <v>0</v>
      </c>
      <c r="P548" s="198">
        <f>'02 项目基础信息（输入）'!$I$39</f>
        <v>0</v>
      </c>
      <c r="Q548" s="233">
        <f t="shared" si="65"/>
        <v>0</v>
      </c>
      <c r="S548" s="217"/>
      <c r="U548" s="220" t="s">
        <v>2326</v>
      </c>
    </row>
    <row r="549" spans="1:21" ht="0" hidden="1" customHeight="1" outlineLevel="3">
      <c r="A549" s="192" t="s">
        <v>1813</v>
      </c>
      <c r="B549" s="192"/>
      <c r="C549" s="199" t="s">
        <v>476</v>
      </c>
      <c r="D549" s="198">
        <f>'02 项目基础信息（输入）'!$AF$39</f>
        <v>0</v>
      </c>
      <c r="E549" s="199" t="s">
        <v>93</v>
      </c>
      <c r="F549" s="197" t="s">
        <v>1803</v>
      </c>
      <c r="G549" s="199">
        <f>G548</f>
        <v>0</v>
      </c>
      <c r="H549" s="199" t="s">
        <v>123</v>
      </c>
      <c r="I549" s="198">
        <f t="shared" si="66"/>
        <v>0</v>
      </c>
      <c r="J549" s="199" t="s">
        <v>93</v>
      </c>
      <c r="K549" s="207">
        <v>0</v>
      </c>
      <c r="L549" s="209" t="s">
        <v>675</v>
      </c>
      <c r="M549" s="207">
        <f t="shared" si="67"/>
        <v>0</v>
      </c>
      <c r="N549" s="198">
        <f>'02 项目基础信息（输入）'!$C$39</f>
        <v>0</v>
      </c>
      <c r="O549" s="198">
        <f t="shared" si="64"/>
        <v>0</v>
      </c>
      <c r="P549" s="198">
        <f>'02 项目基础信息（输入）'!$I$39</f>
        <v>0</v>
      </c>
      <c r="Q549" s="233">
        <f t="shared" si="65"/>
        <v>0</v>
      </c>
      <c r="S549" s="217"/>
      <c r="U549" s="220" t="s">
        <v>2327</v>
      </c>
    </row>
    <row r="550" spans="1:21" ht="0" hidden="1" customHeight="1" outlineLevel="3">
      <c r="A550" s="192" t="s">
        <v>1815</v>
      </c>
      <c r="B550" s="192"/>
      <c r="C550" s="199" t="s">
        <v>476</v>
      </c>
      <c r="D550" s="198">
        <f>'02 项目基础信息（输入）'!$AF$39</f>
        <v>0</v>
      </c>
      <c r="E550" s="199" t="s">
        <v>93</v>
      </c>
      <c r="F550" s="197" t="s">
        <v>1803</v>
      </c>
      <c r="G550" s="199">
        <v>0</v>
      </c>
      <c r="H550" s="199" t="s">
        <v>123</v>
      </c>
      <c r="I550" s="198">
        <f t="shared" si="66"/>
        <v>0</v>
      </c>
      <c r="J550" s="199" t="s">
        <v>93</v>
      </c>
      <c r="K550" s="207">
        <v>0</v>
      </c>
      <c r="L550" s="209" t="s">
        <v>675</v>
      </c>
      <c r="M550" s="207">
        <f t="shared" si="67"/>
        <v>0</v>
      </c>
      <c r="N550" s="198">
        <f>'02 项目基础信息（输入）'!$C$39</f>
        <v>0</v>
      </c>
      <c r="O550" s="198">
        <f t="shared" si="64"/>
        <v>0</v>
      </c>
      <c r="P550" s="198">
        <f>'02 项目基础信息（输入）'!$I$39</f>
        <v>0</v>
      </c>
      <c r="Q550" s="233">
        <f t="shared" si="65"/>
        <v>0</v>
      </c>
      <c r="S550" s="217"/>
      <c r="U550" s="220" t="s">
        <v>2328</v>
      </c>
    </row>
    <row r="551" spans="1:21" ht="0" hidden="1" customHeight="1" outlineLevel="3">
      <c r="A551" s="192" t="s">
        <v>1817</v>
      </c>
      <c r="B551" s="192"/>
      <c r="C551" s="199" t="s">
        <v>476</v>
      </c>
      <c r="D551" s="198">
        <f>'02 项目基础信息（输入）'!$AF$39</f>
        <v>0</v>
      </c>
      <c r="E551" s="199" t="s">
        <v>93</v>
      </c>
      <c r="F551" s="197" t="s">
        <v>1803</v>
      </c>
      <c r="G551" s="199">
        <f>G550</f>
        <v>0</v>
      </c>
      <c r="H551" s="199" t="s">
        <v>123</v>
      </c>
      <c r="I551" s="198">
        <f t="shared" si="66"/>
        <v>0</v>
      </c>
      <c r="J551" s="199" t="s">
        <v>93</v>
      </c>
      <c r="K551" s="207">
        <v>0</v>
      </c>
      <c r="L551" s="209" t="s">
        <v>675</v>
      </c>
      <c r="M551" s="207">
        <f t="shared" si="67"/>
        <v>0</v>
      </c>
      <c r="N551" s="198">
        <f>'02 项目基础信息（输入）'!$C$39</f>
        <v>0</v>
      </c>
      <c r="O551" s="198">
        <f t="shared" si="64"/>
        <v>0</v>
      </c>
      <c r="P551" s="198">
        <f>'02 项目基础信息（输入）'!$I$39</f>
        <v>0</v>
      </c>
      <c r="Q551" s="233">
        <f t="shared" si="65"/>
        <v>0</v>
      </c>
      <c r="S551" s="217"/>
      <c r="U551" s="220" t="s">
        <v>2329</v>
      </c>
    </row>
    <row r="552" spans="1:21" ht="0" hidden="1" customHeight="1" outlineLevel="3">
      <c r="A552" s="192" t="s">
        <v>1819</v>
      </c>
      <c r="B552" s="192"/>
      <c r="C552" s="199" t="s">
        <v>476</v>
      </c>
      <c r="D552" s="198">
        <f>'02 项目基础信息（输入）'!$AF$39</f>
        <v>0</v>
      </c>
      <c r="E552" s="199" t="s">
        <v>93</v>
      </c>
      <c r="F552" s="197" t="s">
        <v>1803</v>
      </c>
      <c r="G552" s="199">
        <v>0</v>
      </c>
      <c r="H552" s="199" t="s">
        <v>123</v>
      </c>
      <c r="I552" s="198">
        <f t="shared" si="66"/>
        <v>0</v>
      </c>
      <c r="J552" s="199" t="s">
        <v>93</v>
      </c>
      <c r="K552" s="207">
        <v>0</v>
      </c>
      <c r="L552" s="209" t="s">
        <v>675</v>
      </c>
      <c r="M552" s="207">
        <f t="shared" si="67"/>
        <v>0</v>
      </c>
      <c r="N552" s="198">
        <f>'02 项目基础信息（输入）'!$C$39</f>
        <v>0</v>
      </c>
      <c r="O552" s="198">
        <f t="shared" si="64"/>
        <v>0</v>
      </c>
      <c r="P552" s="198">
        <f>'02 项目基础信息（输入）'!$I$39</f>
        <v>0</v>
      </c>
      <c r="Q552" s="233">
        <f t="shared" si="65"/>
        <v>0</v>
      </c>
      <c r="S552" s="217"/>
      <c r="U552" s="220" t="s">
        <v>2330</v>
      </c>
    </row>
    <row r="553" spans="1:21" ht="0" hidden="1" customHeight="1" outlineLevel="3">
      <c r="A553" s="192" t="s">
        <v>1821</v>
      </c>
      <c r="B553" s="192"/>
      <c r="C553" s="199" t="s">
        <v>476</v>
      </c>
      <c r="D553" s="198">
        <f>'02 项目基础信息（输入）'!$AF$39</f>
        <v>0</v>
      </c>
      <c r="E553" s="199" t="s">
        <v>93</v>
      </c>
      <c r="F553" s="197" t="s">
        <v>1803</v>
      </c>
      <c r="G553" s="224">
        <f>'03 成本测算（输入）'!$D$40</f>
        <v>0</v>
      </c>
      <c r="H553" s="199" t="s">
        <v>123</v>
      </c>
      <c r="I553" s="198">
        <f t="shared" si="66"/>
        <v>0</v>
      </c>
      <c r="J553" s="199" t="s">
        <v>93</v>
      </c>
      <c r="K553" s="228">
        <f>'03 成本测算（输入）'!$D$41</f>
        <v>0</v>
      </c>
      <c r="L553" s="209" t="s">
        <v>675</v>
      </c>
      <c r="M553" s="207">
        <f t="shared" si="67"/>
        <v>0</v>
      </c>
      <c r="N553" s="198">
        <f>'02 项目基础信息（输入）'!$C$39</f>
        <v>0</v>
      </c>
      <c r="O553" s="198">
        <f t="shared" si="64"/>
        <v>0</v>
      </c>
      <c r="P553" s="198">
        <f>'02 项目基础信息（输入）'!$I$39</f>
        <v>0</v>
      </c>
      <c r="Q553" s="233">
        <f t="shared" si="65"/>
        <v>0</v>
      </c>
      <c r="S553" s="217"/>
      <c r="U553" s="220" t="s">
        <v>2331</v>
      </c>
    </row>
    <row r="554" spans="1:21" ht="0" hidden="1" customHeight="1" outlineLevel="3">
      <c r="A554" s="192" t="s">
        <v>1823</v>
      </c>
      <c r="B554" s="192"/>
      <c r="C554" s="199" t="s">
        <v>476</v>
      </c>
      <c r="D554" s="198">
        <f>'02 项目基础信息（输入）'!$AF$39</f>
        <v>0</v>
      </c>
      <c r="E554" s="199" t="s">
        <v>93</v>
      </c>
      <c r="F554" s="197" t="s">
        <v>1803</v>
      </c>
      <c r="G554" s="224">
        <f>'03 成本测算（输入）'!$D$42</f>
        <v>0</v>
      </c>
      <c r="H554" s="199" t="s">
        <v>123</v>
      </c>
      <c r="I554" s="198">
        <f t="shared" si="66"/>
        <v>0</v>
      </c>
      <c r="J554" s="199" t="s">
        <v>93</v>
      </c>
      <c r="K554" s="228">
        <f>'03 成本测算（输入）'!$D$43</f>
        <v>0</v>
      </c>
      <c r="L554" s="209" t="s">
        <v>675</v>
      </c>
      <c r="M554" s="207">
        <f t="shared" si="67"/>
        <v>0</v>
      </c>
      <c r="N554" s="198">
        <f>'02 项目基础信息（输入）'!$C$39</f>
        <v>0</v>
      </c>
      <c r="O554" s="198">
        <f t="shared" si="64"/>
        <v>0</v>
      </c>
      <c r="P554" s="198">
        <f>'02 项目基础信息（输入）'!$I$39</f>
        <v>0</v>
      </c>
      <c r="Q554" s="233">
        <f t="shared" si="65"/>
        <v>0</v>
      </c>
      <c r="S554" s="217"/>
      <c r="U554" s="220" t="s">
        <v>2332</v>
      </c>
    </row>
    <row r="555" spans="1:21" ht="0" hidden="1" customHeight="1" outlineLevel="3">
      <c r="A555" s="192" t="s">
        <v>1825</v>
      </c>
      <c r="B555" s="192"/>
      <c r="C555" s="199" t="s">
        <v>476</v>
      </c>
      <c r="D555" s="198">
        <f>'02 项目基础信息（输入）'!$AF$39</f>
        <v>0</v>
      </c>
      <c r="E555" s="199" t="s">
        <v>93</v>
      </c>
      <c r="F555" s="197" t="s">
        <v>1803</v>
      </c>
      <c r="G555" s="199">
        <f>G554</f>
        <v>0</v>
      </c>
      <c r="H555" s="199" t="s">
        <v>123</v>
      </c>
      <c r="I555" s="198">
        <f t="shared" si="66"/>
        <v>0</v>
      </c>
      <c r="J555" s="199" t="s">
        <v>93</v>
      </c>
      <c r="K555" s="207">
        <v>0</v>
      </c>
      <c r="L555" s="209" t="s">
        <v>675</v>
      </c>
      <c r="M555" s="207">
        <f t="shared" si="67"/>
        <v>0</v>
      </c>
      <c r="N555" s="198">
        <f>'02 项目基础信息（输入）'!$C$39</f>
        <v>0</v>
      </c>
      <c r="O555" s="198">
        <f t="shared" si="64"/>
        <v>0</v>
      </c>
      <c r="P555" s="198">
        <f>'02 项目基础信息（输入）'!$I$39</f>
        <v>0</v>
      </c>
      <c r="Q555" s="233">
        <f t="shared" si="65"/>
        <v>0</v>
      </c>
      <c r="S555" s="217"/>
      <c r="U555" s="220" t="s">
        <v>2333</v>
      </c>
    </row>
    <row r="556" spans="1:21" ht="0" hidden="1" customHeight="1" outlineLevel="3">
      <c r="A556" s="192" t="s">
        <v>1827</v>
      </c>
      <c r="B556" s="192"/>
      <c r="C556" s="199" t="s">
        <v>476</v>
      </c>
      <c r="D556" s="198">
        <f>'02 项目基础信息（输入）'!$AF$39</f>
        <v>0</v>
      </c>
      <c r="E556" s="199" t="s">
        <v>93</v>
      </c>
      <c r="F556" s="197" t="s">
        <v>1803</v>
      </c>
      <c r="G556" s="224">
        <f>'03 成本测算（输入）'!$D$44</f>
        <v>0</v>
      </c>
      <c r="H556" s="199" t="s">
        <v>123</v>
      </c>
      <c r="I556" s="198">
        <f t="shared" si="66"/>
        <v>0</v>
      </c>
      <c r="J556" s="199" t="s">
        <v>93</v>
      </c>
      <c r="K556" s="228">
        <f>'03 成本测算（输入）'!$D$45</f>
        <v>0</v>
      </c>
      <c r="L556" s="209" t="s">
        <v>675</v>
      </c>
      <c r="M556" s="207">
        <f t="shared" si="67"/>
        <v>0</v>
      </c>
      <c r="N556" s="198">
        <f>'02 项目基础信息（输入）'!$C$39</f>
        <v>0</v>
      </c>
      <c r="O556" s="198">
        <f t="shared" si="64"/>
        <v>0</v>
      </c>
      <c r="P556" s="198">
        <f>'02 项目基础信息（输入）'!$I$39</f>
        <v>0</v>
      </c>
      <c r="Q556" s="233">
        <f t="shared" si="65"/>
        <v>0</v>
      </c>
      <c r="S556" s="217"/>
      <c r="U556" s="220" t="s">
        <v>2334</v>
      </c>
    </row>
    <row r="557" spans="1:21" ht="0" hidden="1" customHeight="1" outlineLevel="3">
      <c r="A557" s="192" t="s">
        <v>1829</v>
      </c>
      <c r="B557" s="192"/>
      <c r="C557" s="199" t="s">
        <v>476</v>
      </c>
      <c r="D557" s="198">
        <f>'02 项目基础信息（输入）'!$AF$39</f>
        <v>0</v>
      </c>
      <c r="E557" s="199" t="s">
        <v>93</v>
      </c>
      <c r="F557" s="197" t="s">
        <v>1803</v>
      </c>
      <c r="G557" s="199">
        <f>G556</f>
        <v>0</v>
      </c>
      <c r="H557" s="199" t="s">
        <v>123</v>
      </c>
      <c r="I557" s="198">
        <f t="shared" si="66"/>
        <v>0</v>
      </c>
      <c r="J557" s="199" t="s">
        <v>93</v>
      </c>
      <c r="K557" s="207">
        <v>0</v>
      </c>
      <c r="L557" s="209" t="s">
        <v>675</v>
      </c>
      <c r="M557" s="207">
        <f t="shared" si="67"/>
        <v>0</v>
      </c>
      <c r="N557" s="198">
        <f>'02 项目基础信息（输入）'!$C$39</f>
        <v>0</v>
      </c>
      <c r="O557" s="198">
        <f t="shared" si="64"/>
        <v>0</v>
      </c>
      <c r="P557" s="198">
        <f>'02 项目基础信息（输入）'!$I$39</f>
        <v>0</v>
      </c>
      <c r="Q557" s="233">
        <f t="shared" si="65"/>
        <v>0</v>
      </c>
      <c r="S557" s="217"/>
      <c r="U557" s="220" t="s">
        <v>2335</v>
      </c>
    </row>
    <row r="558" spans="1:21" ht="0" hidden="1" customHeight="1" outlineLevel="3">
      <c r="A558" s="192" t="s">
        <v>1831</v>
      </c>
      <c r="B558" s="192"/>
      <c r="C558" s="197" t="s">
        <v>1609</v>
      </c>
      <c r="D558" s="198">
        <f>'02 项目基础信息（输入）'!$C$39</f>
        <v>0</v>
      </c>
      <c r="E558" s="199" t="s">
        <v>93</v>
      </c>
      <c r="F558" s="197" t="s">
        <v>1609</v>
      </c>
      <c r="G558" s="199">
        <v>0</v>
      </c>
      <c r="H558" s="199" t="s">
        <v>298</v>
      </c>
      <c r="I558" s="198">
        <f>G558*D558</f>
        <v>0</v>
      </c>
      <c r="J558" s="199" t="s">
        <v>93</v>
      </c>
      <c r="K558" s="207">
        <v>0</v>
      </c>
      <c r="L558" s="209" t="s">
        <v>675</v>
      </c>
      <c r="M558" s="207">
        <f t="shared" si="67"/>
        <v>0</v>
      </c>
      <c r="N558" s="198">
        <f>'02 项目基础信息（输入）'!$C$39</f>
        <v>0</v>
      </c>
      <c r="O558" s="198">
        <f t="shared" si="64"/>
        <v>0</v>
      </c>
      <c r="P558" s="198">
        <f>'02 项目基础信息（输入）'!$I$39</f>
        <v>0</v>
      </c>
      <c r="Q558" s="233">
        <f t="shared" si="65"/>
        <v>0</v>
      </c>
      <c r="S558" s="217"/>
      <c r="U558" s="220" t="s">
        <v>2336</v>
      </c>
    </row>
    <row r="559" spans="1:21" ht="0" hidden="1" customHeight="1" outlineLevel="3">
      <c r="A559" s="192" t="s">
        <v>1833</v>
      </c>
      <c r="B559" s="192"/>
      <c r="C559" s="197" t="s">
        <v>1609</v>
      </c>
      <c r="D559" s="198">
        <f>'02 项目基础信息（输入）'!$C$39</f>
        <v>0</v>
      </c>
      <c r="E559" s="199" t="s">
        <v>93</v>
      </c>
      <c r="F559" s="197" t="s">
        <v>1609</v>
      </c>
      <c r="G559" s="199">
        <v>0</v>
      </c>
      <c r="H559" s="199" t="s">
        <v>298</v>
      </c>
      <c r="I559" s="198">
        <f>G559*D559</f>
        <v>0</v>
      </c>
      <c r="J559" s="199" t="s">
        <v>93</v>
      </c>
      <c r="K559" s="207">
        <v>0</v>
      </c>
      <c r="L559" s="209" t="s">
        <v>675</v>
      </c>
      <c r="M559" s="207">
        <f t="shared" si="67"/>
        <v>0</v>
      </c>
      <c r="N559" s="198">
        <f>'02 项目基础信息（输入）'!$C$39</f>
        <v>0</v>
      </c>
      <c r="O559" s="198">
        <f t="shared" si="64"/>
        <v>0</v>
      </c>
      <c r="P559" s="198">
        <f>'02 项目基础信息（输入）'!$I$39</f>
        <v>0</v>
      </c>
      <c r="Q559" s="233">
        <f t="shared" si="65"/>
        <v>0</v>
      </c>
      <c r="S559" s="217"/>
      <c r="U559" s="220" t="s">
        <v>2337</v>
      </c>
    </row>
    <row r="560" spans="1:21" ht="0" hidden="1" customHeight="1" outlineLevel="2">
      <c r="A560" s="192" t="s">
        <v>1835</v>
      </c>
      <c r="B560" s="192"/>
      <c r="C560" s="197" t="s">
        <v>1609</v>
      </c>
      <c r="D560" s="198">
        <f>'02 项目基础信息（输入）'!$C$39</f>
        <v>0</v>
      </c>
      <c r="E560" s="199" t="s">
        <v>93</v>
      </c>
      <c r="F560" s="197"/>
      <c r="G560" s="199"/>
      <c r="H560" s="199"/>
      <c r="I560" s="197"/>
      <c r="J560" s="199"/>
      <c r="K560" s="207"/>
      <c r="L560" s="209"/>
      <c r="M560" s="198">
        <f>ROUND(SUM(M561:M564),6)</f>
        <v>0</v>
      </c>
      <c r="N560" s="198">
        <f>'02 项目基础信息（输入）'!$C$39</f>
        <v>0</v>
      </c>
      <c r="O560" s="198">
        <f t="shared" si="64"/>
        <v>0</v>
      </c>
      <c r="P560" s="198">
        <f>'02 项目基础信息（输入）'!$I$39</f>
        <v>0</v>
      </c>
      <c r="Q560" s="233">
        <f t="shared" si="65"/>
        <v>0</v>
      </c>
      <c r="S560" s="217" t="s">
        <v>1314</v>
      </c>
      <c r="U560" s="220" t="s">
        <v>2338</v>
      </c>
    </row>
    <row r="561" spans="1:21" ht="0" hidden="1" customHeight="1" outlineLevel="3">
      <c r="A561" s="192" t="s">
        <v>2110</v>
      </c>
      <c r="B561" s="192"/>
      <c r="C561" s="197" t="s">
        <v>309</v>
      </c>
      <c r="D561" s="198">
        <f>'02 项目基础信息（输入）'!$AC$39</f>
        <v>0</v>
      </c>
      <c r="E561" s="199" t="s">
        <v>310</v>
      </c>
      <c r="F561" s="197" t="s">
        <v>1843</v>
      </c>
      <c r="G561" s="239">
        <f>'03 成本测算（输入）'!D46</f>
        <v>0</v>
      </c>
      <c r="H561" s="199" t="s">
        <v>789</v>
      </c>
      <c r="I561" s="198">
        <f>G561*D561</f>
        <v>0</v>
      </c>
      <c r="J561" s="199" t="s">
        <v>131</v>
      </c>
      <c r="K561" s="228">
        <f>'03 成本测算（输入）'!$D$47</f>
        <v>0</v>
      </c>
      <c r="L561" s="209" t="s">
        <v>792</v>
      </c>
      <c r="M561" s="207">
        <f>ROUND(K561*I561/10000,6)</f>
        <v>0</v>
      </c>
      <c r="N561" s="198">
        <f>'02 项目基础信息（输入）'!$C$39</f>
        <v>0</v>
      </c>
      <c r="O561" s="198">
        <f t="shared" si="64"/>
        <v>0</v>
      </c>
      <c r="P561" s="198">
        <f>'02 项目基础信息（输入）'!$I$39</f>
        <v>0</v>
      </c>
      <c r="Q561" s="233">
        <f t="shared" si="65"/>
        <v>0</v>
      </c>
      <c r="S561" s="217"/>
      <c r="U561" s="220" t="s">
        <v>2339</v>
      </c>
    </row>
    <row r="562" spans="1:21" ht="0" hidden="1" customHeight="1" outlineLevel="3">
      <c r="A562" s="192" t="s">
        <v>2112</v>
      </c>
      <c r="B562" s="192"/>
      <c r="C562" s="197" t="s">
        <v>309</v>
      </c>
      <c r="D562" s="198">
        <f>'02 项目基础信息（输入）'!$AC$39</f>
        <v>0</v>
      </c>
      <c r="E562" s="199" t="s">
        <v>310</v>
      </c>
      <c r="F562" s="197" t="s">
        <v>1843</v>
      </c>
      <c r="G562" s="239">
        <f>'03 成本测算（输入）'!D48</f>
        <v>0</v>
      </c>
      <c r="H562" s="199" t="s">
        <v>789</v>
      </c>
      <c r="I562" s="198">
        <f>G562*D562</f>
        <v>0</v>
      </c>
      <c r="J562" s="199" t="s">
        <v>131</v>
      </c>
      <c r="K562" s="228">
        <f>'03 成本测算（输入）'!$D$49</f>
        <v>0</v>
      </c>
      <c r="L562" s="209" t="s">
        <v>792</v>
      </c>
      <c r="M562" s="207">
        <f>ROUND(K562*I562/10000,6)</f>
        <v>0</v>
      </c>
      <c r="N562" s="198">
        <f>'02 项目基础信息（输入）'!$C$39</f>
        <v>0</v>
      </c>
      <c r="O562" s="198">
        <f t="shared" si="64"/>
        <v>0</v>
      </c>
      <c r="P562" s="198">
        <f>'02 项目基础信息（输入）'!$I$39</f>
        <v>0</v>
      </c>
      <c r="Q562" s="233">
        <f t="shared" si="65"/>
        <v>0</v>
      </c>
      <c r="S562" s="217"/>
      <c r="U562" s="220" t="s">
        <v>2340</v>
      </c>
    </row>
    <row r="563" spans="1:21" ht="0" hidden="1" customHeight="1" outlineLevel="3">
      <c r="A563" s="192" t="s">
        <v>1837</v>
      </c>
      <c r="B563" s="192"/>
      <c r="C563" s="197" t="s">
        <v>472</v>
      </c>
      <c r="D563" s="198">
        <f>'02 项目基础信息（输入）'!$AA$39</f>
        <v>0</v>
      </c>
      <c r="E563" s="199" t="s">
        <v>1838</v>
      </c>
      <c r="F563" s="197" t="s">
        <v>1839</v>
      </c>
      <c r="G563" s="238"/>
      <c r="H563" s="199" t="s">
        <v>1840</v>
      </c>
      <c r="I563" s="198">
        <f>G563*D563</f>
        <v>0</v>
      </c>
      <c r="J563" s="199" t="s">
        <v>131</v>
      </c>
      <c r="K563" s="208"/>
      <c r="L563" s="209" t="s">
        <v>792</v>
      </c>
      <c r="M563" s="207">
        <f>ROUND(K563*I563/10000,6)</f>
        <v>0</v>
      </c>
      <c r="N563" s="198">
        <f>'02 项目基础信息（输入）'!$C$39</f>
        <v>0</v>
      </c>
      <c r="O563" s="198">
        <f t="shared" si="64"/>
        <v>0</v>
      </c>
      <c r="P563" s="198">
        <f>'02 项目基础信息（输入）'!$I$39</f>
        <v>0</v>
      </c>
      <c r="Q563" s="233">
        <f t="shared" si="65"/>
        <v>0</v>
      </c>
      <c r="S563" s="217"/>
      <c r="U563" s="220" t="s">
        <v>2341</v>
      </c>
    </row>
    <row r="564" spans="1:21" ht="0" hidden="1" customHeight="1" outlineLevel="3">
      <c r="A564" s="192" t="s">
        <v>1842</v>
      </c>
      <c r="B564" s="192"/>
      <c r="C564" s="197" t="s">
        <v>309</v>
      </c>
      <c r="D564" s="198">
        <f>'02 项目基础信息（输入）'!$AC$39</f>
        <v>0</v>
      </c>
      <c r="E564" s="199" t="s">
        <v>310</v>
      </c>
      <c r="F564" s="197" t="s">
        <v>1843</v>
      </c>
      <c r="G564" s="238"/>
      <c r="H564" s="199" t="s">
        <v>789</v>
      </c>
      <c r="I564" s="198">
        <f>G564*D564</f>
        <v>0</v>
      </c>
      <c r="J564" s="199" t="s">
        <v>131</v>
      </c>
      <c r="K564" s="208"/>
      <c r="L564" s="209" t="s">
        <v>792</v>
      </c>
      <c r="M564" s="207">
        <f>ROUND(K564*I564/10000,6)</f>
        <v>0</v>
      </c>
      <c r="N564" s="198">
        <f>'02 项目基础信息（输入）'!$C$39</f>
        <v>0</v>
      </c>
      <c r="O564" s="198">
        <f t="shared" si="64"/>
        <v>0</v>
      </c>
      <c r="P564" s="198">
        <f>'02 项目基础信息（输入）'!$I$39</f>
        <v>0</v>
      </c>
      <c r="Q564" s="233">
        <f t="shared" si="65"/>
        <v>0</v>
      </c>
      <c r="R564" s="188" t="s">
        <v>2342</v>
      </c>
      <c r="S564" s="234"/>
      <c r="U564" s="220" t="s">
        <v>2343</v>
      </c>
    </row>
    <row r="565" spans="1:21" ht="0" hidden="1" customHeight="1" outlineLevel="2">
      <c r="A565" s="192" t="s">
        <v>1845</v>
      </c>
      <c r="B565" s="192"/>
      <c r="C565" s="197" t="s">
        <v>1609</v>
      </c>
      <c r="D565" s="198">
        <f>'02 项目基础信息（输入）'!$C$39</f>
        <v>0</v>
      </c>
      <c r="E565" s="199" t="s">
        <v>93</v>
      </c>
      <c r="F565" s="197"/>
      <c r="G565" s="199"/>
      <c r="H565" s="199"/>
      <c r="I565" s="197"/>
      <c r="J565" s="199"/>
      <c r="K565" s="207"/>
      <c r="L565" s="209"/>
      <c r="M565" s="198">
        <f>ROUND(M566+M575+M584+M585+M586,6)</f>
        <v>0</v>
      </c>
      <c r="N565" s="198">
        <f>'02 项目基础信息（输入）'!$C$39</f>
        <v>0</v>
      </c>
      <c r="O565" s="198">
        <f t="shared" si="64"/>
        <v>0</v>
      </c>
      <c r="P565" s="198">
        <f>'02 项目基础信息（输入）'!$I$39</f>
        <v>0</v>
      </c>
      <c r="Q565" s="233">
        <f t="shared" si="65"/>
        <v>0</v>
      </c>
      <c r="S565" s="217" t="s">
        <v>1314</v>
      </c>
      <c r="U565" s="220" t="s">
        <v>2344</v>
      </c>
    </row>
    <row r="566" spans="1:21" ht="0" hidden="1" customHeight="1" outlineLevel="3">
      <c r="A566" s="192" t="s">
        <v>2117</v>
      </c>
      <c r="B566" s="192"/>
      <c r="C566" s="197"/>
      <c r="D566" s="197"/>
      <c r="E566" s="199"/>
      <c r="F566" s="197"/>
      <c r="G566" s="199"/>
      <c r="H566" s="199"/>
      <c r="I566" s="197">
        <v>0</v>
      </c>
      <c r="J566" s="199"/>
      <c r="K566" s="207"/>
      <c r="L566" s="209"/>
      <c r="M566" s="198">
        <f>ROUND(SUM(M567:M574),6)</f>
        <v>0</v>
      </c>
      <c r="N566" s="198">
        <f>'02 项目基础信息（输入）'!$C$39</f>
        <v>0</v>
      </c>
      <c r="O566" s="198">
        <f t="shared" si="64"/>
        <v>0</v>
      </c>
      <c r="P566" s="198">
        <f>'02 项目基础信息（输入）'!$I$39</f>
        <v>0</v>
      </c>
      <c r="Q566" s="233">
        <f t="shared" si="65"/>
        <v>0</v>
      </c>
      <c r="S566" s="217"/>
      <c r="U566" s="220" t="s">
        <v>2345</v>
      </c>
    </row>
    <row r="567" spans="1:21" ht="0" hidden="1" customHeight="1" outlineLevel="4">
      <c r="A567" s="192" t="s">
        <v>1849</v>
      </c>
      <c r="B567" s="192"/>
      <c r="C567" s="197" t="s">
        <v>1850</v>
      </c>
      <c r="D567" s="198">
        <f>'02 项目基础信息（输入）'!$N$39</f>
        <v>0</v>
      </c>
      <c r="E567" s="199" t="s">
        <v>411</v>
      </c>
      <c r="F567" s="197" t="s">
        <v>460</v>
      </c>
      <c r="G567" s="235">
        <f>'02 项目基础信息（输入）'!$O$39</f>
        <v>0</v>
      </c>
      <c r="H567" s="199" t="s">
        <v>400</v>
      </c>
      <c r="I567" s="198">
        <f t="shared" ref="I567:I574" si="68">G567*D567</f>
        <v>0</v>
      </c>
      <c r="J567" s="199" t="s">
        <v>93</v>
      </c>
      <c r="K567" s="228">
        <f>'03 成本测算（输入）'!$D$51</f>
        <v>0</v>
      </c>
      <c r="L567" s="209" t="s">
        <v>675</v>
      </c>
      <c r="M567" s="207">
        <f t="shared" ref="M567:M574" si="69">ROUND(K567*I567/10000,6)</f>
        <v>0</v>
      </c>
      <c r="N567" s="198">
        <f>'02 项目基础信息（输入）'!$C$39</f>
        <v>0</v>
      </c>
      <c r="O567" s="198">
        <f t="shared" si="64"/>
        <v>0</v>
      </c>
      <c r="P567" s="198">
        <f>'02 项目基础信息（输入）'!$I$39</f>
        <v>0</v>
      </c>
      <c r="Q567" s="233">
        <f t="shared" si="65"/>
        <v>0</v>
      </c>
      <c r="S567" s="217"/>
      <c r="U567" s="220" t="s">
        <v>2346</v>
      </c>
    </row>
    <row r="568" spans="1:21" ht="0" hidden="1" customHeight="1" outlineLevel="4">
      <c r="A568" s="192" t="s">
        <v>1852</v>
      </c>
      <c r="B568" s="192"/>
      <c r="C568" s="197" t="s">
        <v>1850</v>
      </c>
      <c r="D568" s="198">
        <f>'02 项目基础信息（输入）'!$N$39</f>
        <v>0</v>
      </c>
      <c r="E568" s="199" t="s">
        <v>411</v>
      </c>
      <c r="F568" s="197" t="s">
        <v>460</v>
      </c>
      <c r="G568" s="235">
        <f>'02 项目基础信息（输入）'!$O$39</f>
        <v>0</v>
      </c>
      <c r="H568" s="199" t="s">
        <v>400</v>
      </c>
      <c r="I568" s="198">
        <f t="shared" si="68"/>
        <v>0</v>
      </c>
      <c r="J568" s="199" t="s">
        <v>93</v>
      </c>
      <c r="K568" s="207">
        <v>0</v>
      </c>
      <c r="L568" s="209" t="s">
        <v>675</v>
      </c>
      <c r="M568" s="207">
        <f t="shared" si="69"/>
        <v>0</v>
      </c>
      <c r="N568" s="198">
        <f>'02 项目基础信息（输入）'!$C$39</f>
        <v>0</v>
      </c>
      <c r="O568" s="198">
        <f t="shared" si="64"/>
        <v>0</v>
      </c>
      <c r="P568" s="198">
        <f>'02 项目基础信息（输入）'!$I$39</f>
        <v>0</v>
      </c>
      <c r="Q568" s="233">
        <f t="shared" si="65"/>
        <v>0</v>
      </c>
      <c r="S568" s="217"/>
      <c r="U568" s="220" t="s">
        <v>2347</v>
      </c>
    </row>
    <row r="569" spans="1:21" ht="0" hidden="1" customHeight="1" outlineLevel="4">
      <c r="A569" s="192" t="s">
        <v>1854</v>
      </c>
      <c r="B569" s="192"/>
      <c r="C569" s="197" t="s">
        <v>1850</v>
      </c>
      <c r="D569" s="198">
        <f>'02 项目基础信息（输入）'!$N$39</f>
        <v>0</v>
      </c>
      <c r="E569" s="199" t="s">
        <v>411</v>
      </c>
      <c r="F569" s="197" t="s">
        <v>460</v>
      </c>
      <c r="G569" s="235">
        <f>'02 项目基础信息（输入）'!$O$39</f>
        <v>0</v>
      </c>
      <c r="H569" s="199" t="s">
        <v>400</v>
      </c>
      <c r="I569" s="198">
        <f t="shared" si="68"/>
        <v>0</v>
      </c>
      <c r="J569" s="199" t="s">
        <v>93</v>
      </c>
      <c r="K569" s="207">
        <v>0</v>
      </c>
      <c r="L569" s="209" t="s">
        <v>675</v>
      </c>
      <c r="M569" s="207">
        <f t="shared" si="69"/>
        <v>0</v>
      </c>
      <c r="N569" s="198">
        <f>'02 项目基础信息（输入）'!$C$39</f>
        <v>0</v>
      </c>
      <c r="O569" s="198">
        <f t="shared" si="64"/>
        <v>0</v>
      </c>
      <c r="P569" s="198">
        <f>'02 项目基础信息（输入）'!$I$39</f>
        <v>0</v>
      </c>
      <c r="Q569" s="233">
        <f t="shared" si="65"/>
        <v>0</v>
      </c>
      <c r="S569" s="217"/>
      <c r="U569" s="220" t="s">
        <v>2348</v>
      </c>
    </row>
    <row r="570" spans="1:21" ht="0" hidden="1" customHeight="1" outlineLevel="4">
      <c r="A570" s="192" t="s">
        <v>1856</v>
      </c>
      <c r="B570" s="192"/>
      <c r="C570" s="197" t="s">
        <v>1850</v>
      </c>
      <c r="D570" s="198">
        <f>'02 项目基础信息（输入）'!$N$39</f>
        <v>0</v>
      </c>
      <c r="E570" s="199" t="s">
        <v>411</v>
      </c>
      <c r="F570" s="197" t="s">
        <v>460</v>
      </c>
      <c r="G570" s="235">
        <f>'02 项目基础信息（输入）'!$O$39</f>
        <v>0</v>
      </c>
      <c r="H570" s="199" t="s">
        <v>400</v>
      </c>
      <c r="I570" s="198">
        <f t="shared" si="68"/>
        <v>0</v>
      </c>
      <c r="J570" s="199" t="s">
        <v>93</v>
      </c>
      <c r="K570" s="207">
        <v>0</v>
      </c>
      <c r="L570" s="209" t="s">
        <v>675</v>
      </c>
      <c r="M570" s="207">
        <f t="shared" si="69"/>
        <v>0</v>
      </c>
      <c r="N570" s="198">
        <f>'02 项目基础信息（输入）'!$C$39</f>
        <v>0</v>
      </c>
      <c r="O570" s="198">
        <f t="shared" si="64"/>
        <v>0</v>
      </c>
      <c r="P570" s="198">
        <f>'02 项目基础信息（输入）'!$I$39</f>
        <v>0</v>
      </c>
      <c r="Q570" s="233">
        <f t="shared" si="65"/>
        <v>0</v>
      </c>
      <c r="S570" s="217"/>
      <c r="U570" s="220" t="s">
        <v>2349</v>
      </c>
    </row>
    <row r="571" spans="1:21" ht="0" hidden="1" customHeight="1" outlineLevel="4">
      <c r="A571" s="192" t="s">
        <v>1858</v>
      </c>
      <c r="B571" s="192"/>
      <c r="C571" s="197" t="s">
        <v>1850</v>
      </c>
      <c r="D571" s="198">
        <f>'02 项目基础信息（输入）'!$N$39</f>
        <v>0</v>
      </c>
      <c r="E571" s="199" t="s">
        <v>411</v>
      </c>
      <c r="F571" s="197" t="s">
        <v>460</v>
      </c>
      <c r="G571" s="235">
        <f>'02 项目基础信息（输入）'!$O$39</f>
        <v>0</v>
      </c>
      <c r="H571" s="199" t="s">
        <v>400</v>
      </c>
      <c r="I571" s="198">
        <f t="shared" si="68"/>
        <v>0</v>
      </c>
      <c r="J571" s="199" t="s">
        <v>93</v>
      </c>
      <c r="K571" s="207">
        <v>0</v>
      </c>
      <c r="L571" s="209" t="s">
        <v>675</v>
      </c>
      <c r="M571" s="207">
        <f t="shared" si="69"/>
        <v>0</v>
      </c>
      <c r="N571" s="198">
        <f>'02 项目基础信息（输入）'!$C$39</f>
        <v>0</v>
      </c>
      <c r="O571" s="198">
        <f t="shared" si="64"/>
        <v>0</v>
      </c>
      <c r="P571" s="198">
        <f>'02 项目基础信息（输入）'!$I$39</f>
        <v>0</v>
      </c>
      <c r="Q571" s="233">
        <f t="shared" si="65"/>
        <v>0</v>
      </c>
      <c r="S571" s="217"/>
      <c r="U571" s="220" t="s">
        <v>2350</v>
      </c>
    </row>
    <row r="572" spans="1:21" ht="0" hidden="1" customHeight="1" outlineLevel="4">
      <c r="A572" s="192" t="s">
        <v>1860</v>
      </c>
      <c r="B572" s="192"/>
      <c r="C572" s="197" t="s">
        <v>1850</v>
      </c>
      <c r="D572" s="198">
        <f>'02 项目基础信息（输入）'!$N$39</f>
        <v>0</v>
      </c>
      <c r="E572" s="199" t="s">
        <v>411</v>
      </c>
      <c r="F572" s="197" t="s">
        <v>460</v>
      </c>
      <c r="G572" s="235">
        <f>'02 项目基础信息（输入）'!$O$39</f>
        <v>0</v>
      </c>
      <c r="H572" s="199" t="s">
        <v>400</v>
      </c>
      <c r="I572" s="198">
        <f t="shared" si="68"/>
        <v>0</v>
      </c>
      <c r="J572" s="199" t="s">
        <v>93</v>
      </c>
      <c r="K572" s="207">
        <v>0</v>
      </c>
      <c r="L572" s="209" t="s">
        <v>675</v>
      </c>
      <c r="M572" s="207">
        <f t="shared" si="69"/>
        <v>0</v>
      </c>
      <c r="N572" s="198">
        <f>'02 项目基础信息（输入）'!$C$39</f>
        <v>0</v>
      </c>
      <c r="O572" s="198">
        <f t="shared" si="64"/>
        <v>0</v>
      </c>
      <c r="P572" s="198">
        <f>'02 项目基础信息（输入）'!$I$39</f>
        <v>0</v>
      </c>
      <c r="Q572" s="233">
        <f t="shared" si="65"/>
        <v>0</v>
      </c>
      <c r="S572" s="217"/>
      <c r="U572" s="220" t="s">
        <v>2351</v>
      </c>
    </row>
    <row r="573" spans="1:21" ht="0" hidden="1" customHeight="1" outlineLevel="4">
      <c r="A573" s="192" t="s">
        <v>1862</v>
      </c>
      <c r="B573" s="192"/>
      <c r="C573" s="197" t="s">
        <v>1850</v>
      </c>
      <c r="D573" s="198">
        <f>'02 项目基础信息（输入）'!$N$39</f>
        <v>0</v>
      </c>
      <c r="E573" s="199" t="s">
        <v>411</v>
      </c>
      <c r="F573" s="197" t="s">
        <v>460</v>
      </c>
      <c r="G573" s="235">
        <f>'02 项目基础信息（输入）'!$O$39</f>
        <v>0</v>
      </c>
      <c r="H573" s="199" t="s">
        <v>400</v>
      </c>
      <c r="I573" s="198">
        <f t="shared" si="68"/>
        <v>0</v>
      </c>
      <c r="J573" s="199" t="s">
        <v>93</v>
      </c>
      <c r="K573" s="207">
        <v>0</v>
      </c>
      <c r="L573" s="209" t="s">
        <v>675</v>
      </c>
      <c r="M573" s="207">
        <f t="shared" si="69"/>
        <v>0</v>
      </c>
      <c r="N573" s="198">
        <f>'02 项目基础信息（输入）'!$C$39</f>
        <v>0</v>
      </c>
      <c r="O573" s="198">
        <f t="shared" si="64"/>
        <v>0</v>
      </c>
      <c r="P573" s="198">
        <f>'02 项目基础信息（输入）'!$I$39</f>
        <v>0</v>
      </c>
      <c r="Q573" s="233">
        <f t="shared" si="65"/>
        <v>0</v>
      </c>
      <c r="S573" s="217"/>
      <c r="U573" s="220" t="s">
        <v>2352</v>
      </c>
    </row>
    <row r="574" spans="1:21" ht="0" hidden="1" customHeight="1" outlineLevel="4">
      <c r="A574" s="192" t="s">
        <v>1864</v>
      </c>
      <c r="B574" s="192"/>
      <c r="C574" s="197" t="s">
        <v>1850</v>
      </c>
      <c r="D574" s="198">
        <f>'02 项目基础信息（输入）'!$N$39</f>
        <v>0</v>
      </c>
      <c r="E574" s="199" t="s">
        <v>411</v>
      </c>
      <c r="F574" s="197" t="s">
        <v>460</v>
      </c>
      <c r="G574" s="235">
        <f>'02 项目基础信息（输入）'!$O$39</f>
        <v>0</v>
      </c>
      <c r="H574" s="199" t="s">
        <v>400</v>
      </c>
      <c r="I574" s="198">
        <f t="shared" si="68"/>
        <v>0</v>
      </c>
      <c r="J574" s="199" t="s">
        <v>93</v>
      </c>
      <c r="K574" s="207">
        <v>0</v>
      </c>
      <c r="L574" s="209" t="s">
        <v>675</v>
      </c>
      <c r="M574" s="207">
        <f t="shared" si="69"/>
        <v>0</v>
      </c>
      <c r="N574" s="198">
        <f>'02 项目基础信息（输入）'!$C$39</f>
        <v>0</v>
      </c>
      <c r="O574" s="198">
        <f t="shared" si="64"/>
        <v>0</v>
      </c>
      <c r="P574" s="198">
        <f>'02 项目基础信息（输入）'!$I$39</f>
        <v>0</v>
      </c>
      <c r="Q574" s="233">
        <f t="shared" si="65"/>
        <v>0</v>
      </c>
      <c r="S574" s="217"/>
      <c r="U574" s="220" t="s">
        <v>2353</v>
      </c>
    </row>
    <row r="575" spans="1:21" ht="0" hidden="1" customHeight="1" outlineLevel="3">
      <c r="A575" s="192" t="s">
        <v>2127</v>
      </c>
      <c r="B575" s="192"/>
      <c r="C575" s="197"/>
      <c r="D575" s="197"/>
      <c r="E575" s="199"/>
      <c r="F575" s="197"/>
      <c r="G575" s="199"/>
      <c r="H575" s="199"/>
      <c r="I575" s="197">
        <v>0</v>
      </c>
      <c r="J575" s="199"/>
      <c r="K575" s="207"/>
      <c r="L575" s="209"/>
      <c r="M575" s="198">
        <f>ROUND(SUM(M576:M583),6)</f>
        <v>0</v>
      </c>
      <c r="N575" s="198">
        <f>'02 项目基础信息（输入）'!$C$39</f>
        <v>0</v>
      </c>
      <c r="O575" s="198">
        <f t="shared" si="64"/>
        <v>0</v>
      </c>
      <c r="P575" s="198">
        <f>'02 项目基础信息（输入）'!$I$39</f>
        <v>0</v>
      </c>
      <c r="Q575" s="233">
        <f t="shared" si="65"/>
        <v>0</v>
      </c>
      <c r="S575" s="217"/>
      <c r="U575" s="220" t="s">
        <v>2354</v>
      </c>
    </row>
    <row r="576" spans="1:21" ht="0" hidden="1" customHeight="1" outlineLevel="4">
      <c r="A576" s="192" t="s">
        <v>2129</v>
      </c>
      <c r="B576" s="192"/>
      <c r="C576" s="197" t="s">
        <v>2130</v>
      </c>
      <c r="D576" s="198">
        <f>'02 项目基础信息（输入）'!$K$39</f>
        <v>0</v>
      </c>
      <c r="E576" s="199" t="s">
        <v>411</v>
      </c>
      <c r="F576" s="197" t="s">
        <v>457</v>
      </c>
      <c r="G576" s="235">
        <f>'02 项目基础信息（输入）'!$L$39</f>
        <v>0</v>
      </c>
      <c r="H576" s="199" t="s">
        <v>400</v>
      </c>
      <c r="I576" s="198">
        <f t="shared" ref="I576:I586" si="70">G576*D576</f>
        <v>0</v>
      </c>
      <c r="J576" s="199" t="s">
        <v>93</v>
      </c>
      <c r="K576" s="228">
        <f>'03 成本测算（输入）'!$D$53</f>
        <v>0</v>
      </c>
      <c r="L576" s="209" t="s">
        <v>675</v>
      </c>
      <c r="M576" s="198">
        <f t="shared" ref="M576:M586" si="71">ROUND(K576*I576/10000,6)</f>
        <v>0</v>
      </c>
      <c r="N576" s="198">
        <f>'02 项目基础信息（输入）'!$C$39</f>
        <v>0</v>
      </c>
      <c r="O576" s="198">
        <f t="shared" si="64"/>
        <v>0</v>
      </c>
      <c r="P576" s="198">
        <f>'02 项目基础信息（输入）'!$I$39</f>
        <v>0</v>
      </c>
      <c r="Q576" s="233">
        <f t="shared" si="65"/>
        <v>0</v>
      </c>
      <c r="S576" s="217"/>
      <c r="U576" s="220" t="s">
        <v>2355</v>
      </c>
    </row>
    <row r="577" spans="1:21" ht="0" hidden="1" customHeight="1" outlineLevel="4">
      <c r="A577" s="192" t="s">
        <v>2132</v>
      </c>
      <c r="B577" s="192"/>
      <c r="C577" s="197" t="s">
        <v>2130</v>
      </c>
      <c r="D577" s="198">
        <f>'02 项目基础信息（输入）'!$K$39</f>
        <v>0</v>
      </c>
      <c r="E577" s="199" t="s">
        <v>411</v>
      </c>
      <c r="F577" s="197" t="s">
        <v>457</v>
      </c>
      <c r="G577" s="235">
        <f>'02 项目基础信息（输入）'!$L$39</f>
        <v>0</v>
      </c>
      <c r="H577" s="199" t="s">
        <v>400</v>
      </c>
      <c r="I577" s="198">
        <f t="shared" si="70"/>
        <v>0</v>
      </c>
      <c r="J577" s="199" t="s">
        <v>93</v>
      </c>
      <c r="K577" s="207">
        <v>0</v>
      </c>
      <c r="L577" s="209" t="s">
        <v>675</v>
      </c>
      <c r="M577" s="198">
        <f t="shared" si="71"/>
        <v>0</v>
      </c>
      <c r="N577" s="198">
        <f>'02 项目基础信息（输入）'!$C$39</f>
        <v>0</v>
      </c>
      <c r="O577" s="198">
        <f t="shared" si="64"/>
        <v>0</v>
      </c>
      <c r="P577" s="198">
        <f>'02 项目基础信息（输入）'!$I$39</f>
        <v>0</v>
      </c>
      <c r="Q577" s="233">
        <f t="shared" si="65"/>
        <v>0</v>
      </c>
      <c r="S577" s="217"/>
      <c r="U577" s="220" t="s">
        <v>2356</v>
      </c>
    </row>
    <row r="578" spans="1:21" ht="0" hidden="1" customHeight="1" outlineLevel="4">
      <c r="A578" s="192" t="s">
        <v>2134</v>
      </c>
      <c r="B578" s="192"/>
      <c r="C578" s="197" t="s">
        <v>2130</v>
      </c>
      <c r="D578" s="198">
        <f>'02 项目基础信息（输入）'!$K$39</f>
        <v>0</v>
      </c>
      <c r="E578" s="199" t="s">
        <v>411</v>
      </c>
      <c r="F578" s="197" t="s">
        <v>457</v>
      </c>
      <c r="G578" s="235">
        <f>'02 项目基础信息（输入）'!$L$39</f>
        <v>0</v>
      </c>
      <c r="H578" s="199" t="s">
        <v>400</v>
      </c>
      <c r="I578" s="198">
        <f t="shared" si="70"/>
        <v>0</v>
      </c>
      <c r="J578" s="199" t="s">
        <v>93</v>
      </c>
      <c r="K578" s="207">
        <v>0</v>
      </c>
      <c r="L578" s="209" t="s">
        <v>675</v>
      </c>
      <c r="M578" s="198">
        <f t="shared" si="71"/>
        <v>0</v>
      </c>
      <c r="N578" s="198">
        <f>'02 项目基础信息（输入）'!$C$39</f>
        <v>0</v>
      </c>
      <c r="O578" s="198">
        <f t="shared" si="64"/>
        <v>0</v>
      </c>
      <c r="P578" s="198">
        <f>'02 项目基础信息（输入）'!$I$39</f>
        <v>0</v>
      </c>
      <c r="Q578" s="233">
        <f t="shared" si="65"/>
        <v>0</v>
      </c>
      <c r="S578" s="217"/>
      <c r="U578" s="220" t="s">
        <v>2357</v>
      </c>
    </row>
    <row r="579" spans="1:21" ht="0" hidden="1" customHeight="1" outlineLevel="4">
      <c r="A579" s="192" t="s">
        <v>2136</v>
      </c>
      <c r="B579" s="192"/>
      <c r="C579" s="197" t="s">
        <v>2130</v>
      </c>
      <c r="D579" s="198">
        <f>'02 项目基础信息（输入）'!$K$39</f>
        <v>0</v>
      </c>
      <c r="E579" s="199" t="s">
        <v>411</v>
      </c>
      <c r="F579" s="197" t="s">
        <v>457</v>
      </c>
      <c r="G579" s="235">
        <f>'02 项目基础信息（输入）'!$L$39</f>
        <v>0</v>
      </c>
      <c r="H579" s="199" t="s">
        <v>400</v>
      </c>
      <c r="I579" s="198">
        <f t="shared" si="70"/>
        <v>0</v>
      </c>
      <c r="J579" s="199" t="s">
        <v>93</v>
      </c>
      <c r="K579" s="207">
        <v>0</v>
      </c>
      <c r="L579" s="209" t="s">
        <v>675</v>
      </c>
      <c r="M579" s="198">
        <f t="shared" si="71"/>
        <v>0</v>
      </c>
      <c r="N579" s="198">
        <f>'02 项目基础信息（输入）'!$C$39</f>
        <v>0</v>
      </c>
      <c r="O579" s="198">
        <f t="shared" ref="O579:O642" si="72">ROUND(IFERROR(M579*10000/N579,0),2)</f>
        <v>0</v>
      </c>
      <c r="P579" s="198">
        <f>'02 项目基础信息（输入）'!$I$39</f>
        <v>0</v>
      </c>
      <c r="Q579" s="233">
        <f t="shared" ref="Q579:Q642" si="73">ROUND(IFERROR(M579*10000/P579,0),2)</f>
        <v>0</v>
      </c>
      <c r="S579" s="217"/>
      <c r="U579" s="220" t="s">
        <v>2358</v>
      </c>
    </row>
    <row r="580" spans="1:21" ht="0" hidden="1" customHeight="1" outlineLevel="4">
      <c r="A580" s="192" t="s">
        <v>2138</v>
      </c>
      <c r="B580" s="192"/>
      <c r="C580" s="197" t="s">
        <v>2130</v>
      </c>
      <c r="D580" s="198">
        <f>'02 项目基础信息（输入）'!$K$39</f>
        <v>0</v>
      </c>
      <c r="E580" s="199" t="s">
        <v>411</v>
      </c>
      <c r="F580" s="197" t="s">
        <v>457</v>
      </c>
      <c r="G580" s="235">
        <f>'02 项目基础信息（输入）'!$L$39</f>
        <v>0</v>
      </c>
      <c r="H580" s="199" t="s">
        <v>400</v>
      </c>
      <c r="I580" s="198">
        <f t="shared" si="70"/>
        <v>0</v>
      </c>
      <c r="J580" s="199" t="s">
        <v>93</v>
      </c>
      <c r="K580" s="207">
        <v>0</v>
      </c>
      <c r="L580" s="209" t="s">
        <v>675</v>
      </c>
      <c r="M580" s="198">
        <f t="shared" si="71"/>
        <v>0</v>
      </c>
      <c r="N580" s="198">
        <f>'02 项目基础信息（输入）'!$C$39</f>
        <v>0</v>
      </c>
      <c r="O580" s="198">
        <f t="shared" si="72"/>
        <v>0</v>
      </c>
      <c r="P580" s="198">
        <f>'02 项目基础信息（输入）'!$I$39</f>
        <v>0</v>
      </c>
      <c r="Q580" s="233">
        <f t="shared" si="73"/>
        <v>0</v>
      </c>
      <c r="S580" s="217"/>
      <c r="U580" s="220" t="s">
        <v>2359</v>
      </c>
    </row>
    <row r="581" spans="1:21" ht="0" hidden="1" customHeight="1" outlineLevel="4">
      <c r="A581" s="192" t="s">
        <v>2140</v>
      </c>
      <c r="B581" s="192"/>
      <c r="C581" s="197" t="s">
        <v>2130</v>
      </c>
      <c r="D581" s="198">
        <f>'02 项目基础信息（输入）'!$K$39</f>
        <v>0</v>
      </c>
      <c r="E581" s="199" t="s">
        <v>411</v>
      </c>
      <c r="F581" s="197" t="s">
        <v>457</v>
      </c>
      <c r="G581" s="235">
        <f>'02 项目基础信息（输入）'!$L$39</f>
        <v>0</v>
      </c>
      <c r="H581" s="199" t="s">
        <v>400</v>
      </c>
      <c r="I581" s="198">
        <f t="shared" si="70"/>
        <v>0</v>
      </c>
      <c r="J581" s="199" t="s">
        <v>93</v>
      </c>
      <c r="K581" s="207">
        <v>0</v>
      </c>
      <c r="L581" s="209" t="s">
        <v>675</v>
      </c>
      <c r="M581" s="198">
        <f t="shared" si="71"/>
        <v>0</v>
      </c>
      <c r="N581" s="198">
        <f>'02 项目基础信息（输入）'!$C$39</f>
        <v>0</v>
      </c>
      <c r="O581" s="198">
        <f t="shared" si="72"/>
        <v>0</v>
      </c>
      <c r="P581" s="198">
        <f>'02 项目基础信息（输入）'!$I$39</f>
        <v>0</v>
      </c>
      <c r="Q581" s="233">
        <f t="shared" si="73"/>
        <v>0</v>
      </c>
      <c r="S581" s="217"/>
      <c r="U581" s="220" t="s">
        <v>2360</v>
      </c>
    </row>
    <row r="582" spans="1:21" ht="0" hidden="1" customHeight="1" outlineLevel="4">
      <c r="A582" s="192" t="s">
        <v>2142</v>
      </c>
      <c r="B582" s="192"/>
      <c r="C582" s="197" t="s">
        <v>2130</v>
      </c>
      <c r="D582" s="198">
        <f>'02 项目基础信息（输入）'!$K$39</f>
        <v>0</v>
      </c>
      <c r="E582" s="199" t="s">
        <v>411</v>
      </c>
      <c r="F582" s="197" t="s">
        <v>457</v>
      </c>
      <c r="G582" s="235">
        <f>'02 项目基础信息（输入）'!$L$39</f>
        <v>0</v>
      </c>
      <c r="H582" s="199" t="s">
        <v>400</v>
      </c>
      <c r="I582" s="198">
        <f t="shared" si="70"/>
        <v>0</v>
      </c>
      <c r="J582" s="199" t="s">
        <v>93</v>
      </c>
      <c r="K582" s="207">
        <v>0</v>
      </c>
      <c r="L582" s="209" t="s">
        <v>675</v>
      </c>
      <c r="M582" s="198">
        <f t="shared" si="71"/>
        <v>0</v>
      </c>
      <c r="N582" s="198">
        <f>'02 项目基础信息（输入）'!$C$39</f>
        <v>0</v>
      </c>
      <c r="O582" s="198">
        <f t="shared" si="72"/>
        <v>0</v>
      </c>
      <c r="P582" s="198">
        <f>'02 项目基础信息（输入）'!$I$39</f>
        <v>0</v>
      </c>
      <c r="Q582" s="233">
        <f t="shared" si="73"/>
        <v>0</v>
      </c>
      <c r="S582" s="217"/>
      <c r="U582" s="220" t="s">
        <v>2361</v>
      </c>
    </row>
    <row r="583" spans="1:21" ht="0" hidden="1" customHeight="1" outlineLevel="4">
      <c r="A583" s="192" t="s">
        <v>2144</v>
      </c>
      <c r="B583" s="192"/>
      <c r="C583" s="197" t="s">
        <v>2130</v>
      </c>
      <c r="D583" s="198">
        <f>'02 项目基础信息（输入）'!$K$39</f>
        <v>0</v>
      </c>
      <c r="E583" s="199" t="s">
        <v>411</v>
      </c>
      <c r="F583" s="197" t="s">
        <v>457</v>
      </c>
      <c r="G583" s="235">
        <f>'02 项目基础信息（输入）'!$L$39</f>
        <v>0</v>
      </c>
      <c r="H583" s="199" t="s">
        <v>400</v>
      </c>
      <c r="I583" s="198">
        <f t="shared" si="70"/>
        <v>0</v>
      </c>
      <c r="J583" s="199" t="s">
        <v>93</v>
      </c>
      <c r="K583" s="207">
        <v>0</v>
      </c>
      <c r="L583" s="209" t="s">
        <v>675</v>
      </c>
      <c r="M583" s="198">
        <f t="shared" si="71"/>
        <v>0</v>
      </c>
      <c r="N583" s="198">
        <f>'02 项目基础信息（输入）'!$C$39</f>
        <v>0</v>
      </c>
      <c r="O583" s="198">
        <f t="shared" si="72"/>
        <v>0</v>
      </c>
      <c r="P583" s="198">
        <f>'02 项目基础信息（输入）'!$I$39</f>
        <v>0</v>
      </c>
      <c r="Q583" s="233">
        <f t="shared" si="73"/>
        <v>0</v>
      </c>
      <c r="S583" s="217"/>
      <c r="U583" s="220" t="s">
        <v>2362</v>
      </c>
    </row>
    <row r="584" spans="1:21" ht="0" hidden="1" customHeight="1" outlineLevel="3">
      <c r="A584" s="192" t="s">
        <v>2146</v>
      </c>
      <c r="B584" s="192"/>
      <c r="C584" s="197" t="s">
        <v>455</v>
      </c>
      <c r="D584" s="198">
        <f>'02 项目基础信息（输入）'!$J$39</f>
        <v>0</v>
      </c>
      <c r="E584" s="199" t="s">
        <v>400</v>
      </c>
      <c r="F584" s="197" t="s">
        <v>455</v>
      </c>
      <c r="G584" s="199">
        <v>1</v>
      </c>
      <c r="H584" s="199" t="s">
        <v>1748</v>
      </c>
      <c r="I584" s="198">
        <f t="shared" si="70"/>
        <v>0</v>
      </c>
      <c r="J584" s="199" t="s">
        <v>400</v>
      </c>
      <c r="K584" s="208"/>
      <c r="L584" s="209" t="s">
        <v>1749</v>
      </c>
      <c r="M584" s="198">
        <f t="shared" si="71"/>
        <v>0</v>
      </c>
      <c r="N584" s="198">
        <f>'02 项目基础信息（输入）'!$C$39</f>
        <v>0</v>
      </c>
      <c r="O584" s="198">
        <f t="shared" si="72"/>
        <v>0</v>
      </c>
      <c r="P584" s="198">
        <f>'02 项目基础信息（输入）'!$I$39</f>
        <v>0</v>
      </c>
      <c r="Q584" s="233">
        <f t="shared" si="73"/>
        <v>0</v>
      </c>
      <c r="S584" s="217"/>
      <c r="U584" s="220" t="s">
        <v>2363</v>
      </c>
    </row>
    <row r="585" spans="1:21" ht="0" hidden="1" customHeight="1" outlineLevel="3">
      <c r="A585" s="192" t="s">
        <v>2148</v>
      </c>
      <c r="B585" s="192"/>
      <c r="C585" s="197" t="s">
        <v>309</v>
      </c>
      <c r="D585" s="198">
        <f>'02 项目基础信息（输入）'!$AC$39</f>
        <v>0</v>
      </c>
      <c r="E585" s="199" t="s">
        <v>310</v>
      </c>
      <c r="F585" s="197" t="s">
        <v>2149</v>
      </c>
      <c r="G585" s="199">
        <v>1</v>
      </c>
      <c r="H585" s="199" t="s">
        <v>2150</v>
      </c>
      <c r="I585" s="198">
        <f t="shared" si="70"/>
        <v>0</v>
      </c>
      <c r="J585" s="199" t="s">
        <v>400</v>
      </c>
      <c r="K585" s="208"/>
      <c r="L585" s="209" t="s">
        <v>1749</v>
      </c>
      <c r="M585" s="207">
        <f t="shared" si="71"/>
        <v>0</v>
      </c>
      <c r="N585" s="198">
        <f>'02 项目基础信息（输入）'!$C$39</f>
        <v>0</v>
      </c>
      <c r="O585" s="198">
        <f t="shared" si="72"/>
        <v>0</v>
      </c>
      <c r="P585" s="198">
        <f>'02 项目基础信息（输入）'!$I$39</f>
        <v>0</v>
      </c>
      <c r="Q585" s="233">
        <f t="shared" si="73"/>
        <v>0</v>
      </c>
      <c r="S585" s="217"/>
      <c r="U585" s="220" t="s">
        <v>2364</v>
      </c>
    </row>
    <row r="586" spans="1:21" ht="0" hidden="1" customHeight="1" outlineLevel="3">
      <c r="A586" s="192" t="s">
        <v>1868</v>
      </c>
      <c r="B586" s="192"/>
      <c r="C586" s="197" t="s">
        <v>1609</v>
      </c>
      <c r="D586" s="198">
        <f>'02 项目基础信息（输入）'!$C$39</f>
        <v>0</v>
      </c>
      <c r="E586" s="199" t="s">
        <v>93</v>
      </c>
      <c r="F586" s="240" t="s">
        <v>1648</v>
      </c>
      <c r="G586" s="241">
        <f>'03 成本测算（输入）'!D54+'03 成本测算（输入）'!D56+'03 成本测算（输入）'!D58+'03 成本测算（输入）'!D60+'03 成本测算（输入）'!D62</f>
        <v>0</v>
      </c>
      <c r="H586" s="242" t="s">
        <v>298</v>
      </c>
      <c r="I586" s="243">
        <f t="shared" si="70"/>
        <v>0</v>
      </c>
      <c r="J586" s="242" t="s">
        <v>93</v>
      </c>
      <c r="K586" s="244">
        <f>IF('05 成本测算明细'!I586=0,0,('03 成本测算（输入）'!$D$55*'03 成本测算（输入）'!$D$54+'03 成本测算（输入）'!$D$57*'03 成本测算（输入）'!$D$56+'03 成本测算（输入）'!$D$59*'03 成本测算（输入）'!$D$58+'03 成本测算（输入）'!$D$61*'03 成本测算（输入）'!$D$60+'03 成本测算（输入）'!$D$63*'03 成本测算（输入）'!$D$62)/'05 成本测算明细'!G586)</f>
        <v>0</v>
      </c>
      <c r="L586" s="245" t="s">
        <v>675</v>
      </c>
      <c r="M586" s="207">
        <f t="shared" si="71"/>
        <v>0</v>
      </c>
      <c r="N586" s="198">
        <f>'02 项目基础信息（输入）'!$C$39</f>
        <v>0</v>
      </c>
      <c r="O586" s="198">
        <f t="shared" si="72"/>
        <v>0</v>
      </c>
      <c r="P586" s="198">
        <f>'02 项目基础信息（输入）'!$I$39</f>
        <v>0</v>
      </c>
      <c r="Q586" s="233">
        <f t="shared" si="73"/>
        <v>0</v>
      </c>
      <c r="S586" s="217"/>
      <c r="U586" s="220" t="s">
        <v>2365</v>
      </c>
    </row>
    <row r="587" spans="1:21" ht="0" hidden="1" customHeight="1" outlineLevel="2">
      <c r="A587" s="192" t="s">
        <v>1870</v>
      </c>
      <c r="B587" s="192"/>
      <c r="C587" s="197" t="s">
        <v>1609</v>
      </c>
      <c r="D587" s="198">
        <f>'02 项目基础信息（输入）'!$C$39</f>
        <v>0</v>
      </c>
      <c r="E587" s="199" t="s">
        <v>93</v>
      </c>
      <c r="F587" s="197"/>
      <c r="G587" s="199"/>
      <c r="H587" s="199"/>
      <c r="I587" s="197"/>
      <c r="J587" s="199"/>
      <c r="K587" s="207"/>
      <c r="L587" s="209"/>
      <c r="M587" s="198">
        <f>ROUND(SUM(M588),6)</f>
        <v>0</v>
      </c>
      <c r="N587" s="198">
        <f>'02 项目基础信息（输入）'!$C$39</f>
        <v>0</v>
      </c>
      <c r="O587" s="198">
        <f t="shared" si="72"/>
        <v>0</v>
      </c>
      <c r="P587" s="198">
        <f>'02 项目基础信息（输入）'!$I$39</f>
        <v>0</v>
      </c>
      <c r="Q587" s="233">
        <f t="shared" si="73"/>
        <v>0</v>
      </c>
      <c r="S587" s="217" t="s">
        <v>1313</v>
      </c>
      <c r="U587" s="220" t="s">
        <v>2366</v>
      </c>
    </row>
    <row r="588" spans="1:21" ht="0" hidden="1" customHeight="1" outlineLevel="3">
      <c r="A588" s="192" t="s">
        <v>1872</v>
      </c>
      <c r="B588" s="192"/>
      <c r="C588" s="197" t="s">
        <v>460</v>
      </c>
      <c r="D588" s="198">
        <f>'02 项目基础信息（输入）'!$O$39</f>
        <v>0</v>
      </c>
      <c r="E588" s="199" t="s">
        <v>400</v>
      </c>
      <c r="F588" s="197" t="s">
        <v>460</v>
      </c>
      <c r="G588" s="199">
        <v>1</v>
      </c>
      <c r="H588" s="199" t="s">
        <v>1873</v>
      </c>
      <c r="I588" s="198">
        <f>G588*D588</f>
        <v>0</v>
      </c>
      <c r="J588" s="199" t="s">
        <v>1052</v>
      </c>
      <c r="K588" s="208"/>
      <c r="L588" s="209" t="s">
        <v>746</v>
      </c>
      <c r="M588" s="207">
        <f>ROUND(K588*I588/10000,6)</f>
        <v>0</v>
      </c>
      <c r="N588" s="198">
        <f>'02 项目基础信息（输入）'!$C$39</f>
        <v>0</v>
      </c>
      <c r="O588" s="198">
        <f t="shared" si="72"/>
        <v>0</v>
      </c>
      <c r="P588" s="198">
        <f>'02 项目基础信息（输入）'!$I$39</f>
        <v>0</v>
      </c>
      <c r="Q588" s="233">
        <f t="shared" si="73"/>
        <v>0</v>
      </c>
      <c r="S588" s="217"/>
      <c r="U588" s="220" t="s">
        <v>2367</v>
      </c>
    </row>
    <row r="589" spans="1:21" ht="0" hidden="1" customHeight="1" outlineLevel="2">
      <c r="A589" s="192" t="s">
        <v>1875</v>
      </c>
      <c r="B589" s="192"/>
      <c r="C589" s="197" t="s">
        <v>1609</v>
      </c>
      <c r="D589" s="198">
        <f>'02 项目基础信息（输入）'!$C$39</f>
        <v>0</v>
      </c>
      <c r="E589" s="199" t="s">
        <v>93</v>
      </c>
      <c r="F589" s="197"/>
      <c r="G589" s="199"/>
      <c r="H589" s="199"/>
      <c r="I589" s="197"/>
      <c r="J589" s="199"/>
      <c r="K589" s="207"/>
      <c r="L589" s="209"/>
      <c r="M589" s="198">
        <f>ROUND(SUM(M590:M592),6)</f>
        <v>0</v>
      </c>
      <c r="N589" s="198">
        <f>'02 项目基础信息（输入）'!$C$39</f>
        <v>0</v>
      </c>
      <c r="O589" s="198">
        <f t="shared" si="72"/>
        <v>0</v>
      </c>
      <c r="P589" s="198">
        <f>'02 项目基础信息（输入）'!$I$39</f>
        <v>0</v>
      </c>
      <c r="Q589" s="233">
        <f t="shared" si="73"/>
        <v>0</v>
      </c>
      <c r="S589" s="217" t="s">
        <v>1313</v>
      </c>
      <c r="U589" s="220" t="s">
        <v>2368</v>
      </c>
    </row>
    <row r="590" spans="1:21" ht="0" hidden="1" customHeight="1" outlineLevel="3">
      <c r="A590" s="192" t="s">
        <v>1877</v>
      </c>
      <c r="B590" s="192"/>
      <c r="C590" s="197" t="s">
        <v>1609</v>
      </c>
      <c r="D590" s="198">
        <f>'02 项目基础信息（输入）'!$C$39</f>
        <v>0</v>
      </c>
      <c r="E590" s="199" t="s">
        <v>93</v>
      </c>
      <c r="F590" s="197" t="s">
        <v>694</v>
      </c>
      <c r="G590" s="238"/>
      <c r="H590" s="199" t="s">
        <v>298</v>
      </c>
      <c r="I590" s="198">
        <f>G590*D590</f>
        <v>0</v>
      </c>
      <c r="J590" s="199" t="s">
        <v>93</v>
      </c>
      <c r="K590" s="208"/>
      <c r="L590" s="209" t="s">
        <v>675</v>
      </c>
      <c r="M590" s="207">
        <f>ROUND(K590*I590/10000,6)</f>
        <v>0</v>
      </c>
      <c r="N590" s="198">
        <f>'02 项目基础信息（输入）'!$C$39</f>
        <v>0</v>
      </c>
      <c r="O590" s="198">
        <f t="shared" si="72"/>
        <v>0</v>
      </c>
      <c r="P590" s="198">
        <f>'02 项目基础信息（输入）'!$I$39</f>
        <v>0</v>
      </c>
      <c r="Q590" s="233">
        <f t="shared" si="73"/>
        <v>0</v>
      </c>
      <c r="S590" s="217"/>
      <c r="U590" s="220" t="s">
        <v>2369</v>
      </c>
    </row>
    <row r="591" spans="1:21" ht="0" hidden="1" customHeight="1" outlineLevel="3">
      <c r="A591" s="192" t="s">
        <v>1879</v>
      </c>
      <c r="B591" s="192"/>
      <c r="C591" s="197" t="s">
        <v>1609</v>
      </c>
      <c r="D591" s="198">
        <f>'02 项目基础信息（输入）'!$C$39</f>
        <v>0</v>
      </c>
      <c r="E591" s="199" t="s">
        <v>93</v>
      </c>
      <c r="F591" s="197" t="s">
        <v>694</v>
      </c>
      <c r="G591" s="238"/>
      <c r="H591" s="199" t="s">
        <v>298</v>
      </c>
      <c r="I591" s="198">
        <f>G591*D591</f>
        <v>0</v>
      </c>
      <c r="J591" s="199" t="s">
        <v>93</v>
      </c>
      <c r="K591" s="208"/>
      <c r="L591" s="209" t="s">
        <v>675</v>
      </c>
      <c r="M591" s="207">
        <f>ROUND(K591*I591/10000,6)</f>
        <v>0</v>
      </c>
      <c r="N591" s="198">
        <f>'02 项目基础信息（输入）'!$C$39</f>
        <v>0</v>
      </c>
      <c r="O591" s="198">
        <f t="shared" si="72"/>
        <v>0</v>
      </c>
      <c r="P591" s="198">
        <f>'02 项目基础信息（输入）'!$I$39</f>
        <v>0</v>
      </c>
      <c r="Q591" s="233">
        <f t="shared" si="73"/>
        <v>0</v>
      </c>
      <c r="S591" s="217"/>
      <c r="U591" s="220" t="s">
        <v>2370</v>
      </c>
    </row>
    <row r="592" spans="1:21" ht="0" hidden="1" customHeight="1" outlineLevel="3">
      <c r="A592" s="192" t="s">
        <v>1881</v>
      </c>
      <c r="B592" s="192"/>
      <c r="C592" s="197" t="s">
        <v>1609</v>
      </c>
      <c r="D592" s="198">
        <f>'02 项目基础信息（输入）'!$C$39</f>
        <v>0</v>
      </c>
      <c r="E592" s="199" t="s">
        <v>93</v>
      </c>
      <c r="F592" s="197" t="s">
        <v>694</v>
      </c>
      <c r="G592" s="238"/>
      <c r="H592" s="199" t="s">
        <v>298</v>
      </c>
      <c r="I592" s="198">
        <f>G592*D592</f>
        <v>0</v>
      </c>
      <c r="J592" s="199" t="s">
        <v>93</v>
      </c>
      <c r="K592" s="208"/>
      <c r="L592" s="209" t="s">
        <v>675</v>
      </c>
      <c r="M592" s="207">
        <f>ROUND(K592*I592/10000,6)</f>
        <v>0</v>
      </c>
      <c r="N592" s="198">
        <f>'02 项目基础信息（输入）'!$C$39</f>
        <v>0</v>
      </c>
      <c r="O592" s="198">
        <f t="shared" si="72"/>
        <v>0</v>
      </c>
      <c r="P592" s="198">
        <f>'02 项目基础信息（输入）'!$I$39</f>
        <v>0</v>
      </c>
      <c r="Q592" s="233">
        <f t="shared" si="73"/>
        <v>0</v>
      </c>
      <c r="S592" s="217"/>
      <c r="U592" s="220" t="s">
        <v>2371</v>
      </c>
    </row>
    <row r="593" spans="1:21" ht="0" hidden="1" customHeight="1" outlineLevel="2">
      <c r="A593" s="192" t="s">
        <v>2159</v>
      </c>
      <c r="B593" s="192"/>
      <c r="C593" s="197" t="s">
        <v>1609</v>
      </c>
      <c r="D593" s="198">
        <f>'02 项目基础信息（输入）'!$C$39</f>
        <v>0</v>
      </c>
      <c r="E593" s="199" t="s">
        <v>93</v>
      </c>
      <c r="F593" s="197"/>
      <c r="G593" s="199"/>
      <c r="H593" s="199"/>
      <c r="I593" s="197"/>
      <c r="J593" s="199"/>
      <c r="K593" s="207"/>
      <c r="L593" s="209"/>
      <c r="M593" s="198">
        <f>ROUND(SUM(M594),6)</f>
        <v>0</v>
      </c>
      <c r="N593" s="198">
        <f>'02 项目基础信息（输入）'!$C$39</f>
        <v>0</v>
      </c>
      <c r="O593" s="198">
        <f t="shared" si="72"/>
        <v>0</v>
      </c>
      <c r="P593" s="198">
        <f>'02 项目基础信息（输入）'!$I$39</f>
        <v>0</v>
      </c>
      <c r="Q593" s="233">
        <f t="shared" si="73"/>
        <v>0</v>
      </c>
      <c r="S593" s="217" t="s">
        <v>1313</v>
      </c>
      <c r="U593" s="220" t="s">
        <v>2372</v>
      </c>
    </row>
    <row r="594" spans="1:21" ht="0" hidden="1" customHeight="1" outlineLevel="3">
      <c r="A594" s="192" t="s">
        <v>2161</v>
      </c>
      <c r="B594" s="192"/>
      <c r="C594" s="197" t="s">
        <v>1609</v>
      </c>
      <c r="D594" s="198">
        <f>'02 项目基础信息（输入）'!$C$39</f>
        <v>0</v>
      </c>
      <c r="E594" s="199" t="s">
        <v>93</v>
      </c>
      <c r="F594" s="197" t="s">
        <v>1886</v>
      </c>
      <c r="G594" s="199">
        <v>1</v>
      </c>
      <c r="H594" s="199" t="s">
        <v>298</v>
      </c>
      <c r="I594" s="198">
        <f>G594*D594</f>
        <v>0</v>
      </c>
      <c r="J594" s="199" t="s">
        <v>93</v>
      </c>
      <c r="K594" s="207">
        <v>0</v>
      </c>
      <c r="L594" s="209" t="s">
        <v>675</v>
      </c>
      <c r="M594" s="207">
        <f>ROUND(K594*I594/10000,6)</f>
        <v>0</v>
      </c>
      <c r="N594" s="198">
        <f>'02 项目基础信息（输入）'!$C$39</f>
        <v>0</v>
      </c>
      <c r="O594" s="198">
        <f t="shared" si="72"/>
        <v>0</v>
      </c>
      <c r="P594" s="198">
        <f>'02 项目基础信息（输入）'!$I$39</f>
        <v>0</v>
      </c>
      <c r="Q594" s="233">
        <f t="shared" si="73"/>
        <v>0</v>
      </c>
      <c r="S594" s="217"/>
      <c r="U594" s="220" t="s">
        <v>2373</v>
      </c>
    </row>
    <row r="595" spans="1:21" ht="0" hidden="1" customHeight="1" outlineLevel="2">
      <c r="A595" s="192" t="s">
        <v>1883</v>
      </c>
      <c r="B595" s="192"/>
      <c r="C595" s="197" t="s">
        <v>1609</v>
      </c>
      <c r="D595" s="198">
        <f>'02 项目基础信息（输入）'!$C$39</f>
        <v>0</v>
      </c>
      <c r="E595" s="199" t="s">
        <v>93</v>
      </c>
      <c r="F595" s="197"/>
      <c r="G595" s="199"/>
      <c r="H595" s="199"/>
      <c r="I595" s="197"/>
      <c r="J595" s="199"/>
      <c r="K595" s="207"/>
      <c r="L595" s="209"/>
      <c r="M595" s="198">
        <f>ROUND(SUM(M596),6)</f>
        <v>0</v>
      </c>
      <c r="N595" s="198">
        <f>'02 项目基础信息（输入）'!$C$39</f>
        <v>0</v>
      </c>
      <c r="O595" s="198">
        <f t="shared" si="72"/>
        <v>0</v>
      </c>
      <c r="P595" s="198">
        <f>'02 项目基础信息（输入）'!$I$39</f>
        <v>0</v>
      </c>
      <c r="Q595" s="233">
        <f t="shared" si="73"/>
        <v>0</v>
      </c>
      <c r="S595" s="217" t="s">
        <v>1313</v>
      </c>
      <c r="U595" s="220" t="s">
        <v>2374</v>
      </c>
    </row>
    <row r="596" spans="1:21" ht="0" hidden="1" customHeight="1" outlineLevel="3">
      <c r="A596" s="192" t="s">
        <v>1885</v>
      </c>
      <c r="B596" s="192"/>
      <c r="C596" s="197" t="s">
        <v>1609</v>
      </c>
      <c r="D596" s="198">
        <f>'02 项目基础信息（输入）'!$C$39</f>
        <v>0</v>
      </c>
      <c r="E596" s="199" t="s">
        <v>93</v>
      </c>
      <c r="F596" s="197" t="s">
        <v>1886</v>
      </c>
      <c r="G596" s="199">
        <v>1</v>
      </c>
      <c r="H596" s="199" t="s">
        <v>298</v>
      </c>
      <c r="I596" s="198">
        <f>G596*D596</f>
        <v>0</v>
      </c>
      <c r="J596" s="199" t="s">
        <v>93</v>
      </c>
      <c r="K596" s="208"/>
      <c r="L596" s="209" t="s">
        <v>675</v>
      </c>
      <c r="M596" s="207">
        <f>ROUND(K596*I596/10000,6)</f>
        <v>0</v>
      </c>
      <c r="N596" s="198">
        <f>'02 项目基础信息（输入）'!$C$39</f>
        <v>0</v>
      </c>
      <c r="O596" s="198">
        <f t="shared" si="72"/>
        <v>0</v>
      </c>
      <c r="P596" s="198">
        <f>'02 项目基础信息（输入）'!$I$39</f>
        <v>0</v>
      </c>
      <c r="Q596" s="233">
        <f t="shared" si="73"/>
        <v>0</v>
      </c>
      <c r="S596" s="217"/>
      <c r="U596" s="220" t="s">
        <v>2375</v>
      </c>
    </row>
    <row r="597" spans="1:21" ht="0" hidden="1" customHeight="1" outlineLevel="2">
      <c r="A597" s="192" t="s">
        <v>1888</v>
      </c>
      <c r="B597" s="192"/>
      <c r="C597" s="197" t="s">
        <v>1609</v>
      </c>
      <c r="D597" s="198">
        <f>'02 项目基础信息（输入）'!$C$39</f>
        <v>0</v>
      </c>
      <c r="E597" s="199" t="s">
        <v>93</v>
      </c>
      <c r="F597" s="197"/>
      <c r="G597" s="199"/>
      <c r="H597" s="199"/>
      <c r="I597" s="197"/>
      <c r="J597" s="199"/>
      <c r="K597" s="207"/>
      <c r="L597" s="209"/>
      <c r="M597" s="198">
        <f>ROUND(SUM(M598:M602),6)</f>
        <v>0</v>
      </c>
      <c r="N597" s="198">
        <f>'02 项目基础信息（输入）'!$C$39</f>
        <v>0</v>
      </c>
      <c r="O597" s="198">
        <f t="shared" si="72"/>
        <v>0</v>
      </c>
      <c r="P597" s="198">
        <f>'02 项目基础信息（输入）'!$I$39</f>
        <v>0</v>
      </c>
      <c r="Q597" s="233">
        <f t="shared" si="73"/>
        <v>0</v>
      </c>
      <c r="S597" s="217" t="s">
        <v>1313</v>
      </c>
      <c r="U597" s="220" t="s">
        <v>2376</v>
      </c>
    </row>
    <row r="598" spans="1:21" ht="0" hidden="1" customHeight="1" outlineLevel="3">
      <c r="A598" s="192" t="s">
        <v>1890</v>
      </c>
      <c r="B598" s="192"/>
      <c r="C598" s="197" t="s">
        <v>1609</v>
      </c>
      <c r="D598" s="198">
        <f>'02 项目基础信息（输入）'!$C$39</f>
        <v>0</v>
      </c>
      <c r="E598" s="199" t="s">
        <v>93</v>
      </c>
      <c r="F598" s="197" t="s">
        <v>1886</v>
      </c>
      <c r="G598" s="199">
        <v>1</v>
      </c>
      <c r="H598" s="199" t="s">
        <v>298</v>
      </c>
      <c r="I598" s="198">
        <f>G598*D598</f>
        <v>0</v>
      </c>
      <c r="J598" s="199" t="s">
        <v>93</v>
      </c>
      <c r="K598" s="208"/>
      <c r="L598" s="209" t="s">
        <v>675</v>
      </c>
      <c r="M598" s="207">
        <f>ROUND(K598*I598/10000,6)</f>
        <v>0</v>
      </c>
      <c r="N598" s="198">
        <f>'02 项目基础信息（输入）'!$C$39</f>
        <v>0</v>
      </c>
      <c r="O598" s="198">
        <f t="shared" si="72"/>
        <v>0</v>
      </c>
      <c r="P598" s="198">
        <f>'02 项目基础信息（输入）'!$I$39</f>
        <v>0</v>
      </c>
      <c r="Q598" s="233">
        <f t="shared" si="73"/>
        <v>0</v>
      </c>
      <c r="S598" s="217"/>
      <c r="U598" s="220" t="s">
        <v>2377</v>
      </c>
    </row>
    <row r="599" spans="1:21" ht="0" hidden="1" customHeight="1" outlineLevel="3">
      <c r="A599" s="192" t="s">
        <v>1892</v>
      </c>
      <c r="B599" s="192"/>
      <c r="C599" s="197" t="s">
        <v>1609</v>
      </c>
      <c r="D599" s="198">
        <f>'02 项目基础信息（输入）'!$C$39</f>
        <v>0</v>
      </c>
      <c r="E599" s="199" t="s">
        <v>93</v>
      </c>
      <c r="F599" s="197" t="s">
        <v>1886</v>
      </c>
      <c r="G599" s="199">
        <v>1</v>
      </c>
      <c r="H599" s="199" t="s">
        <v>298</v>
      </c>
      <c r="I599" s="198">
        <f>G599*D599</f>
        <v>0</v>
      </c>
      <c r="J599" s="199" t="s">
        <v>93</v>
      </c>
      <c r="K599" s="208"/>
      <c r="L599" s="209" t="s">
        <v>675</v>
      </c>
      <c r="M599" s="207">
        <f>ROUND(K599*I599/10000,6)</f>
        <v>0</v>
      </c>
      <c r="N599" s="198">
        <f>'02 项目基础信息（输入）'!$C$39</f>
        <v>0</v>
      </c>
      <c r="O599" s="198">
        <f t="shared" si="72"/>
        <v>0</v>
      </c>
      <c r="P599" s="198">
        <f>'02 项目基础信息（输入）'!$I$39</f>
        <v>0</v>
      </c>
      <c r="Q599" s="233">
        <f t="shared" si="73"/>
        <v>0</v>
      </c>
      <c r="S599" s="217"/>
      <c r="U599" s="220" t="s">
        <v>2378</v>
      </c>
    </row>
    <row r="600" spans="1:21" ht="0" hidden="1" customHeight="1" outlineLevel="3">
      <c r="A600" s="192" t="s">
        <v>1894</v>
      </c>
      <c r="B600" s="192"/>
      <c r="C600" s="197" t="s">
        <v>1609</v>
      </c>
      <c r="D600" s="198">
        <f>'02 项目基础信息（输入）'!$C$39</f>
        <v>0</v>
      </c>
      <c r="E600" s="199" t="s">
        <v>93</v>
      </c>
      <c r="F600" s="197" t="s">
        <v>1886</v>
      </c>
      <c r="G600" s="199">
        <v>1</v>
      </c>
      <c r="H600" s="199" t="s">
        <v>298</v>
      </c>
      <c r="I600" s="198">
        <f>G600*D600</f>
        <v>0</v>
      </c>
      <c r="J600" s="199" t="s">
        <v>93</v>
      </c>
      <c r="K600" s="208"/>
      <c r="L600" s="209" t="s">
        <v>675</v>
      </c>
      <c r="M600" s="207">
        <f>ROUND(K600*I600/10000,6)</f>
        <v>0</v>
      </c>
      <c r="N600" s="198">
        <f>'02 项目基础信息（输入）'!$C$39</f>
        <v>0</v>
      </c>
      <c r="O600" s="198">
        <f t="shared" si="72"/>
        <v>0</v>
      </c>
      <c r="P600" s="198">
        <f>'02 项目基础信息（输入）'!$I$39</f>
        <v>0</v>
      </c>
      <c r="Q600" s="233">
        <f t="shared" si="73"/>
        <v>0</v>
      </c>
      <c r="S600" s="217"/>
      <c r="U600" s="220" t="s">
        <v>2379</v>
      </c>
    </row>
    <row r="601" spans="1:21" ht="0" hidden="1" customHeight="1" outlineLevel="3">
      <c r="A601" s="192" t="s">
        <v>1896</v>
      </c>
      <c r="B601" s="192"/>
      <c r="C601" s="197" t="s">
        <v>1609</v>
      </c>
      <c r="D601" s="198">
        <f>'02 项目基础信息（输入）'!$C$39</f>
        <v>0</v>
      </c>
      <c r="E601" s="199" t="s">
        <v>93</v>
      </c>
      <c r="F601" s="197" t="s">
        <v>1886</v>
      </c>
      <c r="G601" s="199">
        <v>1</v>
      </c>
      <c r="H601" s="199" t="s">
        <v>298</v>
      </c>
      <c r="I601" s="198">
        <f>G601*D601</f>
        <v>0</v>
      </c>
      <c r="J601" s="199" t="s">
        <v>93</v>
      </c>
      <c r="K601" s="208"/>
      <c r="L601" s="209" t="s">
        <v>675</v>
      </c>
      <c r="M601" s="207">
        <f>ROUND(K601*I601/10000,6)</f>
        <v>0</v>
      </c>
      <c r="N601" s="198">
        <f>'02 项目基础信息（输入）'!$C$39</f>
        <v>0</v>
      </c>
      <c r="O601" s="198">
        <f t="shared" si="72"/>
        <v>0</v>
      </c>
      <c r="P601" s="198">
        <f>'02 项目基础信息（输入）'!$I$39</f>
        <v>0</v>
      </c>
      <c r="Q601" s="233">
        <f t="shared" si="73"/>
        <v>0</v>
      </c>
      <c r="S601" s="217"/>
      <c r="U601" s="220" t="s">
        <v>2380</v>
      </c>
    </row>
    <row r="602" spans="1:21" ht="0" hidden="1" customHeight="1" outlineLevel="3">
      <c r="A602" s="192" t="s">
        <v>1898</v>
      </c>
      <c r="B602" s="192"/>
      <c r="C602" s="197" t="s">
        <v>1609</v>
      </c>
      <c r="D602" s="198">
        <f>'02 项目基础信息（输入）'!$C$39</f>
        <v>0</v>
      </c>
      <c r="E602" s="199" t="s">
        <v>93</v>
      </c>
      <c r="F602" s="197" t="s">
        <v>1886</v>
      </c>
      <c r="G602" s="199">
        <v>1</v>
      </c>
      <c r="H602" s="199" t="s">
        <v>298</v>
      </c>
      <c r="I602" s="198">
        <f>G602*D602</f>
        <v>0</v>
      </c>
      <c r="J602" s="199" t="s">
        <v>93</v>
      </c>
      <c r="K602" s="208"/>
      <c r="L602" s="209" t="s">
        <v>675</v>
      </c>
      <c r="M602" s="207">
        <f>ROUND(K602*I602/10000,6)</f>
        <v>0</v>
      </c>
      <c r="N602" s="198">
        <f>'02 项目基础信息（输入）'!$C$39</f>
        <v>0</v>
      </c>
      <c r="O602" s="198">
        <f t="shared" si="72"/>
        <v>0</v>
      </c>
      <c r="P602" s="198">
        <f>'02 项目基础信息（输入）'!$I$39</f>
        <v>0</v>
      </c>
      <c r="Q602" s="233">
        <f t="shared" si="73"/>
        <v>0</v>
      </c>
      <c r="S602" s="217"/>
      <c r="U602" s="220" t="s">
        <v>2381</v>
      </c>
    </row>
    <row r="603" spans="1:21" ht="0" hidden="1" customHeight="1" outlineLevel="2">
      <c r="A603" s="192" t="s">
        <v>1900</v>
      </c>
      <c r="B603" s="192"/>
      <c r="C603" s="197" t="s">
        <v>1609</v>
      </c>
      <c r="D603" s="198">
        <f>'02 项目基础信息（输入）'!$C$39</f>
        <v>0</v>
      </c>
      <c r="E603" s="199" t="s">
        <v>93</v>
      </c>
      <c r="F603" s="197"/>
      <c r="G603" s="199"/>
      <c r="H603" s="199"/>
      <c r="I603" s="197"/>
      <c r="J603" s="199"/>
      <c r="K603" s="207"/>
      <c r="L603" s="209"/>
      <c r="M603" s="198">
        <f>ROUND(SUM(M604:M609),6)</f>
        <v>0</v>
      </c>
      <c r="N603" s="198">
        <f>'02 项目基础信息（输入）'!$C$39</f>
        <v>0</v>
      </c>
      <c r="O603" s="198">
        <f t="shared" si="72"/>
        <v>0</v>
      </c>
      <c r="P603" s="198">
        <f>'02 项目基础信息（输入）'!$I$39</f>
        <v>0</v>
      </c>
      <c r="Q603" s="233">
        <f t="shared" si="73"/>
        <v>0</v>
      </c>
      <c r="S603" s="217" t="s">
        <v>1314</v>
      </c>
      <c r="U603" s="220" t="s">
        <v>2382</v>
      </c>
    </row>
    <row r="604" spans="1:21" ht="0" hidden="1" customHeight="1" outlineLevel="3">
      <c r="A604" s="192" t="s">
        <v>1902</v>
      </c>
      <c r="B604" s="192"/>
      <c r="C604" s="197" t="s">
        <v>309</v>
      </c>
      <c r="D604" s="198">
        <f>'02 项目基础信息（输入）'!$AC$39</f>
        <v>0</v>
      </c>
      <c r="E604" s="199" t="s">
        <v>310</v>
      </c>
      <c r="F604" s="197" t="s">
        <v>309</v>
      </c>
      <c r="G604" s="199">
        <v>1</v>
      </c>
      <c r="H604" s="199" t="s">
        <v>1903</v>
      </c>
      <c r="I604" s="198">
        <f t="shared" ref="I604:I609" si="74">G604*D604</f>
        <v>0</v>
      </c>
      <c r="J604" s="199" t="s">
        <v>310</v>
      </c>
      <c r="K604" s="228">
        <f>'03 成本测算（输入）'!$D$64</f>
        <v>0</v>
      </c>
      <c r="L604" s="209" t="s">
        <v>736</v>
      </c>
      <c r="M604" s="207">
        <f t="shared" ref="M604:M609" si="75">ROUND(K604*I604/10000,6)</f>
        <v>0</v>
      </c>
      <c r="N604" s="198">
        <f>'02 项目基础信息（输入）'!$C$39</f>
        <v>0</v>
      </c>
      <c r="O604" s="198">
        <f t="shared" si="72"/>
        <v>0</v>
      </c>
      <c r="P604" s="198">
        <f>'02 项目基础信息（输入）'!$I$39</f>
        <v>0</v>
      </c>
      <c r="Q604" s="233">
        <f t="shared" si="73"/>
        <v>0</v>
      </c>
      <c r="S604" s="217"/>
      <c r="U604" s="220" t="s">
        <v>2383</v>
      </c>
    </row>
    <row r="605" spans="1:21" ht="0" hidden="1" customHeight="1" outlineLevel="3">
      <c r="A605" s="192" t="s">
        <v>1905</v>
      </c>
      <c r="B605" s="192"/>
      <c r="C605" s="197" t="s">
        <v>309</v>
      </c>
      <c r="D605" s="198">
        <f>'02 项目基础信息（输入）'!$AC$39</f>
        <v>0</v>
      </c>
      <c r="E605" s="199" t="s">
        <v>310</v>
      </c>
      <c r="F605" s="197" t="s">
        <v>309</v>
      </c>
      <c r="G605" s="199">
        <v>1</v>
      </c>
      <c r="H605" s="199" t="s">
        <v>1903</v>
      </c>
      <c r="I605" s="198">
        <f t="shared" si="74"/>
        <v>0</v>
      </c>
      <c r="J605" s="199" t="s">
        <v>310</v>
      </c>
      <c r="K605" s="207">
        <v>0</v>
      </c>
      <c r="L605" s="209" t="s">
        <v>736</v>
      </c>
      <c r="M605" s="207">
        <f t="shared" si="75"/>
        <v>0</v>
      </c>
      <c r="N605" s="198">
        <f>'02 项目基础信息（输入）'!$C$39</f>
        <v>0</v>
      </c>
      <c r="O605" s="198">
        <f t="shared" si="72"/>
        <v>0</v>
      </c>
      <c r="P605" s="198">
        <f>'02 项目基础信息（输入）'!$I$39</f>
        <v>0</v>
      </c>
      <c r="Q605" s="233">
        <f t="shared" si="73"/>
        <v>0</v>
      </c>
      <c r="S605" s="217"/>
      <c r="U605" s="220" t="s">
        <v>2384</v>
      </c>
    </row>
    <row r="606" spans="1:21" ht="0" hidden="1" customHeight="1" outlineLevel="3">
      <c r="A606" s="192" t="s">
        <v>1907</v>
      </c>
      <c r="B606" s="192"/>
      <c r="C606" s="197" t="s">
        <v>309</v>
      </c>
      <c r="D606" s="198">
        <f>'02 项目基础信息（输入）'!$AC$39</f>
        <v>0</v>
      </c>
      <c r="E606" s="199" t="s">
        <v>310</v>
      </c>
      <c r="F606" s="197" t="s">
        <v>309</v>
      </c>
      <c r="G606" s="199">
        <v>1</v>
      </c>
      <c r="H606" s="199" t="s">
        <v>1903</v>
      </c>
      <c r="I606" s="198">
        <f t="shared" si="74"/>
        <v>0</v>
      </c>
      <c r="J606" s="199" t="s">
        <v>310</v>
      </c>
      <c r="K606" s="207">
        <v>0</v>
      </c>
      <c r="L606" s="209" t="s">
        <v>736</v>
      </c>
      <c r="M606" s="207">
        <f t="shared" si="75"/>
        <v>0</v>
      </c>
      <c r="N606" s="198">
        <f>'02 项目基础信息（输入）'!$C$39</f>
        <v>0</v>
      </c>
      <c r="O606" s="198">
        <f t="shared" si="72"/>
        <v>0</v>
      </c>
      <c r="P606" s="198">
        <f>'02 项目基础信息（输入）'!$I$39</f>
        <v>0</v>
      </c>
      <c r="Q606" s="233">
        <f t="shared" si="73"/>
        <v>0</v>
      </c>
      <c r="S606" s="217"/>
      <c r="U606" s="220" t="s">
        <v>2385</v>
      </c>
    </row>
    <row r="607" spans="1:21" ht="0" hidden="1" customHeight="1" outlineLevel="3">
      <c r="A607" s="192" t="s">
        <v>1909</v>
      </c>
      <c r="B607" s="192"/>
      <c r="C607" s="197" t="s">
        <v>309</v>
      </c>
      <c r="D607" s="198">
        <f>'02 项目基础信息（输入）'!$AC$39</f>
        <v>0</v>
      </c>
      <c r="E607" s="199" t="s">
        <v>310</v>
      </c>
      <c r="F607" s="197" t="s">
        <v>309</v>
      </c>
      <c r="G607" s="199">
        <v>1</v>
      </c>
      <c r="H607" s="199" t="s">
        <v>1903</v>
      </c>
      <c r="I607" s="198">
        <f t="shared" si="74"/>
        <v>0</v>
      </c>
      <c r="J607" s="199" t="s">
        <v>310</v>
      </c>
      <c r="K607" s="207">
        <v>0</v>
      </c>
      <c r="L607" s="209" t="s">
        <v>736</v>
      </c>
      <c r="M607" s="207">
        <f t="shared" si="75"/>
        <v>0</v>
      </c>
      <c r="N607" s="198">
        <f>'02 项目基础信息（输入）'!$C$39</f>
        <v>0</v>
      </c>
      <c r="O607" s="198">
        <f t="shared" si="72"/>
        <v>0</v>
      </c>
      <c r="P607" s="198">
        <f>'02 项目基础信息（输入）'!$I$39</f>
        <v>0</v>
      </c>
      <c r="Q607" s="233">
        <f t="shared" si="73"/>
        <v>0</v>
      </c>
      <c r="S607" s="217"/>
      <c r="U607" s="220" t="s">
        <v>2386</v>
      </c>
    </row>
    <row r="608" spans="1:21" ht="0" hidden="1" customHeight="1" outlineLevel="3">
      <c r="A608" s="192" t="s">
        <v>1911</v>
      </c>
      <c r="B608" s="192"/>
      <c r="C608" s="197" t="s">
        <v>309</v>
      </c>
      <c r="D608" s="198">
        <f>'02 项目基础信息（输入）'!$AC$39</f>
        <v>0</v>
      </c>
      <c r="E608" s="199" t="s">
        <v>310</v>
      </c>
      <c r="F608" s="197" t="s">
        <v>309</v>
      </c>
      <c r="G608" s="199">
        <v>1</v>
      </c>
      <c r="H608" s="199" t="s">
        <v>1903</v>
      </c>
      <c r="I608" s="198">
        <f t="shared" si="74"/>
        <v>0</v>
      </c>
      <c r="J608" s="199" t="s">
        <v>310</v>
      </c>
      <c r="K608" s="207">
        <v>0</v>
      </c>
      <c r="L608" s="209" t="s">
        <v>736</v>
      </c>
      <c r="M608" s="207">
        <f t="shared" si="75"/>
        <v>0</v>
      </c>
      <c r="N608" s="198">
        <f>'02 项目基础信息（输入）'!$C$39</f>
        <v>0</v>
      </c>
      <c r="O608" s="198">
        <f t="shared" si="72"/>
        <v>0</v>
      </c>
      <c r="P608" s="198">
        <f>'02 项目基础信息（输入）'!$I$39</f>
        <v>0</v>
      </c>
      <c r="Q608" s="233">
        <f t="shared" si="73"/>
        <v>0</v>
      </c>
      <c r="S608" s="217"/>
      <c r="U608" s="220" t="s">
        <v>2387</v>
      </c>
    </row>
    <row r="609" spans="1:21" ht="0" hidden="1" customHeight="1" outlineLevel="3">
      <c r="A609" s="192" t="s">
        <v>1913</v>
      </c>
      <c r="B609" s="192"/>
      <c r="C609" s="197" t="s">
        <v>309</v>
      </c>
      <c r="D609" s="198">
        <f>'02 项目基础信息（输入）'!$AC$39</f>
        <v>0</v>
      </c>
      <c r="E609" s="199" t="s">
        <v>310</v>
      </c>
      <c r="F609" s="197" t="s">
        <v>309</v>
      </c>
      <c r="G609" s="199">
        <v>1</v>
      </c>
      <c r="H609" s="199" t="s">
        <v>1903</v>
      </c>
      <c r="I609" s="198">
        <f t="shared" si="74"/>
        <v>0</v>
      </c>
      <c r="J609" s="199" t="s">
        <v>310</v>
      </c>
      <c r="K609" s="207">
        <v>0</v>
      </c>
      <c r="L609" s="209" t="s">
        <v>736</v>
      </c>
      <c r="M609" s="207">
        <f t="shared" si="75"/>
        <v>0</v>
      </c>
      <c r="N609" s="198">
        <f>'02 项目基础信息（输入）'!$C$39</f>
        <v>0</v>
      </c>
      <c r="O609" s="198">
        <f t="shared" si="72"/>
        <v>0</v>
      </c>
      <c r="P609" s="198">
        <f>'02 项目基础信息（输入）'!$I$39</f>
        <v>0</v>
      </c>
      <c r="Q609" s="233">
        <f t="shared" si="73"/>
        <v>0</v>
      </c>
      <c r="S609" s="217"/>
      <c r="U609" s="220" t="s">
        <v>2388</v>
      </c>
    </row>
    <row r="610" spans="1:21" ht="0" hidden="1" customHeight="1" outlineLevel="2">
      <c r="A610" s="192" t="s">
        <v>2178</v>
      </c>
      <c r="B610" s="192"/>
      <c r="C610" s="197" t="s">
        <v>1609</v>
      </c>
      <c r="D610" s="198">
        <f>'02 项目基础信息（输入）'!$C$39</f>
        <v>0</v>
      </c>
      <c r="E610" s="199" t="s">
        <v>93</v>
      </c>
      <c r="F610" s="197"/>
      <c r="G610" s="199"/>
      <c r="H610" s="199"/>
      <c r="I610" s="197"/>
      <c r="J610" s="199"/>
      <c r="K610" s="207"/>
      <c r="L610" s="209"/>
      <c r="M610" s="198">
        <f>ROUND(SUM(M611),6)</f>
        <v>0</v>
      </c>
      <c r="N610" s="198">
        <f>'02 项目基础信息（输入）'!$C$39</f>
        <v>0</v>
      </c>
      <c r="O610" s="198">
        <f t="shared" si="72"/>
        <v>0</v>
      </c>
      <c r="P610" s="198">
        <f>'02 项目基础信息（输入）'!$I$39</f>
        <v>0</v>
      </c>
      <c r="Q610" s="233">
        <f t="shared" si="73"/>
        <v>0</v>
      </c>
      <c r="S610" s="217" t="s">
        <v>1313</v>
      </c>
      <c r="U610" s="220" t="s">
        <v>2389</v>
      </c>
    </row>
    <row r="611" spans="1:21" ht="0" hidden="1" customHeight="1" outlineLevel="3">
      <c r="A611" s="192" t="s">
        <v>2180</v>
      </c>
      <c r="B611" s="192"/>
      <c r="C611" s="197" t="s">
        <v>309</v>
      </c>
      <c r="D611" s="198">
        <f>'02 项目基础信息（输入）'!$AC$39</f>
        <v>0</v>
      </c>
      <c r="E611" s="199" t="s">
        <v>310</v>
      </c>
      <c r="F611" s="197" t="s">
        <v>309</v>
      </c>
      <c r="G611" s="199">
        <v>1</v>
      </c>
      <c r="H611" s="199" t="s">
        <v>1903</v>
      </c>
      <c r="I611" s="198">
        <f>G611*D611</f>
        <v>0</v>
      </c>
      <c r="J611" s="199" t="s">
        <v>310</v>
      </c>
      <c r="K611" s="208"/>
      <c r="L611" s="209" t="s">
        <v>736</v>
      </c>
      <c r="M611" s="207">
        <f>ROUND(K611*I611/10000,6)</f>
        <v>0</v>
      </c>
      <c r="N611" s="198">
        <f>'02 项目基础信息（输入）'!$C$39</f>
        <v>0</v>
      </c>
      <c r="O611" s="198">
        <f t="shared" si="72"/>
        <v>0</v>
      </c>
      <c r="P611" s="198">
        <f>'02 项目基础信息（输入）'!$I$39</f>
        <v>0</v>
      </c>
      <c r="Q611" s="233">
        <f t="shared" si="73"/>
        <v>0</v>
      </c>
      <c r="S611" s="217"/>
      <c r="U611" s="220" t="s">
        <v>2390</v>
      </c>
    </row>
    <row r="612" spans="1:21" ht="0" hidden="1" customHeight="1" outlineLevel="2">
      <c r="A612" s="192" t="s">
        <v>2182</v>
      </c>
      <c r="B612" s="192"/>
      <c r="C612" s="197" t="s">
        <v>1609</v>
      </c>
      <c r="D612" s="198">
        <f>'02 项目基础信息（输入）'!$C$39</f>
        <v>0</v>
      </c>
      <c r="E612" s="199" t="s">
        <v>93</v>
      </c>
      <c r="F612" s="197"/>
      <c r="G612" s="199"/>
      <c r="H612" s="199"/>
      <c r="I612" s="197"/>
      <c r="J612" s="199"/>
      <c r="K612" s="207"/>
      <c r="L612" s="209"/>
      <c r="M612" s="198">
        <f>ROUND(SUM(M613),6)</f>
        <v>0</v>
      </c>
      <c r="N612" s="198">
        <f>'02 项目基础信息（输入）'!$C$39</f>
        <v>0</v>
      </c>
      <c r="O612" s="198">
        <f t="shared" si="72"/>
        <v>0</v>
      </c>
      <c r="P612" s="198">
        <f>'02 项目基础信息（输入）'!$I$39</f>
        <v>0</v>
      </c>
      <c r="Q612" s="233">
        <f t="shared" si="73"/>
        <v>0</v>
      </c>
      <c r="S612" s="217" t="s">
        <v>1313</v>
      </c>
      <c r="U612" s="220" t="s">
        <v>2391</v>
      </c>
    </row>
    <row r="613" spans="1:21" ht="0" hidden="1" customHeight="1" outlineLevel="3">
      <c r="A613" s="192" t="s">
        <v>2184</v>
      </c>
      <c r="B613" s="192"/>
      <c r="C613" s="197" t="s">
        <v>309</v>
      </c>
      <c r="D613" s="198">
        <f>'02 项目基础信息（输入）'!$AC$39</f>
        <v>0</v>
      </c>
      <c r="E613" s="199" t="s">
        <v>310</v>
      </c>
      <c r="F613" s="197" t="s">
        <v>309</v>
      </c>
      <c r="G613" s="199">
        <v>1</v>
      </c>
      <c r="H613" s="199" t="s">
        <v>1903</v>
      </c>
      <c r="I613" s="198">
        <f>G613*D613</f>
        <v>0</v>
      </c>
      <c r="J613" s="199" t="s">
        <v>310</v>
      </c>
      <c r="K613" s="208"/>
      <c r="L613" s="209" t="s">
        <v>736</v>
      </c>
      <c r="M613" s="198">
        <f>ROUND(K613*I613/10000,6)</f>
        <v>0</v>
      </c>
      <c r="N613" s="198">
        <f>'02 项目基础信息（输入）'!$C$39</f>
        <v>0</v>
      </c>
      <c r="O613" s="198">
        <f t="shared" si="72"/>
        <v>0</v>
      </c>
      <c r="P613" s="198">
        <f>'02 项目基础信息（输入）'!$I$39</f>
        <v>0</v>
      </c>
      <c r="Q613" s="233">
        <f t="shared" si="73"/>
        <v>0</v>
      </c>
      <c r="S613" s="217"/>
      <c r="U613" s="220" t="s">
        <v>2392</v>
      </c>
    </row>
    <row r="614" spans="1:21" ht="0" hidden="1" customHeight="1" outlineLevel="2">
      <c r="A614" s="192" t="s">
        <v>1915</v>
      </c>
      <c r="B614" s="192"/>
      <c r="C614" s="197" t="s">
        <v>1609</v>
      </c>
      <c r="D614" s="198">
        <f>'02 项目基础信息（输入）'!$C$39</f>
        <v>0</v>
      </c>
      <c r="E614" s="199" t="s">
        <v>93</v>
      </c>
      <c r="F614" s="197"/>
      <c r="G614" s="199"/>
      <c r="H614" s="199"/>
      <c r="I614" s="197"/>
      <c r="J614" s="199"/>
      <c r="K614" s="207"/>
      <c r="L614" s="209"/>
      <c r="M614" s="198">
        <f>ROUND(SUM(M615:M617),6)</f>
        <v>0</v>
      </c>
      <c r="N614" s="198">
        <f>'02 项目基础信息（输入）'!$C$39</f>
        <v>0</v>
      </c>
      <c r="O614" s="198">
        <f t="shared" si="72"/>
        <v>0</v>
      </c>
      <c r="P614" s="198">
        <f>'02 项目基础信息（输入）'!$I$39</f>
        <v>0</v>
      </c>
      <c r="Q614" s="233">
        <f t="shared" si="73"/>
        <v>0</v>
      </c>
      <c r="S614" s="217" t="s">
        <v>1314</v>
      </c>
      <c r="U614" s="220" t="s">
        <v>2393</v>
      </c>
    </row>
    <row r="615" spans="1:21" ht="0" hidden="1" customHeight="1" outlineLevel="3">
      <c r="A615" s="192" t="s">
        <v>1917</v>
      </c>
      <c r="B615" s="192"/>
      <c r="C615" s="197" t="s">
        <v>455</v>
      </c>
      <c r="D615" s="198">
        <f>'02 项目基础信息（输入）'!$J$39</f>
        <v>0</v>
      </c>
      <c r="E615" s="199" t="s">
        <v>400</v>
      </c>
      <c r="F615" s="197" t="s">
        <v>455</v>
      </c>
      <c r="G615" s="199">
        <v>1</v>
      </c>
      <c r="H615" s="199" t="s">
        <v>1918</v>
      </c>
      <c r="I615" s="198">
        <f>G615*D615</f>
        <v>0</v>
      </c>
      <c r="J615" s="199" t="s">
        <v>1082</v>
      </c>
      <c r="K615" s="228">
        <f>'03 成本测算（输入）'!$D$66</f>
        <v>0</v>
      </c>
      <c r="L615" s="209" t="s">
        <v>1087</v>
      </c>
      <c r="M615" s="207">
        <f>ROUND(K615*I615/10000,6)</f>
        <v>0</v>
      </c>
      <c r="N615" s="198">
        <f>'02 项目基础信息（输入）'!$C$39</f>
        <v>0</v>
      </c>
      <c r="O615" s="198">
        <f t="shared" si="72"/>
        <v>0</v>
      </c>
      <c r="P615" s="198">
        <f>'02 项目基础信息（输入）'!$I$39</f>
        <v>0</v>
      </c>
      <c r="Q615" s="233">
        <f t="shared" si="73"/>
        <v>0</v>
      </c>
      <c r="S615" s="217"/>
      <c r="U615" s="220" t="s">
        <v>2394</v>
      </c>
    </row>
    <row r="616" spans="1:21" ht="0" hidden="1" customHeight="1" outlineLevel="3">
      <c r="A616" s="192" t="s">
        <v>1920</v>
      </c>
      <c r="B616" s="192"/>
      <c r="C616" s="197" t="s">
        <v>455</v>
      </c>
      <c r="D616" s="198">
        <f>'02 项目基础信息（输入）'!$J$39</f>
        <v>0</v>
      </c>
      <c r="E616" s="199" t="s">
        <v>400</v>
      </c>
      <c r="F616" s="197" t="s">
        <v>455</v>
      </c>
      <c r="G616" s="199">
        <v>1</v>
      </c>
      <c r="H616" s="199" t="s">
        <v>1918</v>
      </c>
      <c r="I616" s="198">
        <f>G616*D616</f>
        <v>0</v>
      </c>
      <c r="J616" s="199" t="s">
        <v>1082</v>
      </c>
      <c r="K616" s="228">
        <f>'03 成本测算（输入）'!$D$67</f>
        <v>0</v>
      </c>
      <c r="L616" s="209" t="s">
        <v>1087</v>
      </c>
      <c r="M616" s="207">
        <f>ROUND(K616*I616/10000,6)</f>
        <v>0</v>
      </c>
      <c r="N616" s="198">
        <f>'02 项目基础信息（输入）'!$C$39</f>
        <v>0</v>
      </c>
      <c r="O616" s="198">
        <f t="shared" si="72"/>
        <v>0</v>
      </c>
      <c r="P616" s="198">
        <f>'02 项目基础信息（输入）'!$I$39</f>
        <v>0</v>
      </c>
      <c r="Q616" s="233">
        <f t="shared" si="73"/>
        <v>0</v>
      </c>
      <c r="S616" s="217"/>
      <c r="U616" s="220" t="s">
        <v>2395</v>
      </c>
    </row>
    <row r="617" spans="1:21" ht="0" hidden="1" customHeight="1" outlineLevel="3">
      <c r="A617" s="192" t="s">
        <v>1922</v>
      </c>
      <c r="B617" s="192"/>
      <c r="C617" s="197" t="s">
        <v>455</v>
      </c>
      <c r="D617" s="198">
        <f>'02 项目基础信息（输入）'!$J$39</f>
        <v>0</v>
      </c>
      <c r="E617" s="199" t="s">
        <v>400</v>
      </c>
      <c r="F617" s="197" t="s">
        <v>455</v>
      </c>
      <c r="G617" s="199">
        <v>1</v>
      </c>
      <c r="H617" s="199" t="s">
        <v>1918</v>
      </c>
      <c r="I617" s="198">
        <f>G617*D617</f>
        <v>0</v>
      </c>
      <c r="J617" s="199" t="s">
        <v>1082</v>
      </c>
      <c r="K617" s="207">
        <v>0</v>
      </c>
      <c r="L617" s="209" t="s">
        <v>1087</v>
      </c>
      <c r="M617" s="207">
        <f>ROUND(K617*I617/10000,6)</f>
        <v>0</v>
      </c>
      <c r="N617" s="198">
        <f>'02 项目基础信息（输入）'!$C$39</f>
        <v>0</v>
      </c>
      <c r="O617" s="198">
        <f t="shared" si="72"/>
        <v>0</v>
      </c>
      <c r="P617" s="198">
        <f>'02 项目基础信息（输入）'!$I$39</f>
        <v>0</v>
      </c>
      <c r="Q617" s="233">
        <f t="shared" si="73"/>
        <v>0</v>
      </c>
      <c r="S617" s="217"/>
      <c r="U617" s="220" t="s">
        <v>2396</v>
      </c>
    </row>
    <row r="618" spans="1:21" ht="0" hidden="1" customHeight="1" outlineLevel="2">
      <c r="A618" s="192" t="s">
        <v>1924</v>
      </c>
      <c r="B618" s="192"/>
      <c r="C618" s="197" t="s">
        <v>1609</v>
      </c>
      <c r="D618" s="198">
        <f>'02 项目基础信息（输入）'!$C$39</f>
        <v>0</v>
      </c>
      <c r="E618" s="199" t="s">
        <v>93</v>
      </c>
      <c r="F618" s="197"/>
      <c r="G618" s="199"/>
      <c r="H618" s="199"/>
      <c r="I618" s="197"/>
      <c r="J618" s="199"/>
      <c r="K618" s="207"/>
      <c r="L618" s="209"/>
      <c r="M618" s="198">
        <f>ROUND(SUM(M619),6)</f>
        <v>0</v>
      </c>
      <c r="N618" s="198">
        <f>'02 项目基础信息（输入）'!$C$39</f>
        <v>0</v>
      </c>
      <c r="O618" s="198">
        <f t="shared" si="72"/>
        <v>0</v>
      </c>
      <c r="P618" s="198">
        <f>'02 项目基础信息（输入）'!$I$39</f>
        <v>0</v>
      </c>
      <c r="Q618" s="233">
        <f t="shared" si="73"/>
        <v>0</v>
      </c>
      <c r="S618" s="217" t="s">
        <v>1313</v>
      </c>
      <c r="U618" s="220" t="s">
        <v>2397</v>
      </c>
    </row>
    <row r="619" spans="1:21" ht="0" hidden="1" customHeight="1" outlineLevel="3">
      <c r="A619" s="192" t="s">
        <v>1926</v>
      </c>
      <c r="B619" s="192"/>
      <c r="C619" s="197" t="s">
        <v>1609</v>
      </c>
      <c r="D619" s="198">
        <f>'02 项目基础信息（输入）'!$C$39</f>
        <v>0</v>
      </c>
      <c r="E619" s="199" t="s">
        <v>93</v>
      </c>
      <c r="F619" s="197" t="s">
        <v>1927</v>
      </c>
      <c r="G619" s="209">
        <v>0</v>
      </c>
      <c r="H619" s="199" t="s">
        <v>298</v>
      </c>
      <c r="I619" s="198">
        <f>G619*D619</f>
        <v>0</v>
      </c>
      <c r="J619" s="199" t="s">
        <v>93</v>
      </c>
      <c r="K619" s="207">
        <v>0</v>
      </c>
      <c r="L619" s="209" t="s">
        <v>675</v>
      </c>
      <c r="M619" s="207">
        <f>ROUND(K619*I619/10000,6)</f>
        <v>0</v>
      </c>
      <c r="N619" s="198">
        <f>'02 项目基础信息（输入）'!$C$39</f>
        <v>0</v>
      </c>
      <c r="O619" s="198">
        <f t="shared" si="72"/>
        <v>0</v>
      </c>
      <c r="P619" s="198">
        <f>'02 项目基础信息（输入）'!$I$39</f>
        <v>0</v>
      </c>
      <c r="Q619" s="233">
        <f t="shared" si="73"/>
        <v>0</v>
      </c>
      <c r="S619" s="217"/>
      <c r="U619" s="220" t="s">
        <v>2398</v>
      </c>
    </row>
    <row r="620" spans="1:21" ht="0" hidden="1" customHeight="1" outlineLevel="2">
      <c r="A620" s="192" t="s">
        <v>1931</v>
      </c>
      <c r="B620" s="192"/>
      <c r="C620" s="197" t="s">
        <v>1609</v>
      </c>
      <c r="D620" s="198">
        <f>'02 项目基础信息（输入）'!$C$39</f>
        <v>0</v>
      </c>
      <c r="E620" s="199" t="s">
        <v>93</v>
      </c>
      <c r="F620" s="197"/>
      <c r="G620" s="199"/>
      <c r="H620" s="199"/>
      <c r="I620" s="197"/>
      <c r="J620" s="199"/>
      <c r="K620" s="207"/>
      <c r="L620" s="209"/>
      <c r="M620" s="198">
        <f>ROUND(SUM(M621),6)</f>
        <v>0</v>
      </c>
      <c r="N620" s="198">
        <f>'02 项目基础信息（输入）'!$C$39</f>
        <v>0</v>
      </c>
      <c r="O620" s="198">
        <f t="shared" si="72"/>
        <v>0</v>
      </c>
      <c r="P620" s="198">
        <f>'02 项目基础信息（输入）'!$I$39</f>
        <v>0</v>
      </c>
      <c r="Q620" s="233">
        <f t="shared" si="73"/>
        <v>0</v>
      </c>
      <c r="S620" s="217" t="s">
        <v>1313</v>
      </c>
      <c r="U620" s="220" t="s">
        <v>2399</v>
      </c>
    </row>
    <row r="621" spans="1:21" ht="0" hidden="1" customHeight="1" outlineLevel="3">
      <c r="A621" s="192" t="s">
        <v>1933</v>
      </c>
      <c r="B621" s="192"/>
      <c r="C621" s="197" t="s">
        <v>1609</v>
      </c>
      <c r="D621" s="198">
        <f>'02 项目基础信息（输入）'!$C$39</f>
        <v>0</v>
      </c>
      <c r="E621" s="199" t="s">
        <v>93</v>
      </c>
      <c r="F621" s="197" t="s">
        <v>1886</v>
      </c>
      <c r="G621" s="199">
        <v>1</v>
      </c>
      <c r="H621" s="199" t="s">
        <v>298</v>
      </c>
      <c r="I621" s="198">
        <f>G621*D621</f>
        <v>0</v>
      </c>
      <c r="J621" s="199" t="s">
        <v>93</v>
      </c>
      <c r="K621" s="207">
        <v>0</v>
      </c>
      <c r="L621" s="209" t="s">
        <v>675</v>
      </c>
      <c r="M621" s="207">
        <f>ROUND(K621*I621/10000,6)</f>
        <v>0</v>
      </c>
      <c r="N621" s="198">
        <f>'02 项目基础信息（输入）'!$C$39</f>
        <v>0</v>
      </c>
      <c r="O621" s="198">
        <f t="shared" si="72"/>
        <v>0</v>
      </c>
      <c r="P621" s="198">
        <f>'02 项目基础信息（输入）'!$I$39</f>
        <v>0</v>
      </c>
      <c r="Q621" s="233">
        <f t="shared" si="73"/>
        <v>0</v>
      </c>
      <c r="S621" s="217"/>
      <c r="U621" s="220" t="s">
        <v>2400</v>
      </c>
    </row>
    <row r="622" spans="1:21" ht="0" hidden="1" customHeight="1" outlineLevel="2">
      <c r="A622" s="192" t="s">
        <v>1935</v>
      </c>
      <c r="B622" s="192"/>
      <c r="C622" s="197" t="s">
        <v>1609</v>
      </c>
      <c r="D622" s="198">
        <f>'02 项目基础信息（输入）'!$C$39</f>
        <v>0</v>
      </c>
      <c r="E622" s="199" t="s">
        <v>93</v>
      </c>
      <c r="F622" s="197"/>
      <c r="G622" s="199"/>
      <c r="H622" s="199"/>
      <c r="I622" s="197"/>
      <c r="J622" s="199"/>
      <c r="K622" s="207"/>
      <c r="L622" s="209"/>
      <c r="M622" s="198">
        <f>ROUND(SUM(M623:M625),6)</f>
        <v>0</v>
      </c>
      <c r="N622" s="198">
        <f>'02 项目基础信息（输入）'!$C$39</f>
        <v>0</v>
      </c>
      <c r="O622" s="198">
        <f t="shared" si="72"/>
        <v>0</v>
      </c>
      <c r="P622" s="198">
        <f>'02 项目基础信息（输入）'!$I$39</f>
        <v>0</v>
      </c>
      <c r="Q622" s="233">
        <f t="shared" si="73"/>
        <v>0</v>
      </c>
      <c r="S622" s="217" t="s">
        <v>1313</v>
      </c>
      <c r="U622" s="220" t="s">
        <v>2401</v>
      </c>
    </row>
    <row r="623" spans="1:21" ht="0" hidden="1" customHeight="1" outlineLevel="3">
      <c r="A623" s="192" t="s">
        <v>2195</v>
      </c>
      <c r="B623" s="192"/>
      <c r="C623" s="197" t="s">
        <v>309</v>
      </c>
      <c r="D623" s="198">
        <f>'02 项目基础信息（输入）'!$AC$39</f>
        <v>0</v>
      </c>
      <c r="E623" s="199" t="s">
        <v>310</v>
      </c>
      <c r="F623" s="197" t="s">
        <v>2196</v>
      </c>
      <c r="G623" s="199">
        <v>1</v>
      </c>
      <c r="H623" s="199" t="s">
        <v>2197</v>
      </c>
      <c r="I623" s="198">
        <f>G623*D623</f>
        <v>0</v>
      </c>
      <c r="J623" s="199" t="s">
        <v>2198</v>
      </c>
      <c r="K623" s="207">
        <v>0</v>
      </c>
      <c r="L623" s="209" t="s">
        <v>841</v>
      </c>
      <c r="M623" s="207">
        <f>ROUND(K623*I623/10000,6)</f>
        <v>0</v>
      </c>
      <c r="N623" s="198">
        <f>'02 项目基础信息（输入）'!$C$39</f>
        <v>0</v>
      </c>
      <c r="O623" s="198">
        <f t="shared" si="72"/>
        <v>0</v>
      </c>
      <c r="P623" s="198">
        <f>'02 项目基础信息（输入）'!$I$39</f>
        <v>0</v>
      </c>
      <c r="Q623" s="233">
        <f t="shared" si="73"/>
        <v>0</v>
      </c>
      <c r="S623" s="217"/>
      <c r="U623" s="220" t="s">
        <v>2402</v>
      </c>
    </row>
    <row r="624" spans="1:21" ht="0" hidden="1" customHeight="1" outlineLevel="3">
      <c r="A624" s="192" t="s">
        <v>2200</v>
      </c>
      <c r="B624" s="192"/>
      <c r="C624" s="197" t="s">
        <v>309</v>
      </c>
      <c r="D624" s="198">
        <f>'02 项目基础信息（输入）'!$AC$39</f>
        <v>0</v>
      </c>
      <c r="E624" s="199" t="s">
        <v>310</v>
      </c>
      <c r="F624" s="197" t="s">
        <v>2196</v>
      </c>
      <c r="G624" s="199">
        <v>1</v>
      </c>
      <c r="H624" s="199" t="s">
        <v>2197</v>
      </c>
      <c r="I624" s="198">
        <f>G624*D624</f>
        <v>0</v>
      </c>
      <c r="J624" s="199" t="s">
        <v>2198</v>
      </c>
      <c r="K624" s="207">
        <v>0</v>
      </c>
      <c r="L624" s="209" t="s">
        <v>841</v>
      </c>
      <c r="M624" s="207">
        <f>ROUND(K624*I624/10000,6)</f>
        <v>0</v>
      </c>
      <c r="N624" s="198">
        <f>'02 项目基础信息（输入）'!$C$39</f>
        <v>0</v>
      </c>
      <c r="O624" s="198">
        <f t="shared" si="72"/>
        <v>0</v>
      </c>
      <c r="P624" s="198">
        <f>'02 项目基础信息（输入）'!$I$39</f>
        <v>0</v>
      </c>
      <c r="Q624" s="233">
        <f t="shared" si="73"/>
        <v>0</v>
      </c>
      <c r="S624" s="217"/>
      <c r="U624" s="220" t="s">
        <v>2403</v>
      </c>
    </row>
    <row r="625" spans="1:21" ht="0" hidden="1" customHeight="1" outlineLevel="3">
      <c r="A625" s="192" t="s">
        <v>2202</v>
      </c>
      <c r="B625" s="192"/>
      <c r="C625" s="197" t="s">
        <v>309</v>
      </c>
      <c r="D625" s="198">
        <f>'02 项目基础信息（输入）'!$AC$39</f>
        <v>0</v>
      </c>
      <c r="E625" s="199" t="s">
        <v>310</v>
      </c>
      <c r="F625" s="197" t="s">
        <v>2196</v>
      </c>
      <c r="G625" s="199">
        <v>1</v>
      </c>
      <c r="H625" s="199" t="s">
        <v>2197</v>
      </c>
      <c r="I625" s="198">
        <f>G625*D625</f>
        <v>0</v>
      </c>
      <c r="J625" s="199" t="s">
        <v>2198</v>
      </c>
      <c r="K625" s="228">
        <f>'03 成本测算（输入）'!$D$27</f>
        <v>0</v>
      </c>
      <c r="L625" s="209" t="s">
        <v>841</v>
      </c>
      <c r="M625" s="207">
        <f>ROUND(K625*I625/10000,6)</f>
        <v>0</v>
      </c>
      <c r="N625" s="198">
        <f>'02 项目基础信息（输入）'!$C$39</f>
        <v>0</v>
      </c>
      <c r="O625" s="198">
        <f t="shared" si="72"/>
        <v>0</v>
      </c>
      <c r="P625" s="198">
        <f>'02 项目基础信息（输入）'!$I$39</f>
        <v>0</v>
      </c>
      <c r="Q625" s="233">
        <f t="shared" si="73"/>
        <v>0</v>
      </c>
      <c r="S625" s="217"/>
      <c r="U625" s="220" t="s">
        <v>2404</v>
      </c>
    </row>
    <row r="626" spans="1:21" ht="0" hidden="1" customHeight="1" outlineLevel="2">
      <c r="A626" s="192" t="s">
        <v>1937</v>
      </c>
      <c r="B626" s="192"/>
      <c r="C626" s="197" t="s">
        <v>1609</v>
      </c>
      <c r="D626" s="198">
        <f>'02 项目基础信息（输入）'!$C$39</f>
        <v>0</v>
      </c>
      <c r="E626" s="199" t="s">
        <v>93</v>
      </c>
      <c r="F626" s="197"/>
      <c r="G626" s="199"/>
      <c r="H626" s="199"/>
      <c r="I626" s="197"/>
      <c r="J626" s="199"/>
      <c r="K626" s="207"/>
      <c r="L626" s="209"/>
      <c r="M626" s="198">
        <f>ROUND(SUM(M627),6)</f>
        <v>0</v>
      </c>
      <c r="N626" s="198">
        <f>'02 项目基础信息（输入）'!$C$39</f>
        <v>0</v>
      </c>
      <c r="O626" s="198">
        <f t="shared" si="72"/>
        <v>0</v>
      </c>
      <c r="P626" s="198">
        <f>'02 项目基础信息（输入）'!$I$39</f>
        <v>0</v>
      </c>
      <c r="Q626" s="233">
        <f t="shared" si="73"/>
        <v>0</v>
      </c>
      <c r="S626" s="217" t="s">
        <v>1313</v>
      </c>
      <c r="U626" s="220" t="s">
        <v>2405</v>
      </c>
    </row>
    <row r="627" spans="1:21" ht="0" hidden="1" customHeight="1" outlineLevel="3">
      <c r="A627" s="192" t="s">
        <v>2205</v>
      </c>
      <c r="B627" s="192"/>
      <c r="C627" s="197" t="s">
        <v>1609</v>
      </c>
      <c r="D627" s="198">
        <f>'02 项目基础信息（输入）'!$C$39</f>
        <v>0</v>
      </c>
      <c r="E627" s="199" t="s">
        <v>93</v>
      </c>
      <c r="F627" s="197" t="s">
        <v>1609</v>
      </c>
      <c r="G627" s="199">
        <v>1</v>
      </c>
      <c r="H627" s="199" t="s">
        <v>298</v>
      </c>
      <c r="I627" s="198">
        <f>G627*D627</f>
        <v>0</v>
      </c>
      <c r="J627" s="199" t="s">
        <v>93</v>
      </c>
      <c r="K627" s="208"/>
      <c r="L627" s="209" t="s">
        <v>675</v>
      </c>
      <c r="M627" s="207">
        <f>ROUND(K627*I627/10000,6)</f>
        <v>0</v>
      </c>
      <c r="N627" s="198">
        <f>'02 项目基础信息（输入）'!$C$39</f>
        <v>0</v>
      </c>
      <c r="O627" s="198">
        <f t="shared" si="72"/>
        <v>0</v>
      </c>
      <c r="P627" s="198">
        <f>'02 项目基础信息（输入）'!$I$39</f>
        <v>0</v>
      </c>
      <c r="Q627" s="233">
        <f t="shared" si="73"/>
        <v>0</v>
      </c>
      <c r="S627" s="217"/>
      <c r="U627" s="220" t="s">
        <v>2406</v>
      </c>
    </row>
    <row r="628" spans="1:21" ht="0" hidden="1" customHeight="1" outlineLevel="2">
      <c r="A628" s="192" t="s">
        <v>1939</v>
      </c>
      <c r="B628" s="192"/>
      <c r="C628" s="197" t="s">
        <v>1609</v>
      </c>
      <c r="D628" s="198">
        <f>'02 项目基础信息（输入）'!$C$39</f>
        <v>0</v>
      </c>
      <c r="E628" s="199" t="s">
        <v>93</v>
      </c>
      <c r="F628" s="197"/>
      <c r="G628" s="199"/>
      <c r="H628" s="199"/>
      <c r="I628" s="197"/>
      <c r="J628" s="199"/>
      <c r="K628" s="207"/>
      <c r="L628" s="209"/>
      <c r="M628" s="198">
        <f>ROUND(SUM(M629),6)</f>
        <v>0</v>
      </c>
      <c r="N628" s="198">
        <f>'02 项目基础信息（输入）'!$C$39</f>
        <v>0</v>
      </c>
      <c r="O628" s="198">
        <f t="shared" si="72"/>
        <v>0</v>
      </c>
      <c r="P628" s="198">
        <f>'02 项目基础信息（输入）'!$I$39</f>
        <v>0</v>
      </c>
      <c r="Q628" s="233">
        <f t="shared" si="73"/>
        <v>0</v>
      </c>
      <c r="S628" s="217" t="s">
        <v>1313</v>
      </c>
      <c r="U628" s="220" t="s">
        <v>2407</v>
      </c>
    </row>
    <row r="629" spans="1:21" ht="0" hidden="1" customHeight="1" outlineLevel="3">
      <c r="A629" s="192" t="s">
        <v>2208</v>
      </c>
      <c r="B629" s="192"/>
      <c r="C629" s="197" t="s">
        <v>477</v>
      </c>
      <c r="D629" s="198">
        <f>'02 项目基础信息（输入）'!$AG$39</f>
        <v>0</v>
      </c>
      <c r="E629" s="199" t="s">
        <v>2209</v>
      </c>
      <c r="F629" s="197" t="s">
        <v>477</v>
      </c>
      <c r="G629" s="199">
        <v>1</v>
      </c>
      <c r="H629" s="199" t="s">
        <v>2210</v>
      </c>
      <c r="I629" s="198">
        <f>G629*D629</f>
        <v>0</v>
      </c>
      <c r="J629" s="199" t="s">
        <v>2209</v>
      </c>
      <c r="K629" s="208"/>
      <c r="L629" s="209" t="s">
        <v>2211</v>
      </c>
      <c r="M629" s="207">
        <f>ROUND(K629*I629/10000,6)</f>
        <v>0</v>
      </c>
      <c r="N629" s="198">
        <f>'02 项目基础信息（输入）'!$C$39</f>
        <v>0</v>
      </c>
      <c r="O629" s="198">
        <f t="shared" si="72"/>
        <v>0</v>
      </c>
      <c r="P629" s="198">
        <f>'02 项目基础信息（输入）'!$I$39</f>
        <v>0</v>
      </c>
      <c r="Q629" s="233">
        <f t="shared" si="73"/>
        <v>0</v>
      </c>
      <c r="S629" s="217"/>
      <c r="U629" s="220" t="s">
        <v>2408</v>
      </c>
    </row>
    <row r="630" spans="1:21" ht="0" hidden="1" customHeight="1" outlineLevel="2">
      <c r="A630" s="192" t="s">
        <v>1941</v>
      </c>
      <c r="B630" s="192"/>
      <c r="C630" s="197" t="s">
        <v>1609</v>
      </c>
      <c r="D630" s="198">
        <f>'02 项目基础信息（输入）'!$C$39</f>
        <v>0</v>
      </c>
      <c r="E630" s="199" t="s">
        <v>93</v>
      </c>
      <c r="F630" s="197"/>
      <c r="G630" s="199"/>
      <c r="H630" s="199"/>
      <c r="I630" s="197"/>
      <c r="J630" s="199"/>
      <c r="K630" s="207"/>
      <c r="L630" s="209"/>
      <c r="M630" s="197">
        <v>0</v>
      </c>
      <c r="N630" s="198">
        <f>'02 项目基础信息（输入）'!$C$39</f>
        <v>0</v>
      </c>
      <c r="O630" s="198">
        <f t="shared" si="72"/>
        <v>0</v>
      </c>
      <c r="P630" s="198">
        <f>'02 项目基础信息（输入）'!$I$39</f>
        <v>0</v>
      </c>
      <c r="Q630" s="233">
        <f t="shared" si="73"/>
        <v>0</v>
      </c>
      <c r="S630" s="217" t="s">
        <v>1313</v>
      </c>
      <c r="U630" s="220" t="s">
        <v>2409</v>
      </c>
    </row>
    <row r="631" spans="1:21" ht="0" hidden="1" customHeight="1" outlineLevel="2">
      <c r="A631" s="192" t="s">
        <v>1952</v>
      </c>
      <c r="B631" s="192"/>
      <c r="C631" s="197" t="s">
        <v>1609</v>
      </c>
      <c r="D631" s="198">
        <f>'02 项目基础信息（输入）'!$C$39</f>
        <v>0</v>
      </c>
      <c r="E631" s="199" t="s">
        <v>93</v>
      </c>
      <c r="F631" s="197"/>
      <c r="G631" s="199"/>
      <c r="H631" s="199"/>
      <c r="I631" s="197"/>
      <c r="J631" s="199"/>
      <c r="K631" s="207"/>
      <c r="L631" s="209"/>
      <c r="M631" s="197">
        <v>0</v>
      </c>
      <c r="N631" s="198">
        <f>'02 项目基础信息（输入）'!$C$39</f>
        <v>0</v>
      </c>
      <c r="O631" s="198">
        <f t="shared" si="72"/>
        <v>0</v>
      </c>
      <c r="P631" s="198">
        <f>'02 项目基础信息（输入）'!$I$39</f>
        <v>0</v>
      </c>
      <c r="Q631" s="233">
        <f t="shared" si="73"/>
        <v>0</v>
      </c>
      <c r="S631" s="217" t="s">
        <v>1313</v>
      </c>
      <c r="U631" s="220" t="s">
        <v>2410</v>
      </c>
    </row>
    <row r="632" spans="1:21" ht="0" hidden="1" customHeight="1" outlineLevel="2">
      <c r="A632" s="192" t="s">
        <v>1957</v>
      </c>
      <c r="B632" s="192"/>
      <c r="C632" s="197" t="s">
        <v>1609</v>
      </c>
      <c r="D632" s="198">
        <f>'02 项目基础信息（输入）'!$C$39</f>
        <v>0</v>
      </c>
      <c r="E632" s="199" t="s">
        <v>93</v>
      </c>
      <c r="F632" s="197"/>
      <c r="G632" s="199"/>
      <c r="H632" s="199"/>
      <c r="I632" s="197"/>
      <c r="J632" s="199"/>
      <c r="K632" s="207"/>
      <c r="L632" s="209"/>
      <c r="M632" s="198">
        <f>ROUND(SUM(M633:M636),6)</f>
        <v>0</v>
      </c>
      <c r="N632" s="198">
        <f>'02 项目基础信息（输入）'!$C$39</f>
        <v>0</v>
      </c>
      <c r="O632" s="198">
        <f t="shared" si="72"/>
        <v>0</v>
      </c>
      <c r="P632" s="198">
        <f>'02 项目基础信息（输入）'!$I$39</f>
        <v>0</v>
      </c>
      <c r="Q632" s="233">
        <f t="shared" si="73"/>
        <v>0</v>
      </c>
      <c r="S632" s="217" t="s">
        <v>1313</v>
      </c>
      <c r="U632" s="220" t="s">
        <v>2411</v>
      </c>
    </row>
    <row r="633" spans="1:21" ht="0" hidden="1" customHeight="1" outlineLevel="3">
      <c r="A633" s="192" t="s">
        <v>1959</v>
      </c>
      <c r="B633" s="192"/>
      <c r="C633" s="197" t="s">
        <v>1609</v>
      </c>
      <c r="D633" s="198">
        <f>'02 项目基础信息（输入）'!$C$39</f>
        <v>0</v>
      </c>
      <c r="E633" s="199" t="s">
        <v>93</v>
      </c>
      <c r="F633" s="197" t="s">
        <v>1960</v>
      </c>
      <c r="G633" s="199">
        <v>0</v>
      </c>
      <c r="H633" s="199" t="s">
        <v>298</v>
      </c>
      <c r="I633" s="198">
        <f>G633*D633</f>
        <v>0</v>
      </c>
      <c r="J633" s="199" t="s">
        <v>93</v>
      </c>
      <c r="K633" s="207">
        <v>0</v>
      </c>
      <c r="L633" s="209" t="s">
        <v>675</v>
      </c>
      <c r="M633" s="207">
        <f>ROUND(K633*I633/10000,6)</f>
        <v>0</v>
      </c>
      <c r="N633" s="198">
        <f>'02 项目基础信息（输入）'!$C$39</f>
        <v>0</v>
      </c>
      <c r="O633" s="198">
        <f t="shared" si="72"/>
        <v>0</v>
      </c>
      <c r="P633" s="198">
        <f>'02 项目基础信息（输入）'!$I$39</f>
        <v>0</v>
      </c>
      <c r="Q633" s="233">
        <f t="shared" si="73"/>
        <v>0</v>
      </c>
      <c r="S633" s="217"/>
      <c r="U633" s="220" t="s">
        <v>2412</v>
      </c>
    </row>
    <row r="634" spans="1:21" ht="0" hidden="1" customHeight="1" outlineLevel="3">
      <c r="A634" s="192" t="s">
        <v>1962</v>
      </c>
      <c r="B634" s="192"/>
      <c r="C634" s="197" t="s">
        <v>1609</v>
      </c>
      <c r="D634" s="198">
        <f>'02 项目基础信息（输入）'!$C$39</f>
        <v>0</v>
      </c>
      <c r="E634" s="199" t="s">
        <v>93</v>
      </c>
      <c r="F634" s="197" t="s">
        <v>1960</v>
      </c>
      <c r="G634" s="199">
        <v>0</v>
      </c>
      <c r="H634" s="199" t="s">
        <v>298</v>
      </c>
      <c r="I634" s="198">
        <f>G634*D634</f>
        <v>0</v>
      </c>
      <c r="J634" s="199" t="s">
        <v>93</v>
      </c>
      <c r="K634" s="207">
        <v>0</v>
      </c>
      <c r="L634" s="209" t="s">
        <v>675</v>
      </c>
      <c r="M634" s="207">
        <f>ROUND(K634*I634/10000,6)</f>
        <v>0</v>
      </c>
      <c r="N634" s="198">
        <f>'02 项目基础信息（输入）'!$C$39</f>
        <v>0</v>
      </c>
      <c r="O634" s="198">
        <f t="shared" si="72"/>
        <v>0</v>
      </c>
      <c r="P634" s="198">
        <f>'02 项目基础信息（输入）'!$I$39</f>
        <v>0</v>
      </c>
      <c r="Q634" s="233">
        <f t="shared" si="73"/>
        <v>0</v>
      </c>
      <c r="S634" s="217"/>
      <c r="U634" s="220" t="s">
        <v>2413</v>
      </c>
    </row>
    <row r="635" spans="1:21" ht="0" hidden="1" customHeight="1" outlineLevel="3">
      <c r="A635" s="192" t="s">
        <v>1964</v>
      </c>
      <c r="B635" s="192"/>
      <c r="C635" s="197" t="s">
        <v>1609</v>
      </c>
      <c r="D635" s="198">
        <f>'02 项目基础信息（输入）'!$C$39</f>
        <v>0</v>
      </c>
      <c r="E635" s="199" t="s">
        <v>93</v>
      </c>
      <c r="F635" s="197" t="s">
        <v>1960</v>
      </c>
      <c r="G635" s="199">
        <v>0</v>
      </c>
      <c r="H635" s="199" t="s">
        <v>298</v>
      </c>
      <c r="I635" s="198">
        <f>G635*D635</f>
        <v>0</v>
      </c>
      <c r="J635" s="199" t="s">
        <v>93</v>
      </c>
      <c r="K635" s="207">
        <v>0</v>
      </c>
      <c r="L635" s="209" t="s">
        <v>675</v>
      </c>
      <c r="M635" s="207">
        <f>ROUND(K635*I635/10000,6)</f>
        <v>0</v>
      </c>
      <c r="N635" s="198">
        <f>'02 项目基础信息（输入）'!$C$39</f>
        <v>0</v>
      </c>
      <c r="O635" s="198">
        <f t="shared" si="72"/>
        <v>0</v>
      </c>
      <c r="P635" s="198">
        <f>'02 项目基础信息（输入）'!$I$39</f>
        <v>0</v>
      </c>
      <c r="Q635" s="233">
        <f t="shared" si="73"/>
        <v>0</v>
      </c>
      <c r="S635" s="217"/>
      <c r="U635" s="220" t="s">
        <v>2414</v>
      </c>
    </row>
    <row r="636" spans="1:21" ht="0" hidden="1" customHeight="1" outlineLevel="3">
      <c r="A636" s="192" t="s">
        <v>1966</v>
      </c>
      <c r="B636" s="192"/>
      <c r="C636" s="197" t="s">
        <v>1609</v>
      </c>
      <c r="D636" s="198">
        <f>'02 项目基础信息（输入）'!$C$39</f>
        <v>0</v>
      </c>
      <c r="E636" s="199" t="s">
        <v>93</v>
      </c>
      <c r="F636" s="197" t="s">
        <v>1960</v>
      </c>
      <c r="G636" s="199">
        <v>0</v>
      </c>
      <c r="H636" s="199" t="s">
        <v>298</v>
      </c>
      <c r="I636" s="198">
        <f>G636*D636</f>
        <v>0</v>
      </c>
      <c r="J636" s="199" t="s">
        <v>93</v>
      </c>
      <c r="K636" s="207">
        <v>0</v>
      </c>
      <c r="L636" s="209" t="s">
        <v>675</v>
      </c>
      <c r="M636" s="207">
        <f>ROUND(K636*I636/10000,6)</f>
        <v>0</v>
      </c>
      <c r="N636" s="198">
        <f>'02 项目基础信息（输入）'!$C$39</f>
        <v>0</v>
      </c>
      <c r="O636" s="198">
        <f t="shared" si="72"/>
        <v>0</v>
      </c>
      <c r="P636" s="198">
        <f>'02 项目基础信息（输入）'!$I$39</f>
        <v>0</v>
      </c>
      <c r="Q636" s="233">
        <f t="shared" si="73"/>
        <v>0</v>
      </c>
      <c r="S636" s="217"/>
      <c r="U636" s="220" t="s">
        <v>2415</v>
      </c>
    </row>
    <row r="637" spans="1:21" ht="0" hidden="1" customHeight="1" outlineLevel="2">
      <c r="A637" s="192" t="s">
        <v>1968</v>
      </c>
      <c r="B637" s="192"/>
      <c r="C637" s="197" t="s">
        <v>1609</v>
      </c>
      <c r="D637" s="198">
        <f>'02 项目基础信息（输入）'!$C$39</f>
        <v>0</v>
      </c>
      <c r="E637" s="199" t="s">
        <v>93</v>
      </c>
      <c r="F637" s="197"/>
      <c r="G637" s="199"/>
      <c r="H637" s="199"/>
      <c r="I637" s="197"/>
      <c r="J637" s="199"/>
      <c r="K637" s="207"/>
      <c r="L637" s="209"/>
      <c r="M637" s="198">
        <f>ROUND(SUM(M638),6)</f>
        <v>0</v>
      </c>
      <c r="N637" s="198">
        <f>'02 项目基础信息（输入）'!$C$39</f>
        <v>0</v>
      </c>
      <c r="O637" s="198">
        <f t="shared" si="72"/>
        <v>0</v>
      </c>
      <c r="P637" s="198">
        <f>'02 项目基础信息（输入）'!$I$39</f>
        <v>0</v>
      </c>
      <c r="Q637" s="233">
        <f t="shared" si="73"/>
        <v>0</v>
      </c>
      <c r="S637" s="217" t="s">
        <v>1313</v>
      </c>
      <c r="U637" s="220" t="s">
        <v>2416</v>
      </c>
    </row>
    <row r="638" spans="1:21" ht="0" hidden="1" customHeight="1" outlineLevel="3">
      <c r="A638" s="192" t="s">
        <v>1970</v>
      </c>
      <c r="B638" s="192"/>
      <c r="C638" s="197" t="s">
        <v>1609</v>
      </c>
      <c r="D638" s="198">
        <f>'02 项目基础信息（输入）'!$C$39</f>
        <v>0</v>
      </c>
      <c r="E638" s="199" t="s">
        <v>93</v>
      </c>
      <c r="F638" s="197" t="s">
        <v>1609</v>
      </c>
      <c r="G638" s="199">
        <v>1</v>
      </c>
      <c r="H638" s="199" t="s">
        <v>298</v>
      </c>
      <c r="I638" s="198">
        <f>G638*D638</f>
        <v>0</v>
      </c>
      <c r="J638" s="199" t="s">
        <v>93</v>
      </c>
      <c r="K638" s="208"/>
      <c r="L638" s="209" t="s">
        <v>675</v>
      </c>
      <c r="M638" s="207">
        <f>ROUND(K638*I638/10000,6)</f>
        <v>0</v>
      </c>
      <c r="N638" s="198">
        <f>'02 项目基础信息（输入）'!$C$39</f>
        <v>0</v>
      </c>
      <c r="O638" s="198">
        <f t="shared" si="72"/>
        <v>0</v>
      </c>
      <c r="P638" s="198">
        <f>'02 项目基础信息（输入）'!$I$39</f>
        <v>0</v>
      </c>
      <c r="Q638" s="233">
        <f t="shared" si="73"/>
        <v>0</v>
      </c>
      <c r="S638" s="217"/>
      <c r="U638" s="220" t="s">
        <v>2417</v>
      </c>
    </row>
    <row r="639" spans="1:21" ht="0" hidden="1" customHeight="1" outlineLevel="2">
      <c r="A639" s="192" t="s">
        <v>1972</v>
      </c>
      <c r="B639" s="192"/>
      <c r="C639" s="197" t="s">
        <v>1609</v>
      </c>
      <c r="D639" s="198">
        <f>'02 项目基础信息（输入）'!$C$39</f>
        <v>0</v>
      </c>
      <c r="E639" s="199" t="s">
        <v>93</v>
      </c>
      <c r="F639" s="197"/>
      <c r="G639" s="199"/>
      <c r="H639" s="199"/>
      <c r="I639" s="197"/>
      <c r="J639" s="199"/>
      <c r="K639" s="207"/>
      <c r="L639" s="209"/>
      <c r="M639" s="198">
        <f>ROUND(SUM(M640),6)</f>
        <v>0</v>
      </c>
      <c r="N639" s="198">
        <f>'02 项目基础信息（输入）'!$C$39</f>
        <v>0</v>
      </c>
      <c r="O639" s="198">
        <f t="shared" si="72"/>
        <v>0</v>
      </c>
      <c r="P639" s="198">
        <f>'02 项目基础信息（输入）'!$I$39</f>
        <v>0</v>
      </c>
      <c r="Q639" s="233">
        <f t="shared" si="73"/>
        <v>0</v>
      </c>
      <c r="S639" s="217" t="s">
        <v>1313</v>
      </c>
      <c r="U639" s="220" t="s">
        <v>2418</v>
      </c>
    </row>
    <row r="640" spans="1:21" ht="0" hidden="1" customHeight="1" outlineLevel="3">
      <c r="A640" s="192" t="s">
        <v>1974</v>
      </c>
      <c r="B640" s="192"/>
      <c r="C640" s="197" t="s">
        <v>1609</v>
      </c>
      <c r="D640" s="198">
        <f>'02 项目基础信息（输入）'!$C$39</f>
        <v>0</v>
      </c>
      <c r="E640" s="199" t="s">
        <v>93</v>
      </c>
      <c r="F640" s="197" t="s">
        <v>1609</v>
      </c>
      <c r="G640" s="199">
        <v>1</v>
      </c>
      <c r="H640" s="199" t="s">
        <v>298</v>
      </c>
      <c r="I640" s="198">
        <f>G640*D640</f>
        <v>0</v>
      </c>
      <c r="J640" s="199" t="s">
        <v>93</v>
      </c>
      <c r="K640" s="228">
        <f>'03 成本测算（输入）'!$D$28</f>
        <v>0</v>
      </c>
      <c r="L640" s="209" t="s">
        <v>675</v>
      </c>
      <c r="M640" s="207">
        <f>ROUND(K640*I640/10000,6)</f>
        <v>0</v>
      </c>
      <c r="N640" s="198">
        <f>'02 项目基础信息（输入）'!$C$39</f>
        <v>0</v>
      </c>
      <c r="O640" s="198">
        <f t="shared" si="72"/>
        <v>0</v>
      </c>
      <c r="P640" s="198">
        <f>'02 项目基础信息（输入）'!$I$39</f>
        <v>0</v>
      </c>
      <c r="Q640" s="233">
        <f t="shared" si="73"/>
        <v>0</v>
      </c>
      <c r="R640" s="188" t="s">
        <v>1975</v>
      </c>
      <c r="S640" s="234"/>
      <c r="U640" s="220" t="s">
        <v>2419</v>
      </c>
    </row>
    <row r="641" spans="1:23" ht="20.25" customHeight="1" outlineLevel="1">
      <c r="A641" s="196" t="s">
        <v>500</v>
      </c>
      <c r="B641" s="196"/>
      <c r="C641" s="197" t="s">
        <v>1609</v>
      </c>
      <c r="D641" s="198">
        <f>'02 项目基础信息（输入）'!$C$42</f>
        <v>51879.834600000002</v>
      </c>
      <c r="E641" s="199" t="s">
        <v>93</v>
      </c>
      <c r="F641" s="197"/>
      <c r="G641" s="199"/>
      <c r="H641" s="199"/>
      <c r="I641" s="197"/>
      <c r="J641" s="199"/>
      <c r="K641" s="197"/>
      <c r="L641" s="209"/>
      <c r="M641" s="198">
        <f>ROUND(M642+M664+M667+M680+M683+M686+M705+M717+M719+M725+M731+M736+M753+M758+M780+M782+M786+M788+M790+M796+M803+M805+M807+M811+M813+M815+M819+M821+M823+M824+M825+M830+M832,6)</f>
        <v>19954.021067000001</v>
      </c>
      <c r="N641" s="198">
        <f>'02 项目基础信息（输入）'!$C$42</f>
        <v>51879.834600000002</v>
      </c>
      <c r="O641" s="198">
        <f t="shared" si="72"/>
        <v>3846.2</v>
      </c>
      <c r="P641" s="198">
        <f>'02 项目基础信息（输入）'!$I$42</f>
        <v>51879.834600000002</v>
      </c>
      <c r="Q641" s="233">
        <f t="shared" si="73"/>
        <v>3846.2</v>
      </c>
      <c r="S641" s="217"/>
      <c r="U641" s="220" t="s">
        <v>2420</v>
      </c>
      <c r="V641" s="1191">
        <v>2938.2775999999999</v>
      </c>
      <c r="W641" s="1190">
        <v>2947.5987</v>
      </c>
    </row>
    <row r="642" spans="1:23" ht="20.25" customHeight="1" outlineLevel="2">
      <c r="A642" s="192" t="s">
        <v>1611</v>
      </c>
      <c r="B642" s="192"/>
      <c r="C642" s="197" t="s">
        <v>1609</v>
      </c>
      <c r="D642" s="198">
        <f>'02 项目基础信息（输入）'!$C$42</f>
        <v>51879.834600000002</v>
      </c>
      <c r="E642" s="199" t="s">
        <v>93</v>
      </c>
      <c r="F642" s="197"/>
      <c r="G642" s="199"/>
      <c r="H642" s="199"/>
      <c r="I642" s="197"/>
      <c r="J642" s="199"/>
      <c r="K642" s="197"/>
      <c r="L642" s="209"/>
      <c r="M642" s="198">
        <f>ROUND(M643+M646+M647+M652+M653+M659+M660+M663,6)</f>
        <v>7738.741763</v>
      </c>
      <c r="N642" s="198">
        <f>'02 项目基础信息（输入）'!$C$42</f>
        <v>51879.834600000002</v>
      </c>
      <c r="O642" s="198">
        <f t="shared" si="72"/>
        <v>1491.67</v>
      </c>
      <c r="P642" s="198">
        <f>'02 项目基础信息（输入）'!$I$42</f>
        <v>51879.834600000002</v>
      </c>
      <c r="Q642" s="233">
        <f t="shared" si="73"/>
        <v>1491.67</v>
      </c>
      <c r="S642" s="217" t="s">
        <v>1313</v>
      </c>
      <c r="U642" s="220" t="s">
        <v>2421</v>
      </c>
      <c r="V642" s="1191">
        <v>1452.4761000000001</v>
      </c>
      <c r="W642" s="1190">
        <v>1426.5154</v>
      </c>
    </row>
    <row r="643" spans="1:23" ht="20.25" customHeight="1" outlineLevel="3">
      <c r="A643" s="192" t="s">
        <v>1613</v>
      </c>
      <c r="B643" s="192"/>
      <c r="C643" s="197"/>
      <c r="D643" s="198">
        <f>'02 项目基础信息（输入）'!$C$42</f>
        <v>51879.834600000002</v>
      </c>
      <c r="E643" s="199"/>
      <c r="F643" s="197"/>
      <c r="G643" s="199"/>
      <c r="H643" s="199"/>
      <c r="I643" s="197">
        <v>0</v>
      </c>
      <c r="J643" s="199"/>
      <c r="K643" s="197"/>
      <c r="L643" s="209"/>
      <c r="M643" s="198">
        <f>ROUND(SUM(M644:M645),6)</f>
        <v>1312.332705</v>
      </c>
      <c r="N643" s="198">
        <f>'02 项目基础信息（输入）'!$C$42</f>
        <v>51879.834600000002</v>
      </c>
      <c r="O643" s="198">
        <f t="shared" ref="O643:O706" si="76">ROUND(IFERROR(M643*10000/N643,0),2)</f>
        <v>252.96</v>
      </c>
      <c r="P643" s="198">
        <f>'02 项目基础信息（输入）'!$I$42</f>
        <v>51879.834600000002</v>
      </c>
      <c r="Q643" s="233">
        <f t="shared" ref="Q643:Q706" si="77">ROUND(IFERROR(M643*10000/P643,0),2)</f>
        <v>252.96</v>
      </c>
      <c r="S643" s="217"/>
      <c r="U643" s="220" t="s">
        <v>2422</v>
      </c>
      <c r="V643" s="1191">
        <v>234.66040000000001</v>
      </c>
      <c r="W643" s="1190">
        <v>235.45830000000001</v>
      </c>
    </row>
    <row r="644" spans="1:23" ht="20.25" customHeight="1" outlineLevel="4">
      <c r="A644" s="192" t="s">
        <v>1615</v>
      </c>
      <c r="B644" s="192"/>
      <c r="C644" s="197" t="s">
        <v>1609</v>
      </c>
      <c r="D644" s="198">
        <f>'02 项目基础信息（输入）'!$C$42</f>
        <v>51879.834600000002</v>
      </c>
      <c r="E644" s="199" t="s">
        <v>93</v>
      </c>
      <c r="F644" s="197" t="s">
        <v>1616</v>
      </c>
      <c r="G644" s="1042">
        <f>含量测算!D42</f>
        <v>45.153015537948534</v>
      </c>
      <c r="H644" s="199" t="s">
        <v>966</v>
      </c>
      <c r="I644" s="198">
        <f>G644*D644</f>
        <v>2342530.9778</v>
      </c>
      <c r="J644" s="199" t="s">
        <v>1617</v>
      </c>
      <c r="K644" s="700">
        <f>'03 成本测算（输入）'!$D$11</f>
        <v>3.36</v>
      </c>
      <c r="L644" s="209" t="s">
        <v>664</v>
      </c>
      <c r="M644" s="198">
        <f>ROUND(K644*I644/10000,6)</f>
        <v>787.09040900000002</v>
      </c>
      <c r="N644" s="198">
        <f>'02 项目基础信息（输入）'!$C$42</f>
        <v>51879.834600000002</v>
      </c>
      <c r="O644" s="198">
        <f t="shared" si="76"/>
        <v>151.71</v>
      </c>
      <c r="P644" s="198">
        <f>'02 项目基础信息（输入）'!$I$42</f>
        <v>51879.834600000002</v>
      </c>
      <c r="Q644" s="233">
        <f t="shared" si="77"/>
        <v>151.71</v>
      </c>
      <c r="S644" s="217"/>
      <c r="U644" s="220" t="s">
        <v>2423</v>
      </c>
      <c r="V644" s="1191">
        <v>148.37870000000001</v>
      </c>
      <c r="W644" s="1190">
        <v>160.0941</v>
      </c>
    </row>
    <row r="645" spans="1:23" ht="20.25" customHeight="1" outlineLevel="4">
      <c r="A645" s="192" t="s">
        <v>1619</v>
      </c>
      <c r="B645" s="192"/>
      <c r="C645" s="197" t="s">
        <v>1609</v>
      </c>
      <c r="D645" s="198">
        <f>'02 项目基础信息（输入）'!$C$42</f>
        <v>51879.834600000002</v>
      </c>
      <c r="E645" s="199" t="s">
        <v>93</v>
      </c>
      <c r="F645" s="197" t="s">
        <v>1616</v>
      </c>
      <c r="G645" s="199">
        <f>$G$644</f>
        <v>45.153015537948534</v>
      </c>
      <c r="H645" s="199" t="s">
        <v>966</v>
      </c>
      <c r="I645" s="198">
        <f>G645*D645</f>
        <v>2342530.9778</v>
      </c>
      <c r="J645" s="199" t="s">
        <v>1617</v>
      </c>
      <c r="K645" s="1040">
        <v>2.2422</v>
      </c>
      <c r="L645" s="209" t="s">
        <v>664</v>
      </c>
      <c r="M645" s="198">
        <f>ROUND(K645*I645/10000,6)</f>
        <v>525.24229600000001</v>
      </c>
      <c r="N645" s="198">
        <f>'02 项目基础信息（输入）'!$C$42</f>
        <v>51879.834600000002</v>
      </c>
      <c r="O645" s="198">
        <f t="shared" si="76"/>
        <v>101.24</v>
      </c>
      <c r="P645" s="198">
        <f>'02 项目基础信息（输入）'!$I$42</f>
        <v>51879.834600000002</v>
      </c>
      <c r="Q645" s="233">
        <f t="shared" si="77"/>
        <v>101.24</v>
      </c>
      <c r="S645" s="217"/>
      <c r="U645" s="220" t="s">
        <v>2424</v>
      </c>
      <c r="V645" s="1191">
        <v>86.281700000000001</v>
      </c>
      <c r="W645" s="1190">
        <v>75.364099999999993</v>
      </c>
    </row>
    <row r="646" spans="1:23" ht="20.25" customHeight="1" outlineLevel="3">
      <c r="A646" s="192" t="s">
        <v>1621</v>
      </c>
      <c r="B646" s="192"/>
      <c r="C646" s="197" t="s">
        <v>1609</v>
      </c>
      <c r="D646" s="198">
        <f>'02 项目基础信息（输入）'!$C$42</f>
        <v>51879.834600000002</v>
      </c>
      <c r="E646" s="199" t="s">
        <v>93</v>
      </c>
      <c r="F646" s="197" t="s">
        <v>1622</v>
      </c>
      <c r="G646" s="1042" t="s">
        <v>2425</v>
      </c>
      <c r="H646" s="199" t="s">
        <v>298</v>
      </c>
      <c r="I646" s="198">
        <f>G646*D646</f>
        <v>185211.00952200001</v>
      </c>
      <c r="J646" s="199" t="s">
        <v>93</v>
      </c>
      <c r="K646" s="1195">
        <v>78.78</v>
      </c>
      <c r="L646" s="209" t="s">
        <v>675</v>
      </c>
      <c r="M646" s="198">
        <f>ROUND(K646*I646/10000,6)</f>
        <v>1459.0923330000001</v>
      </c>
      <c r="N646" s="198">
        <f>'02 项目基础信息（输入）'!$C$42</f>
        <v>51879.834600000002</v>
      </c>
      <c r="O646" s="198">
        <f t="shared" si="76"/>
        <v>281.24</v>
      </c>
      <c r="P646" s="198">
        <f>'02 项目基础信息（输入）'!$I$42</f>
        <v>51879.834600000002</v>
      </c>
      <c r="Q646" s="233">
        <f t="shared" si="77"/>
        <v>281.24</v>
      </c>
      <c r="S646" s="217"/>
      <c r="U646" s="220" t="s">
        <v>2426</v>
      </c>
      <c r="V646" s="1191">
        <v>265.48410000000001</v>
      </c>
      <c r="W646" s="1190">
        <v>217.72720000000001</v>
      </c>
    </row>
    <row r="647" spans="1:23" ht="20.25" customHeight="1" outlineLevel="3">
      <c r="A647" s="192" t="s">
        <v>1624</v>
      </c>
      <c r="B647" s="192"/>
      <c r="C647" s="197"/>
      <c r="D647" s="198">
        <f>'02 项目基础信息（输入）'!$C$42</f>
        <v>51879.834600000002</v>
      </c>
      <c r="E647" s="199"/>
      <c r="F647" s="197"/>
      <c r="G647" s="199"/>
      <c r="H647" s="199"/>
      <c r="I647" s="197">
        <v>0</v>
      </c>
      <c r="J647" s="199"/>
      <c r="K647" s="207"/>
      <c r="L647" s="209"/>
      <c r="M647" s="198">
        <f>ROUND(SUM(M648:M651),6)</f>
        <v>1816.529884</v>
      </c>
      <c r="N647" s="198">
        <f>'02 项目基础信息（输入）'!$C$42</f>
        <v>51879.834600000002</v>
      </c>
      <c r="O647" s="198">
        <f t="shared" si="76"/>
        <v>350.14</v>
      </c>
      <c r="P647" s="198">
        <f>'02 项目基础信息（输入）'!$I$42</f>
        <v>51879.834600000002</v>
      </c>
      <c r="Q647" s="233">
        <f t="shared" si="77"/>
        <v>350.14</v>
      </c>
      <c r="S647" s="217"/>
      <c r="U647" s="220" t="s">
        <v>2427</v>
      </c>
      <c r="V647" s="1191">
        <v>360.06060000000002</v>
      </c>
      <c r="W647" s="1190">
        <v>371.92059999999998</v>
      </c>
    </row>
    <row r="648" spans="1:23" ht="20.25" customHeight="1" outlineLevel="4">
      <c r="A648" s="192" t="s">
        <v>1626</v>
      </c>
      <c r="B648" s="192"/>
      <c r="C648" s="197" t="s">
        <v>1609</v>
      </c>
      <c r="D648" s="198">
        <f>'02 项目基础信息（输入）'!$C$42</f>
        <v>51879.834600000002</v>
      </c>
      <c r="E648" s="199" t="s">
        <v>93</v>
      </c>
      <c r="F648" s="197" t="s">
        <v>1627</v>
      </c>
      <c r="G648" s="1042">
        <f>含量测算!E42</f>
        <v>0.40952735022790537</v>
      </c>
      <c r="H648" s="199" t="s">
        <v>976</v>
      </c>
      <c r="I648" s="198">
        <f>G648*D648</f>
        <v>21246.211194000003</v>
      </c>
      <c r="J648" s="199" t="s">
        <v>1511</v>
      </c>
      <c r="K648" s="700">
        <f>'03 成本测算（输入）'!$D$12</f>
        <v>367.07400000000001</v>
      </c>
      <c r="L648" s="209" t="s">
        <v>671</v>
      </c>
      <c r="M648" s="198">
        <f>ROUND(K648*I648/10000,6)</f>
        <v>779.89317300000005</v>
      </c>
      <c r="N648" s="198">
        <f>'02 项目基础信息（输入）'!$C$42</f>
        <v>51879.834600000002</v>
      </c>
      <c r="O648" s="198">
        <f t="shared" si="76"/>
        <v>150.33000000000001</v>
      </c>
      <c r="P648" s="198">
        <f>'02 项目基础信息（输入）'!$I$42</f>
        <v>51879.834600000002</v>
      </c>
      <c r="Q648" s="233">
        <f t="shared" si="77"/>
        <v>150.33000000000001</v>
      </c>
      <c r="S648" s="217"/>
      <c r="U648" s="220" t="s">
        <v>2428</v>
      </c>
      <c r="V648" s="1191">
        <v>146.279</v>
      </c>
      <c r="W648" s="1190">
        <v>138.66820000000001</v>
      </c>
    </row>
    <row r="649" spans="1:23" ht="20.25" customHeight="1" outlineLevel="4">
      <c r="A649" s="192" t="s">
        <v>1629</v>
      </c>
      <c r="B649" s="192"/>
      <c r="C649" s="197" t="s">
        <v>1609</v>
      </c>
      <c r="D649" s="198">
        <f>'02 项目基础信息（输入）'!$C$42</f>
        <v>51879.834600000002</v>
      </c>
      <c r="E649" s="199" t="s">
        <v>93</v>
      </c>
      <c r="F649" s="197" t="s">
        <v>1627</v>
      </c>
      <c r="G649" s="199">
        <f>$G$648</f>
        <v>0.40952735022790537</v>
      </c>
      <c r="H649" s="199" t="s">
        <v>976</v>
      </c>
      <c r="I649" s="198">
        <f>G649*D649</f>
        <v>21246.211194000003</v>
      </c>
      <c r="J649" s="199" t="s">
        <v>1511</v>
      </c>
      <c r="K649" s="1195">
        <v>114.52</v>
      </c>
      <c r="L649" s="209" t="s">
        <v>671</v>
      </c>
      <c r="M649" s="198">
        <f>ROUND(K649*I649/10000,6)</f>
        <v>243.311611</v>
      </c>
      <c r="N649" s="198">
        <f>'02 项目基础信息（输入）'!$C$42</f>
        <v>51879.834600000002</v>
      </c>
      <c r="O649" s="198">
        <f t="shared" si="76"/>
        <v>46.9</v>
      </c>
      <c r="P649" s="198">
        <f>'02 项目基础信息（输入）'!$I$42</f>
        <v>51879.834600000002</v>
      </c>
      <c r="Q649" s="233">
        <f t="shared" si="77"/>
        <v>46.9</v>
      </c>
      <c r="S649" s="217"/>
      <c r="U649" s="220" t="s">
        <v>2429</v>
      </c>
      <c r="V649" s="1191">
        <v>61.011699999999998</v>
      </c>
      <c r="W649" s="1190">
        <v>42.677399999999999</v>
      </c>
    </row>
    <row r="650" spans="1:23" ht="20.25" customHeight="1" outlineLevel="4">
      <c r="A650" s="192" t="s">
        <v>1631</v>
      </c>
      <c r="B650" s="192"/>
      <c r="C650" s="197" t="s">
        <v>1609</v>
      </c>
      <c r="D650" s="198">
        <f>'02 项目基础信息（输入）'!$C$42</f>
        <v>51879.834600000002</v>
      </c>
      <c r="E650" s="199" t="s">
        <v>93</v>
      </c>
      <c r="F650" s="197" t="s">
        <v>1609</v>
      </c>
      <c r="G650" s="199">
        <v>1</v>
      </c>
      <c r="H650" s="199" t="s">
        <v>298</v>
      </c>
      <c r="I650" s="198">
        <f>G650*D650</f>
        <v>51879.834600000002</v>
      </c>
      <c r="J650" s="199" t="s">
        <v>93</v>
      </c>
      <c r="K650" s="700">
        <f>'03 成本测算（输入）'!$D$69</f>
        <v>152.91588843828026</v>
      </c>
      <c r="L650" s="209" t="s">
        <v>675</v>
      </c>
      <c r="M650" s="198">
        <f>ROUND(K650*I650/10000,6)</f>
        <v>793.32510000000002</v>
      </c>
      <c r="N650" s="198">
        <f>'02 项目基础信息（输入）'!$C$42</f>
        <v>51879.834600000002</v>
      </c>
      <c r="O650" s="198">
        <f t="shared" si="76"/>
        <v>152.91999999999999</v>
      </c>
      <c r="P650" s="198">
        <f>'02 项目基础信息（输入）'!$I$42</f>
        <v>51879.834600000002</v>
      </c>
      <c r="Q650" s="233">
        <f t="shared" si="77"/>
        <v>152.91999999999999</v>
      </c>
      <c r="S650" s="217"/>
      <c r="U650" s="220" t="s">
        <v>2430</v>
      </c>
      <c r="V650" s="1191">
        <v>118.01</v>
      </c>
      <c r="W650" s="1190">
        <v>104.0097</v>
      </c>
    </row>
    <row r="651" spans="1:23" ht="20.25" customHeight="1" outlineLevel="4">
      <c r="A651" s="192" t="s">
        <v>1634</v>
      </c>
      <c r="B651" s="192"/>
      <c r="C651" s="197" t="s">
        <v>1609</v>
      </c>
      <c r="D651" s="198">
        <f>'02 项目基础信息（输入）'!$C$42</f>
        <v>51879.834600000002</v>
      </c>
      <c r="E651" s="199" t="s">
        <v>93</v>
      </c>
      <c r="F651" s="197" t="s">
        <v>1632</v>
      </c>
      <c r="G651" s="199">
        <v>1</v>
      </c>
      <c r="H651" s="199" t="s">
        <v>976</v>
      </c>
      <c r="I651" s="198">
        <f>G651*D651</f>
        <v>51879.834600000002</v>
      </c>
      <c r="J651" s="199" t="s">
        <v>93</v>
      </c>
      <c r="K651" s="207">
        <v>0</v>
      </c>
      <c r="L651" s="209" t="s">
        <v>675</v>
      </c>
      <c r="M651" s="198">
        <f>ROUND(K651*I651/10000,6)</f>
        <v>0</v>
      </c>
      <c r="N651" s="198">
        <f>'02 项目基础信息（输入）'!$C$42</f>
        <v>51879.834600000002</v>
      </c>
      <c r="O651" s="198">
        <f t="shared" si="76"/>
        <v>0</v>
      </c>
      <c r="P651" s="198">
        <f>'02 项目基础信息（输入）'!$I$42</f>
        <v>51879.834600000002</v>
      </c>
      <c r="Q651" s="233">
        <f t="shared" si="77"/>
        <v>0</v>
      </c>
      <c r="S651" s="217"/>
      <c r="U651" s="220" t="s">
        <v>2431</v>
      </c>
      <c r="V651" s="1191">
        <v>34.759799999999998</v>
      </c>
      <c r="W651" s="1190">
        <v>86.565100000000001</v>
      </c>
    </row>
    <row r="652" spans="1:23" ht="20.25" customHeight="1" outlineLevel="3">
      <c r="A652" s="192" t="s">
        <v>1636</v>
      </c>
      <c r="B652" s="192"/>
      <c r="C652" s="197" t="s">
        <v>1609</v>
      </c>
      <c r="D652" s="198">
        <f>'02 项目基础信息（输入）'!$C$42</f>
        <v>51879.834600000002</v>
      </c>
      <c r="E652" s="199" t="s">
        <v>93</v>
      </c>
      <c r="F652" s="197" t="s">
        <v>1637</v>
      </c>
      <c r="G652" s="1197">
        <v>0.02</v>
      </c>
      <c r="H652" s="199" t="s">
        <v>976</v>
      </c>
      <c r="I652" s="198">
        <f>G652*D652</f>
        <v>1037.5966920000001</v>
      </c>
      <c r="J652" s="199" t="s">
        <v>1511</v>
      </c>
      <c r="K652" s="1195">
        <v>818.1</v>
      </c>
      <c r="L652" s="209" t="s">
        <v>671</v>
      </c>
      <c r="M652" s="198">
        <f>ROUND(K652*I652/10000,6)</f>
        <v>84.885784999999998</v>
      </c>
      <c r="N652" s="198">
        <f>'02 项目基础信息（输入）'!$C$42</f>
        <v>51879.834600000002</v>
      </c>
      <c r="O652" s="198">
        <f t="shared" si="76"/>
        <v>16.36</v>
      </c>
      <c r="P652" s="198">
        <f>'02 项目基础信息（输入）'!$I$42</f>
        <v>51879.834600000002</v>
      </c>
      <c r="Q652" s="233">
        <f t="shared" si="77"/>
        <v>16.36</v>
      </c>
      <c r="R652" s="188" t="s">
        <v>7903</v>
      </c>
      <c r="S652" s="217"/>
      <c r="U652" s="220" t="s">
        <v>2432</v>
      </c>
      <c r="V652" s="1191">
        <v>95.811999999999998</v>
      </c>
      <c r="W652" s="1190">
        <v>18.394400000000001</v>
      </c>
    </row>
    <row r="653" spans="1:23" ht="20.25" customHeight="1" outlineLevel="3">
      <c r="A653" s="192" t="s">
        <v>1640</v>
      </c>
      <c r="B653" s="192"/>
      <c r="C653" s="197"/>
      <c r="D653" s="198">
        <f>'02 项目基础信息（输入）'!$C$42</f>
        <v>51879.834600000002</v>
      </c>
      <c r="E653" s="199"/>
      <c r="F653" s="197"/>
      <c r="G653" s="199"/>
      <c r="H653" s="199"/>
      <c r="I653" s="197">
        <v>0</v>
      </c>
      <c r="J653" s="199"/>
      <c r="K653" s="207"/>
      <c r="L653" s="209"/>
      <c r="M653" s="198">
        <f>ROUND(SUM(M654:M658),6)</f>
        <v>1496.5549759999999</v>
      </c>
      <c r="N653" s="198">
        <f>'02 项目基础信息（输入）'!$C$42</f>
        <v>51879.834600000002</v>
      </c>
      <c r="O653" s="198">
        <f t="shared" si="76"/>
        <v>288.47000000000003</v>
      </c>
      <c r="P653" s="198">
        <f>'02 项目基础信息（输入）'!$I$42</f>
        <v>51879.834600000002</v>
      </c>
      <c r="Q653" s="233">
        <f t="shared" si="77"/>
        <v>288.47000000000003</v>
      </c>
      <c r="S653" s="217"/>
      <c r="U653" s="220" t="s">
        <v>2433</v>
      </c>
      <c r="V653" s="1191">
        <v>214.59639999999999</v>
      </c>
      <c r="W653" s="1190">
        <v>310.42450000000002</v>
      </c>
    </row>
    <row r="654" spans="1:23" ht="20.25" customHeight="1" outlineLevel="4">
      <c r="A654" s="192" t="s">
        <v>1642</v>
      </c>
      <c r="B654" s="192"/>
      <c r="C654" s="197" t="s">
        <v>1609</v>
      </c>
      <c r="D654" s="198">
        <f>'02 项目基础信息（输入）'!$C$42</f>
        <v>51879.834600000002</v>
      </c>
      <c r="E654" s="199" t="s">
        <v>93</v>
      </c>
      <c r="F654" s="197" t="s">
        <v>1609</v>
      </c>
      <c r="G654" s="199">
        <v>1</v>
      </c>
      <c r="H654" s="199" t="s">
        <v>298</v>
      </c>
      <c r="I654" s="198">
        <f t="shared" ref="I654:I659" si="78">G654*D654</f>
        <v>51879.834600000002</v>
      </c>
      <c r="J654" s="199" t="s">
        <v>93</v>
      </c>
      <c r="K654" s="1040">
        <v>207.3908551026</v>
      </c>
      <c r="L654" s="209" t="s">
        <v>675</v>
      </c>
      <c r="M654" s="198">
        <f t="shared" ref="M654:M659" si="79">ROUND(K654*I654/10000,6)</f>
        <v>1075.9403259999999</v>
      </c>
      <c r="N654" s="198">
        <f>'02 项目基础信息（输入）'!$C$42</f>
        <v>51879.834600000002</v>
      </c>
      <c r="O654" s="198">
        <f t="shared" si="76"/>
        <v>207.39</v>
      </c>
      <c r="P654" s="198">
        <f>'02 项目基础信息（输入）'!$I$42</f>
        <v>51879.834600000002</v>
      </c>
      <c r="Q654" s="233">
        <f t="shared" si="77"/>
        <v>207.39</v>
      </c>
      <c r="S654" s="217"/>
      <c r="U654" s="220" t="s">
        <v>2434</v>
      </c>
      <c r="V654" s="1191">
        <v>214.19929999999999</v>
      </c>
      <c r="W654" s="1190">
        <v>310.0308</v>
      </c>
    </row>
    <row r="655" spans="1:23" ht="20.25" customHeight="1" outlineLevel="4">
      <c r="A655" s="192" t="s">
        <v>1645</v>
      </c>
      <c r="B655" s="192"/>
      <c r="C655" s="197" t="s">
        <v>1609</v>
      </c>
      <c r="D655" s="198">
        <f>'02 项目基础信息（输入）'!$C$42</f>
        <v>51879.834600000002</v>
      </c>
      <c r="E655" s="199" t="s">
        <v>93</v>
      </c>
      <c r="F655" s="197" t="s">
        <v>1609</v>
      </c>
      <c r="G655" s="199">
        <v>1</v>
      </c>
      <c r="H655" s="199" t="s">
        <v>298</v>
      </c>
      <c r="I655" s="198">
        <f t="shared" si="78"/>
        <v>51879.834600000002</v>
      </c>
      <c r="J655" s="199" t="s">
        <v>93</v>
      </c>
      <c r="K655" s="700">
        <f>'03 成本测算（输入）'!$D$72</f>
        <v>43.369452068376482</v>
      </c>
      <c r="L655" s="209" t="s">
        <v>675</v>
      </c>
      <c r="M655" s="198">
        <f t="shared" si="79"/>
        <v>225</v>
      </c>
      <c r="N655" s="198">
        <f>'02 项目基础信息（输入）'!$C$42</f>
        <v>51879.834600000002</v>
      </c>
      <c r="O655" s="198">
        <f t="shared" si="76"/>
        <v>43.37</v>
      </c>
      <c r="P655" s="198">
        <f>'02 项目基础信息（输入）'!$I$42</f>
        <v>51879.834600000002</v>
      </c>
      <c r="Q655" s="233">
        <f t="shared" si="77"/>
        <v>43.37</v>
      </c>
      <c r="S655" s="234"/>
      <c r="U655" s="220" t="s">
        <v>2435</v>
      </c>
      <c r="V655" s="1191">
        <v>0</v>
      </c>
      <c r="W655" s="1190">
        <v>0</v>
      </c>
    </row>
    <row r="656" spans="1:23" ht="20.25" customHeight="1" outlineLevel="4">
      <c r="A656" s="192" t="s">
        <v>1647</v>
      </c>
      <c r="B656" s="192"/>
      <c r="C656" s="197" t="s">
        <v>1609</v>
      </c>
      <c r="D656" s="198">
        <f>'02 项目基础信息（输入）'!$C$42</f>
        <v>51879.834600000002</v>
      </c>
      <c r="E656" s="199" t="s">
        <v>93</v>
      </c>
      <c r="F656" s="197" t="s">
        <v>1648</v>
      </c>
      <c r="G656" s="199">
        <v>1</v>
      </c>
      <c r="H656" s="199" t="s">
        <v>298</v>
      </c>
      <c r="I656" s="198">
        <f t="shared" si="78"/>
        <v>51879.834600000002</v>
      </c>
      <c r="J656" s="199" t="s">
        <v>93</v>
      </c>
      <c r="K656" s="699"/>
      <c r="L656" s="209" t="s">
        <v>675</v>
      </c>
      <c r="M656" s="198">
        <f t="shared" si="79"/>
        <v>0</v>
      </c>
      <c r="N656" s="198">
        <f>'02 项目基础信息（输入）'!$C$42</f>
        <v>51879.834600000002</v>
      </c>
      <c r="O656" s="198">
        <f t="shared" si="76"/>
        <v>0</v>
      </c>
      <c r="P656" s="198">
        <f>'02 项目基础信息（输入）'!$I$42</f>
        <v>51879.834600000002</v>
      </c>
      <c r="Q656" s="233">
        <f t="shared" si="77"/>
        <v>0</v>
      </c>
      <c r="S656" s="217"/>
      <c r="U656" s="220" t="s">
        <v>2436</v>
      </c>
      <c r="V656" s="1191">
        <v>0.39710000000000001</v>
      </c>
      <c r="W656" s="1190">
        <v>0.39369999999999999</v>
      </c>
    </row>
    <row r="657" spans="1:23" ht="20.25" customHeight="1" outlineLevel="4">
      <c r="A657" s="192" t="s">
        <v>1993</v>
      </c>
      <c r="B657" s="192"/>
      <c r="C657" s="197" t="s">
        <v>1609</v>
      </c>
      <c r="D657" s="198">
        <f>'02 项目基础信息（输入）'!$C$42</f>
        <v>51879.834600000002</v>
      </c>
      <c r="E657" s="199" t="s">
        <v>93</v>
      </c>
      <c r="F657" s="197" t="s">
        <v>1648</v>
      </c>
      <c r="G657" s="199">
        <v>1</v>
      </c>
      <c r="H657" s="199" t="s">
        <v>298</v>
      </c>
      <c r="I657" s="198">
        <f t="shared" si="78"/>
        <v>51879.834600000002</v>
      </c>
      <c r="J657" s="199" t="s">
        <v>93</v>
      </c>
      <c r="K657" s="1287">
        <f>350*总指标!P26*1.1/I657</f>
        <v>37.70533416465441</v>
      </c>
      <c r="L657" s="209" t="s">
        <v>675</v>
      </c>
      <c r="M657" s="198">
        <f t="shared" si="79"/>
        <v>195.61465000000001</v>
      </c>
      <c r="N657" s="198">
        <f>'02 项目基础信息（输入）'!$C$42</f>
        <v>51879.834600000002</v>
      </c>
      <c r="O657" s="198">
        <f t="shared" si="76"/>
        <v>37.71</v>
      </c>
      <c r="P657" s="198">
        <f>'02 项目基础信息（输入）'!$I$42</f>
        <v>51879.834600000002</v>
      </c>
      <c r="Q657" s="233">
        <f t="shared" si="77"/>
        <v>37.71</v>
      </c>
      <c r="R657" s="188" t="s">
        <v>8082</v>
      </c>
      <c r="S657" s="217"/>
      <c r="U657" s="220" t="s">
        <v>2437</v>
      </c>
      <c r="V657" s="1191">
        <v>0</v>
      </c>
      <c r="W657" s="1190">
        <v>0</v>
      </c>
    </row>
    <row r="658" spans="1:23" ht="20.25" customHeight="1" outlineLevel="4">
      <c r="A658" s="192" t="s">
        <v>1650</v>
      </c>
      <c r="B658" s="192"/>
      <c r="C658" s="197" t="s">
        <v>1609</v>
      </c>
      <c r="D658" s="198">
        <f>'02 项目基础信息（输入）'!$C$42</f>
        <v>51879.834600000002</v>
      </c>
      <c r="E658" s="199" t="s">
        <v>93</v>
      </c>
      <c r="F658" s="197" t="s">
        <v>1648</v>
      </c>
      <c r="G658" s="199">
        <v>1</v>
      </c>
      <c r="H658" s="199" t="s">
        <v>298</v>
      </c>
      <c r="I658" s="198">
        <f t="shared" si="78"/>
        <v>51879.834600000002</v>
      </c>
      <c r="J658" s="199" t="s">
        <v>93</v>
      </c>
      <c r="K658" s="699"/>
      <c r="L658" s="209" t="s">
        <v>675</v>
      </c>
      <c r="M658" s="198">
        <f t="shared" si="79"/>
        <v>0</v>
      </c>
      <c r="N658" s="198">
        <f>'02 项目基础信息（输入）'!$C$42</f>
        <v>51879.834600000002</v>
      </c>
      <c r="O658" s="198">
        <f t="shared" si="76"/>
        <v>0</v>
      </c>
      <c r="P658" s="198">
        <f>'02 项目基础信息（输入）'!$I$42</f>
        <v>51879.834600000002</v>
      </c>
      <c r="Q658" s="233">
        <f t="shared" si="77"/>
        <v>0</v>
      </c>
      <c r="S658" s="217"/>
      <c r="U658" s="220" t="s">
        <v>2438</v>
      </c>
      <c r="V658" s="1191">
        <v>0</v>
      </c>
      <c r="W658" s="1190">
        <v>0</v>
      </c>
    </row>
    <row r="659" spans="1:23" ht="20.25" customHeight="1" outlineLevel="3">
      <c r="A659" s="192" t="s">
        <v>1652</v>
      </c>
      <c r="B659" s="192"/>
      <c r="C659" s="197" t="s">
        <v>1609</v>
      </c>
      <c r="D659" s="198">
        <f>'02 项目基础信息（输入）'!$C$42</f>
        <v>51879.834600000002</v>
      </c>
      <c r="E659" s="199" t="s">
        <v>93</v>
      </c>
      <c r="F659" s="197" t="s">
        <v>1648</v>
      </c>
      <c r="G659" s="199">
        <v>1</v>
      </c>
      <c r="H659" s="199" t="s">
        <v>298</v>
      </c>
      <c r="I659" s="198">
        <f t="shared" si="78"/>
        <v>51879.834600000002</v>
      </c>
      <c r="J659" s="199" t="s">
        <v>93</v>
      </c>
      <c r="K659" s="699"/>
      <c r="L659" s="209" t="s">
        <v>675</v>
      </c>
      <c r="M659" s="198">
        <f t="shared" si="79"/>
        <v>0</v>
      </c>
      <c r="N659" s="198">
        <f>'02 项目基础信息（输入）'!$C$42</f>
        <v>51879.834600000002</v>
      </c>
      <c r="O659" s="198">
        <f t="shared" si="76"/>
        <v>0</v>
      </c>
      <c r="P659" s="198">
        <f>'02 项目基础信息（输入）'!$I$42</f>
        <v>51879.834600000002</v>
      </c>
      <c r="Q659" s="233">
        <f t="shared" si="77"/>
        <v>0</v>
      </c>
      <c r="S659" s="217"/>
      <c r="U659" s="220" t="s">
        <v>2439</v>
      </c>
      <c r="V659" s="1191">
        <v>0</v>
      </c>
      <c r="W659" s="1190">
        <v>0</v>
      </c>
    </row>
    <row r="660" spans="1:23" ht="20.25" customHeight="1" outlineLevel="3">
      <c r="A660" s="192" t="s">
        <v>1654</v>
      </c>
      <c r="B660" s="192"/>
      <c r="C660" s="197"/>
      <c r="D660" s="198">
        <f>'02 项目基础信息（输入）'!$C$42</f>
        <v>51879.834600000002</v>
      </c>
      <c r="E660" s="199"/>
      <c r="F660" s="197"/>
      <c r="G660" s="199"/>
      <c r="H660" s="199"/>
      <c r="I660" s="197">
        <v>0</v>
      </c>
      <c r="J660" s="199"/>
      <c r="K660" s="207"/>
      <c r="L660" s="209"/>
      <c r="M660" s="198">
        <f>ROUND(SUM(M661:M662),6)</f>
        <v>78.942192000000006</v>
      </c>
      <c r="N660" s="198">
        <f>'02 项目基础信息（输入）'!$C$42</f>
        <v>51879.834600000002</v>
      </c>
      <c r="O660" s="198">
        <f t="shared" si="76"/>
        <v>15.22</v>
      </c>
      <c r="P660" s="198">
        <f>'02 项目基础信息（输入）'!$I$42</f>
        <v>51879.834600000002</v>
      </c>
      <c r="Q660" s="233">
        <f t="shared" si="77"/>
        <v>15.22</v>
      </c>
      <c r="S660" s="217"/>
      <c r="U660" s="220" t="s">
        <v>2440</v>
      </c>
      <c r="V660" s="1191">
        <v>14.0549</v>
      </c>
      <c r="W660" s="1190">
        <v>21.773099999999999</v>
      </c>
    </row>
    <row r="661" spans="1:23" ht="20.25" customHeight="1" outlineLevel="4">
      <c r="A661" s="192" t="s">
        <v>1656</v>
      </c>
      <c r="B661" s="192"/>
      <c r="C661" s="197" t="s">
        <v>1609</v>
      </c>
      <c r="D661" s="198">
        <f>'02 项目基础信息（输入）'!$C$42</f>
        <v>51879.834600000002</v>
      </c>
      <c r="E661" s="199" t="s">
        <v>93</v>
      </c>
      <c r="F661" s="197" t="s">
        <v>1657</v>
      </c>
      <c r="G661" s="701"/>
      <c r="H661" s="199" t="s">
        <v>1658</v>
      </c>
      <c r="I661" s="198">
        <f>G661*D661</f>
        <v>0</v>
      </c>
      <c r="J661" s="199" t="s">
        <v>376</v>
      </c>
      <c r="K661" s="699"/>
      <c r="L661" s="209" t="s">
        <v>1659</v>
      </c>
      <c r="M661" s="198">
        <f>ROUND(K661*I661/10000,6)</f>
        <v>0</v>
      </c>
      <c r="N661" s="198">
        <f>'02 项目基础信息（输入）'!$C$42</f>
        <v>51879.834600000002</v>
      </c>
      <c r="O661" s="198">
        <f t="shared" si="76"/>
        <v>0</v>
      </c>
      <c r="P661" s="198">
        <f>'02 项目基础信息（输入）'!$I$42</f>
        <v>51879.834600000002</v>
      </c>
      <c r="Q661" s="233">
        <f t="shared" si="77"/>
        <v>0</v>
      </c>
      <c r="S661" s="217"/>
      <c r="U661" s="220" t="s">
        <v>2441</v>
      </c>
      <c r="V661" s="1191">
        <v>4.7599</v>
      </c>
      <c r="W661" s="1190">
        <v>0</v>
      </c>
    </row>
    <row r="662" spans="1:23" ht="20.25" customHeight="1" outlineLevel="4">
      <c r="A662" s="192" t="s">
        <v>1661</v>
      </c>
      <c r="B662" s="192"/>
      <c r="C662" s="197" t="s">
        <v>1609</v>
      </c>
      <c r="D662" s="198">
        <f>'02 项目基础信息（输入）'!$C$42</f>
        <v>51879.834600000002</v>
      </c>
      <c r="E662" s="199" t="s">
        <v>93</v>
      </c>
      <c r="F662" s="197" t="s">
        <v>1609</v>
      </c>
      <c r="G662" s="199">
        <v>1</v>
      </c>
      <c r="H662" s="199" t="s">
        <v>298</v>
      </c>
      <c r="I662" s="198">
        <f>G662*D662</f>
        <v>51879.834600000002</v>
      </c>
      <c r="J662" s="199" t="s">
        <v>93</v>
      </c>
      <c r="K662" s="1040">
        <v>15.216353804600001</v>
      </c>
      <c r="L662" s="209" t="s">
        <v>675</v>
      </c>
      <c r="M662" s="198">
        <f>ROUND(K662*I662/10000,6)</f>
        <v>78.942192000000006</v>
      </c>
      <c r="N662" s="198">
        <f>'02 项目基础信息（输入）'!$C$42</f>
        <v>51879.834600000002</v>
      </c>
      <c r="O662" s="198">
        <f t="shared" si="76"/>
        <v>15.22</v>
      </c>
      <c r="P662" s="198">
        <f>'02 项目基础信息（输入）'!$I$42</f>
        <v>51879.834600000002</v>
      </c>
      <c r="Q662" s="233">
        <f t="shared" si="77"/>
        <v>15.22</v>
      </c>
      <c r="S662" s="217"/>
      <c r="U662" s="220" t="s">
        <v>2442</v>
      </c>
      <c r="V662" s="1191">
        <v>9.2949000000000002</v>
      </c>
      <c r="W662" s="1190">
        <v>21.773099999999999</v>
      </c>
    </row>
    <row r="663" spans="1:23" ht="20.25" customHeight="1" outlineLevel="3">
      <c r="A663" s="192" t="s">
        <v>1664</v>
      </c>
      <c r="B663" s="192"/>
      <c r="C663" s="197" t="s">
        <v>1665</v>
      </c>
      <c r="D663" s="198">
        <f>SUM(M643+M646+M647+M652+M653+M659+M660)*10000</f>
        <v>62483378.750000007</v>
      </c>
      <c r="E663" s="199" t="s">
        <v>1666</v>
      </c>
      <c r="F663" s="197" t="s">
        <v>1667</v>
      </c>
      <c r="G663" s="226">
        <f>IFERROR(I663/D663*100,0)</f>
        <v>23.852805629349866</v>
      </c>
      <c r="H663" s="195" t="s">
        <v>123</v>
      </c>
      <c r="I663" s="194">
        <f>K663*N663</f>
        <v>14904038.883887999</v>
      </c>
      <c r="J663" s="195" t="s">
        <v>1666</v>
      </c>
      <c r="K663" s="1195">
        <v>287.27999999999997</v>
      </c>
      <c r="L663" s="230" t="s">
        <v>1669</v>
      </c>
      <c r="M663" s="231">
        <f>ROUND(I663/10000,6)</f>
        <v>1490.4038880000001</v>
      </c>
      <c r="N663" s="198">
        <f>'02 项目基础信息（输入）'!$C$42</f>
        <v>51879.834600000002</v>
      </c>
      <c r="O663" s="198">
        <f t="shared" si="76"/>
        <v>287.27999999999997</v>
      </c>
      <c r="P663" s="198">
        <f>'02 项目基础信息（输入）'!$I$42</f>
        <v>51879.834600000002</v>
      </c>
      <c r="Q663" s="233">
        <f t="shared" si="77"/>
        <v>287.27999999999997</v>
      </c>
      <c r="S663" s="217"/>
      <c r="U663" s="220" t="s">
        <v>2443</v>
      </c>
      <c r="V663" s="1191">
        <v>267.8075</v>
      </c>
      <c r="W663" s="1190">
        <v>250.81700000000001</v>
      </c>
    </row>
    <row r="664" spans="1:23" ht="20.25" customHeight="1" outlineLevel="2" collapsed="1">
      <c r="A664" s="192" t="s">
        <v>1671</v>
      </c>
      <c r="B664" s="192"/>
      <c r="C664" s="197" t="s">
        <v>1609</v>
      </c>
      <c r="D664" s="198">
        <f>'02 项目基础信息（输入）'!$C$42</f>
        <v>51879.834600000002</v>
      </c>
      <c r="E664" s="199" t="s">
        <v>93</v>
      </c>
      <c r="F664" s="197"/>
      <c r="G664" s="199"/>
      <c r="H664" s="199"/>
      <c r="I664" s="197"/>
      <c r="J664" s="199"/>
      <c r="K664" s="207"/>
      <c r="L664" s="209"/>
      <c r="M664" s="198">
        <f>ROUND(SUM(M665:M666),6)</f>
        <v>0</v>
      </c>
      <c r="N664" s="198">
        <f>'02 项目基础信息（输入）'!$C$42</f>
        <v>51879.834600000002</v>
      </c>
      <c r="O664" s="198">
        <f t="shared" si="76"/>
        <v>0</v>
      </c>
      <c r="P664" s="198">
        <f>'02 项目基础信息（输入）'!$I$42</f>
        <v>51879.834600000002</v>
      </c>
      <c r="Q664" s="233">
        <f t="shared" si="77"/>
        <v>0</v>
      </c>
      <c r="S664" s="217" t="s">
        <v>1313</v>
      </c>
      <c r="U664" s="220" t="s">
        <v>2444</v>
      </c>
      <c r="V664" s="1191">
        <v>0</v>
      </c>
      <c r="W664" s="1190">
        <v>0</v>
      </c>
    </row>
    <row r="665" spans="1:23" ht="20.25" hidden="1" customHeight="1" outlineLevel="3">
      <c r="A665" s="192" t="s">
        <v>1673</v>
      </c>
      <c r="B665" s="192"/>
      <c r="C665" s="197" t="s">
        <v>1609</v>
      </c>
      <c r="D665" s="198">
        <f>'02 项目基础信息（输入）'!$C$42</f>
        <v>51879.834600000002</v>
      </c>
      <c r="E665" s="199" t="s">
        <v>93</v>
      </c>
      <c r="F665" s="197" t="s">
        <v>705</v>
      </c>
      <c r="G665" s="199"/>
      <c r="H665" s="199" t="s">
        <v>298</v>
      </c>
      <c r="I665" s="198">
        <f>G665*D665</f>
        <v>0</v>
      </c>
      <c r="J665" s="199" t="s">
        <v>93</v>
      </c>
      <c r="K665" s="207"/>
      <c r="L665" s="209" t="s">
        <v>675</v>
      </c>
      <c r="M665" s="207">
        <f>ROUND(K665*I665/10000,6)</f>
        <v>0</v>
      </c>
      <c r="N665" s="198">
        <f>'02 项目基础信息（输入）'!$C$42</f>
        <v>51879.834600000002</v>
      </c>
      <c r="O665" s="198">
        <f t="shared" si="76"/>
        <v>0</v>
      </c>
      <c r="P665" s="198">
        <f>'02 项目基础信息（输入）'!$I$42</f>
        <v>51879.834600000002</v>
      </c>
      <c r="Q665" s="233">
        <f t="shared" si="77"/>
        <v>0</v>
      </c>
      <c r="S665" s="217"/>
      <c r="U665" s="220" t="s">
        <v>2445</v>
      </c>
      <c r="V665" s="1191">
        <v>0</v>
      </c>
      <c r="W665" s="1190">
        <v>0</v>
      </c>
    </row>
    <row r="666" spans="1:23" ht="20.25" hidden="1" customHeight="1" outlineLevel="3">
      <c r="A666" s="192" t="s">
        <v>1676</v>
      </c>
      <c r="B666" s="192"/>
      <c r="C666" s="197" t="s">
        <v>1609</v>
      </c>
      <c r="D666" s="198">
        <f>'02 项目基础信息（输入）'!$C$42</f>
        <v>51879.834600000002</v>
      </c>
      <c r="E666" s="199" t="s">
        <v>93</v>
      </c>
      <c r="F666" s="197" t="s">
        <v>705</v>
      </c>
      <c r="G666" s="199"/>
      <c r="H666" s="199" t="s">
        <v>298</v>
      </c>
      <c r="I666" s="198">
        <f>G666*D666</f>
        <v>0</v>
      </c>
      <c r="J666" s="199" t="s">
        <v>93</v>
      </c>
      <c r="K666" s="207"/>
      <c r="L666" s="209" t="s">
        <v>675</v>
      </c>
      <c r="M666" s="207">
        <f>ROUND(K666*I666/10000,6)</f>
        <v>0</v>
      </c>
      <c r="N666" s="198">
        <f>'02 项目基础信息（输入）'!$C$42</f>
        <v>51879.834600000002</v>
      </c>
      <c r="O666" s="198">
        <f t="shared" si="76"/>
        <v>0</v>
      </c>
      <c r="P666" s="198">
        <f>'02 项目基础信息（输入）'!$I$42</f>
        <v>51879.834600000002</v>
      </c>
      <c r="Q666" s="233">
        <f t="shared" si="77"/>
        <v>0</v>
      </c>
      <c r="S666" s="217"/>
      <c r="U666" s="220" t="s">
        <v>2446</v>
      </c>
      <c r="V666" s="1191">
        <v>0</v>
      </c>
      <c r="W666" s="1190">
        <v>0</v>
      </c>
    </row>
    <row r="667" spans="1:23" ht="20.25" customHeight="1" outlineLevel="2" collapsed="1">
      <c r="A667" s="192" t="s">
        <v>1679</v>
      </c>
      <c r="B667" s="192"/>
      <c r="C667" s="197" t="s">
        <v>1609</v>
      </c>
      <c r="D667" s="198">
        <f>'02 项目基础信息（输入）'!$C$42</f>
        <v>51879.834600000002</v>
      </c>
      <c r="E667" s="199" t="s">
        <v>93</v>
      </c>
      <c r="F667" s="197"/>
      <c r="G667" s="199"/>
      <c r="H667" s="199"/>
      <c r="I667" s="197"/>
      <c r="J667" s="199"/>
      <c r="K667" s="207"/>
      <c r="L667" s="209"/>
      <c r="M667" s="198">
        <f>ROUND(SUM(M668:M679),6)</f>
        <v>315.792553</v>
      </c>
      <c r="N667" s="198">
        <f>'02 项目基础信息（输入）'!$C$42</f>
        <v>51879.834600000002</v>
      </c>
      <c r="O667" s="198">
        <f t="shared" si="76"/>
        <v>60.87</v>
      </c>
      <c r="P667" s="198">
        <f>'02 项目基础信息（输入）'!$I$42</f>
        <v>51879.834600000002</v>
      </c>
      <c r="Q667" s="233">
        <f t="shared" si="77"/>
        <v>60.87</v>
      </c>
      <c r="S667" s="217" t="s">
        <v>1313</v>
      </c>
      <c r="U667" s="220" t="s">
        <v>2447</v>
      </c>
      <c r="V667" s="1191">
        <v>76.453999999999994</v>
      </c>
      <c r="W667" s="1190">
        <v>103.0065</v>
      </c>
    </row>
    <row r="668" spans="1:23" ht="20.25" hidden="1" customHeight="1" outlineLevel="3">
      <c r="A668" s="192" t="s">
        <v>1681</v>
      </c>
      <c r="B668" s="192"/>
      <c r="C668" s="197" t="s">
        <v>1609</v>
      </c>
      <c r="D668" s="198">
        <f>'02 项目基础信息（输入）'!$C$42</f>
        <v>51879.834600000002</v>
      </c>
      <c r="E668" s="199" t="s">
        <v>93</v>
      </c>
      <c r="F668" s="197" t="s">
        <v>1682</v>
      </c>
      <c r="G668" s="1194">
        <v>1</v>
      </c>
      <c r="H668" s="199" t="s">
        <v>298</v>
      </c>
      <c r="I668" s="198">
        <f t="shared" ref="I668:I679" si="80">G668*D668</f>
        <v>51879.834600000002</v>
      </c>
      <c r="J668" s="199" t="s">
        <v>93</v>
      </c>
      <c r="K668" s="1195">
        <v>60.87</v>
      </c>
      <c r="L668" s="209" t="s">
        <v>675</v>
      </c>
      <c r="M668" s="207">
        <f t="shared" ref="M668:M679" si="81">ROUND(K668*I668/10000,6)</f>
        <v>315.792553</v>
      </c>
      <c r="N668" s="198">
        <f>'02 项目基础信息（输入）'!$C$42</f>
        <v>51879.834600000002</v>
      </c>
      <c r="O668" s="198">
        <f t="shared" si="76"/>
        <v>60.87</v>
      </c>
      <c r="P668" s="198">
        <f>'02 项目基础信息（输入）'!$I$42</f>
        <v>51879.834600000002</v>
      </c>
      <c r="Q668" s="233">
        <f t="shared" si="77"/>
        <v>60.87</v>
      </c>
      <c r="S668" s="217"/>
      <c r="U668" s="220" t="s">
        <v>2448</v>
      </c>
      <c r="V668" s="1191">
        <v>40.914200000000001</v>
      </c>
      <c r="W668" s="1190">
        <v>0</v>
      </c>
    </row>
    <row r="669" spans="1:23" ht="20.25" hidden="1" customHeight="1" outlineLevel="3">
      <c r="A669" s="192" t="s">
        <v>1684</v>
      </c>
      <c r="B669" s="192"/>
      <c r="C669" s="197" t="s">
        <v>1609</v>
      </c>
      <c r="D669" s="198">
        <f>'02 项目基础信息（输入）'!$C$42</f>
        <v>51879.834600000002</v>
      </c>
      <c r="E669" s="199" t="s">
        <v>93</v>
      </c>
      <c r="F669" s="197" t="s">
        <v>1682</v>
      </c>
      <c r="G669" s="701"/>
      <c r="H669" s="199" t="s">
        <v>298</v>
      </c>
      <c r="I669" s="198">
        <f t="shared" si="80"/>
        <v>0</v>
      </c>
      <c r="J669" s="199" t="s">
        <v>93</v>
      </c>
      <c r="K669" s="699"/>
      <c r="L669" s="209" t="s">
        <v>675</v>
      </c>
      <c r="M669" s="207">
        <f t="shared" si="81"/>
        <v>0</v>
      </c>
      <c r="N669" s="198">
        <f>'02 项目基础信息（输入）'!$C$42</f>
        <v>51879.834600000002</v>
      </c>
      <c r="O669" s="198">
        <f t="shared" si="76"/>
        <v>0</v>
      </c>
      <c r="P669" s="198">
        <f>'02 项目基础信息（输入）'!$I$42</f>
        <v>51879.834600000002</v>
      </c>
      <c r="Q669" s="233">
        <f t="shared" si="77"/>
        <v>0</v>
      </c>
      <c r="S669" s="217"/>
      <c r="U669" s="220" t="s">
        <v>2449</v>
      </c>
      <c r="V669" s="1191">
        <v>0</v>
      </c>
      <c r="W669" s="1190">
        <v>0</v>
      </c>
    </row>
    <row r="670" spans="1:23" ht="20.25" hidden="1" customHeight="1" outlineLevel="3">
      <c r="A670" s="192" t="s">
        <v>2008</v>
      </c>
      <c r="B670" s="192"/>
      <c r="C670" s="197" t="s">
        <v>1609</v>
      </c>
      <c r="D670" s="198">
        <f>'02 项目基础信息（输入）'!$C$42</f>
        <v>51879.834600000002</v>
      </c>
      <c r="E670" s="199" t="s">
        <v>93</v>
      </c>
      <c r="F670" s="197" t="s">
        <v>1682</v>
      </c>
      <c r="G670" s="701"/>
      <c r="H670" s="199" t="s">
        <v>298</v>
      </c>
      <c r="I670" s="198">
        <f t="shared" si="80"/>
        <v>0</v>
      </c>
      <c r="J670" s="199" t="s">
        <v>93</v>
      </c>
      <c r="K670" s="699"/>
      <c r="L670" s="209" t="s">
        <v>675</v>
      </c>
      <c r="M670" s="207">
        <f t="shared" si="81"/>
        <v>0</v>
      </c>
      <c r="N670" s="198">
        <f>'02 项目基础信息（输入）'!$C$42</f>
        <v>51879.834600000002</v>
      </c>
      <c r="O670" s="198">
        <f t="shared" si="76"/>
        <v>0</v>
      </c>
      <c r="P670" s="198">
        <f>'02 项目基础信息（输入）'!$I$42</f>
        <v>51879.834600000002</v>
      </c>
      <c r="Q670" s="233">
        <f t="shared" si="77"/>
        <v>0</v>
      </c>
      <c r="S670" s="217"/>
      <c r="U670" s="220" t="s">
        <v>2450</v>
      </c>
      <c r="V670" s="1191">
        <v>2.2044999999999999</v>
      </c>
      <c r="W670" s="1190">
        <v>0</v>
      </c>
    </row>
    <row r="671" spans="1:23" ht="20.25" hidden="1" customHeight="1" outlineLevel="3">
      <c r="A671" s="192" t="s">
        <v>2010</v>
      </c>
      <c r="B671" s="192"/>
      <c r="C671" s="197" t="s">
        <v>1609</v>
      </c>
      <c r="D671" s="198">
        <f>'02 项目基础信息（输入）'!$C$42</f>
        <v>51879.834600000002</v>
      </c>
      <c r="E671" s="199" t="s">
        <v>93</v>
      </c>
      <c r="F671" s="197" t="s">
        <v>1682</v>
      </c>
      <c r="G671" s="701"/>
      <c r="H671" s="199" t="s">
        <v>298</v>
      </c>
      <c r="I671" s="198">
        <f t="shared" si="80"/>
        <v>0</v>
      </c>
      <c r="J671" s="199" t="s">
        <v>93</v>
      </c>
      <c r="K671" s="699"/>
      <c r="L671" s="209" t="s">
        <v>675</v>
      </c>
      <c r="M671" s="207">
        <f t="shared" si="81"/>
        <v>0</v>
      </c>
      <c r="N671" s="198">
        <f>'02 项目基础信息（输入）'!$C$42</f>
        <v>51879.834600000002</v>
      </c>
      <c r="O671" s="198">
        <f t="shared" si="76"/>
        <v>0</v>
      </c>
      <c r="P671" s="198">
        <f>'02 项目基础信息（输入）'!$I$42</f>
        <v>51879.834600000002</v>
      </c>
      <c r="Q671" s="233">
        <f t="shared" si="77"/>
        <v>0</v>
      </c>
      <c r="S671" s="217"/>
      <c r="U671" s="220" t="s">
        <v>2451</v>
      </c>
      <c r="V671" s="1191">
        <v>0</v>
      </c>
      <c r="W671" s="1190">
        <v>21.0459</v>
      </c>
    </row>
    <row r="672" spans="1:23" ht="20.25" hidden="1" customHeight="1" outlineLevel="3">
      <c r="A672" s="192" t="s">
        <v>2012</v>
      </c>
      <c r="B672" s="192"/>
      <c r="C672" s="197" t="s">
        <v>474</v>
      </c>
      <c r="D672" s="198">
        <f>'02 项目基础信息（输入）'!$AD$42</f>
        <v>900</v>
      </c>
      <c r="E672" s="199" t="s">
        <v>400</v>
      </c>
      <c r="F672" s="197" t="s">
        <v>1682</v>
      </c>
      <c r="G672" s="701"/>
      <c r="H672" s="199" t="s">
        <v>411</v>
      </c>
      <c r="I672" s="198">
        <f t="shared" si="80"/>
        <v>0</v>
      </c>
      <c r="J672" s="199" t="s">
        <v>93</v>
      </c>
      <c r="K672" s="699"/>
      <c r="L672" s="209" t="s">
        <v>675</v>
      </c>
      <c r="M672" s="207">
        <f t="shared" si="81"/>
        <v>0</v>
      </c>
      <c r="N672" s="198">
        <f>'02 项目基础信息（输入）'!$C$42</f>
        <v>51879.834600000002</v>
      </c>
      <c r="O672" s="198">
        <f t="shared" si="76"/>
        <v>0</v>
      </c>
      <c r="P672" s="198">
        <f>'02 项目基础信息（输入）'!$I$42</f>
        <v>51879.834600000002</v>
      </c>
      <c r="Q672" s="233">
        <f t="shared" si="77"/>
        <v>0</v>
      </c>
      <c r="S672" s="217"/>
      <c r="U672" s="220" t="s">
        <v>2452</v>
      </c>
      <c r="V672" s="1191">
        <v>0.95209999999999995</v>
      </c>
      <c r="W672" s="1190">
        <v>7.1978999999999997</v>
      </c>
    </row>
    <row r="673" spans="1:23" ht="20.25" hidden="1" customHeight="1" outlineLevel="3">
      <c r="A673" s="192" t="s">
        <v>2014</v>
      </c>
      <c r="B673" s="192"/>
      <c r="C673" s="197" t="s">
        <v>474</v>
      </c>
      <c r="D673" s="198">
        <f>'02 项目基础信息（输入）'!$AD$42</f>
        <v>900</v>
      </c>
      <c r="E673" s="199" t="s">
        <v>400</v>
      </c>
      <c r="F673" s="197" t="s">
        <v>1682</v>
      </c>
      <c r="G673" s="701"/>
      <c r="H673" s="199" t="s">
        <v>411</v>
      </c>
      <c r="I673" s="198">
        <f t="shared" si="80"/>
        <v>0</v>
      </c>
      <c r="J673" s="199" t="s">
        <v>93</v>
      </c>
      <c r="K673" s="699"/>
      <c r="L673" s="209" t="s">
        <v>675</v>
      </c>
      <c r="M673" s="207">
        <f t="shared" si="81"/>
        <v>0</v>
      </c>
      <c r="N673" s="198">
        <f>'02 项目基础信息（输入）'!$C$42</f>
        <v>51879.834600000002</v>
      </c>
      <c r="O673" s="198">
        <f t="shared" si="76"/>
        <v>0</v>
      </c>
      <c r="P673" s="198">
        <f>'02 项目基础信息（输入）'!$I$42</f>
        <v>51879.834600000002</v>
      </c>
      <c r="Q673" s="233">
        <f t="shared" si="77"/>
        <v>0</v>
      </c>
      <c r="S673" s="217"/>
      <c r="U673" s="220" t="s">
        <v>2453</v>
      </c>
      <c r="V673" s="1191">
        <v>0</v>
      </c>
      <c r="W673" s="1190">
        <v>29.970300000000002</v>
      </c>
    </row>
    <row r="674" spans="1:23" ht="20.25" hidden="1" customHeight="1" outlineLevel="3">
      <c r="A674" s="192" t="s">
        <v>2016</v>
      </c>
      <c r="B674" s="192"/>
      <c r="C674" s="197" t="s">
        <v>1609</v>
      </c>
      <c r="D674" s="198">
        <f>'02 项目基础信息（输入）'!$C$42</f>
        <v>51879.834600000002</v>
      </c>
      <c r="E674" s="199" t="s">
        <v>93</v>
      </c>
      <c r="F674" s="197" t="s">
        <v>1682</v>
      </c>
      <c r="G674" s="701"/>
      <c r="H674" s="199" t="s">
        <v>298</v>
      </c>
      <c r="I674" s="198">
        <f t="shared" si="80"/>
        <v>0</v>
      </c>
      <c r="J674" s="199" t="s">
        <v>93</v>
      </c>
      <c r="K674" s="699"/>
      <c r="L674" s="209" t="s">
        <v>675</v>
      </c>
      <c r="M674" s="207">
        <f t="shared" si="81"/>
        <v>0</v>
      </c>
      <c r="N674" s="198">
        <f>'02 项目基础信息（输入）'!$C$42</f>
        <v>51879.834600000002</v>
      </c>
      <c r="O674" s="198">
        <f t="shared" si="76"/>
        <v>0</v>
      </c>
      <c r="P674" s="198">
        <f>'02 项目基础信息（输入）'!$I$42</f>
        <v>51879.834600000002</v>
      </c>
      <c r="Q674" s="233">
        <f t="shared" si="77"/>
        <v>0</v>
      </c>
      <c r="S674" s="217"/>
      <c r="U674" s="220" t="s">
        <v>2454</v>
      </c>
      <c r="V674" s="1191">
        <v>0</v>
      </c>
      <c r="W674" s="1190">
        <v>2.0628000000000002</v>
      </c>
    </row>
    <row r="675" spans="1:23" ht="20.25" hidden="1" customHeight="1" outlineLevel="3">
      <c r="A675" s="192" t="s">
        <v>2018</v>
      </c>
      <c r="B675" s="192"/>
      <c r="C675" s="197" t="s">
        <v>1609</v>
      </c>
      <c r="D675" s="198">
        <f>'02 项目基础信息（输入）'!$C$42</f>
        <v>51879.834600000002</v>
      </c>
      <c r="E675" s="199" t="s">
        <v>93</v>
      </c>
      <c r="F675" s="197" t="s">
        <v>1682</v>
      </c>
      <c r="G675" s="701"/>
      <c r="H675" s="199" t="s">
        <v>298</v>
      </c>
      <c r="I675" s="198">
        <f t="shared" si="80"/>
        <v>0</v>
      </c>
      <c r="J675" s="199" t="s">
        <v>93</v>
      </c>
      <c r="K675" s="699"/>
      <c r="L675" s="209" t="s">
        <v>675</v>
      </c>
      <c r="M675" s="207">
        <f t="shared" si="81"/>
        <v>0</v>
      </c>
      <c r="N675" s="198">
        <f>'02 项目基础信息（输入）'!$C$42</f>
        <v>51879.834600000002</v>
      </c>
      <c r="O675" s="198">
        <f t="shared" si="76"/>
        <v>0</v>
      </c>
      <c r="P675" s="198">
        <f>'02 项目基础信息（输入）'!$I$42</f>
        <v>51879.834600000002</v>
      </c>
      <c r="Q675" s="233">
        <f t="shared" si="77"/>
        <v>0</v>
      </c>
      <c r="S675" s="217"/>
      <c r="U675" s="220" t="s">
        <v>2455</v>
      </c>
      <c r="V675" s="1191">
        <v>0</v>
      </c>
      <c r="W675" s="1190">
        <v>0</v>
      </c>
    </row>
    <row r="676" spans="1:23" ht="20.25" hidden="1" customHeight="1" outlineLevel="3">
      <c r="A676" s="192" t="s">
        <v>2020</v>
      </c>
      <c r="B676" s="192"/>
      <c r="C676" s="197" t="s">
        <v>1609</v>
      </c>
      <c r="D676" s="198">
        <f>'02 项目基础信息（输入）'!$C$42</f>
        <v>51879.834600000002</v>
      </c>
      <c r="E676" s="199" t="s">
        <v>93</v>
      </c>
      <c r="F676" s="197" t="s">
        <v>1682</v>
      </c>
      <c r="G676" s="701"/>
      <c r="H676" s="199" t="s">
        <v>298</v>
      </c>
      <c r="I676" s="198">
        <f t="shared" si="80"/>
        <v>0</v>
      </c>
      <c r="J676" s="199" t="s">
        <v>93</v>
      </c>
      <c r="K676" s="699"/>
      <c r="L676" s="209" t="s">
        <v>675</v>
      </c>
      <c r="M676" s="207">
        <f t="shared" si="81"/>
        <v>0</v>
      </c>
      <c r="N676" s="198">
        <f>'02 项目基础信息（输入）'!$C$42</f>
        <v>51879.834600000002</v>
      </c>
      <c r="O676" s="198">
        <f t="shared" si="76"/>
        <v>0</v>
      </c>
      <c r="P676" s="198">
        <f>'02 项目基础信息（输入）'!$I$42</f>
        <v>51879.834600000002</v>
      </c>
      <c r="Q676" s="233">
        <f t="shared" si="77"/>
        <v>0</v>
      </c>
      <c r="S676" s="217"/>
      <c r="U676" s="220" t="s">
        <v>2456</v>
      </c>
      <c r="V676" s="1191">
        <v>0</v>
      </c>
      <c r="W676" s="1190">
        <v>4.3834</v>
      </c>
    </row>
    <row r="677" spans="1:23" ht="20.25" hidden="1" customHeight="1" outlineLevel="3">
      <c r="A677" s="192" t="s">
        <v>2022</v>
      </c>
      <c r="B677" s="192"/>
      <c r="C677" s="197" t="s">
        <v>1609</v>
      </c>
      <c r="D677" s="198">
        <f>'02 项目基础信息（输入）'!$C$42</f>
        <v>51879.834600000002</v>
      </c>
      <c r="E677" s="199" t="s">
        <v>93</v>
      </c>
      <c r="F677" s="197" t="s">
        <v>1682</v>
      </c>
      <c r="G677" s="701"/>
      <c r="H677" s="199" t="s">
        <v>298</v>
      </c>
      <c r="I677" s="198">
        <f t="shared" si="80"/>
        <v>0</v>
      </c>
      <c r="J677" s="199" t="s">
        <v>93</v>
      </c>
      <c r="K677" s="699"/>
      <c r="L677" s="209" t="s">
        <v>675</v>
      </c>
      <c r="M677" s="207">
        <f t="shared" si="81"/>
        <v>0</v>
      </c>
      <c r="N677" s="198">
        <f>'02 项目基础信息（输入）'!$C$42</f>
        <v>51879.834600000002</v>
      </c>
      <c r="O677" s="198">
        <f t="shared" si="76"/>
        <v>0</v>
      </c>
      <c r="P677" s="198">
        <f>'02 项目基础信息（输入）'!$I$42</f>
        <v>51879.834600000002</v>
      </c>
      <c r="Q677" s="233">
        <f t="shared" si="77"/>
        <v>0</v>
      </c>
      <c r="S677" s="217"/>
      <c r="U677" s="220" t="s">
        <v>2457</v>
      </c>
      <c r="V677" s="1191">
        <v>0</v>
      </c>
      <c r="W677" s="1190">
        <v>0</v>
      </c>
    </row>
    <row r="678" spans="1:23" ht="20.25" hidden="1" customHeight="1" outlineLevel="3">
      <c r="A678" s="192" t="s">
        <v>1694</v>
      </c>
      <c r="B678" s="192"/>
      <c r="C678" s="197" t="s">
        <v>1609</v>
      </c>
      <c r="D678" s="198">
        <f>'02 项目基础信息（输入）'!$C$42</f>
        <v>51879.834600000002</v>
      </c>
      <c r="E678" s="199" t="s">
        <v>93</v>
      </c>
      <c r="F678" s="197" t="s">
        <v>1682</v>
      </c>
      <c r="G678" s="701"/>
      <c r="H678" s="199" t="s">
        <v>298</v>
      </c>
      <c r="I678" s="198">
        <f t="shared" si="80"/>
        <v>0</v>
      </c>
      <c r="J678" s="199" t="s">
        <v>93</v>
      </c>
      <c r="K678" s="699"/>
      <c r="L678" s="209" t="s">
        <v>675</v>
      </c>
      <c r="M678" s="207">
        <f t="shared" si="81"/>
        <v>0</v>
      </c>
      <c r="N678" s="198">
        <f>'02 项目基础信息（输入）'!$C$42</f>
        <v>51879.834600000002</v>
      </c>
      <c r="O678" s="198">
        <f t="shared" si="76"/>
        <v>0</v>
      </c>
      <c r="P678" s="198">
        <f>'02 项目基础信息（输入）'!$I$42</f>
        <v>51879.834600000002</v>
      </c>
      <c r="Q678" s="233">
        <f t="shared" si="77"/>
        <v>0</v>
      </c>
      <c r="S678" s="217"/>
      <c r="U678" s="220" t="s">
        <v>2458</v>
      </c>
      <c r="V678" s="1191">
        <v>1.1336999999999999</v>
      </c>
      <c r="W678" s="1190">
        <v>38.3459</v>
      </c>
    </row>
    <row r="679" spans="1:23" ht="20.25" hidden="1" customHeight="1" outlineLevel="3">
      <c r="A679" s="192" t="s">
        <v>1696</v>
      </c>
      <c r="B679" s="192"/>
      <c r="C679" s="197" t="s">
        <v>1609</v>
      </c>
      <c r="D679" s="198">
        <f>'02 项目基础信息（输入）'!$C$42</f>
        <v>51879.834600000002</v>
      </c>
      <c r="E679" s="199" t="s">
        <v>93</v>
      </c>
      <c r="F679" s="197" t="s">
        <v>1682</v>
      </c>
      <c r="G679" s="701"/>
      <c r="H679" s="199" t="s">
        <v>298</v>
      </c>
      <c r="I679" s="198">
        <f t="shared" si="80"/>
        <v>0</v>
      </c>
      <c r="J679" s="199" t="s">
        <v>93</v>
      </c>
      <c r="K679" s="699"/>
      <c r="L679" s="209" t="s">
        <v>675</v>
      </c>
      <c r="M679" s="207">
        <f t="shared" si="81"/>
        <v>0</v>
      </c>
      <c r="N679" s="198">
        <f>'02 项目基础信息（输入）'!$C$42</f>
        <v>51879.834600000002</v>
      </c>
      <c r="O679" s="198">
        <f t="shared" si="76"/>
        <v>0</v>
      </c>
      <c r="P679" s="198">
        <f>'02 项目基础信息（输入）'!$I$42</f>
        <v>51879.834600000002</v>
      </c>
      <c r="Q679" s="233">
        <f t="shared" si="77"/>
        <v>0</v>
      </c>
      <c r="S679" s="217"/>
      <c r="U679" s="220" t="s">
        <v>2459</v>
      </c>
      <c r="V679" s="1191">
        <v>31.249400000000001</v>
      </c>
      <c r="W679" s="1190">
        <v>0</v>
      </c>
    </row>
    <row r="680" spans="1:23" ht="20.25" customHeight="1" outlineLevel="2" collapsed="1">
      <c r="A680" s="192" t="s">
        <v>1698</v>
      </c>
      <c r="B680" s="192"/>
      <c r="C680" s="197" t="s">
        <v>1609</v>
      </c>
      <c r="D680" s="198">
        <f>'02 项目基础信息（输入）'!$C$42</f>
        <v>51879.834600000002</v>
      </c>
      <c r="E680" s="199" t="s">
        <v>93</v>
      </c>
      <c r="F680" s="197"/>
      <c r="G680" s="199"/>
      <c r="H680" s="199"/>
      <c r="I680" s="197"/>
      <c r="J680" s="199"/>
      <c r="K680" s="207"/>
      <c r="L680" s="209"/>
      <c r="M680" s="198">
        <f>ROUND(SUM(M681:M682),6)</f>
        <v>75.822378</v>
      </c>
      <c r="N680" s="198">
        <f>'02 项目基础信息（输入）'!$C$42</f>
        <v>51879.834600000002</v>
      </c>
      <c r="O680" s="1386">
        <f t="shared" si="76"/>
        <v>14.61</v>
      </c>
      <c r="P680" s="198">
        <f>'02 项目基础信息（输入）'!$I$42</f>
        <v>51879.834600000002</v>
      </c>
      <c r="Q680" s="233">
        <f t="shared" si="77"/>
        <v>14.61</v>
      </c>
      <c r="S680" s="217" t="s">
        <v>1313</v>
      </c>
      <c r="U680" s="220" t="s">
        <v>2460</v>
      </c>
      <c r="V680" s="1191">
        <v>0</v>
      </c>
      <c r="W680" s="1190">
        <v>19.3263</v>
      </c>
    </row>
    <row r="681" spans="1:23" ht="20.25" hidden="1" customHeight="1" outlineLevel="3">
      <c r="A681" s="192" t="s">
        <v>1700</v>
      </c>
      <c r="B681" s="192"/>
      <c r="C681" s="197" t="s">
        <v>1609</v>
      </c>
      <c r="D681" s="198">
        <f>'02 项目基础信息（输入）'!$C$42</f>
        <v>51879.834600000002</v>
      </c>
      <c r="E681" s="199" t="s">
        <v>93</v>
      </c>
      <c r="F681" s="197" t="s">
        <v>1701</v>
      </c>
      <c r="G681" s="1042" t="s">
        <v>2461</v>
      </c>
      <c r="H681" s="199" t="s">
        <v>298</v>
      </c>
      <c r="I681" s="198">
        <f>G681*D681</f>
        <v>1919.5538801999999</v>
      </c>
      <c r="J681" s="199" t="s">
        <v>93</v>
      </c>
      <c r="K681" s="1040" t="s">
        <v>2462</v>
      </c>
      <c r="L681" s="209" t="s">
        <v>675</v>
      </c>
      <c r="M681" s="207">
        <f>ROUND(K681*I681/10000,6)</f>
        <v>75.822378</v>
      </c>
      <c r="N681" s="198">
        <f>'02 项目基础信息（输入）'!$C$42</f>
        <v>51879.834600000002</v>
      </c>
      <c r="O681" s="198">
        <f t="shared" si="76"/>
        <v>14.61</v>
      </c>
      <c r="P681" s="198">
        <f>'02 项目基础信息（输入）'!$I$42</f>
        <v>51879.834600000002</v>
      </c>
      <c r="Q681" s="233">
        <f t="shared" si="77"/>
        <v>14.61</v>
      </c>
      <c r="S681" s="217"/>
      <c r="U681" s="220" t="s">
        <v>2463</v>
      </c>
      <c r="V681" s="1191">
        <v>0</v>
      </c>
      <c r="W681" s="1190">
        <v>19.3263</v>
      </c>
    </row>
    <row r="682" spans="1:23" ht="20.25" hidden="1" customHeight="1" outlineLevel="3">
      <c r="A682" s="192" t="s">
        <v>1703</v>
      </c>
      <c r="B682" s="192"/>
      <c r="C682" s="197" t="s">
        <v>1609</v>
      </c>
      <c r="D682" s="198">
        <f>'02 项目基础信息（输入）'!$C$42</f>
        <v>51879.834600000002</v>
      </c>
      <c r="E682" s="199" t="s">
        <v>93</v>
      </c>
      <c r="F682" s="197" t="s">
        <v>1704</v>
      </c>
      <c r="G682" s="701"/>
      <c r="H682" s="199" t="s">
        <v>298</v>
      </c>
      <c r="I682" s="198">
        <f>G682*D682</f>
        <v>0</v>
      </c>
      <c r="J682" s="199" t="s">
        <v>93</v>
      </c>
      <c r="K682" s="699"/>
      <c r="L682" s="209" t="s">
        <v>675</v>
      </c>
      <c r="M682" s="207">
        <f>ROUND(K682*I682/10000,6)</f>
        <v>0</v>
      </c>
      <c r="N682" s="198">
        <f>'02 项目基础信息（输入）'!$C$42</f>
        <v>51879.834600000002</v>
      </c>
      <c r="O682" s="198">
        <f t="shared" si="76"/>
        <v>0</v>
      </c>
      <c r="P682" s="198">
        <f>'02 项目基础信息（输入）'!$I$42</f>
        <v>51879.834600000002</v>
      </c>
      <c r="Q682" s="233">
        <f t="shared" si="77"/>
        <v>0</v>
      </c>
      <c r="S682" s="217"/>
      <c r="U682" s="220" t="s">
        <v>2464</v>
      </c>
      <c r="V682" s="1191">
        <v>0</v>
      </c>
      <c r="W682" s="1190">
        <v>0</v>
      </c>
    </row>
    <row r="683" spans="1:23" ht="20.25" customHeight="1" outlineLevel="2" collapsed="1">
      <c r="A683" s="192" t="s">
        <v>1706</v>
      </c>
      <c r="B683" s="192"/>
      <c r="C683" s="197" t="s">
        <v>1609</v>
      </c>
      <c r="D683" s="198">
        <f>'02 项目基础信息（输入）'!$C$42</f>
        <v>51879.834600000002</v>
      </c>
      <c r="E683" s="199" t="s">
        <v>93</v>
      </c>
      <c r="F683" s="197"/>
      <c r="G683" s="199"/>
      <c r="H683" s="199"/>
      <c r="I683" s="197"/>
      <c r="J683" s="199"/>
      <c r="K683" s="207"/>
      <c r="L683" s="209"/>
      <c r="M683" s="198">
        <f>ROUND(SUM(M684:M685),6)</f>
        <v>0</v>
      </c>
      <c r="N683" s="198">
        <f>'02 项目基础信息（输入）'!$C$42</f>
        <v>51879.834600000002</v>
      </c>
      <c r="O683" s="198">
        <f t="shared" si="76"/>
        <v>0</v>
      </c>
      <c r="P683" s="198">
        <f>'02 项目基础信息（输入）'!$I$42</f>
        <v>51879.834600000002</v>
      </c>
      <c r="Q683" s="233">
        <f t="shared" si="77"/>
        <v>0</v>
      </c>
      <c r="S683" s="217" t="s">
        <v>1313</v>
      </c>
      <c r="U683" s="220" t="s">
        <v>2465</v>
      </c>
      <c r="V683" s="1191">
        <v>0</v>
      </c>
      <c r="W683" s="1190">
        <v>0</v>
      </c>
    </row>
    <row r="684" spans="1:23" ht="20.25" hidden="1" customHeight="1" outlineLevel="3">
      <c r="A684" s="192" t="s">
        <v>1708</v>
      </c>
      <c r="B684" s="192"/>
      <c r="C684" s="197" t="s">
        <v>1609</v>
      </c>
      <c r="D684" s="198">
        <f>'02 项目基础信息（输入）'!$C$42</f>
        <v>51879.834600000002</v>
      </c>
      <c r="E684" s="199" t="s">
        <v>93</v>
      </c>
      <c r="F684" s="197" t="s">
        <v>1648</v>
      </c>
      <c r="G684" s="701"/>
      <c r="H684" s="199" t="s">
        <v>298</v>
      </c>
      <c r="I684" s="198">
        <f>G684*D684</f>
        <v>0</v>
      </c>
      <c r="J684" s="199" t="s">
        <v>93</v>
      </c>
      <c r="K684" s="699"/>
      <c r="L684" s="209" t="s">
        <v>675</v>
      </c>
      <c r="M684" s="207">
        <f>ROUND(K684*I684/10000,6)</f>
        <v>0</v>
      </c>
      <c r="N684" s="198">
        <f>'02 项目基础信息（输入）'!$C$42</f>
        <v>51879.834600000002</v>
      </c>
      <c r="O684" s="198">
        <f t="shared" si="76"/>
        <v>0</v>
      </c>
      <c r="P684" s="198">
        <f>'02 项目基础信息（输入）'!$I$42</f>
        <v>51879.834600000002</v>
      </c>
      <c r="Q684" s="233">
        <f t="shared" si="77"/>
        <v>0</v>
      </c>
      <c r="S684" s="217"/>
      <c r="U684" s="220" t="s">
        <v>2466</v>
      </c>
      <c r="V684" s="1191">
        <v>0</v>
      </c>
      <c r="W684" s="1190">
        <v>0</v>
      </c>
    </row>
    <row r="685" spans="1:23" ht="20.25" hidden="1" customHeight="1" outlineLevel="3">
      <c r="A685" s="192" t="s">
        <v>1710</v>
      </c>
      <c r="B685" s="192"/>
      <c r="C685" s="197" t="s">
        <v>1609</v>
      </c>
      <c r="D685" s="198">
        <f>'02 项目基础信息（输入）'!$C$42</f>
        <v>51879.834600000002</v>
      </c>
      <c r="E685" s="199" t="s">
        <v>93</v>
      </c>
      <c r="F685" s="197" t="s">
        <v>1648</v>
      </c>
      <c r="G685" s="701"/>
      <c r="H685" s="199" t="s">
        <v>298</v>
      </c>
      <c r="I685" s="198">
        <f>G685*D685</f>
        <v>0</v>
      </c>
      <c r="J685" s="199" t="s">
        <v>93</v>
      </c>
      <c r="K685" s="699"/>
      <c r="L685" s="209" t="s">
        <v>675</v>
      </c>
      <c r="M685" s="207">
        <f>ROUND(K685*I685/10000,6)</f>
        <v>0</v>
      </c>
      <c r="N685" s="198">
        <f>'02 项目基础信息（输入）'!$C$42</f>
        <v>51879.834600000002</v>
      </c>
      <c r="O685" s="198">
        <f t="shared" si="76"/>
        <v>0</v>
      </c>
      <c r="P685" s="198">
        <f>'02 项目基础信息（输入）'!$I$42</f>
        <v>51879.834600000002</v>
      </c>
      <c r="Q685" s="233">
        <f t="shared" si="77"/>
        <v>0</v>
      </c>
      <c r="S685" s="217"/>
      <c r="U685" s="220" t="s">
        <v>2467</v>
      </c>
      <c r="V685" s="1191">
        <v>0</v>
      </c>
      <c r="W685" s="1190">
        <v>0</v>
      </c>
    </row>
    <row r="686" spans="1:23" ht="20.25" customHeight="1" outlineLevel="2" collapsed="1">
      <c r="A686" s="192" t="s">
        <v>1712</v>
      </c>
      <c r="B686" s="192"/>
      <c r="C686" s="197" t="s">
        <v>1609</v>
      </c>
      <c r="D686" s="198">
        <f>'02 项目基础信息（输入）'!$C$42</f>
        <v>51879.834600000002</v>
      </c>
      <c r="E686" s="199" t="s">
        <v>93</v>
      </c>
      <c r="F686" s="197"/>
      <c r="G686" s="199"/>
      <c r="H686" s="199"/>
      <c r="I686" s="197"/>
      <c r="J686" s="199"/>
      <c r="K686" s="207"/>
      <c r="L686" s="209"/>
      <c r="M686" s="198">
        <f>ROUND(SUM(M687:M704),6)</f>
        <v>954.58895700000005</v>
      </c>
      <c r="N686" s="198">
        <f>'02 项目基础信息（输入）'!$C$42</f>
        <v>51879.834600000002</v>
      </c>
      <c r="O686" s="198">
        <f t="shared" si="76"/>
        <v>184</v>
      </c>
      <c r="P686" s="198">
        <f>'02 项目基础信息（输入）'!$I$42</f>
        <v>51879.834600000002</v>
      </c>
      <c r="Q686" s="233">
        <f t="shared" si="77"/>
        <v>184</v>
      </c>
      <c r="S686" s="217" t="s">
        <v>1313</v>
      </c>
      <c r="U686" s="220" t="s">
        <v>2468</v>
      </c>
      <c r="V686" s="1191">
        <v>195.898</v>
      </c>
      <c r="W686" s="1190">
        <v>209.4607</v>
      </c>
    </row>
    <row r="687" spans="1:23" ht="20.25" hidden="1" customHeight="1" outlineLevel="3">
      <c r="A687" s="192" t="s">
        <v>1714</v>
      </c>
      <c r="B687" s="192"/>
      <c r="C687" s="197" t="s">
        <v>1609</v>
      </c>
      <c r="D687" s="198">
        <f>'02 项目基础信息（输入）'!$C$42</f>
        <v>51879.834600000002</v>
      </c>
      <c r="E687" s="199" t="s">
        <v>93</v>
      </c>
      <c r="F687" s="197" t="s">
        <v>1609</v>
      </c>
      <c r="G687" s="199">
        <v>1</v>
      </c>
      <c r="H687" s="199" t="s">
        <v>298</v>
      </c>
      <c r="I687" s="198">
        <f t="shared" ref="I687:I704" si="82">G687*D687</f>
        <v>51879.834600000002</v>
      </c>
      <c r="J687" s="199" t="s">
        <v>93</v>
      </c>
      <c r="K687" s="1040" t="s">
        <v>2469</v>
      </c>
      <c r="L687" s="209" t="s">
        <v>675</v>
      </c>
      <c r="M687" s="207">
        <f t="shared" ref="M687:M704" si="83">ROUND(K687*I687/10000,6)</f>
        <v>954.58895700000005</v>
      </c>
      <c r="N687" s="198">
        <f>'02 项目基础信息（输入）'!$C$42</f>
        <v>51879.834600000002</v>
      </c>
      <c r="O687" s="198">
        <f t="shared" si="76"/>
        <v>184</v>
      </c>
      <c r="P687" s="198">
        <f>'02 项目基础信息（输入）'!$I$42</f>
        <v>51879.834600000002</v>
      </c>
      <c r="Q687" s="233">
        <f t="shared" si="77"/>
        <v>184</v>
      </c>
      <c r="S687" s="217"/>
      <c r="U687" s="220" t="s">
        <v>2470</v>
      </c>
      <c r="V687" s="1191">
        <v>48.737699999999997</v>
      </c>
      <c r="W687" s="1190">
        <v>43.665100000000002</v>
      </c>
    </row>
    <row r="688" spans="1:23" ht="20.25" hidden="1" customHeight="1" outlineLevel="3">
      <c r="A688" s="192" t="s">
        <v>1717</v>
      </c>
      <c r="B688" s="192"/>
      <c r="C688" s="197" t="s">
        <v>1609</v>
      </c>
      <c r="D688" s="198">
        <f>'02 项目基础信息（输入）'!$C$42</f>
        <v>51879.834600000002</v>
      </c>
      <c r="E688" s="199" t="s">
        <v>93</v>
      </c>
      <c r="F688" s="197" t="s">
        <v>1609</v>
      </c>
      <c r="G688" s="199">
        <v>1</v>
      </c>
      <c r="H688" s="199" t="s">
        <v>298</v>
      </c>
      <c r="I688" s="198">
        <f t="shared" si="82"/>
        <v>51879.834600000002</v>
      </c>
      <c r="J688" s="199" t="s">
        <v>93</v>
      </c>
      <c r="K688" s="699"/>
      <c r="L688" s="209" t="s">
        <v>675</v>
      </c>
      <c r="M688" s="207">
        <f t="shared" si="83"/>
        <v>0</v>
      </c>
      <c r="N688" s="198">
        <f>'02 项目基础信息（输入）'!$C$42</f>
        <v>51879.834600000002</v>
      </c>
      <c r="O688" s="198">
        <f t="shared" si="76"/>
        <v>0</v>
      </c>
      <c r="P688" s="198">
        <f>'02 项目基础信息（输入）'!$I$42</f>
        <v>51879.834600000002</v>
      </c>
      <c r="Q688" s="233">
        <f t="shared" si="77"/>
        <v>0</v>
      </c>
      <c r="S688" s="217"/>
      <c r="U688" s="220" t="s">
        <v>2471</v>
      </c>
      <c r="V688" s="1191">
        <v>9.6572999999999993</v>
      </c>
      <c r="W688" s="1190">
        <v>33.558100000000003</v>
      </c>
    </row>
    <row r="689" spans="1:23" ht="20.25" hidden="1" customHeight="1" outlineLevel="3">
      <c r="A689" s="192" t="s">
        <v>1719</v>
      </c>
      <c r="B689" s="192"/>
      <c r="C689" s="197" t="s">
        <v>1609</v>
      </c>
      <c r="D689" s="198">
        <f>'02 项目基础信息（输入）'!$C$42</f>
        <v>51879.834600000002</v>
      </c>
      <c r="E689" s="199" t="s">
        <v>93</v>
      </c>
      <c r="F689" s="197" t="s">
        <v>1609</v>
      </c>
      <c r="G689" s="199">
        <v>1</v>
      </c>
      <c r="H689" s="199" t="s">
        <v>298</v>
      </c>
      <c r="I689" s="198">
        <f t="shared" si="82"/>
        <v>51879.834600000002</v>
      </c>
      <c r="J689" s="199" t="s">
        <v>93</v>
      </c>
      <c r="K689" s="699"/>
      <c r="L689" s="209" t="s">
        <v>675</v>
      </c>
      <c r="M689" s="207">
        <f t="shared" si="83"/>
        <v>0</v>
      </c>
      <c r="N689" s="198">
        <f>'02 项目基础信息（输入）'!$C$42</f>
        <v>51879.834600000002</v>
      </c>
      <c r="O689" s="198">
        <f t="shared" si="76"/>
        <v>0</v>
      </c>
      <c r="P689" s="198">
        <f>'02 项目基础信息（输入）'!$I$42</f>
        <v>51879.834600000002</v>
      </c>
      <c r="Q689" s="233">
        <f t="shared" si="77"/>
        <v>0</v>
      </c>
      <c r="S689" s="217"/>
      <c r="U689" s="220" t="s">
        <v>2472</v>
      </c>
      <c r="V689" s="1191">
        <v>20.8719</v>
      </c>
      <c r="W689" s="1190">
        <v>29.6112</v>
      </c>
    </row>
    <row r="690" spans="1:23" ht="20.25" hidden="1" customHeight="1" outlineLevel="3">
      <c r="A690" s="192" t="s">
        <v>1721</v>
      </c>
      <c r="B690" s="192"/>
      <c r="C690" s="197" t="s">
        <v>1609</v>
      </c>
      <c r="D690" s="198">
        <f>'02 项目基础信息（输入）'!$C$42</f>
        <v>51879.834600000002</v>
      </c>
      <c r="E690" s="199" t="s">
        <v>93</v>
      </c>
      <c r="F690" s="197" t="s">
        <v>1609</v>
      </c>
      <c r="G690" s="199">
        <v>1</v>
      </c>
      <c r="H690" s="199" t="s">
        <v>298</v>
      </c>
      <c r="I690" s="198">
        <f t="shared" si="82"/>
        <v>51879.834600000002</v>
      </c>
      <c r="J690" s="199" t="s">
        <v>93</v>
      </c>
      <c r="K690" s="699"/>
      <c r="L690" s="209" t="s">
        <v>675</v>
      </c>
      <c r="M690" s="207">
        <f t="shared" si="83"/>
        <v>0</v>
      </c>
      <c r="N690" s="198">
        <f>'02 项目基础信息（输入）'!$C$42</f>
        <v>51879.834600000002</v>
      </c>
      <c r="O690" s="198">
        <f t="shared" si="76"/>
        <v>0</v>
      </c>
      <c r="P690" s="198">
        <f>'02 项目基础信息（输入）'!$I$42</f>
        <v>51879.834600000002</v>
      </c>
      <c r="Q690" s="233">
        <f t="shared" si="77"/>
        <v>0</v>
      </c>
      <c r="S690" s="217"/>
      <c r="U690" s="220" t="s">
        <v>2473</v>
      </c>
      <c r="V690" s="1191">
        <v>0</v>
      </c>
      <c r="W690" s="1190">
        <v>16.5182</v>
      </c>
    </row>
    <row r="691" spans="1:23" ht="20.25" hidden="1" customHeight="1" outlineLevel="3">
      <c r="A691" s="192" t="s">
        <v>1723</v>
      </c>
      <c r="B691" s="192"/>
      <c r="C691" s="197" t="s">
        <v>1609</v>
      </c>
      <c r="D691" s="198">
        <f>'02 项目基础信息（输入）'!$C$42</f>
        <v>51879.834600000002</v>
      </c>
      <c r="E691" s="199" t="s">
        <v>93</v>
      </c>
      <c r="F691" s="197" t="s">
        <v>1609</v>
      </c>
      <c r="G691" s="199">
        <v>1</v>
      </c>
      <c r="H691" s="199" t="s">
        <v>298</v>
      </c>
      <c r="I691" s="198">
        <f t="shared" si="82"/>
        <v>51879.834600000002</v>
      </c>
      <c r="J691" s="199" t="s">
        <v>93</v>
      </c>
      <c r="K691" s="699"/>
      <c r="L691" s="209" t="s">
        <v>675</v>
      </c>
      <c r="M691" s="207">
        <f t="shared" si="83"/>
        <v>0</v>
      </c>
      <c r="N691" s="198">
        <f>'02 项目基础信息（输入）'!$C$42</f>
        <v>51879.834600000002</v>
      </c>
      <c r="O691" s="198">
        <f t="shared" si="76"/>
        <v>0</v>
      </c>
      <c r="P691" s="198">
        <f>'02 项目基础信息（输入）'!$I$42</f>
        <v>51879.834600000002</v>
      </c>
      <c r="Q691" s="233">
        <f t="shared" si="77"/>
        <v>0</v>
      </c>
      <c r="S691" s="217"/>
      <c r="U691" s="220" t="s">
        <v>2474</v>
      </c>
      <c r="V691" s="1191">
        <v>0</v>
      </c>
      <c r="W691" s="1190">
        <v>0</v>
      </c>
    </row>
    <row r="692" spans="1:23" ht="20.25" hidden="1" customHeight="1" outlineLevel="3">
      <c r="A692" s="192" t="s">
        <v>1725</v>
      </c>
      <c r="B692" s="192"/>
      <c r="C692" s="197" t="s">
        <v>1609</v>
      </c>
      <c r="D692" s="198">
        <f>'02 项目基础信息（输入）'!$C$42</f>
        <v>51879.834600000002</v>
      </c>
      <c r="E692" s="199" t="s">
        <v>93</v>
      </c>
      <c r="F692" s="197" t="s">
        <v>1609</v>
      </c>
      <c r="G692" s="199">
        <v>1</v>
      </c>
      <c r="H692" s="199" t="s">
        <v>298</v>
      </c>
      <c r="I692" s="198">
        <f t="shared" si="82"/>
        <v>51879.834600000002</v>
      </c>
      <c r="J692" s="199" t="s">
        <v>93</v>
      </c>
      <c r="K692" s="699"/>
      <c r="L692" s="209" t="s">
        <v>675</v>
      </c>
      <c r="M692" s="207">
        <f t="shared" si="83"/>
        <v>0</v>
      </c>
      <c r="N692" s="198">
        <f>'02 项目基础信息（输入）'!$C$42</f>
        <v>51879.834600000002</v>
      </c>
      <c r="O692" s="198">
        <f t="shared" si="76"/>
        <v>0</v>
      </c>
      <c r="P692" s="198">
        <f>'02 项目基础信息（输入）'!$I$42</f>
        <v>51879.834600000002</v>
      </c>
      <c r="Q692" s="233">
        <f t="shared" si="77"/>
        <v>0</v>
      </c>
      <c r="S692" s="217"/>
      <c r="U692" s="220" t="s">
        <v>2475</v>
      </c>
      <c r="V692" s="1191">
        <v>0.42599999999999999</v>
      </c>
      <c r="W692" s="1190">
        <v>0</v>
      </c>
    </row>
    <row r="693" spans="1:23" ht="20.25" hidden="1" customHeight="1" outlineLevel="3">
      <c r="A693" s="192" t="s">
        <v>1727</v>
      </c>
      <c r="B693" s="192"/>
      <c r="C693" s="197" t="s">
        <v>1609</v>
      </c>
      <c r="D693" s="198">
        <f>'02 项目基础信息（输入）'!$C$42</f>
        <v>51879.834600000002</v>
      </c>
      <c r="E693" s="199" t="s">
        <v>93</v>
      </c>
      <c r="F693" s="197" t="s">
        <v>1609</v>
      </c>
      <c r="G693" s="199">
        <v>1</v>
      </c>
      <c r="H693" s="199" t="s">
        <v>298</v>
      </c>
      <c r="I693" s="198">
        <f t="shared" si="82"/>
        <v>51879.834600000002</v>
      </c>
      <c r="J693" s="199" t="s">
        <v>93</v>
      </c>
      <c r="K693" s="699"/>
      <c r="L693" s="209" t="s">
        <v>675</v>
      </c>
      <c r="M693" s="207">
        <f t="shared" si="83"/>
        <v>0</v>
      </c>
      <c r="N693" s="198">
        <f>'02 项目基础信息（输入）'!$C$42</f>
        <v>51879.834600000002</v>
      </c>
      <c r="O693" s="198">
        <f t="shared" si="76"/>
        <v>0</v>
      </c>
      <c r="P693" s="198">
        <f>'02 项目基础信息（输入）'!$I$42</f>
        <v>51879.834600000002</v>
      </c>
      <c r="Q693" s="233">
        <f t="shared" si="77"/>
        <v>0</v>
      </c>
      <c r="S693" s="217"/>
      <c r="U693" s="220" t="s">
        <v>2476</v>
      </c>
      <c r="V693" s="1191">
        <v>13.0267</v>
      </c>
      <c r="W693" s="1190">
        <v>14.4382</v>
      </c>
    </row>
    <row r="694" spans="1:23" ht="20.25" hidden="1" customHeight="1" outlineLevel="3">
      <c r="A694" s="192" t="s">
        <v>1729</v>
      </c>
      <c r="B694" s="192"/>
      <c r="C694" s="197" t="s">
        <v>1609</v>
      </c>
      <c r="D694" s="198">
        <f>'02 项目基础信息（输入）'!$C$42</f>
        <v>51879.834600000002</v>
      </c>
      <c r="E694" s="199" t="s">
        <v>93</v>
      </c>
      <c r="F694" s="197" t="s">
        <v>1609</v>
      </c>
      <c r="G694" s="199">
        <v>1</v>
      </c>
      <c r="H694" s="199" t="s">
        <v>298</v>
      </c>
      <c r="I694" s="198">
        <f t="shared" si="82"/>
        <v>51879.834600000002</v>
      </c>
      <c r="J694" s="199" t="s">
        <v>93</v>
      </c>
      <c r="K694" s="699"/>
      <c r="L694" s="209" t="s">
        <v>675</v>
      </c>
      <c r="M694" s="207">
        <f t="shared" si="83"/>
        <v>0</v>
      </c>
      <c r="N694" s="198">
        <f>'02 项目基础信息（输入）'!$C$42</f>
        <v>51879.834600000002</v>
      </c>
      <c r="O694" s="198">
        <f t="shared" si="76"/>
        <v>0</v>
      </c>
      <c r="P694" s="198">
        <f>'02 项目基础信息（输入）'!$I$42</f>
        <v>51879.834600000002</v>
      </c>
      <c r="Q694" s="233">
        <f t="shared" si="77"/>
        <v>0</v>
      </c>
      <c r="S694" s="217"/>
      <c r="U694" s="220" t="s">
        <v>2477</v>
      </c>
      <c r="V694" s="1191">
        <v>55.616300000000003</v>
      </c>
      <c r="W694" s="1190">
        <v>20.2882</v>
      </c>
    </row>
    <row r="695" spans="1:23" ht="20.25" hidden="1" customHeight="1" outlineLevel="3">
      <c r="A695" s="192" t="s">
        <v>1731</v>
      </c>
      <c r="B695" s="192"/>
      <c r="C695" s="197" t="s">
        <v>1609</v>
      </c>
      <c r="D695" s="198">
        <f>'02 项目基础信息（输入）'!$C$42</f>
        <v>51879.834600000002</v>
      </c>
      <c r="E695" s="199" t="s">
        <v>93</v>
      </c>
      <c r="F695" s="197" t="s">
        <v>1609</v>
      </c>
      <c r="G695" s="199">
        <v>1</v>
      </c>
      <c r="H695" s="199" t="s">
        <v>298</v>
      </c>
      <c r="I695" s="198">
        <f t="shared" si="82"/>
        <v>51879.834600000002</v>
      </c>
      <c r="J695" s="199" t="s">
        <v>93</v>
      </c>
      <c r="K695" s="699"/>
      <c r="L695" s="209" t="s">
        <v>675</v>
      </c>
      <c r="M695" s="207">
        <f t="shared" si="83"/>
        <v>0</v>
      </c>
      <c r="N695" s="198">
        <f>'02 项目基础信息（输入）'!$C$42</f>
        <v>51879.834600000002</v>
      </c>
      <c r="O695" s="198">
        <f t="shared" si="76"/>
        <v>0</v>
      </c>
      <c r="P695" s="198">
        <f>'02 项目基础信息（输入）'!$I$42</f>
        <v>51879.834600000002</v>
      </c>
      <c r="Q695" s="233">
        <f t="shared" si="77"/>
        <v>0</v>
      </c>
      <c r="S695" s="217"/>
      <c r="U695" s="220" t="s">
        <v>2478</v>
      </c>
      <c r="V695" s="1191">
        <v>4.7262000000000004</v>
      </c>
      <c r="W695" s="1190">
        <v>3.2873999999999999</v>
      </c>
    </row>
    <row r="696" spans="1:23" ht="20.25" hidden="1" customHeight="1" outlineLevel="3">
      <c r="A696" s="192" t="s">
        <v>1733</v>
      </c>
      <c r="B696" s="192"/>
      <c r="C696" s="197" t="s">
        <v>1609</v>
      </c>
      <c r="D696" s="198">
        <f>'02 项目基础信息（输入）'!$C$42</f>
        <v>51879.834600000002</v>
      </c>
      <c r="E696" s="199" t="s">
        <v>93</v>
      </c>
      <c r="F696" s="197" t="s">
        <v>1609</v>
      </c>
      <c r="G696" s="199">
        <v>1</v>
      </c>
      <c r="H696" s="199" t="s">
        <v>298</v>
      </c>
      <c r="I696" s="198">
        <f t="shared" si="82"/>
        <v>51879.834600000002</v>
      </c>
      <c r="J696" s="199" t="s">
        <v>93</v>
      </c>
      <c r="K696" s="699"/>
      <c r="L696" s="209" t="s">
        <v>675</v>
      </c>
      <c r="M696" s="207">
        <f t="shared" si="83"/>
        <v>0</v>
      </c>
      <c r="N696" s="198">
        <f>'02 项目基础信息（输入）'!$C$42</f>
        <v>51879.834600000002</v>
      </c>
      <c r="O696" s="198">
        <f t="shared" si="76"/>
        <v>0</v>
      </c>
      <c r="P696" s="198">
        <f>'02 项目基础信息（输入）'!$I$42</f>
        <v>51879.834600000002</v>
      </c>
      <c r="Q696" s="233">
        <f t="shared" si="77"/>
        <v>0</v>
      </c>
      <c r="S696" s="217"/>
      <c r="U696" s="220" t="s">
        <v>2479</v>
      </c>
      <c r="V696" s="1191">
        <v>0</v>
      </c>
      <c r="W696" s="1190">
        <v>7.7499999999999999E-2</v>
      </c>
    </row>
    <row r="697" spans="1:23" ht="20.25" hidden="1" customHeight="1" outlineLevel="3">
      <c r="A697" s="192" t="s">
        <v>1735</v>
      </c>
      <c r="B697" s="192"/>
      <c r="C697" s="197" t="s">
        <v>1609</v>
      </c>
      <c r="D697" s="198">
        <f>'02 项目基础信息（输入）'!$C$42</f>
        <v>51879.834600000002</v>
      </c>
      <c r="E697" s="199" t="s">
        <v>93</v>
      </c>
      <c r="F697" s="197" t="s">
        <v>1609</v>
      </c>
      <c r="G697" s="199">
        <v>1</v>
      </c>
      <c r="H697" s="199" t="s">
        <v>298</v>
      </c>
      <c r="I697" s="198">
        <f t="shared" si="82"/>
        <v>51879.834600000002</v>
      </c>
      <c r="J697" s="199" t="s">
        <v>93</v>
      </c>
      <c r="K697" s="699"/>
      <c r="L697" s="209" t="s">
        <v>675</v>
      </c>
      <c r="M697" s="207">
        <f t="shared" si="83"/>
        <v>0</v>
      </c>
      <c r="N697" s="198">
        <f>'02 项目基础信息（输入）'!$C$42</f>
        <v>51879.834600000002</v>
      </c>
      <c r="O697" s="198">
        <f t="shared" si="76"/>
        <v>0</v>
      </c>
      <c r="P697" s="198">
        <f>'02 项目基础信息（输入）'!$I$42</f>
        <v>51879.834600000002</v>
      </c>
      <c r="Q697" s="233">
        <f t="shared" si="77"/>
        <v>0</v>
      </c>
      <c r="S697" s="217"/>
      <c r="U697" s="220" t="s">
        <v>2480</v>
      </c>
      <c r="V697" s="1191">
        <v>1.1085</v>
      </c>
      <c r="W697" s="1190">
        <v>0</v>
      </c>
    </row>
    <row r="698" spans="1:23" ht="20.25" hidden="1" customHeight="1" outlineLevel="3">
      <c r="A698" s="192" t="s">
        <v>1737</v>
      </c>
      <c r="B698" s="192"/>
      <c r="C698" s="197" t="s">
        <v>1609</v>
      </c>
      <c r="D698" s="198">
        <f>'02 项目基础信息（输入）'!$C$42</f>
        <v>51879.834600000002</v>
      </c>
      <c r="E698" s="199" t="s">
        <v>93</v>
      </c>
      <c r="F698" s="197" t="s">
        <v>1609</v>
      </c>
      <c r="G698" s="199">
        <v>1</v>
      </c>
      <c r="H698" s="199" t="s">
        <v>298</v>
      </c>
      <c r="I698" s="198">
        <f t="shared" si="82"/>
        <v>51879.834600000002</v>
      </c>
      <c r="J698" s="199" t="s">
        <v>93</v>
      </c>
      <c r="K698" s="699"/>
      <c r="L698" s="209" t="s">
        <v>675</v>
      </c>
      <c r="M698" s="207">
        <f t="shared" si="83"/>
        <v>0</v>
      </c>
      <c r="N698" s="198">
        <f>'02 项目基础信息（输入）'!$C$42</f>
        <v>51879.834600000002</v>
      </c>
      <c r="O698" s="198">
        <f t="shared" si="76"/>
        <v>0</v>
      </c>
      <c r="P698" s="198">
        <f>'02 项目基础信息（输入）'!$I$42</f>
        <v>51879.834600000002</v>
      </c>
      <c r="Q698" s="233">
        <f t="shared" si="77"/>
        <v>0</v>
      </c>
      <c r="S698" s="217"/>
      <c r="U698" s="220" t="s">
        <v>2481</v>
      </c>
      <c r="V698" s="1191">
        <v>3.4838</v>
      </c>
      <c r="W698" s="1190">
        <v>0</v>
      </c>
    </row>
    <row r="699" spans="1:23" ht="20.25" hidden="1" customHeight="1" outlineLevel="3">
      <c r="A699" s="192" t="s">
        <v>1739</v>
      </c>
      <c r="B699" s="192"/>
      <c r="C699" s="197" t="s">
        <v>1609</v>
      </c>
      <c r="D699" s="198">
        <f>'02 项目基础信息（输入）'!$C$42</f>
        <v>51879.834600000002</v>
      </c>
      <c r="E699" s="199" t="s">
        <v>93</v>
      </c>
      <c r="F699" s="197" t="s">
        <v>1609</v>
      </c>
      <c r="G699" s="199">
        <v>1</v>
      </c>
      <c r="H699" s="199" t="s">
        <v>298</v>
      </c>
      <c r="I699" s="198">
        <f t="shared" si="82"/>
        <v>51879.834600000002</v>
      </c>
      <c r="J699" s="199" t="s">
        <v>93</v>
      </c>
      <c r="K699" s="699"/>
      <c r="L699" s="209" t="s">
        <v>675</v>
      </c>
      <c r="M699" s="207">
        <f t="shared" si="83"/>
        <v>0</v>
      </c>
      <c r="N699" s="198">
        <f>'02 项目基础信息（输入）'!$C$42</f>
        <v>51879.834600000002</v>
      </c>
      <c r="O699" s="198">
        <f t="shared" si="76"/>
        <v>0</v>
      </c>
      <c r="P699" s="198">
        <f>'02 项目基础信息（输入）'!$I$42</f>
        <v>51879.834600000002</v>
      </c>
      <c r="Q699" s="233">
        <f t="shared" si="77"/>
        <v>0</v>
      </c>
      <c r="S699" s="217"/>
      <c r="U699" s="220" t="s">
        <v>2482</v>
      </c>
      <c r="V699" s="1191">
        <v>0</v>
      </c>
      <c r="W699" s="1190">
        <v>0</v>
      </c>
    </row>
    <row r="700" spans="1:23" ht="20.25" hidden="1" customHeight="1" outlineLevel="3">
      <c r="A700" s="192" t="s">
        <v>1741</v>
      </c>
      <c r="B700" s="192"/>
      <c r="C700" s="197" t="s">
        <v>1609</v>
      </c>
      <c r="D700" s="198">
        <f>'02 项目基础信息（输入）'!$C$42</f>
        <v>51879.834600000002</v>
      </c>
      <c r="E700" s="199" t="s">
        <v>93</v>
      </c>
      <c r="F700" s="197" t="s">
        <v>1609</v>
      </c>
      <c r="G700" s="199">
        <v>1</v>
      </c>
      <c r="H700" s="199" t="s">
        <v>298</v>
      </c>
      <c r="I700" s="198">
        <f t="shared" si="82"/>
        <v>51879.834600000002</v>
      </c>
      <c r="J700" s="199" t="s">
        <v>93</v>
      </c>
      <c r="K700" s="699"/>
      <c r="L700" s="209" t="s">
        <v>675</v>
      </c>
      <c r="M700" s="207">
        <f t="shared" si="83"/>
        <v>0</v>
      </c>
      <c r="N700" s="198">
        <f>'02 项目基础信息（输入）'!$C$42</f>
        <v>51879.834600000002</v>
      </c>
      <c r="O700" s="198">
        <f t="shared" si="76"/>
        <v>0</v>
      </c>
      <c r="P700" s="198">
        <f>'02 项目基础信息（输入）'!$I$42</f>
        <v>51879.834600000002</v>
      </c>
      <c r="Q700" s="233">
        <f t="shared" si="77"/>
        <v>0</v>
      </c>
      <c r="S700" s="217"/>
      <c r="U700" s="220" t="s">
        <v>2483</v>
      </c>
      <c r="V700" s="1191">
        <v>0.74780000000000002</v>
      </c>
      <c r="W700" s="1190">
        <v>5.157</v>
      </c>
    </row>
    <row r="701" spans="1:23" ht="20.25" hidden="1" customHeight="1" outlineLevel="3">
      <c r="A701" s="192" t="s">
        <v>1743</v>
      </c>
      <c r="B701" s="192"/>
      <c r="C701" s="197" t="s">
        <v>1609</v>
      </c>
      <c r="D701" s="198">
        <f>'02 项目基础信息（输入）'!$C$42</f>
        <v>51879.834600000002</v>
      </c>
      <c r="E701" s="199" t="s">
        <v>93</v>
      </c>
      <c r="F701" s="197" t="s">
        <v>1609</v>
      </c>
      <c r="G701" s="199">
        <v>1</v>
      </c>
      <c r="H701" s="199" t="s">
        <v>298</v>
      </c>
      <c r="I701" s="198">
        <f t="shared" si="82"/>
        <v>51879.834600000002</v>
      </c>
      <c r="J701" s="199" t="s">
        <v>93</v>
      </c>
      <c r="K701" s="699"/>
      <c r="L701" s="209" t="s">
        <v>675</v>
      </c>
      <c r="M701" s="207">
        <f t="shared" si="83"/>
        <v>0</v>
      </c>
      <c r="N701" s="198">
        <f>'02 项目基础信息（输入）'!$C$42</f>
        <v>51879.834600000002</v>
      </c>
      <c r="O701" s="198">
        <f t="shared" si="76"/>
        <v>0</v>
      </c>
      <c r="P701" s="198">
        <f>'02 项目基础信息（输入）'!$I$42</f>
        <v>51879.834600000002</v>
      </c>
      <c r="Q701" s="233">
        <f t="shared" si="77"/>
        <v>0</v>
      </c>
      <c r="S701" s="217"/>
      <c r="U701" s="220" t="s">
        <v>2484</v>
      </c>
      <c r="V701" s="1191">
        <v>0</v>
      </c>
      <c r="W701" s="1190">
        <v>0</v>
      </c>
    </row>
    <row r="702" spans="1:23" ht="20.25" hidden="1" customHeight="1" outlineLevel="3">
      <c r="A702" s="192" t="s">
        <v>1745</v>
      </c>
      <c r="B702" s="192"/>
      <c r="C702" s="197" t="s">
        <v>1609</v>
      </c>
      <c r="D702" s="198">
        <f>'02 项目基础信息（输入）'!$C$42</f>
        <v>51879.834600000002</v>
      </c>
      <c r="E702" s="199" t="s">
        <v>93</v>
      </c>
      <c r="F702" s="197" t="s">
        <v>1609</v>
      </c>
      <c r="G702" s="199">
        <v>1</v>
      </c>
      <c r="H702" s="199" t="s">
        <v>298</v>
      </c>
      <c r="I702" s="198">
        <f t="shared" si="82"/>
        <v>51879.834600000002</v>
      </c>
      <c r="J702" s="199" t="s">
        <v>93</v>
      </c>
      <c r="K702" s="699"/>
      <c r="L702" s="209" t="s">
        <v>675</v>
      </c>
      <c r="M702" s="207">
        <f t="shared" si="83"/>
        <v>0</v>
      </c>
      <c r="N702" s="198">
        <f>'02 项目基础信息（输入）'!$C$42</f>
        <v>51879.834600000002</v>
      </c>
      <c r="O702" s="198">
        <f t="shared" si="76"/>
        <v>0</v>
      </c>
      <c r="P702" s="198">
        <f>'02 项目基础信息（输入）'!$I$42</f>
        <v>51879.834600000002</v>
      </c>
      <c r="Q702" s="233">
        <f t="shared" si="77"/>
        <v>0</v>
      </c>
      <c r="S702" s="217"/>
      <c r="U702" s="220" t="s">
        <v>2485</v>
      </c>
      <c r="V702" s="1191">
        <v>0</v>
      </c>
      <c r="W702" s="1190">
        <v>0</v>
      </c>
    </row>
    <row r="703" spans="1:23" ht="20.25" hidden="1" customHeight="1" outlineLevel="3">
      <c r="A703" s="192" t="s">
        <v>1747</v>
      </c>
      <c r="B703" s="192"/>
      <c r="C703" s="197" t="s">
        <v>416</v>
      </c>
      <c r="D703" s="198">
        <f>'02 项目基础信息（输入）'!$AJ$42</f>
        <v>0</v>
      </c>
      <c r="E703" s="199" t="s">
        <v>417</v>
      </c>
      <c r="F703" s="197" t="s">
        <v>416</v>
      </c>
      <c r="G703" s="199">
        <v>1</v>
      </c>
      <c r="H703" s="199" t="s">
        <v>1748</v>
      </c>
      <c r="I703" s="198">
        <f t="shared" si="82"/>
        <v>0</v>
      </c>
      <c r="J703" s="199" t="s">
        <v>400</v>
      </c>
      <c r="K703" s="207">
        <v>0</v>
      </c>
      <c r="L703" s="209" t="s">
        <v>1749</v>
      </c>
      <c r="M703" s="207">
        <f t="shared" si="83"/>
        <v>0</v>
      </c>
      <c r="N703" s="198">
        <f>'02 项目基础信息（输入）'!$C$42</f>
        <v>51879.834600000002</v>
      </c>
      <c r="O703" s="198">
        <f t="shared" si="76"/>
        <v>0</v>
      </c>
      <c r="P703" s="198">
        <f>'02 项目基础信息（输入）'!$I$42</f>
        <v>51879.834600000002</v>
      </c>
      <c r="Q703" s="233">
        <f t="shared" si="77"/>
        <v>0</v>
      </c>
      <c r="S703" s="217"/>
      <c r="U703" s="220" t="s">
        <v>2486</v>
      </c>
      <c r="V703" s="1191">
        <v>0</v>
      </c>
      <c r="W703" s="1190">
        <v>0</v>
      </c>
    </row>
    <row r="704" spans="1:23" ht="20.25" hidden="1" customHeight="1" outlineLevel="3">
      <c r="A704" s="192" t="s">
        <v>1751</v>
      </c>
      <c r="B704" s="192"/>
      <c r="C704" s="197" t="s">
        <v>1609</v>
      </c>
      <c r="D704" s="198">
        <f>'02 项目基础信息（输入）'!$C$42</f>
        <v>51879.834600000002</v>
      </c>
      <c r="E704" s="199" t="s">
        <v>93</v>
      </c>
      <c r="F704" s="197" t="s">
        <v>1609</v>
      </c>
      <c r="G704" s="199">
        <v>1</v>
      </c>
      <c r="H704" s="199" t="s">
        <v>298</v>
      </c>
      <c r="I704" s="198">
        <f t="shared" si="82"/>
        <v>51879.834600000002</v>
      </c>
      <c r="J704" s="199" t="s">
        <v>93</v>
      </c>
      <c r="K704" s="699"/>
      <c r="L704" s="209" t="s">
        <v>675</v>
      </c>
      <c r="M704" s="207">
        <f t="shared" si="83"/>
        <v>0</v>
      </c>
      <c r="N704" s="198">
        <f>'02 项目基础信息（输入）'!$C$42</f>
        <v>51879.834600000002</v>
      </c>
      <c r="O704" s="198">
        <f t="shared" si="76"/>
        <v>0</v>
      </c>
      <c r="P704" s="198">
        <f>'02 项目基础信息（输入）'!$I$42</f>
        <v>51879.834600000002</v>
      </c>
      <c r="Q704" s="233">
        <f t="shared" si="77"/>
        <v>0</v>
      </c>
      <c r="S704" s="217"/>
      <c r="U704" s="220" t="s">
        <v>2487</v>
      </c>
      <c r="V704" s="1191">
        <v>37.495199999999997</v>
      </c>
      <c r="W704" s="1190">
        <v>42.859299999999998</v>
      </c>
    </row>
    <row r="705" spans="1:23" ht="20.25" customHeight="1" outlineLevel="2" collapsed="1">
      <c r="A705" s="192" t="s">
        <v>1753</v>
      </c>
      <c r="B705" s="192"/>
      <c r="C705" s="197" t="s">
        <v>1609</v>
      </c>
      <c r="D705" s="198">
        <f>'02 项目基础信息（输入）'!$C$42</f>
        <v>51879.834600000002</v>
      </c>
      <c r="E705" s="199" t="s">
        <v>93</v>
      </c>
      <c r="F705" s="197"/>
      <c r="G705" s="199"/>
      <c r="H705" s="199"/>
      <c r="I705" s="197"/>
      <c r="J705" s="199"/>
      <c r="K705" s="207"/>
      <c r="L705" s="209"/>
      <c r="M705" s="198">
        <f>ROUND(SUM(M706:M716),6)</f>
        <v>122.851448</v>
      </c>
      <c r="N705" s="198">
        <f>'02 项目基础信息（输入）'!$C$42</f>
        <v>51879.834600000002</v>
      </c>
      <c r="O705" s="198">
        <f t="shared" si="76"/>
        <v>23.68</v>
      </c>
      <c r="P705" s="198">
        <f>'02 项目基础信息（输入）'!$I$42</f>
        <v>51879.834600000002</v>
      </c>
      <c r="Q705" s="233">
        <f t="shared" si="77"/>
        <v>23.68</v>
      </c>
      <c r="S705" s="217" t="s">
        <v>1313</v>
      </c>
      <c r="U705" s="220" t="s">
        <v>2488</v>
      </c>
      <c r="V705" s="1191">
        <v>41.784300000000002</v>
      </c>
      <c r="W705" s="1190">
        <v>20.4513</v>
      </c>
    </row>
    <row r="706" spans="1:23" ht="20.25" hidden="1" customHeight="1" outlineLevel="3">
      <c r="A706" s="192" t="s">
        <v>1755</v>
      </c>
      <c r="B706" s="192"/>
      <c r="C706" s="197" t="s">
        <v>1609</v>
      </c>
      <c r="D706" s="198">
        <f>'02 项目基础信息（输入）'!$C$42</f>
        <v>51879.834600000002</v>
      </c>
      <c r="E706" s="199" t="s">
        <v>93</v>
      </c>
      <c r="F706" s="197" t="s">
        <v>1609</v>
      </c>
      <c r="G706" s="199">
        <v>1</v>
      </c>
      <c r="H706" s="199" t="s">
        <v>298</v>
      </c>
      <c r="I706" s="198">
        <f t="shared" ref="I706:I716" si="84">G706*D706</f>
        <v>51879.834600000002</v>
      </c>
      <c r="J706" s="199" t="s">
        <v>93</v>
      </c>
      <c r="K706" s="1040" t="s">
        <v>2489</v>
      </c>
      <c r="L706" s="209" t="s">
        <v>675</v>
      </c>
      <c r="M706" s="207">
        <f t="shared" ref="M706:M716" si="85">ROUND(K706*I706/10000,6)</f>
        <v>122.851448</v>
      </c>
      <c r="N706" s="198">
        <f>'02 项目基础信息（输入）'!$C$42</f>
        <v>51879.834600000002</v>
      </c>
      <c r="O706" s="198">
        <f t="shared" si="76"/>
        <v>23.68</v>
      </c>
      <c r="P706" s="198">
        <f>'02 项目基础信息（输入）'!$I$42</f>
        <v>51879.834600000002</v>
      </c>
      <c r="Q706" s="233">
        <f t="shared" si="77"/>
        <v>23.68</v>
      </c>
      <c r="S706" s="217"/>
      <c r="U706" s="220" t="s">
        <v>2490</v>
      </c>
      <c r="V706" s="1191">
        <v>5.4915000000000003</v>
      </c>
      <c r="W706" s="1190">
        <v>7.5293999999999999</v>
      </c>
    </row>
    <row r="707" spans="1:23" ht="20.25" hidden="1" customHeight="1" outlineLevel="3">
      <c r="A707" s="192" t="s">
        <v>1757</v>
      </c>
      <c r="B707" s="192"/>
      <c r="C707" s="197" t="s">
        <v>1609</v>
      </c>
      <c r="D707" s="198">
        <f>'02 项目基础信息（输入）'!$C$42</f>
        <v>51879.834600000002</v>
      </c>
      <c r="E707" s="199" t="s">
        <v>93</v>
      </c>
      <c r="F707" s="197" t="s">
        <v>1609</v>
      </c>
      <c r="G707" s="199">
        <v>1</v>
      </c>
      <c r="H707" s="199" t="s">
        <v>298</v>
      </c>
      <c r="I707" s="198">
        <f t="shared" si="84"/>
        <v>51879.834600000002</v>
      </c>
      <c r="J707" s="199" t="s">
        <v>93</v>
      </c>
      <c r="K707" s="699"/>
      <c r="L707" s="209" t="s">
        <v>675</v>
      </c>
      <c r="M707" s="207">
        <f t="shared" si="85"/>
        <v>0</v>
      </c>
      <c r="N707" s="198">
        <f>'02 项目基础信息（输入）'!$C$42</f>
        <v>51879.834600000002</v>
      </c>
      <c r="O707" s="198">
        <f t="shared" ref="O707:O770" si="86">ROUND(IFERROR(M707*10000/N707,0),2)</f>
        <v>0</v>
      </c>
      <c r="P707" s="198">
        <f>'02 项目基础信息（输入）'!$I$42</f>
        <v>51879.834600000002</v>
      </c>
      <c r="Q707" s="233">
        <f t="shared" ref="Q707:Q770" si="87">ROUND(IFERROR(M707*10000/P707,0),2)</f>
        <v>0</v>
      </c>
      <c r="S707" s="217"/>
      <c r="U707" s="220" t="s">
        <v>2491</v>
      </c>
      <c r="V707" s="1191">
        <v>0.6946</v>
      </c>
      <c r="W707" s="1190">
        <v>0</v>
      </c>
    </row>
    <row r="708" spans="1:23" ht="20.25" hidden="1" customHeight="1" outlineLevel="3">
      <c r="A708" s="192" t="s">
        <v>1759</v>
      </c>
      <c r="B708" s="192"/>
      <c r="C708" s="197" t="s">
        <v>1609</v>
      </c>
      <c r="D708" s="198">
        <f>'02 项目基础信息（输入）'!$C$42</f>
        <v>51879.834600000002</v>
      </c>
      <c r="E708" s="199" t="s">
        <v>93</v>
      </c>
      <c r="F708" s="197" t="s">
        <v>1609</v>
      </c>
      <c r="G708" s="199">
        <v>1</v>
      </c>
      <c r="H708" s="199" t="s">
        <v>298</v>
      </c>
      <c r="I708" s="198">
        <f t="shared" si="84"/>
        <v>51879.834600000002</v>
      </c>
      <c r="J708" s="199" t="s">
        <v>93</v>
      </c>
      <c r="K708" s="699"/>
      <c r="L708" s="209" t="s">
        <v>675</v>
      </c>
      <c r="M708" s="207">
        <f t="shared" si="85"/>
        <v>0</v>
      </c>
      <c r="N708" s="198">
        <f>'02 项目基础信息（输入）'!$C$42</f>
        <v>51879.834600000002</v>
      </c>
      <c r="O708" s="198">
        <f t="shared" si="86"/>
        <v>0</v>
      </c>
      <c r="P708" s="198">
        <f>'02 项目基础信息（输入）'!$I$42</f>
        <v>51879.834600000002</v>
      </c>
      <c r="Q708" s="233">
        <f t="shared" si="87"/>
        <v>0</v>
      </c>
      <c r="S708" s="217"/>
      <c r="U708" s="220" t="s">
        <v>2492</v>
      </c>
      <c r="V708" s="1191">
        <v>10.9758</v>
      </c>
      <c r="W708" s="1190">
        <v>9.6158999999999999</v>
      </c>
    </row>
    <row r="709" spans="1:23" ht="20.25" hidden="1" customHeight="1" outlineLevel="3">
      <c r="A709" s="192" t="s">
        <v>1761</v>
      </c>
      <c r="B709" s="192"/>
      <c r="C709" s="197" t="s">
        <v>1609</v>
      </c>
      <c r="D709" s="198">
        <f>'02 项目基础信息（输入）'!$C$42</f>
        <v>51879.834600000002</v>
      </c>
      <c r="E709" s="199" t="s">
        <v>93</v>
      </c>
      <c r="F709" s="197" t="s">
        <v>1609</v>
      </c>
      <c r="G709" s="199">
        <v>1</v>
      </c>
      <c r="H709" s="199" t="s">
        <v>298</v>
      </c>
      <c r="I709" s="198">
        <f t="shared" si="84"/>
        <v>51879.834600000002</v>
      </c>
      <c r="J709" s="199" t="s">
        <v>93</v>
      </c>
      <c r="K709" s="699"/>
      <c r="L709" s="209" t="s">
        <v>675</v>
      </c>
      <c r="M709" s="207">
        <f t="shared" si="85"/>
        <v>0</v>
      </c>
      <c r="N709" s="198">
        <f>'02 项目基础信息（输入）'!$C$42</f>
        <v>51879.834600000002</v>
      </c>
      <c r="O709" s="198">
        <f t="shared" si="86"/>
        <v>0</v>
      </c>
      <c r="P709" s="198">
        <f>'02 项目基础信息（输入）'!$I$42</f>
        <v>51879.834600000002</v>
      </c>
      <c r="Q709" s="233">
        <f t="shared" si="87"/>
        <v>0</v>
      </c>
      <c r="S709" s="217"/>
      <c r="U709" s="220" t="s">
        <v>2493</v>
      </c>
      <c r="V709" s="1191">
        <v>24.5855</v>
      </c>
      <c r="W709" s="1190">
        <v>0</v>
      </c>
    </row>
    <row r="710" spans="1:23" ht="20.25" hidden="1" customHeight="1" outlineLevel="3">
      <c r="A710" s="192" t="s">
        <v>1763</v>
      </c>
      <c r="B710" s="192"/>
      <c r="C710" s="197" t="s">
        <v>1609</v>
      </c>
      <c r="D710" s="198">
        <f>'02 项目基础信息（输入）'!$C$42</f>
        <v>51879.834600000002</v>
      </c>
      <c r="E710" s="199" t="s">
        <v>93</v>
      </c>
      <c r="F710" s="197" t="s">
        <v>1609</v>
      </c>
      <c r="G710" s="199">
        <v>1</v>
      </c>
      <c r="H710" s="199" t="s">
        <v>298</v>
      </c>
      <c r="I710" s="198">
        <f t="shared" si="84"/>
        <v>51879.834600000002</v>
      </c>
      <c r="J710" s="199" t="s">
        <v>93</v>
      </c>
      <c r="K710" s="699"/>
      <c r="L710" s="209" t="s">
        <v>675</v>
      </c>
      <c r="M710" s="207">
        <f t="shared" si="85"/>
        <v>0</v>
      </c>
      <c r="N710" s="198">
        <f>'02 项目基础信息（输入）'!$C$42</f>
        <v>51879.834600000002</v>
      </c>
      <c r="O710" s="198">
        <f t="shared" si="86"/>
        <v>0</v>
      </c>
      <c r="P710" s="198">
        <f>'02 项目基础信息（输入）'!$I$42</f>
        <v>51879.834600000002</v>
      </c>
      <c r="Q710" s="233">
        <f t="shared" si="87"/>
        <v>0</v>
      </c>
      <c r="S710" s="217"/>
      <c r="U710" s="220" t="s">
        <v>2494</v>
      </c>
      <c r="V710" s="1191">
        <v>0</v>
      </c>
      <c r="W710" s="1190">
        <v>0</v>
      </c>
    </row>
    <row r="711" spans="1:23" ht="20.25" hidden="1" customHeight="1" outlineLevel="3">
      <c r="A711" s="192" t="s">
        <v>1765</v>
      </c>
      <c r="B711" s="192"/>
      <c r="C711" s="197" t="s">
        <v>1609</v>
      </c>
      <c r="D711" s="198">
        <f>'02 项目基础信息（输入）'!$C$42</f>
        <v>51879.834600000002</v>
      </c>
      <c r="E711" s="199" t="s">
        <v>93</v>
      </c>
      <c r="F711" s="197" t="s">
        <v>1609</v>
      </c>
      <c r="G711" s="199">
        <v>1</v>
      </c>
      <c r="H711" s="199" t="s">
        <v>298</v>
      </c>
      <c r="I711" s="198">
        <f t="shared" si="84"/>
        <v>51879.834600000002</v>
      </c>
      <c r="J711" s="199" t="s">
        <v>93</v>
      </c>
      <c r="K711" s="699"/>
      <c r="L711" s="209" t="s">
        <v>675</v>
      </c>
      <c r="M711" s="207">
        <f t="shared" si="85"/>
        <v>0</v>
      </c>
      <c r="N711" s="198">
        <f>'02 项目基础信息（输入）'!$C$42</f>
        <v>51879.834600000002</v>
      </c>
      <c r="O711" s="198">
        <f t="shared" si="86"/>
        <v>0</v>
      </c>
      <c r="P711" s="198">
        <f>'02 项目基础信息（输入）'!$I$42</f>
        <v>51879.834600000002</v>
      </c>
      <c r="Q711" s="233">
        <f t="shared" si="87"/>
        <v>0</v>
      </c>
      <c r="S711" s="217"/>
      <c r="U711" s="220" t="s">
        <v>2495</v>
      </c>
      <c r="V711" s="1191">
        <v>3.6799999999999999E-2</v>
      </c>
      <c r="W711" s="1190">
        <v>0</v>
      </c>
    </row>
    <row r="712" spans="1:23" ht="20.25" hidden="1" customHeight="1" outlineLevel="3">
      <c r="A712" s="192" t="s">
        <v>1767</v>
      </c>
      <c r="B712" s="192"/>
      <c r="C712" s="197" t="s">
        <v>1609</v>
      </c>
      <c r="D712" s="198">
        <f>'02 项目基础信息（输入）'!$C$42</f>
        <v>51879.834600000002</v>
      </c>
      <c r="E712" s="199" t="s">
        <v>93</v>
      </c>
      <c r="F712" s="197" t="s">
        <v>1609</v>
      </c>
      <c r="G712" s="199">
        <v>1</v>
      </c>
      <c r="H712" s="199" t="s">
        <v>298</v>
      </c>
      <c r="I712" s="198">
        <f t="shared" si="84"/>
        <v>51879.834600000002</v>
      </c>
      <c r="J712" s="199" t="s">
        <v>93</v>
      </c>
      <c r="K712" s="699"/>
      <c r="L712" s="209" t="s">
        <v>675</v>
      </c>
      <c r="M712" s="207">
        <f t="shared" si="85"/>
        <v>0</v>
      </c>
      <c r="N712" s="198">
        <f>'02 项目基础信息（输入）'!$C$42</f>
        <v>51879.834600000002</v>
      </c>
      <c r="O712" s="198">
        <f t="shared" si="86"/>
        <v>0</v>
      </c>
      <c r="P712" s="198">
        <f>'02 项目基础信息（输入）'!$I$42</f>
        <v>51879.834600000002</v>
      </c>
      <c r="Q712" s="233">
        <f t="shared" si="87"/>
        <v>0</v>
      </c>
      <c r="S712" s="217"/>
      <c r="U712" s="220" t="s">
        <v>2496</v>
      </c>
      <c r="V712" s="1191">
        <v>0</v>
      </c>
      <c r="W712" s="1190">
        <v>0</v>
      </c>
    </row>
    <row r="713" spans="1:23" ht="20.25" hidden="1" customHeight="1" outlineLevel="3">
      <c r="A713" s="192" t="s">
        <v>1769</v>
      </c>
      <c r="B713" s="192"/>
      <c r="C713" s="197" t="s">
        <v>1609</v>
      </c>
      <c r="D713" s="198">
        <f>'02 项目基础信息（输入）'!$C$42</f>
        <v>51879.834600000002</v>
      </c>
      <c r="E713" s="199" t="s">
        <v>93</v>
      </c>
      <c r="F713" s="197" t="s">
        <v>1609</v>
      </c>
      <c r="G713" s="199">
        <v>1</v>
      </c>
      <c r="H713" s="199" t="s">
        <v>298</v>
      </c>
      <c r="I713" s="198">
        <f t="shared" si="84"/>
        <v>51879.834600000002</v>
      </c>
      <c r="J713" s="199" t="s">
        <v>93</v>
      </c>
      <c r="K713" s="699"/>
      <c r="L713" s="209" t="s">
        <v>675</v>
      </c>
      <c r="M713" s="207">
        <f t="shared" si="85"/>
        <v>0</v>
      </c>
      <c r="N713" s="198">
        <f>'02 项目基础信息（输入）'!$C$42</f>
        <v>51879.834600000002</v>
      </c>
      <c r="O713" s="198">
        <f t="shared" si="86"/>
        <v>0</v>
      </c>
      <c r="P713" s="198">
        <f>'02 项目基础信息（输入）'!$I$42</f>
        <v>51879.834600000002</v>
      </c>
      <c r="Q713" s="233">
        <f t="shared" si="87"/>
        <v>0</v>
      </c>
      <c r="S713" s="217"/>
      <c r="U713" s="220" t="s">
        <v>2497</v>
      </c>
      <c r="V713" s="1191">
        <v>0</v>
      </c>
      <c r="W713" s="1190">
        <v>0</v>
      </c>
    </row>
    <row r="714" spans="1:23" ht="20.25" hidden="1" customHeight="1" outlineLevel="3">
      <c r="A714" s="192" t="s">
        <v>1771</v>
      </c>
      <c r="B714" s="192"/>
      <c r="C714" s="197" t="s">
        <v>1609</v>
      </c>
      <c r="D714" s="198">
        <f>'02 项目基础信息（输入）'!$C$42</f>
        <v>51879.834600000002</v>
      </c>
      <c r="E714" s="199" t="s">
        <v>93</v>
      </c>
      <c r="F714" s="197" t="s">
        <v>1609</v>
      </c>
      <c r="G714" s="199">
        <v>1</v>
      </c>
      <c r="H714" s="199" t="s">
        <v>298</v>
      </c>
      <c r="I714" s="198">
        <f t="shared" si="84"/>
        <v>51879.834600000002</v>
      </c>
      <c r="J714" s="199" t="s">
        <v>93</v>
      </c>
      <c r="K714" s="699"/>
      <c r="L714" s="209" t="s">
        <v>675</v>
      </c>
      <c r="M714" s="207">
        <f t="shared" si="85"/>
        <v>0</v>
      </c>
      <c r="N714" s="198">
        <f>'02 项目基础信息（输入）'!$C$42</f>
        <v>51879.834600000002</v>
      </c>
      <c r="O714" s="198">
        <f t="shared" si="86"/>
        <v>0</v>
      </c>
      <c r="P714" s="198">
        <f>'02 项目基础信息（输入）'!$I$42</f>
        <v>51879.834600000002</v>
      </c>
      <c r="Q714" s="233">
        <f t="shared" si="87"/>
        <v>0</v>
      </c>
      <c r="S714" s="217"/>
      <c r="U714" s="220" t="s">
        <v>2498</v>
      </c>
      <c r="V714" s="1191">
        <v>0</v>
      </c>
      <c r="W714" s="1190">
        <v>0</v>
      </c>
    </row>
    <row r="715" spans="1:23" ht="20.25" hidden="1" customHeight="1" outlineLevel="3">
      <c r="A715" s="192" t="s">
        <v>1773</v>
      </c>
      <c r="B715" s="192"/>
      <c r="C715" s="197" t="s">
        <v>1609</v>
      </c>
      <c r="D715" s="198">
        <f>'02 项目基础信息（输入）'!$C$42</f>
        <v>51879.834600000002</v>
      </c>
      <c r="E715" s="199" t="s">
        <v>93</v>
      </c>
      <c r="F715" s="197" t="s">
        <v>1609</v>
      </c>
      <c r="G715" s="199">
        <v>1</v>
      </c>
      <c r="H715" s="199" t="s">
        <v>298</v>
      </c>
      <c r="I715" s="198">
        <f t="shared" si="84"/>
        <v>51879.834600000002</v>
      </c>
      <c r="J715" s="199" t="s">
        <v>93</v>
      </c>
      <c r="K715" s="699"/>
      <c r="L715" s="209" t="s">
        <v>675</v>
      </c>
      <c r="M715" s="207">
        <f t="shared" si="85"/>
        <v>0</v>
      </c>
      <c r="N715" s="198">
        <f>'02 项目基础信息（输入）'!$C$42</f>
        <v>51879.834600000002</v>
      </c>
      <c r="O715" s="198">
        <f t="shared" si="86"/>
        <v>0</v>
      </c>
      <c r="P715" s="198">
        <f>'02 项目基础信息（输入）'!$I$42</f>
        <v>51879.834600000002</v>
      </c>
      <c r="Q715" s="233">
        <f t="shared" si="87"/>
        <v>0</v>
      </c>
      <c r="S715" s="217"/>
      <c r="U715" s="220" t="s">
        <v>2499</v>
      </c>
      <c r="V715" s="1191">
        <v>0</v>
      </c>
      <c r="W715" s="1190">
        <v>0</v>
      </c>
    </row>
    <row r="716" spans="1:23" ht="20.25" hidden="1" customHeight="1" outlineLevel="3">
      <c r="A716" s="192" t="s">
        <v>1775</v>
      </c>
      <c r="B716" s="192"/>
      <c r="C716" s="197" t="s">
        <v>1609</v>
      </c>
      <c r="D716" s="198">
        <f>'02 项目基础信息（输入）'!$C$42</f>
        <v>51879.834600000002</v>
      </c>
      <c r="E716" s="199" t="s">
        <v>93</v>
      </c>
      <c r="F716" s="197" t="s">
        <v>1609</v>
      </c>
      <c r="G716" s="199">
        <v>1</v>
      </c>
      <c r="H716" s="199" t="s">
        <v>298</v>
      </c>
      <c r="I716" s="198">
        <f t="shared" si="84"/>
        <v>51879.834600000002</v>
      </c>
      <c r="J716" s="199" t="s">
        <v>93</v>
      </c>
      <c r="K716" s="699"/>
      <c r="L716" s="209" t="s">
        <v>675</v>
      </c>
      <c r="M716" s="207">
        <f t="shared" si="85"/>
        <v>0</v>
      </c>
      <c r="N716" s="198">
        <f>'02 项目基础信息（输入）'!$C$42</f>
        <v>51879.834600000002</v>
      </c>
      <c r="O716" s="198">
        <f t="shared" si="86"/>
        <v>0</v>
      </c>
      <c r="P716" s="198">
        <f>'02 项目基础信息（输入）'!$I$42</f>
        <v>51879.834600000002</v>
      </c>
      <c r="Q716" s="233">
        <f t="shared" si="87"/>
        <v>0</v>
      </c>
      <c r="S716" s="217"/>
      <c r="U716" s="220" t="s">
        <v>2500</v>
      </c>
      <c r="V716" s="1191">
        <v>0</v>
      </c>
      <c r="W716" s="1190">
        <v>3.3058999999999998</v>
      </c>
    </row>
    <row r="717" spans="1:23" ht="20.25" customHeight="1" outlineLevel="2" collapsed="1">
      <c r="A717" s="192" t="s">
        <v>1777</v>
      </c>
      <c r="B717" s="192"/>
      <c r="C717" s="197" t="s">
        <v>1609</v>
      </c>
      <c r="D717" s="198">
        <f>'02 项目基础信息（输入）'!$C$42</f>
        <v>51879.834600000002</v>
      </c>
      <c r="E717" s="199" t="s">
        <v>93</v>
      </c>
      <c r="F717" s="197"/>
      <c r="G717" s="199"/>
      <c r="H717" s="199"/>
      <c r="I717" s="197"/>
      <c r="J717" s="199"/>
      <c r="K717" s="207"/>
      <c r="L717" s="209"/>
      <c r="M717" s="198">
        <f>ROUND(SUM(M718),6)</f>
        <v>0</v>
      </c>
      <c r="N717" s="198">
        <f>'02 项目基础信息（输入）'!$C$42</f>
        <v>51879.834600000002</v>
      </c>
      <c r="O717" s="198">
        <f t="shared" si="86"/>
        <v>0</v>
      </c>
      <c r="P717" s="198">
        <f>'02 项目基础信息（输入）'!$I$42</f>
        <v>51879.834600000002</v>
      </c>
      <c r="Q717" s="233">
        <f t="shared" si="87"/>
        <v>0</v>
      </c>
      <c r="S717" s="217" t="s">
        <v>1313</v>
      </c>
      <c r="U717" s="220" t="s">
        <v>2501</v>
      </c>
      <c r="V717" s="1191">
        <v>9.3853000000000009</v>
      </c>
      <c r="W717" s="1190">
        <v>0</v>
      </c>
    </row>
    <row r="718" spans="1:23" ht="20.25" hidden="1" customHeight="1" outlineLevel="3">
      <c r="A718" s="192" t="s">
        <v>1779</v>
      </c>
      <c r="B718" s="192"/>
      <c r="C718" s="197" t="s">
        <v>1609</v>
      </c>
      <c r="D718" s="198">
        <f>'02 项目基础信息（输入）'!$C$42</f>
        <v>51879.834600000002</v>
      </c>
      <c r="E718" s="199" t="s">
        <v>93</v>
      </c>
      <c r="F718" s="197" t="s">
        <v>984</v>
      </c>
      <c r="G718" s="199">
        <v>0</v>
      </c>
      <c r="H718" s="199" t="s">
        <v>966</v>
      </c>
      <c r="I718" s="198">
        <f>G718*D718</f>
        <v>0</v>
      </c>
      <c r="J718" s="199" t="s">
        <v>1617</v>
      </c>
      <c r="K718" s="207">
        <v>0</v>
      </c>
      <c r="L718" s="209" t="s">
        <v>664</v>
      </c>
      <c r="M718" s="207">
        <f>ROUND(K718*I718/10000,6)</f>
        <v>0</v>
      </c>
      <c r="N718" s="198">
        <f>'02 项目基础信息（输入）'!$C$42</f>
        <v>51879.834600000002</v>
      </c>
      <c r="O718" s="198">
        <f t="shared" si="86"/>
        <v>0</v>
      </c>
      <c r="P718" s="198">
        <f>'02 项目基础信息（输入）'!$I$42</f>
        <v>51879.834600000002</v>
      </c>
      <c r="Q718" s="233">
        <f t="shared" si="87"/>
        <v>0</v>
      </c>
      <c r="S718" s="217"/>
      <c r="U718" s="220" t="s">
        <v>2502</v>
      </c>
      <c r="V718" s="1191">
        <v>9.3853000000000009</v>
      </c>
      <c r="W718" s="1190">
        <v>0</v>
      </c>
    </row>
    <row r="719" spans="1:23" ht="20.25" customHeight="1" outlineLevel="2">
      <c r="A719" s="192" t="s">
        <v>1781</v>
      </c>
      <c r="B719" s="192"/>
      <c r="C719" s="197" t="s">
        <v>1609</v>
      </c>
      <c r="D719" s="198">
        <f>'02 项目基础信息（输入）'!$C$42</f>
        <v>51879.834600000002</v>
      </c>
      <c r="E719" s="199" t="s">
        <v>93</v>
      </c>
      <c r="F719" s="197"/>
      <c r="G719" s="199"/>
      <c r="H719" s="199"/>
      <c r="I719" s="197"/>
      <c r="J719" s="199"/>
      <c r="K719" s="207"/>
      <c r="L719" s="209"/>
      <c r="M719" s="198">
        <f>ROUND(SUM(M720:M724),6)</f>
        <v>467.22</v>
      </c>
      <c r="N719" s="198">
        <f>'02 项目基础信息（输入）'!$C$42</f>
        <v>51879.834600000002</v>
      </c>
      <c r="O719" s="198">
        <f t="shared" si="86"/>
        <v>90.06</v>
      </c>
      <c r="P719" s="198">
        <f>'02 项目基础信息（输入）'!$I$42</f>
        <v>51879.834600000002</v>
      </c>
      <c r="Q719" s="233">
        <f t="shared" si="87"/>
        <v>90.06</v>
      </c>
      <c r="S719" s="217" t="s">
        <v>1314</v>
      </c>
      <c r="U719" s="220" t="s">
        <v>2503</v>
      </c>
      <c r="V719" s="1191">
        <v>40.552300000000002</v>
      </c>
      <c r="W719" s="1190">
        <v>59.391599999999997</v>
      </c>
    </row>
    <row r="720" spans="1:23" ht="20.25" customHeight="1" outlineLevel="3">
      <c r="A720" s="192" t="s">
        <v>2066</v>
      </c>
      <c r="B720" s="192"/>
      <c r="C720" s="197" t="s">
        <v>309</v>
      </c>
      <c r="D720" s="198">
        <f>'02 项目基础信息（输入）'!$AC$42</f>
        <v>300</v>
      </c>
      <c r="E720" s="199" t="s">
        <v>310</v>
      </c>
      <c r="F720" s="197" t="s">
        <v>2067</v>
      </c>
      <c r="G720" s="199">
        <v>1</v>
      </c>
      <c r="H720" s="199" t="s">
        <v>2067</v>
      </c>
      <c r="I720" s="198">
        <f>G720*D720</f>
        <v>300</v>
      </c>
      <c r="J720" s="199" t="s">
        <v>1946</v>
      </c>
      <c r="K720" s="207">
        <v>0</v>
      </c>
      <c r="L720" s="209" t="s">
        <v>1948</v>
      </c>
      <c r="M720" s="207">
        <f>ROUND(K720*I720/10000,6)</f>
        <v>0</v>
      </c>
      <c r="N720" s="198">
        <f>'02 项目基础信息（输入）'!$C$42</f>
        <v>51879.834600000002</v>
      </c>
      <c r="O720" s="198">
        <f t="shared" si="86"/>
        <v>0</v>
      </c>
      <c r="P720" s="198">
        <f>'02 项目基础信息（输入）'!$I$42</f>
        <v>51879.834600000002</v>
      </c>
      <c r="Q720" s="233">
        <f t="shared" si="87"/>
        <v>0</v>
      </c>
      <c r="S720" s="217"/>
      <c r="U720" s="220" t="s">
        <v>2504</v>
      </c>
      <c r="V720" s="1191">
        <v>0.41739999999999999</v>
      </c>
      <c r="W720" s="1190">
        <v>0</v>
      </c>
    </row>
    <row r="721" spans="1:25" ht="20.25" customHeight="1" outlineLevel="3">
      <c r="A721" s="192" t="s">
        <v>2069</v>
      </c>
      <c r="B721" s="192"/>
      <c r="C721" s="197" t="s">
        <v>309</v>
      </c>
      <c r="D721" s="198">
        <f>'02 项目基础信息（输入）'!$AC$42</f>
        <v>300</v>
      </c>
      <c r="E721" s="199" t="s">
        <v>310</v>
      </c>
      <c r="F721" s="197" t="s">
        <v>2067</v>
      </c>
      <c r="G721" s="199">
        <v>1</v>
      </c>
      <c r="H721" s="199" t="s">
        <v>2067</v>
      </c>
      <c r="I721" s="198">
        <f>G721*D721</f>
        <v>300</v>
      </c>
      <c r="J721" s="199" t="s">
        <v>1946</v>
      </c>
      <c r="K721" s="700">
        <f>'03 成本测算（输入）'!$D$76</f>
        <v>12952</v>
      </c>
      <c r="L721" s="209" t="s">
        <v>1948</v>
      </c>
      <c r="M721" s="207">
        <f>ROUND(K721*I721/10000,6)</f>
        <v>388.56</v>
      </c>
      <c r="N721" s="198">
        <f>'02 项目基础信息（输入）'!$C$42</f>
        <v>51879.834600000002</v>
      </c>
      <c r="O721" s="198">
        <f t="shared" si="86"/>
        <v>74.900000000000006</v>
      </c>
      <c r="P721" s="198">
        <f>'02 项目基础信息（输入）'!$I$42</f>
        <v>51879.834600000002</v>
      </c>
      <c r="Q721" s="233">
        <f t="shared" si="87"/>
        <v>74.900000000000006</v>
      </c>
      <c r="S721" s="217"/>
      <c r="U721" s="220" t="s">
        <v>2505</v>
      </c>
      <c r="V721" s="1191">
        <v>32.106499999999997</v>
      </c>
      <c r="W721" s="1190">
        <v>49.716700000000003</v>
      </c>
      <c r="Y721">
        <f>I721/N72*100</f>
        <v>0.4020005983216105</v>
      </c>
    </row>
    <row r="722" spans="1:25" ht="20.25" customHeight="1" outlineLevel="3">
      <c r="A722" s="192" t="s">
        <v>2071</v>
      </c>
      <c r="B722" s="192"/>
      <c r="C722" s="197" t="s">
        <v>309</v>
      </c>
      <c r="D722" s="198">
        <f>'02 项目基础信息（输入）'!$AC$42</f>
        <v>300</v>
      </c>
      <c r="E722" s="199" t="s">
        <v>310</v>
      </c>
      <c r="F722" s="197" t="s">
        <v>2067</v>
      </c>
      <c r="G722" s="199">
        <v>1</v>
      </c>
      <c r="H722" s="199" t="s">
        <v>2067</v>
      </c>
      <c r="I722" s="198">
        <f>G722*D722</f>
        <v>300</v>
      </c>
      <c r="J722" s="199" t="s">
        <v>1946</v>
      </c>
      <c r="K722" s="207">
        <v>0</v>
      </c>
      <c r="L722" s="209" t="s">
        <v>1948</v>
      </c>
      <c r="M722" s="207">
        <f>ROUND(K722*I722/10000,6)</f>
        <v>0</v>
      </c>
      <c r="N722" s="198">
        <f>'02 项目基础信息（输入）'!$C$42</f>
        <v>51879.834600000002</v>
      </c>
      <c r="O722" s="198">
        <f t="shared" si="86"/>
        <v>0</v>
      </c>
      <c r="P722" s="198">
        <f>'02 项目基础信息（输入）'!$I$42</f>
        <v>51879.834600000002</v>
      </c>
      <c r="Q722" s="233">
        <f t="shared" si="87"/>
        <v>0</v>
      </c>
      <c r="S722" s="217"/>
      <c r="U722" s="220" t="s">
        <v>2506</v>
      </c>
      <c r="V722" s="1191">
        <v>0</v>
      </c>
      <c r="W722" s="1190">
        <v>0</v>
      </c>
    </row>
    <row r="723" spans="1:25" ht="20.25" customHeight="1" outlineLevel="3">
      <c r="A723" s="192" t="s">
        <v>2073</v>
      </c>
      <c r="B723" s="192"/>
      <c r="C723" s="197" t="s">
        <v>309</v>
      </c>
      <c r="D723" s="198">
        <f>'02 项目基础信息（输入）'!$AC$42</f>
        <v>300</v>
      </c>
      <c r="E723" s="199" t="s">
        <v>310</v>
      </c>
      <c r="F723" s="197" t="s">
        <v>2067</v>
      </c>
      <c r="G723" s="199">
        <v>1</v>
      </c>
      <c r="H723" s="199" t="s">
        <v>1946</v>
      </c>
      <c r="I723" s="198">
        <f>G723*D723</f>
        <v>300</v>
      </c>
      <c r="J723" s="199" t="s">
        <v>1946</v>
      </c>
      <c r="K723" s="700">
        <f>'03 成本测算（输入）'!$D$77</f>
        <v>2622</v>
      </c>
      <c r="L723" s="209" t="s">
        <v>1948</v>
      </c>
      <c r="M723" s="207">
        <f>ROUND(K723*I723/10000,6)</f>
        <v>78.66</v>
      </c>
      <c r="N723" s="198">
        <f>'02 项目基础信息（输入）'!$C$42</f>
        <v>51879.834600000002</v>
      </c>
      <c r="O723" s="198">
        <f t="shared" si="86"/>
        <v>15.16</v>
      </c>
      <c r="P723" s="198">
        <f>'02 项目基础信息（输入）'!$I$42</f>
        <v>51879.834600000002</v>
      </c>
      <c r="Q723" s="233">
        <f t="shared" si="87"/>
        <v>15.16</v>
      </c>
      <c r="S723" s="217"/>
      <c r="U723" s="220" t="s">
        <v>2507</v>
      </c>
      <c r="V723" s="1191">
        <v>8.0282999999999998</v>
      </c>
      <c r="W723" s="1190">
        <v>9.6747999999999994</v>
      </c>
    </row>
    <row r="724" spans="1:25" ht="20.25" customHeight="1" outlineLevel="3">
      <c r="A724" s="192" t="s">
        <v>1783</v>
      </c>
      <c r="B724" s="192"/>
      <c r="C724" s="197" t="s">
        <v>309</v>
      </c>
      <c r="D724" s="198">
        <f>'02 项目基础信息（输入）'!$AC$42</f>
        <v>300</v>
      </c>
      <c r="E724" s="199" t="s">
        <v>310</v>
      </c>
      <c r="F724" s="197" t="s">
        <v>1784</v>
      </c>
      <c r="G724" s="199">
        <v>1</v>
      </c>
      <c r="H724" s="199" t="s">
        <v>1784</v>
      </c>
      <c r="I724" s="198">
        <f>G724*D724</f>
        <v>300</v>
      </c>
      <c r="J724" s="199" t="s">
        <v>1600</v>
      </c>
      <c r="K724" s="207">
        <v>0</v>
      </c>
      <c r="L724" s="209" t="s">
        <v>1601</v>
      </c>
      <c r="M724" s="207">
        <f>ROUND(K724*I724/10000,6)</f>
        <v>0</v>
      </c>
      <c r="N724" s="198">
        <f>'02 项目基础信息（输入）'!$C$42</f>
        <v>51879.834600000002</v>
      </c>
      <c r="O724" s="198">
        <f t="shared" si="86"/>
        <v>0</v>
      </c>
      <c r="P724" s="198">
        <f>'02 项目基础信息（输入）'!$I$42</f>
        <v>51879.834600000002</v>
      </c>
      <c r="Q724" s="233">
        <f t="shared" si="87"/>
        <v>0</v>
      </c>
      <c r="S724" s="217"/>
      <c r="U724" s="220" t="s">
        <v>2508</v>
      </c>
      <c r="V724" s="1191">
        <v>0</v>
      </c>
      <c r="W724" s="1190">
        <v>0</v>
      </c>
    </row>
    <row r="725" spans="1:25" ht="20.25" customHeight="1" outlineLevel="2">
      <c r="A725" s="192" t="s">
        <v>1786</v>
      </c>
      <c r="B725" s="192"/>
      <c r="C725" s="197" t="s">
        <v>1609</v>
      </c>
      <c r="D725" s="198">
        <f>'02 项目基础信息（输入）'!$C$42</f>
        <v>51879.834600000002</v>
      </c>
      <c r="E725" s="199" t="s">
        <v>93</v>
      </c>
      <c r="F725" s="197"/>
      <c r="G725" s="199"/>
      <c r="H725" s="199"/>
      <c r="I725" s="197"/>
      <c r="J725" s="199"/>
      <c r="K725" s="207"/>
      <c r="L725" s="209"/>
      <c r="M725" s="198">
        <f>ROUND(SUM(M726:M730),6)</f>
        <v>1475.670155</v>
      </c>
      <c r="N725" s="198">
        <f>'02 项目基础信息（输入）'!$C$42</f>
        <v>51879.834600000002</v>
      </c>
      <c r="O725" s="198">
        <f t="shared" si="86"/>
        <v>284.44</v>
      </c>
      <c r="P725" s="198">
        <f>'02 项目基础信息（输入）'!$I$42</f>
        <v>51879.834600000002</v>
      </c>
      <c r="Q725" s="233">
        <f t="shared" si="87"/>
        <v>284.44</v>
      </c>
      <c r="S725" s="217" t="s">
        <v>1314</v>
      </c>
      <c r="U725" s="220" t="s">
        <v>2509</v>
      </c>
      <c r="V725" s="1191">
        <v>214.56100000000001</v>
      </c>
      <c r="W725" s="1190">
        <v>196.0412</v>
      </c>
    </row>
    <row r="726" spans="1:25" ht="20.25" customHeight="1" outlineLevel="3">
      <c r="A726" s="192" t="s">
        <v>2077</v>
      </c>
      <c r="B726" s="192"/>
      <c r="C726" s="197" t="s">
        <v>1609</v>
      </c>
      <c r="D726" s="198">
        <f>'02 项目基础信息（输入）'!$C$42</f>
        <v>51879.834600000002</v>
      </c>
      <c r="E726" s="199" t="s">
        <v>93</v>
      </c>
      <c r="F726" s="197" t="s">
        <v>754</v>
      </c>
      <c r="G726" s="227">
        <f>'03 成本测算（输入）'!$D$78</f>
        <v>0.35338393310914679</v>
      </c>
      <c r="H726" s="199" t="s">
        <v>298</v>
      </c>
      <c r="I726" s="198">
        <f>G726*D726</f>
        <v>18333.5</v>
      </c>
      <c r="J726" s="199" t="s">
        <v>93</v>
      </c>
      <c r="K726" s="700">
        <f>'03 成本测算（输入）'!$D$79</f>
        <v>804.90367633021515</v>
      </c>
      <c r="L726" s="209" t="s">
        <v>675</v>
      </c>
      <c r="M726" s="207">
        <f>ROUND(K726*I726/10000,6)</f>
        <v>1475.670155</v>
      </c>
      <c r="N726" s="198">
        <f>'02 项目基础信息（输入）'!$C$42</f>
        <v>51879.834600000002</v>
      </c>
      <c r="O726" s="198">
        <f t="shared" si="86"/>
        <v>284.44</v>
      </c>
      <c r="P726" s="198">
        <f>'02 项目基础信息（输入）'!$I$42</f>
        <v>51879.834600000002</v>
      </c>
      <c r="Q726" s="233">
        <f t="shared" si="87"/>
        <v>284.44</v>
      </c>
      <c r="S726" s="217"/>
      <c r="U726" s="220" t="s">
        <v>2510</v>
      </c>
      <c r="V726" s="1191">
        <v>207.97640000000001</v>
      </c>
      <c r="W726" s="1190">
        <v>183.56280000000001</v>
      </c>
    </row>
    <row r="727" spans="1:25" ht="20.25" customHeight="1" outlineLevel="3">
      <c r="A727" s="192" t="s">
        <v>2079</v>
      </c>
      <c r="B727" s="192"/>
      <c r="C727" s="197" t="s">
        <v>1609</v>
      </c>
      <c r="D727" s="198">
        <f>'02 项目基础信息（输入）'!$C$42</f>
        <v>51879.834600000002</v>
      </c>
      <c r="E727" s="199" t="s">
        <v>93</v>
      </c>
      <c r="F727" s="197" t="s">
        <v>754</v>
      </c>
      <c r="G727" s="199">
        <v>0</v>
      </c>
      <c r="H727" s="199" t="s">
        <v>298</v>
      </c>
      <c r="I727" s="198">
        <f>G727*D727</f>
        <v>0</v>
      </c>
      <c r="J727" s="199" t="s">
        <v>93</v>
      </c>
      <c r="K727" s="207">
        <v>0</v>
      </c>
      <c r="L727" s="209" t="s">
        <v>675</v>
      </c>
      <c r="M727" s="207">
        <f>ROUND(K727*I727/10000,6)</f>
        <v>0</v>
      </c>
      <c r="N727" s="198">
        <f>'02 项目基础信息（输入）'!$C$42</f>
        <v>51879.834600000002</v>
      </c>
      <c r="O727" s="198">
        <f t="shared" si="86"/>
        <v>0</v>
      </c>
      <c r="P727" s="198">
        <f>'02 项目基础信息（输入）'!$I$42</f>
        <v>51879.834600000002</v>
      </c>
      <c r="Q727" s="233">
        <f t="shared" si="87"/>
        <v>0</v>
      </c>
      <c r="S727" s="217"/>
      <c r="U727" s="220" t="s">
        <v>2511</v>
      </c>
      <c r="V727" s="1191">
        <v>0</v>
      </c>
      <c r="W727" s="1190">
        <v>0</v>
      </c>
    </row>
    <row r="728" spans="1:25" ht="20.25" customHeight="1" outlineLevel="3">
      <c r="A728" s="192" t="s">
        <v>2081</v>
      </c>
      <c r="B728" s="192"/>
      <c r="C728" s="197" t="s">
        <v>1609</v>
      </c>
      <c r="D728" s="198">
        <f>'02 项目基础信息（输入）'!$C$42</f>
        <v>51879.834600000002</v>
      </c>
      <c r="E728" s="199" t="s">
        <v>93</v>
      </c>
      <c r="F728" s="197" t="s">
        <v>754</v>
      </c>
      <c r="G728" s="199">
        <v>0</v>
      </c>
      <c r="H728" s="199" t="s">
        <v>298</v>
      </c>
      <c r="I728" s="198">
        <f>G728*D728</f>
        <v>0</v>
      </c>
      <c r="J728" s="199" t="s">
        <v>93</v>
      </c>
      <c r="K728" s="207">
        <v>0</v>
      </c>
      <c r="L728" s="209" t="s">
        <v>675</v>
      </c>
      <c r="M728" s="207">
        <f>ROUND(K728*I728/10000,6)</f>
        <v>0</v>
      </c>
      <c r="N728" s="198">
        <f>'02 项目基础信息（输入）'!$C$42</f>
        <v>51879.834600000002</v>
      </c>
      <c r="O728" s="198">
        <f t="shared" si="86"/>
        <v>0</v>
      </c>
      <c r="P728" s="198">
        <f>'02 项目基础信息（输入）'!$I$42</f>
        <v>51879.834600000002</v>
      </c>
      <c r="Q728" s="233">
        <f t="shared" si="87"/>
        <v>0</v>
      </c>
      <c r="S728" s="217"/>
      <c r="U728" s="220" t="s">
        <v>2512</v>
      </c>
      <c r="V728" s="1191">
        <v>0.27729999999999999</v>
      </c>
      <c r="W728" s="1190">
        <v>6.6662999999999997</v>
      </c>
    </row>
    <row r="729" spans="1:25" ht="20.25" customHeight="1" outlineLevel="3">
      <c r="A729" s="192" t="s">
        <v>2083</v>
      </c>
      <c r="B729" s="192"/>
      <c r="C729" s="197" t="s">
        <v>1609</v>
      </c>
      <c r="D729" s="198">
        <f>'02 项目基础信息（输入）'!$C$42</f>
        <v>51879.834600000002</v>
      </c>
      <c r="E729" s="199" t="s">
        <v>93</v>
      </c>
      <c r="F729" s="197" t="s">
        <v>2084</v>
      </c>
      <c r="G729" s="701"/>
      <c r="H729" s="199" t="s">
        <v>298</v>
      </c>
      <c r="I729" s="198">
        <f>G729*D729</f>
        <v>0</v>
      </c>
      <c r="J729" s="199" t="s">
        <v>93</v>
      </c>
      <c r="K729" s="699"/>
      <c r="L729" s="209" t="s">
        <v>675</v>
      </c>
      <c r="M729" s="207">
        <f>ROUND(K729*I729/10000,6)</f>
        <v>0</v>
      </c>
      <c r="N729" s="198">
        <f>'02 项目基础信息（输入）'!$C$42</f>
        <v>51879.834600000002</v>
      </c>
      <c r="O729" s="198">
        <f t="shared" si="86"/>
        <v>0</v>
      </c>
      <c r="P729" s="198">
        <f>'02 项目基础信息（输入）'!$I$42</f>
        <v>51879.834600000002</v>
      </c>
      <c r="Q729" s="233">
        <f t="shared" si="87"/>
        <v>0</v>
      </c>
      <c r="S729" s="217"/>
      <c r="U729" s="220" t="s">
        <v>2513</v>
      </c>
      <c r="V729" s="1191">
        <v>0.2964</v>
      </c>
      <c r="W729" s="1190">
        <v>5.8118999999999996</v>
      </c>
    </row>
    <row r="730" spans="1:25" ht="20.25" customHeight="1" outlineLevel="3">
      <c r="A730" s="192" t="s">
        <v>1788</v>
      </c>
      <c r="B730" s="192"/>
      <c r="C730" s="197" t="s">
        <v>1609</v>
      </c>
      <c r="D730" s="198">
        <f>'02 项目基础信息（输入）'!$C$42</f>
        <v>51879.834600000002</v>
      </c>
      <c r="E730" s="199" t="s">
        <v>93</v>
      </c>
      <c r="F730" s="197" t="s">
        <v>1609</v>
      </c>
      <c r="G730" s="199">
        <v>1</v>
      </c>
      <c r="H730" s="199" t="s">
        <v>298</v>
      </c>
      <c r="I730" s="198">
        <f>G730*D730</f>
        <v>51879.834600000002</v>
      </c>
      <c r="J730" s="199" t="s">
        <v>93</v>
      </c>
      <c r="K730" s="207">
        <v>0</v>
      </c>
      <c r="L730" s="209" t="s">
        <v>675</v>
      </c>
      <c r="M730" s="207">
        <f>ROUND(K730*I730/10000,6)</f>
        <v>0</v>
      </c>
      <c r="N730" s="198">
        <f>'02 项目基础信息（输入）'!$C$42</f>
        <v>51879.834600000002</v>
      </c>
      <c r="O730" s="198">
        <f t="shared" si="86"/>
        <v>0</v>
      </c>
      <c r="P730" s="198">
        <f>'02 项目基础信息（输入）'!$I$42</f>
        <v>51879.834600000002</v>
      </c>
      <c r="Q730" s="233">
        <f t="shared" si="87"/>
        <v>0</v>
      </c>
      <c r="S730" s="217"/>
      <c r="U730" s="220" t="s">
        <v>2514</v>
      </c>
      <c r="V730" s="1191">
        <v>6.0106999999999999</v>
      </c>
      <c r="W730" s="1190">
        <v>0</v>
      </c>
    </row>
    <row r="731" spans="1:25" ht="20.25" customHeight="1" outlineLevel="2" collapsed="1">
      <c r="A731" s="192" t="s">
        <v>1790</v>
      </c>
      <c r="B731" s="192"/>
      <c r="C731" s="197" t="s">
        <v>1609</v>
      </c>
      <c r="D731" s="198">
        <f>'02 项目基础信息（输入）'!$C$42</f>
        <v>51879.834600000002</v>
      </c>
      <c r="E731" s="199" t="s">
        <v>93</v>
      </c>
      <c r="F731" s="197"/>
      <c r="G731" s="199"/>
      <c r="H731" s="199"/>
      <c r="I731" s="197"/>
      <c r="J731" s="199"/>
      <c r="K731" s="207"/>
      <c r="L731" s="209"/>
      <c r="M731" s="198">
        <f>ROUND(SUM(M732:M735),6)</f>
        <v>441.39051999999998</v>
      </c>
      <c r="N731" s="198">
        <f>'02 项目基础信息（输入）'!$C$42</f>
        <v>51879.834600000002</v>
      </c>
      <c r="O731" s="198">
        <f t="shared" si="86"/>
        <v>85.08</v>
      </c>
      <c r="P731" s="198">
        <f>'02 项目基础信息（输入）'!$I$42</f>
        <v>51879.834600000002</v>
      </c>
      <c r="Q731" s="233">
        <f t="shared" si="87"/>
        <v>85.08</v>
      </c>
      <c r="S731" s="217" t="s">
        <v>1313</v>
      </c>
      <c r="U731" s="220" t="s">
        <v>2515</v>
      </c>
      <c r="V731" s="1191">
        <v>99.013300000000001</v>
      </c>
      <c r="W731" s="1190">
        <v>87.486000000000004</v>
      </c>
    </row>
    <row r="732" spans="1:25" ht="20.25" hidden="1" customHeight="1" outlineLevel="3">
      <c r="A732" s="192" t="s">
        <v>1792</v>
      </c>
      <c r="B732" s="192"/>
      <c r="C732" s="197" t="s">
        <v>1609</v>
      </c>
      <c r="D732" s="198">
        <f>'02 项目基础信息（输入）'!$C$42</f>
        <v>51879.834600000002</v>
      </c>
      <c r="E732" s="199" t="s">
        <v>93</v>
      </c>
      <c r="F732" s="197" t="s">
        <v>727</v>
      </c>
      <c r="G732" s="227">
        <f>'03 成本测算（输入）'!$D$70</f>
        <v>0.94</v>
      </c>
      <c r="H732" s="199" t="s">
        <v>298</v>
      </c>
      <c r="I732" s="198">
        <f>G732*D732</f>
        <v>48767.044523999997</v>
      </c>
      <c r="J732" s="199" t="s">
        <v>93</v>
      </c>
      <c r="K732" s="700" t="str">
        <f>'03 成本测算（输入）'!$D$71</f>
        <v>90.51</v>
      </c>
      <c r="L732" s="209" t="s">
        <v>675</v>
      </c>
      <c r="M732" s="207">
        <f>ROUND(K732*I732/10000,6)</f>
        <v>441.39051999999998</v>
      </c>
      <c r="N732" s="198">
        <f>'02 项目基础信息（输入）'!$C$42</f>
        <v>51879.834600000002</v>
      </c>
      <c r="O732" s="198">
        <f t="shared" si="86"/>
        <v>85.08</v>
      </c>
      <c r="P732" s="198">
        <f>'02 项目基础信息（输入）'!$I$42</f>
        <v>51879.834600000002</v>
      </c>
      <c r="Q732" s="233">
        <f t="shared" si="87"/>
        <v>85.08</v>
      </c>
      <c r="S732" s="217"/>
      <c r="U732" s="220" t="s">
        <v>2516</v>
      </c>
      <c r="V732" s="1191">
        <v>48.996899999999997</v>
      </c>
      <c r="W732" s="1190">
        <v>87.486000000000004</v>
      </c>
    </row>
    <row r="733" spans="1:25" ht="20.25" hidden="1" customHeight="1" outlineLevel="3">
      <c r="A733" s="192" t="s">
        <v>1794</v>
      </c>
      <c r="B733" s="192"/>
      <c r="C733" s="197" t="s">
        <v>1609</v>
      </c>
      <c r="D733" s="198">
        <f>'02 项目基础信息（输入）'!$C$42</f>
        <v>51879.834600000002</v>
      </c>
      <c r="E733" s="199" t="s">
        <v>93</v>
      </c>
      <c r="F733" s="197" t="s">
        <v>727</v>
      </c>
      <c r="G733" s="199">
        <f>G732</f>
        <v>0.94</v>
      </c>
      <c r="H733" s="199" t="s">
        <v>298</v>
      </c>
      <c r="I733" s="198">
        <f>G733*D733</f>
        <v>48767.044523999997</v>
      </c>
      <c r="J733" s="199" t="s">
        <v>93</v>
      </c>
      <c r="K733" s="207">
        <v>0</v>
      </c>
      <c r="L733" s="209" t="s">
        <v>675</v>
      </c>
      <c r="M733" s="207">
        <f>ROUND(K733*I733/10000,6)</f>
        <v>0</v>
      </c>
      <c r="N733" s="198">
        <f>'02 项目基础信息（输入）'!$C$42</f>
        <v>51879.834600000002</v>
      </c>
      <c r="O733" s="198">
        <f t="shared" si="86"/>
        <v>0</v>
      </c>
      <c r="P733" s="198">
        <f>'02 项目基础信息（输入）'!$I$42</f>
        <v>51879.834600000002</v>
      </c>
      <c r="Q733" s="233">
        <f t="shared" si="87"/>
        <v>0</v>
      </c>
      <c r="S733" s="217"/>
      <c r="U733" s="220" t="s">
        <v>2517</v>
      </c>
      <c r="V733" s="1191">
        <v>50.016300000000001</v>
      </c>
      <c r="W733" s="1190">
        <v>0</v>
      </c>
    </row>
    <row r="734" spans="1:25" ht="20.25" hidden="1" customHeight="1" outlineLevel="3">
      <c r="A734" s="192" t="s">
        <v>1796</v>
      </c>
      <c r="B734" s="192"/>
      <c r="C734" s="197" t="s">
        <v>1609</v>
      </c>
      <c r="D734" s="198">
        <f>'02 项目基础信息（输入）'!$C$42</f>
        <v>51879.834600000002</v>
      </c>
      <c r="E734" s="199" t="s">
        <v>93</v>
      </c>
      <c r="F734" s="197" t="s">
        <v>727</v>
      </c>
      <c r="G734" s="199">
        <v>1</v>
      </c>
      <c r="H734" s="199" t="s">
        <v>298</v>
      </c>
      <c r="I734" s="198">
        <f>G734*D734</f>
        <v>51879.834600000002</v>
      </c>
      <c r="J734" s="199" t="s">
        <v>93</v>
      </c>
      <c r="K734" s="207">
        <v>0</v>
      </c>
      <c r="L734" s="209" t="s">
        <v>675</v>
      </c>
      <c r="M734" s="207">
        <f>ROUND(K734*I734/10000,6)</f>
        <v>0</v>
      </c>
      <c r="N734" s="198">
        <f>'02 项目基础信息（输入）'!$C$42</f>
        <v>51879.834600000002</v>
      </c>
      <c r="O734" s="198">
        <f t="shared" si="86"/>
        <v>0</v>
      </c>
      <c r="P734" s="198">
        <f>'02 项目基础信息（输入）'!$I$42</f>
        <v>51879.834600000002</v>
      </c>
      <c r="Q734" s="233">
        <f t="shared" si="87"/>
        <v>0</v>
      </c>
      <c r="S734" s="217"/>
      <c r="U734" s="220" t="s">
        <v>2518</v>
      </c>
      <c r="V734" s="1191">
        <v>0</v>
      </c>
      <c r="W734" s="1190">
        <v>0</v>
      </c>
    </row>
    <row r="735" spans="1:25" ht="20.25" hidden="1" customHeight="1" outlineLevel="3">
      <c r="A735" s="192" t="s">
        <v>1798</v>
      </c>
      <c r="B735" s="192"/>
      <c r="C735" s="197" t="s">
        <v>1609</v>
      </c>
      <c r="D735" s="198">
        <f>'02 项目基础信息（输入）'!$C$42</f>
        <v>51879.834600000002</v>
      </c>
      <c r="E735" s="199" t="s">
        <v>93</v>
      </c>
      <c r="F735" s="197" t="s">
        <v>727</v>
      </c>
      <c r="G735" s="199">
        <v>1</v>
      </c>
      <c r="H735" s="199" t="s">
        <v>298</v>
      </c>
      <c r="I735" s="198">
        <f>G735*D735</f>
        <v>51879.834600000002</v>
      </c>
      <c r="J735" s="199" t="s">
        <v>93</v>
      </c>
      <c r="K735" s="207">
        <v>0</v>
      </c>
      <c r="L735" s="209" t="s">
        <v>675</v>
      </c>
      <c r="M735" s="207">
        <f>ROUND(K735*I735/10000,6)</f>
        <v>0</v>
      </c>
      <c r="N735" s="198">
        <f>'02 项目基础信息（输入）'!$C$42</f>
        <v>51879.834600000002</v>
      </c>
      <c r="O735" s="198">
        <f t="shared" si="86"/>
        <v>0</v>
      </c>
      <c r="P735" s="198">
        <f>'02 项目基础信息（输入）'!$I$42</f>
        <v>51879.834600000002</v>
      </c>
      <c r="Q735" s="233">
        <f t="shared" si="87"/>
        <v>0</v>
      </c>
      <c r="S735" s="217"/>
      <c r="U735" s="220" t="s">
        <v>2519</v>
      </c>
      <c r="V735" s="1191">
        <v>0</v>
      </c>
      <c r="W735" s="1190">
        <v>0</v>
      </c>
    </row>
    <row r="736" spans="1:25" ht="20.25" customHeight="1" outlineLevel="2">
      <c r="A736" s="192" t="s">
        <v>1800</v>
      </c>
      <c r="B736" s="192"/>
      <c r="C736" s="197" t="s">
        <v>1609</v>
      </c>
      <c r="D736" s="198">
        <f>'02 项目基础信息（输入）'!$C$42</f>
        <v>51879.834600000002</v>
      </c>
      <c r="E736" s="199" t="s">
        <v>93</v>
      </c>
      <c r="F736" s="197"/>
      <c r="G736" s="199"/>
      <c r="H736" s="199"/>
      <c r="I736" s="197"/>
      <c r="J736" s="199"/>
      <c r="K736" s="207"/>
      <c r="L736" s="209"/>
      <c r="M736" s="198">
        <f>ROUND(SUM(M737:M752),6)</f>
        <v>4224.8256149999997</v>
      </c>
      <c r="N736" s="198">
        <f>'02 项目基础信息（输入）'!$C$42</f>
        <v>51879.834600000002</v>
      </c>
      <c r="O736" s="198">
        <f t="shared" si="86"/>
        <v>814.35</v>
      </c>
      <c r="P736" s="198">
        <f>'02 项目基础信息（输入）'!$I$42</f>
        <v>51879.834600000002</v>
      </c>
      <c r="Q736" s="233">
        <f t="shared" si="87"/>
        <v>814.35</v>
      </c>
      <c r="S736" s="217" t="s">
        <v>1314</v>
      </c>
      <c r="U736" s="220" t="s">
        <v>2520</v>
      </c>
      <c r="V736" s="1191">
        <v>393.68549999999999</v>
      </c>
      <c r="W736" s="1190">
        <v>327.416</v>
      </c>
    </row>
    <row r="737" spans="1:23" ht="20.25" customHeight="1" outlineLevel="3">
      <c r="A737" s="192" t="s">
        <v>1802</v>
      </c>
      <c r="B737" s="192"/>
      <c r="C737" s="199" t="s">
        <v>476</v>
      </c>
      <c r="D737" s="198">
        <f>'02 项目基础信息（输入）'!$AF$42</f>
        <v>62255.801520000001</v>
      </c>
      <c r="E737" s="199" t="s">
        <v>93</v>
      </c>
      <c r="F737" s="197" t="s">
        <v>1803</v>
      </c>
      <c r="G737" s="227">
        <f>'03 成本测算（输入）'!$D$82</f>
        <v>15</v>
      </c>
      <c r="H737" s="199" t="s">
        <v>123</v>
      </c>
      <c r="I737" s="198">
        <f t="shared" ref="I737:I750" si="88">G737*D737/100</f>
        <v>9338.3702279999998</v>
      </c>
      <c r="J737" s="199" t="s">
        <v>93</v>
      </c>
      <c r="K737" s="700">
        <f>'03 成本测算（输入）'!$D$83</f>
        <v>900</v>
      </c>
      <c r="L737" s="209" t="s">
        <v>675</v>
      </c>
      <c r="M737" s="207">
        <f t="shared" ref="M737:M752" si="89">ROUND(K737*I737/10000,6)</f>
        <v>840.45332099999996</v>
      </c>
      <c r="N737" s="198">
        <f>'02 项目基础信息（输入）'!$C$42</f>
        <v>51879.834600000002</v>
      </c>
      <c r="O737" s="198">
        <f t="shared" si="86"/>
        <v>162</v>
      </c>
      <c r="P737" s="198">
        <f>'02 项目基础信息（输入）'!$I$42</f>
        <v>51879.834600000002</v>
      </c>
      <c r="Q737" s="233">
        <f t="shared" si="87"/>
        <v>162</v>
      </c>
      <c r="S737" s="217"/>
      <c r="U737" s="220" t="s">
        <v>2521</v>
      </c>
      <c r="V737" s="1191">
        <v>2.3447</v>
      </c>
      <c r="W737" s="1190">
        <v>1.3501000000000001</v>
      </c>
    </row>
    <row r="738" spans="1:23" ht="20.25" customHeight="1" outlineLevel="3">
      <c r="A738" s="192" t="s">
        <v>1805</v>
      </c>
      <c r="B738" s="192"/>
      <c r="C738" s="199" t="s">
        <v>476</v>
      </c>
      <c r="D738" s="198">
        <f>'02 项目基础信息（输入）'!$AF$42</f>
        <v>62255.801520000001</v>
      </c>
      <c r="E738" s="199" t="s">
        <v>93</v>
      </c>
      <c r="F738" s="197" t="s">
        <v>1803</v>
      </c>
      <c r="G738" s="204">
        <f>G737</f>
        <v>15</v>
      </c>
      <c r="H738" s="199" t="s">
        <v>123</v>
      </c>
      <c r="I738" s="198">
        <f t="shared" si="88"/>
        <v>9338.3702279999998</v>
      </c>
      <c r="J738" s="199" t="s">
        <v>93</v>
      </c>
      <c r="K738" s="207">
        <v>0</v>
      </c>
      <c r="L738" s="209" t="s">
        <v>675</v>
      </c>
      <c r="M738" s="207">
        <f t="shared" si="89"/>
        <v>0</v>
      </c>
      <c r="N738" s="198">
        <f>'02 项目基础信息（输入）'!$C$42</f>
        <v>51879.834600000002</v>
      </c>
      <c r="O738" s="198">
        <f t="shared" si="86"/>
        <v>0</v>
      </c>
      <c r="P738" s="198">
        <f>'02 项目基础信息（输入）'!$I$42</f>
        <v>51879.834600000002</v>
      </c>
      <c r="Q738" s="233">
        <f t="shared" si="87"/>
        <v>0</v>
      </c>
      <c r="S738" s="217"/>
      <c r="U738" s="220" t="s">
        <v>2522</v>
      </c>
      <c r="V738" s="1191">
        <v>2.5221</v>
      </c>
      <c r="W738" s="1190">
        <v>10.8651</v>
      </c>
    </row>
    <row r="739" spans="1:23" ht="20.25" customHeight="1" outlineLevel="3">
      <c r="A739" s="192" t="s">
        <v>1807</v>
      </c>
      <c r="B739" s="192"/>
      <c r="C739" s="199" t="s">
        <v>476</v>
      </c>
      <c r="D739" s="198">
        <f>'02 项目基础信息（输入）'!$AF$42</f>
        <v>62255.801520000001</v>
      </c>
      <c r="E739" s="199" t="s">
        <v>93</v>
      </c>
      <c r="F739" s="197" t="s">
        <v>1803</v>
      </c>
      <c r="G739" s="252">
        <f>'03 成本测算（输入）'!$D$84</f>
        <v>5</v>
      </c>
      <c r="H739" s="199" t="s">
        <v>123</v>
      </c>
      <c r="I739" s="198">
        <f t="shared" si="88"/>
        <v>3112.7900760000002</v>
      </c>
      <c r="J739" s="199" t="s">
        <v>93</v>
      </c>
      <c r="K739" s="700">
        <f>'03 成本测算（输入）'!$D$85</f>
        <v>750</v>
      </c>
      <c r="L739" s="209" t="s">
        <v>675</v>
      </c>
      <c r="M739" s="207">
        <f t="shared" si="89"/>
        <v>233.45925600000001</v>
      </c>
      <c r="N739" s="198">
        <f>'02 项目基础信息（输入）'!$C$42</f>
        <v>51879.834600000002</v>
      </c>
      <c r="O739" s="198">
        <f t="shared" si="86"/>
        <v>45</v>
      </c>
      <c r="P739" s="198">
        <f>'02 项目基础信息（输入）'!$I$42</f>
        <v>51879.834600000002</v>
      </c>
      <c r="Q739" s="233">
        <f t="shared" si="87"/>
        <v>45</v>
      </c>
      <c r="S739" s="217"/>
      <c r="U739" s="220" t="s">
        <v>2523</v>
      </c>
      <c r="V739" s="1191">
        <v>0</v>
      </c>
      <c r="W739" s="1190">
        <v>0</v>
      </c>
    </row>
    <row r="740" spans="1:23" ht="20.25" customHeight="1" outlineLevel="3">
      <c r="A740" s="192" t="s">
        <v>1809</v>
      </c>
      <c r="B740" s="192"/>
      <c r="C740" s="199" t="s">
        <v>476</v>
      </c>
      <c r="D740" s="198">
        <f>'02 项目基础信息（输入）'!$AF$42</f>
        <v>62255.801520000001</v>
      </c>
      <c r="E740" s="199" t="s">
        <v>93</v>
      </c>
      <c r="F740" s="197" t="s">
        <v>1803</v>
      </c>
      <c r="G740" s="204">
        <f>G739</f>
        <v>5</v>
      </c>
      <c r="H740" s="199" t="s">
        <v>123</v>
      </c>
      <c r="I740" s="198">
        <f t="shared" si="88"/>
        <v>3112.7900760000002</v>
      </c>
      <c r="J740" s="199" t="s">
        <v>93</v>
      </c>
      <c r="K740" s="207">
        <v>0</v>
      </c>
      <c r="L740" s="209" t="s">
        <v>675</v>
      </c>
      <c r="M740" s="207">
        <f t="shared" si="89"/>
        <v>0</v>
      </c>
      <c r="N740" s="198">
        <f>'02 项目基础信息（输入）'!$C$42</f>
        <v>51879.834600000002</v>
      </c>
      <c r="O740" s="198">
        <f t="shared" si="86"/>
        <v>0</v>
      </c>
      <c r="P740" s="198">
        <f>'02 项目基础信息（输入）'!$I$42</f>
        <v>51879.834600000002</v>
      </c>
      <c r="Q740" s="233">
        <f t="shared" si="87"/>
        <v>0</v>
      </c>
      <c r="S740" s="217"/>
      <c r="U740" s="220" t="s">
        <v>2524</v>
      </c>
      <c r="V740" s="1191">
        <v>0</v>
      </c>
      <c r="W740" s="1190">
        <v>0</v>
      </c>
    </row>
    <row r="741" spans="1:23" ht="20.25" customHeight="1" outlineLevel="3">
      <c r="A741" s="192" t="s">
        <v>1811</v>
      </c>
      <c r="B741" s="192"/>
      <c r="C741" s="199" t="s">
        <v>476</v>
      </c>
      <c r="D741" s="198">
        <f>'02 项目基础信息（输入）'!$AF$42</f>
        <v>62255.801520000001</v>
      </c>
      <c r="E741" s="199" t="s">
        <v>93</v>
      </c>
      <c r="F741" s="197" t="s">
        <v>1803</v>
      </c>
      <c r="G741" s="204">
        <v>0</v>
      </c>
      <c r="H741" s="199" t="s">
        <v>123</v>
      </c>
      <c r="I741" s="198">
        <f t="shared" si="88"/>
        <v>0</v>
      </c>
      <c r="J741" s="199" t="s">
        <v>93</v>
      </c>
      <c r="K741" s="207">
        <v>0</v>
      </c>
      <c r="L741" s="209" t="s">
        <v>675</v>
      </c>
      <c r="M741" s="207">
        <f t="shared" si="89"/>
        <v>0</v>
      </c>
      <c r="N741" s="198">
        <f>'02 项目基础信息（输入）'!$C$42</f>
        <v>51879.834600000002</v>
      </c>
      <c r="O741" s="198">
        <f t="shared" si="86"/>
        <v>0</v>
      </c>
      <c r="P741" s="198">
        <f>'02 项目基础信息（输入）'!$I$42</f>
        <v>51879.834600000002</v>
      </c>
      <c r="Q741" s="233">
        <f t="shared" si="87"/>
        <v>0</v>
      </c>
      <c r="S741" s="217"/>
      <c r="U741" s="220" t="s">
        <v>2525</v>
      </c>
      <c r="V741" s="1191">
        <v>0</v>
      </c>
      <c r="W741" s="1190">
        <v>0</v>
      </c>
    </row>
    <row r="742" spans="1:23" ht="20.25" customHeight="1" outlineLevel="3">
      <c r="A742" s="192" t="s">
        <v>1813</v>
      </c>
      <c r="B742" s="192"/>
      <c r="C742" s="199" t="s">
        <v>476</v>
      </c>
      <c r="D742" s="198">
        <f>'02 项目基础信息（输入）'!$AF$42</f>
        <v>62255.801520000001</v>
      </c>
      <c r="E742" s="199" t="s">
        <v>93</v>
      </c>
      <c r="F742" s="197" t="s">
        <v>1803</v>
      </c>
      <c r="G742" s="204">
        <f>G741</f>
        <v>0</v>
      </c>
      <c r="H742" s="199" t="s">
        <v>123</v>
      </c>
      <c r="I742" s="198">
        <f t="shared" si="88"/>
        <v>0</v>
      </c>
      <c r="J742" s="199" t="s">
        <v>93</v>
      </c>
      <c r="K742" s="207">
        <v>0</v>
      </c>
      <c r="L742" s="209" t="s">
        <v>675</v>
      </c>
      <c r="M742" s="207">
        <f t="shared" si="89"/>
        <v>0</v>
      </c>
      <c r="N742" s="198">
        <f>'02 项目基础信息（输入）'!$C$42</f>
        <v>51879.834600000002</v>
      </c>
      <c r="O742" s="198">
        <f t="shared" si="86"/>
        <v>0</v>
      </c>
      <c r="P742" s="198">
        <f>'02 项目基础信息（输入）'!$I$42</f>
        <v>51879.834600000002</v>
      </c>
      <c r="Q742" s="233">
        <f t="shared" si="87"/>
        <v>0</v>
      </c>
      <c r="S742" s="217"/>
      <c r="U742" s="220" t="s">
        <v>2526</v>
      </c>
      <c r="V742" s="1191">
        <v>0</v>
      </c>
      <c r="W742" s="1190">
        <v>0</v>
      </c>
    </row>
    <row r="743" spans="1:23" ht="20.25" customHeight="1" outlineLevel="3">
      <c r="A743" s="192" t="s">
        <v>1815</v>
      </c>
      <c r="B743" s="192"/>
      <c r="C743" s="199" t="s">
        <v>476</v>
      </c>
      <c r="D743" s="198">
        <f>'02 项目基础信息（输入）'!$AF$42</f>
        <v>62255.801520000001</v>
      </c>
      <c r="E743" s="199" t="s">
        <v>93</v>
      </c>
      <c r="F743" s="197" t="s">
        <v>1803</v>
      </c>
      <c r="G743" s="204">
        <v>0</v>
      </c>
      <c r="H743" s="199" t="s">
        <v>123</v>
      </c>
      <c r="I743" s="198">
        <f t="shared" si="88"/>
        <v>0</v>
      </c>
      <c r="J743" s="199" t="s">
        <v>93</v>
      </c>
      <c r="K743" s="207">
        <v>0</v>
      </c>
      <c r="L743" s="209" t="s">
        <v>675</v>
      </c>
      <c r="M743" s="207">
        <f t="shared" si="89"/>
        <v>0</v>
      </c>
      <c r="N743" s="198">
        <f>'02 项目基础信息（输入）'!$C$42</f>
        <v>51879.834600000002</v>
      </c>
      <c r="O743" s="198">
        <f t="shared" si="86"/>
        <v>0</v>
      </c>
      <c r="P743" s="198">
        <f>'02 项目基础信息（输入）'!$I$42</f>
        <v>51879.834600000002</v>
      </c>
      <c r="Q743" s="233">
        <f t="shared" si="87"/>
        <v>0</v>
      </c>
      <c r="S743" s="217"/>
      <c r="U743" s="220" t="s">
        <v>2527</v>
      </c>
      <c r="V743" s="1191">
        <v>44.093499999999999</v>
      </c>
      <c r="W743" s="1190">
        <v>0</v>
      </c>
    </row>
    <row r="744" spans="1:23" ht="20.25" customHeight="1" outlineLevel="3">
      <c r="A744" s="192" t="s">
        <v>1817</v>
      </c>
      <c r="B744" s="192"/>
      <c r="C744" s="199" t="s">
        <v>476</v>
      </c>
      <c r="D744" s="198">
        <f>'02 项目基础信息（输入）'!$AF$42</f>
        <v>62255.801520000001</v>
      </c>
      <c r="E744" s="199" t="s">
        <v>93</v>
      </c>
      <c r="F744" s="197" t="s">
        <v>1803</v>
      </c>
      <c r="G744" s="204">
        <f>G743</f>
        <v>0</v>
      </c>
      <c r="H744" s="199" t="s">
        <v>123</v>
      </c>
      <c r="I744" s="198">
        <f t="shared" si="88"/>
        <v>0</v>
      </c>
      <c r="J744" s="199" t="s">
        <v>93</v>
      </c>
      <c r="K744" s="207">
        <v>0</v>
      </c>
      <c r="L744" s="209" t="s">
        <v>675</v>
      </c>
      <c r="M744" s="207">
        <f t="shared" si="89"/>
        <v>0</v>
      </c>
      <c r="N744" s="198">
        <f>'02 项目基础信息（输入）'!$C$42</f>
        <v>51879.834600000002</v>
      </c>
      <c r="O744" s="198">
        <f t="shared" si="86"/>
        <v>0</v>
      </c>
      <c r="P744" s="198">
        <f>'02 项目基础信息（输入）'!$I$42</f>
        <v>51879.834600000002</v>
      </c>
      <c r="Q744" s="233">
        <f t="shared" si="87"/>
        <v>0</v>
      </c>
      <c r="S744" s="217"/>
      <c r="U744" s="220" t="s">
        <v>2528</v>
      </c>
      <c r="V744" s="1191">
        <v>0</v>
      </c>
      <c r="W744" s="1190">
        <v>0</v>
      </c>
    </row>
    <row r="745" spans="1:23" ht="20.25" customHeight="1" outlineLevel="3">
      <c r="A745" s="192" t="s">
        <v>1819</v>
      </c>
      <c r="B745" s="192"/>
      <c r="C745" s="199" t="s">
        <v>476</v>
      </c>
      <c r="D745" s="198">
        <f>'02 项目基础信息（输入）'!$AF$42</f>
        <v>62255.801520000001</v>
      </c>
      <c r="E745" s="199" t="s">
        <v>93</v>
      </c>
      <c r="F745" s="197" t="s">
        <v>1803</v>
      </c>
      <c r="G745" s="204">
        <v>0</v>
      </c>
      <c r="H745" s="199" t="s">
        <v>123</v>
      </c>
      <c r="I745" s="198">
        <f t="shared" si="88"/>
        <v>0</v>
      </c>
      <c r="J745" s="199" t="s">
        <v>93</v>
      </c>
      <c r="K745" s="207">
        <v>0</v>
      </c>
      <c r="L745" s="209" t="s">
        <v>675</v>
      </c>
      <c r="M745" s="207">
        <f t="shared" si="89"/>
        <v>0</v>
      </c>
      <c r="N745" s="198">
        <f>'02 项目基础信息（输入）'!$C$42</f>
        <v>51879.834600000002</v>
      </c>
      <c r="O745" s="198">
        <f t="shared" si="86"/>
        <v>0</v>
      </c>
      <c r="P745" s="198">
        <f>'02 项目基础信息（输入）'!$I$42</f>
        <v>51879.834600000002</v>
      </c>
      <c r="Q745" s="233">
        <f t="shared" si="87"/>
        <v>0</v>
      </c>
      <c r="S745" s="217"/>
      <c r="U745" s="220" t="s">
        <v>2529</v>
      </c>
      <c r="V745" s="1191">
        <v>0.70720000000000005</v>
      </c>
      <c r="W745" s="1190">
        <v>0</v>
      </c>
    </row>
    <row r="746" spans="1:23" ht="20.25" customHeight="1" outlineLevel="3">
      <c r="A746" s="192" t="s">
        <v>1821</v>
      </c>
      <c r="B746" s="192"/>
      <c r="C746" s="199" t="s">
        <v>476</v>
      </c>
      <c r="D746" s="198">
        <f>'02 项目基础信息（输入）'!$AF$42</f>
        <v>62255.801520000001</v>
      </c>
      <c r="E746" s="199" t="s">
        <v>93</v>
      </c>
      <c r="F746" s="197" t="s">
        <v>1803</v>
      </c>
      <c r="G746" s="252">
        <f>'03 成本测算（输入）'!$D$86</f>
        <v>76</v>
      </c>
      <c r="H746" s="199" t="s">
        <v>123</v>
      </c>
      <c r="I746" s="198">
        <f t="shared" si="88"/>
        <v>47314.409155200003</v>
      </c>
      <c r="J746" s="199" t="s">
        <v>93</v>
      </c>
      <c r="K746" s="700" t="str">
        <f>'03 成本测算（输入）'!$D$87</f>
        <v>664.11</v>
      </c>
      <c r="L746" s="209" t="s">
        <v>675</v>
      </c>
      <c r="M746" s="207">
        <f t="shared" si="89"/>
        <v>3142.1972259999998</v>
      </c>
      <c r="N746" s="198">
        <f>'02 项目基础信息（输入）'!$C$42</f>
        <v>51879.834600000002</v>
      </c>
      <c r="O746" s="198">
        <f t="shared" si="86"/>
        <v>605.66999999999996</v>
      </c>
      <c r="P746" s="198">
        <f>'02 项目基础信息（输入）'!$I$42</f>
        <v>51879.834600000002</v>
      </c>
      <c r="Q746" s="233">
        <f t="shared" si="87"/>
        <v>605.66999999999996</v>
      </c>
      <c r="S746" s="217"/>
      <c r="U746" s="220" t="s">
        <v>2530</v>
      </c>
      <c r="V746" s="1191">
        <v>297.71809999999999</v>
      </c>
      <c r="W746" s="1190">
        <v>213.315</v>
      </c>
    </row>
    <row r="747" spans="1:23" ht="20.25" customHeight="1" outlineLevel="3">
      <c r="A747" s="192" t="s">
        <v>1823</v>
      </c>
      <c r="B747" s="192"/>
      <c r="C747" s="199" t="s">
        <v>476</v>
      </c>
      <c r="D747" s="198">
        <f>'02 项目基础信息（输入）'!$AF$42</f>
        <v>62255.801520000001</v>
      </c>
      <c r="E747" s="199" t="s">
        <v>93</v>
      </c>
      <c r="F747" s="197" t="s">
        <v>1803</v>
      </c>
      <c r="G747" s="252">
        <f>'03 成本测算（输入）'!$D$88</f>
        <v>4</v>
      </c>
      <c r="H747" s="199" t="s">
        <v>123</v>
      </c>
      <c r="I747" s="198">
        <f t="shared" si="88"/>
        <v>2490.2320608</v>
      </c>
      <c r="J747" s="199" t="s">
        <v>93</v>
      </c>
      <c r="K747" s="700">
        <f>'03 成本测算（输入）'!$D$89</f>
        <v>35</v>
      </c>
      <c r="L747" s="209" t="s">
        <v>675</v>
      </c>
      <c r="M747" s="207">
        <f t="shared" si="89"/>
        <v>8.7158119999999997</v>
      </c>
      <c r="N747" s="198">
        <f>'02 项目基础信息（输入）'!$C$42</f>
        <v>51879.834600000002</v>
      </c>
      <c r="O747" s="198">
        <f t="shared" si="86"/>
        <v>1.68</v>
      </c>
      <c r="P747" s="198">
        <f>'02 项目基础信息（输入）'!$I$42</f>
        <v>51879.834600000002</v>
      </c>
      <c r="Q747" s="233">
        <f t="shared" si="87"/>
        <v>1.68</v>
      </c>
      <c r="S747" s="217"/>
      <c r="U747" s="220" t="s">
        <v>2531</v>
      </c>
      <c r="V747" s="1191">
        <v>7.9402999999999997</v>
      </c>
      <c r="W747" s="1190">
        <v>55.127899999999997</v>
      </c>
    </row>
    <row r="748" spans="1:23" ht="20.25" customHeight="1" outlineLevel="3">
      <c r="A748" s="192" t="s">
        <v>1825</v>
      </c>
      <c r="B748" s="192"/>
      <c r="C748" s="199" t="s">
        <v>476</v>
      </c>
      <c r="D748" s="198">
        <f>'02 项目基础信息（输入）'!$AF$42</f>
        <v>62255.801520000001</v>
      </c>
      <c r="E748" s="199" t="s">
        <v>93</v>
      </c>
      <c r="F748" s="197" t="s">
        <v>1803</v>
      </c>
      <c r="G748" s="204">
        <f>G747</f>
        <v>4</v>
      </c>
      <c r="H748" s="199" t="s">
        <v>123</v>
      </c>
      <c r="I748" s="198">
        <f t="shared" si="88"/>
        <v>2490.2320608</v>
      </c>
      <c r="J748" s="199" t="s">
        <v>93</v>
      </c>
      <c r="K748" s="207">
        <v>0</v>
      </c>
      <c r="L748" s="209" t="s">
        <v>675</v>
      </c>
      <c r="M748" s="207">
        <f t="shared" si="89"/>
        <v>0</v>
      </c>
      <c r="N748" s="198">
        <f>'02 项目基础信息（输入）'!$C$42</f>
        <v>51879.834600000002</v>
      </c>
      <c r="O748" s="198">
        <f t="shared" si="86"/>
        <v>0</v>
      </c>
      <c r="P748" s="198">
        <f>'02 项目基础信息（输入）'!$I$42</f>
        <v>51879.834600000002</v>
      </c>
      <c r="Q748" s="233">
        <f t="shared" si="87"/>
        <v>0</v>
      </c>
      <c r="S748" s="217"/>
      <c r="U748" s="220" t="s">
        <v>2532</v>
      </c>
      <c r="V748" s="1191">
        <v>6.1170999999999998</v>
      </c>
      <c r="W748" s="1190">
        <v>7.0674999999999999</v>
      </c>
    </row>
    <row r="749" spans="1:23" ht="20.25" customHeight="1" outlineLevel="3">
      <c r="A749" s="192" t="s">
        <v>1827</v>
      </c>
      <c r="B749" s="192"/>
      <c r="C749" s="199" t="s">
        <v>476</v>
      </c>
      <c r="D749" s="198">
        <f>'02 项目基础信息（输入）'!$AF$42</f>
        <v>62255.801520000001</v>
      </c>
      <c r="E749" s="199" t="s">
        <v>93</v>
      </c>
      <c r="F749" s="197" t="s">
        <v>1803</v>
      </c>
      <c r="G749" s="252">
        <f>'03 成本测算（输入）'!$D$90</f>
        <v>0</v>
      </c>
      <c r="H749" s="199" t="s">
        <v>123</v>
      </c>
      <c r="I749" s="198">
        <f t="shared" si="88"/>
        <v>0</v>
      </c>
      <c r="J749" s="199" t="s">
        <v>93</v>
      </c>
      <c r="K749" s="700" t="str">
        <f>'03 成本测算（输入）'!$D$91</f>
        <v>60</v>
      </c>
      <c r="L749" s="209" t="s">
        <v>675</v>
      </c>
      <c r="M749" s="207">
        <f t="shared" si="89"/>
        <v>0</v>
      </c>
      <c r="N749" s="198">
        <f>'02 项目基础信息（输入）'!$C$42</f>
        <v>51879.834600000002</v>
      </c>
      <c r="O749" s="198">
        <f t="shared" si="86"/>
        <v>0</v>
      </c>
      <c r="P749" s="198">
        <f>'02 项目基础信息（输入）'!$I$42</f>
        <v>51879.834600000002</v>
      </c>
      <c r="Q749" s="233">
        <f t="shared" si="87"/>
        <v>0</v>
      </c>
      <c r="S749" s="217"/>
      <c r="U749" s="220" t="s">
        <v>2533</v>
      </c>
      <c r="V749" s="1191">
        <v>23.451899999999998</v>
      </c>
      <c r="W749" s="1190">
        <v>1.4992000000000001</v>
      </c>
    </row>
    <row r="750" spans="1:23" ht="20.25" customHeight="1" outlineLevel="3">
      <c r="A750" s="192" t="s">
        <v>1829</v>
      </c>
      <c r="B750" s="192"/>
      <c r="C750" s="199" t="s">
        <v>476</v>
      </c>
      <c r="D750" s="198">
        <f>'02 项目基础信息（输入）'!$AF$42</f>
        <v>62255.801520000001</v>
      </c>
      <c r="E750" s="199" t="s">
        <v>93</v>
      </c>
      <c r="F750" s="197" t="s">
        <v>1803</v>
      </c>
      <c r="G750" s="204">
        <f>G749</f>
        <v>0</v>
      </c>
      <c r="H750" s="199" t="s">
        <v>123</v>
      </c>
      <c r="I750" s="198">
        <f t="shared" si="88"/>
        <v>0</v>
      </c>
      <c r="J750" s="199" t="s">
        <v>93</v>
      </c>
      <c r="K750" s="207">
        <v>0</v>
      </c>
      <c r="L750" s="209" t="s">
        <v>675</v>
      </c>
      <c r="M750" s="207">
        <f t="shared" si="89"/>
        <v>0</v>
      </c>
      <c r="N750" s="198">
        <f>'02 项目基础信息（输入）'!$C$42</f>
        <v>51879.834600000002</v>
      </c>
      <c r="O750" s="198">
        <f t="shared" si="86"/>
        <v>0</v>
      </c>
      <c r="P750" s="198">
        <f>'02 项目基础信息（输入）'!$I$42</f>
        <v>51879.834600000002</v>
      </c>
      <c r="Q750" s="233">
        <f t="shared" si="87"/>
        <v>0</v>
      </c>
      <c r="S750" s="217"/>
      <c r="U750" s="220" t="s">
        <v>2534</v>
      </c>
      <c r="V750" s="1191">
        <v>0</v>
      </c>
      <c r="W750" s="1190">
        <v>0</v>
      </c>
    </row>
    <row r="751" spans="1:23" ht="20.25" customHeight="1" outlineLevel="3">
      <c r="A751" s="192" t="s">
        <v>1831</v>
      </c>
      <c r="B751" s="192"/>
      <c r="C751" s="197" t="s">
        <v>1609</v>
      </c>
      <c r="D751" s="198">
        <f>'02 项目基础信息（输入）'!$C$42</f>
        <v>51879.834600000002</v>
      </c>
      <c r="E751" s="199" t="s">
        <v>93</v>
      </c>
      <c r="F751" s="197" t="s">
        <v>1609</v>
      </c>
      <c r="G751" s="199">
        <v>1</v>
      </c>
      <c r="H751" s="199" t="s">
        <v>298</v>
      </c>
      <c r="I751" s="198">
        <f>G751*D751</f>
        <v>51879.834600000002</v>
      </c>
      <c r="J751" s="199" t="s">
        <v>93</v>
      </c>
      <c r="K751" s="207">
        <v>0</v>
      </c>
      <c r="L751" s="209" t="s">
        <v>675</v>
      </c>
      <c r="M751" s="207">
        <f t="shared" si="89"/>
        <v>0</v>
      </c>
      <c r="N751" s="198">
        <f>'02 项目基础信息（输入）'!$C$42</f>
        <v>51879.834600000002</v>
      </c>
      <c r="O751" s="198">
        <f t="shared" si="86"/>
        <v>0</v>
      </c>
      <c r="P751" s="198">
        <f>'02 项目基础信息（输入）'!$I$42</f>
        <v>51879.834600000002</v>
      </c>
      <c r="Q751" s="233">
        <f t="shared" si="87"/>
        <v>0</v>
      </c>
      <c r="S751" s="217"/>
      <c r="U751" s="220" t="s">
        <v>2535</v>
      </c>
      <c r="V751" s="1191">
        <v>0</v>
      </c>
      <c r="W751" s="1190">
        <v>23.106300000000001</v>
      </c>
    </row>
    <row r="752" spans="1:23" ht="20.25" customHeight="1" outlineLevel="3">
      <c r="A752" s="192" t="s">
        <v>1833</v>
      </c>
      <c r="B752" s="192"/>
      <c r="C752" s="197" t="s">
        <v>1609</v>
      </c>
      <c r="D752" s="198">
        <f>'02 项目基础信息（输入）'!$C$42</f>
        <v>51879.834600000002</v>
      </c>
      <c r="E752" s="199" t="s">
        <v>93</v>
      </c>
      <c r="F752" s="197" t="s">
        <v>1609</v>
      </c>
      <c r="G752" s="199">
        <v>1</v>
      </c>
      <c r="H752" s="199" t="s">
        <v>298</v>
      </c>
      <c r="I752" s="198">
        <f>G752*D752</f>
        <v>51879.834600000002</v>
      </c>
      <c r="J752" s="199" t="s">
        <v>93</v>
      </c>
      <c r="K752" s="207">
        <v>0</v>
      </c>
      <c r="L752" s="209" t="s">
        <v>675</v>
      </c>
      <c r="M752" s="207">
        <f t="shared" si="89"/>
        <v>0</v>
      </c>
      <c r="N752" s="198">
        <f>'02 项目基础信息（输入）'!$C$42</f>
        <v>51879.834600000002</v>
      </c>
      <c r="O752" s="198">
        <f t="shared" si="86"/>
        <v>0</v>
      </c>
      <c r="P752" s="198">
        <f>'02 项目基础信息（输入）'!$I$42</f>
        <v>51879.834600000002</v>
      </c>
      <c r="Q752" s="233">
        <f t="shared" si="87"/>
        <v>0</v>
      </c>
      <c r="S752" s="217"/>
      <c r="U752" s="220" t="s">
        <v>2536</v>
      </c>
      <c r="V752" s="1191">
        <v>8.7903000000000002</v>
      </c>
      <c r="W752" s="1190">
        <v>15.0846</v>
      </c>
    </row>
    <row r="753" spans="1:25" ht="20.25" customHeight="1" outlineLevel="2">
      <c r="A753" s="192" t="s">
        <v>1835</v>
      </c>
      <c r="B753" s="192"/>
      <c r="C753" s="197" t="s">
        <v>1609</v>
      </c>
      <c r="D753" s="198">
        <f>'02 项目基础信息（输入）'!$C$42</f>
        <v>51879.834600000002</v>
      </c>
      <c r="E753" s="199" t="s">
        <v>93</v>
      </c>
      <c r="F753" s="197"/>
      <c r="G753" s="199"/>
      <c r="H753" s="199"/>
      <c r="I753" s="197"/>
      <c r="J753" s="199"/>
      <c r="K753" s="207"/>
      <c r="L753" s="209"/>
      <c r="M753" s="198">
        <f>ROUND(SUM(M754:M757),6)</f>
        <v>248.09634800000001</v>
      </c>
      <c r="N753" s="198">
        <f>'02 项目基础信息（输入）'!$C$42</f>
        <v>51879.834600000002</v>
      </c>
      <c r="O753" s="198">
        <f t="shared" si="86"/>
        <v>47.82</v>
      </c>
      <c r="P753" s="198">
        <f>'02 项目基础信息（输入）'!$I$42</f>
        <v>51879.834600000002</v>
      </c>
      <c r="Q753" s="233">
        <f t="shared" si="87"/>
        <v>47.82</v>
      </c>
      <c r="S753" s="217" t="s">
        <v>1314</v>
      </c>
      <c r="U753" s="220" t="s">
        <v>2537</v>
      </c>
      <c r="V753" s="1191">
        <v>54.6539</v>
      </c>
      <c r="W753" s="1190">
        <v>43.946399999999997</v>
      </c>
    </row>
    <row r="754" spans="1:25" ht="20.25" customHeight="1" outlineLevel="3">
      <c r="A754" s="192" t="s">
        <v>2110</v>
      </c>
      <c r="B754" s="192"/>
      <c r="C754" s="197" t="s">
        <v>309</v>
      </c>
      <c r="D754" s="198">
        <f>'02 项目基础信息（输入）'!$AC$42</f>
        <v>300</v>
      </c>
      <c r="E754" s="199" t="s">
        <v>310</v>
      </c>
      <c r="F754" s="197" t="s">
        <v>1843</v>
      </c>
      <c r="G754" s="227">
        <f>'03 成本测算（输入）'!D92</f>
        <v>8.5666666666666664</v>
      </c>
      <c r="H754" s="199" t="s">
        <v>789</v>
      </c>
      <c r="I754" s="198">
        <f>G754*D754</f>
        <v>2570</v>
      </c>
      <c r="J754" s="199" t="s">
        <v>131</v>
      </c>
      <c r="K754" s="700">
        <f>'03 成本测算（输入）'!$D$93</f>
        <v>664.87</v>
      </c>
      <c r="L754" s="209" t="s">
        <v>792</v>
      </c>
      <c r="M754" s="207">
        <f>ROUND(K754*I754/10000,6)</f>
        <v>170.87159</v>
      </c>
      <c r="N754" s="198">
        <f>'02 项目基础信息（输入）'!$C$42</f>
        <v>51879.834600000002</v>
      </c>
      <c r="O754" s="198">
        <f t="shared" si="86"/>
        <v>32.94</v>
      </c>
      <c r="P754" s="198">
        <f>'02 项目基础信息（输入）'!$I$42</f>
        <v>51879.834600000002</v>
      </c>
      <c r="Q754" s="233">
        <f t="shared" si="87"/>
        <v>32.94</v>
      </c>
      <c r="S754" s="217"/>
      <c r="U754" s="220" t="s">
        <v>2538</v>
      </c>
      <c r="V754" s="1191">
        <v>34.832000000000001</v>
      </c>
      <c r="W754" s="1190">
        <v>30.279499999999999</v>
      </c>
      <c r="Y754">
        <f>I754/N105</f>
        <v>0.11718080313989838</v>
      </c>
    </row>
    <row r="755" spans="1:25" ht="20.25" customHeight="1" outlineLevel="3">
      <c r="A755" s="192" t="s">
        <v>2112</v>
      </c>
      <c r="B755" s="192"/>
      <c r="C755" s="197" t="s">
        <v>309</v>
      </c>
      <c r="D755" s="198">
        <f>'02 项目基础信息（输入）'!$AC$42</f>
        <v>300</v>
      </c>
      <c r="E755" s="199" t="s">
        <v>310</v>
      </c>
      <c r="F755" s="197" t="s">
        <v>1843</v>
      </c>
      <c r="G755" s="227">
        <f>'03 成本测算（输入）'!D94</f>
        <v>1.8</v>
      </c>
      <c r="H755" s="199" t="s">
        <v>789</v>
      </c>
      <c r="I755" s="198">
        <f>G755*D755</f>
        <v>540</v>
      </c>
      <c r="J755" s="199" t="s">
        <v>131</v>
      </c>
      <c r="K755" s="700">
        <f>'03 成本测算（输入）'!$D$95</f>
        <v>121.6</v>
      </c>
      <c r="L755" s="209" t="s">
        <v>792</v>
      </c>
      <c r="M755" s="207">
        <f>ROUND(K755*I755/10000,6)</f>
        <v>6.5663999999999998</v>
      </c>
      <c r="N755" s="198">
        <f>'02 项目基础信息（输入）'!$C$42</f>
        <v>51879.834600000002</v>
      </c>
      <c r="O755" s="198">
        <f t="shared" si="86"/>
        <v>1.27</v>
      </c>
      <c r="P755" s="198">
        <f>'02 项目基础信息（输入）'!$I$42</f>
        <v>51879.834600000002</v>
      </c>
      <c r="Q755" s="233">
        <f t="shared" si="87"/>
        <v>1.27</v>
      </c>
      <c r="S755" s="217"/>
      <c r="U755" s="220" t="s">
        <v>2539</v>
      </c>
      <c r="V755" s="1191">
        <v>6.2329999999999997</v>
      </c>
      <c r="W755" s="1190">
        <v>7.9314</v>
      </c>
    </row>
    <row r="756" spans="1:25" ht="20.25" customHeight="1" outlineLevel="3">
      <c r="A756" s="192" t="s">
        <v>1837</v>
      </c>
      <c r="B756" s="192"/>
      <c r="C756" s="197" t="s">
        <v>472</v>
      </c>
      <c r="D756" s="198">
        <f>'02 项目基础信息（输入）'!$AA$42</f>
        <v>210</v>
      </c>
      <c r="E756" s="199" t="s">
        <v>1838</v>
      </c>
      <c r="F756" s="197" t="s">
        <v>1839</v>
      </c>
      <c r="G756" s="1042" t="s">
        <v>2540</v>
      </c>
      <c r="H756" s="199" t="s">
        <v>1840</v>
      </c>
      <c r="I756" s="198">
        <f>G756*D756</f>
        <v>1753.5</v>
      </c>
      <c r="J756" s="199" t="s">
        <v>131</v>
      </c>
      <c r="K756" s="1040" t="s">
        <v>2541</v>
      </c>
      <c r="L756" s="209" t="s">
        <v>792</v>
      </c>
      <c r="M756" s="207">
        <f>ROUND(K756*I756/10000,6)</f>
        <v>31.976825999999999</v>
      </c>
      <c r="N756" s="198">
        <f>'02 项目基础信息（输入）'!$C$42</f>
        <v>51879.834600000002</v>
      </c>
      <c r="O756" s="198">
        <f t="shared" si="86"/>
        <v>6.16</v>
      </c>
      <c r="P756" s="198">
        <f>'02 项目基础信息（输入）'!$I$42</f>
        <v>51879.834600000002</v>
      </c>
      <c r="Q756" s="233">
        <f t="shared" si="87"/>
        <v>6.16</v>
      </c>
      <c r="S756" s="217"/>
      <c r="U756" s="220" t="s">
        <v>2542</v>
      </c>
      <c r="V756" s="1191">
        <v>5.0538999999999996</v>
      </c>
      <c r="W756" s="1190">
        <v>5.7354000000000003</v>
      </c>
    </row>
    <row r="757" spans="1:25" ht="20.25" customHeight="1" outlineLevel="3">
      <c r="A757" s="192" t="s">
        <v>1842</v>
      </c>
      <c r="B757" s="192"/>
      <c r="C757" s="197" t="s">
        <v>309</v>
      </c>
      <c r="D757" s="198">
        <f>'02 项目基础信息（输入）'!$AC$42</f>
        <v>300</v>
      </c>
      <c r="E757" s="199" t="s">
        <v>310</v>
      </c>
      <c r="F757" s="197" t="s">
        <v>1843</v>
      </c>
      <c r="G757" s="1042" t="s">
        <v>2543</v>
      </c>
      <c r="H757" s="199" t="s">
        <v>789</v>
      </c>
      <c r="I757" s="198">
        <f>G757*D757</f>
        <v>1314</v>
      </c>
      <c r="J757" s="199" t="s">
        <v>131</v>
      </c>
      <c r="K757" s="1040" t="s">
        <v>2544</v>
      </c>
      <c r="L757" s="209" t="s">
        <v>792</v>
      </c>
      <c r="M757" s="207">
        <f>ROUND(K757*I757/10000,6)</f>
        <v>38.681531999999997</v>
      </c>
      <c r="N757" s="198">
        <f>'02 项目基础信息（输入）'!$C$42</f>
        <v>51879.834600000002</v>
      </c>
      <c r="O757" s="198">
        <f t="shared" si="86"/>
        <v>7.46</v>
      </c>
      <c r="P757" s="198">
        <f>'02 项目基础信息（输入）'!$I$42</f>
        <v>51879.834600000002</v>
      </c>
      <c r="Q757" s="233">
        <f t="shared" si="87"/>
        <v>7.46</v>
      </c>
      <c r="R757" s="188" t="s">
        <v>2342</v>
      </c>
      <c r="S757" s="234"/>
      <c r="U757" s="220" t="s">
        <v>2545</v>
      </c>
      <c r="V757" s="1191">
        <v>8.5349000000000004</v>
      </c>
      <c r="W757" s="1190">
        <v>0</v>
      </c>
    </row>
    <row r="758" spans="1:25" ht="20.25" customHeight="1" outlineLevel="2" collapsed="1">
      <c r="A758" s="192" t="s">
        <v>1845</v>
      </c>
      <c r="B758" s="192"/>
      <c r="C758" s="197" t="s">
        <v>1609</v>
      </c>
      <c r="D758" s="198">
        <f>'02 项目基础信息（输入）'!$C$42</f>
        <v>51879.834600000002</v>
      </c>
      <c r="E758" s="199" t="s">
        <v>93</v>
      </c>
      <c r="F758" s="197"/>
      <c r="G758" s="199"/>
      <c r="H758" s="199"/>
      <c r="I758" s="197"/>
      <c r="J758" s="199"/>
      <c r="K758" s="207"/>
      <c r="L758" s="209"/>
      <c r="M758" s="198">
        <f>ROUND(M759+M768+M777+M778+M779,6)</f>
        <v>2807.06205</v>
      </c>
      <c r="N758" s="198">
        <f>'02 项目基础信息（输入）'!$C$42</f>
        <v>51879.834600000002</v>
      </c>
      <c r="O758" s="198">
        <f t="shared" si="86"/>
        <v>541.07000000000005</v>
      </c>
      <c r="P758" s="198">
        <f>'02 项目基础信息（输入）'!$I$42</f>
        <v>51879.834600000002</v>
      </c>
      <c r="Q758" s="233">
        <f t="shared" si="87"/>
        <v>541.07000000000005</v>
      </c>
      <c r="S758" s="217" t="s">
        <v>1314</v>
      </c>
      <c r="U758" s="220" t="s">
        <v>2546</v>
      </c>
      <c r="V758" s="1191">
        <v>40.692599999999999</v>
      </c>
      <c r="W758" s="1190">
        <v>201.40039999999999</v>
      </c>
    </row>
    <row r="759" spans="1:25" ht="20.25" hidden="1" customHeight="1" outlineLevel="3">
      <c r="A759" s="192" t="s">
        <v>2117</v>
      </c>
      <c r="B759" s="192"/>
      <c r="C759" s="197"/>
      <c r="D759" s="198">
        <f>'02 项目基础信息（输入）'!$N$42</f>
        <v>55</v>
      </c>
      <c r="E759" s="199"/>
      <c r="F759" s="197"/>
      <c r="G759" s="199"/>
      <c r="H759" s="199"/>
      <c r="I759" s="197">
        <v>0</v>
      </c>
      <c r="J759" s="199"/>
      <c r="K759" s="207"/>
      <c r="L759" s="209"/>
      <c r="M759" s="198">
        <f>ROUND(SUM(M760:M767),6)</f>
        <v>412.5</v>
      </c>
      <c r="N759" s="198">
        <f>'02 项目基础信息（输入）'!$C$42</f>
        <v>51879.834600000002</v>
      </c>
      <c r="O759" s="198">
        <f t="shared" si="86"/>
        <v>79.510000000000005</v>
      </c>
      <c r="P759" s="198">
        <f>'02 项目基础信息（输入）'!$I$42</f>
        <v>51879.834600000002</v>
      </c>
      <c r="Q759" s="233">
        <f t="shared" si="87"/>
        <v>79.510000000000005</v>
      </c>
      <c r="S759" s="217"/>
      <c r="U759" s="220" t="s">
        <v>2547</v>
      </c>
      <c r="V759" s="1191">
        <v>33.727899999999998</v>
      </c>
      <c r="W759" s="1190">
        <v>61.418300000000002</v>
      </c>
    </row>
    <row r="760" spans="1:25" ht="20.25" hidden="1" customHeight="1" outlineLevel="4">
      <c r="A760" s="192" t="s">
        <v>1849</v>
      </c>
      <c r="B760" s="192"/>
      <c r="C760" s="197" t="s">
        <v>1850</v>
      </c>
      <c r="D760" s="198">
        <f>'02 项目基础信息（输入）'!$N$42</f>
        <v>55</v>
      </c>
      <c r="E760" s="199" t="s">
        <v>411</v>
      </c>
      <c r="F760" s="197" t="s">
        <v>460</v>
      </c>
      <c r="G760" s="235">
        <f>'02 项目基础信息（输入）'!$O$42</f>
        <v>15</v>
      </c>
      <c r="H760" s="199" t="s">
        <v>400</v>
      </c>
      <c r="I760" s="198">
        <f t="shared" ref="I760:I767" si="90">G760*D760</f>
        <v>825</v>
      </c>
      <c r="J760" s="199" t="s">
        <v>93</v>
      </c>
      <c r="K760" s="700">
        <f>'03 成本测算（输入）'!$D$97</f>
        <v>5000</v>
      </c>
      <c r="L760" s="209" t="s">
        <v>675</v>
      </c>
      <c r="M760" s="207">
        <f t="shared" ref="M760:M767" si="91">ROUND(K760*I760/10000,6)</f>
        <v>412.5</v>
      </c>
      <c r="N760" s="198">
        <f>'02 项目基础信息（输入）'!$C$42</f>
        <v>51879.834600000002</v>
      </c>
      <c r="O760" s="198">
        <f t="shared" si="86"/>
        <v>79.510000000000005</v>
      </c>
      <c r="P760" s="198">
        <f>'02 项目基础信息（输入）'!$I$42</f>
        <v>51879.834600000002</v>
      </c>
      <c r="Q760" s="233">
        <f t="shared" si="87"/>
        <v>79.510000000000005</v>
      </c>
      <c r="S760" s="217"/>
      <c r="U760" s="220" t="s">
        <v>2548</v>
      </c>
      <c r="V760" s="1191">
        <v>18.470700000000001</v>
      </c>
      <c r="W760" s="1190">
        <v>52.946800000000003</v>
      </c>
    </row>
    <row r="761" spans="1:25" ht="20.25" hidden="1" customHeight="1" outlineLevel="4">
      <c r="A761" s="192" t="s">
        <v>1852</v>
      </c>
      <c r="B761" s="192"/>
      <c r="C761" s="197" t="s">
        <v>1850</v>
      </c>
      <c r="D761" s="198">
        <f>'02 项目基础信息（输入）'!$N$42</f>
        <v>55</v>
      </c>
      <c r="E761" s="199" t="s">
        <v>411</v>
      </c>
      <c r="F761" s="197" t="s">
        <v>460</v>
      </c>
      <c r="G761" s="235">
        <f>'02 项目基础信息（输入）'!$O$42</f>
        <v>15</v>
      </c>
      <c r="H761" s="199" t="s">
        <v>400</v>
      </c>
      <c r="I761" s="198">
        <f t="shared" si="90"/>
        <v>825</v>
      </c>
      <c r="J761" s="199" t="s">
        <v>93</v>
      </c>
      <c r="K761" s="207">
        <v>0</v>
      </c>
      <c r="L761" s="209" t="s">
        <v>675</v>
      </c>
      <c r="M761" s="207">
        <f t="shared" si="91"/>
        <v>0</v>
      </c>
      <c r="N761" s="198">
        <f>'02 项目基础信息（输入）'!$C$42</f>
        <v>51879.834600000002</v>
      </c>
      <c r="O761" s="198">
        <f t="shared" si="86"/>
        <v>0</v>
      </c>
      <c r="P761" s="198">
        <f>'02 项目基础信息（输入）'!$I$42</f>
        <v>51879.834600000002</v>
      </c>
      <c r="Q761" s="233">
        <f t="shared" si="87"/>
        <v>0</v>
      </c>
      <c r="S761" s="217"/>
      <c r="U761" s="220" t="s">
        <v>2549</v>
      </c>
      <c r="V761" s="1191">
        <v>0</v>
      </c>
      <c r="W761" s="1190">
        <v>0</v>
      </c>
    </row>
    <row r="762" spans="1:25" ht="20.25" hidden="1" customHeight="1" outlineLevel="4">
      <c r="A762" s="192" t="s">
        <v>1854</v>
      </c>
      <c r="B762" s="192"/>
      <c r="C762" s="197" t="s">
        <v>1850</v>
      </c>
      <c r="D762" s="198">
        <f>'02 项目基础信息（输入）'!$N$42</f>
        <v>55</v>
      </c>
      <c r="E762" s="199" t="s">
        <v>411</v>
      </c>
      <c r="F762" s="197" t="s">
        <v>460</v>
      </c>
      <c r="G762" s="235">
        <f>'02 项目基础信息（输入）'!$O$42</f>
        <v>15</v>
      </c>
      <c r="H762" s="199" t="s">
        <v>400</v>
      </c>
      <c r="I762" s="198">
        <f t="shared" si="90"/>
        <v>825</v>
      </c>
      <c r="J762" s="199" t="s">
        <v>93</v>
      </c>
      <c r="K762" s="207">
        <v>0</v>
      </c>
      <c r="L762" s="209" t="s">
        <v>675</v>
      </c>
      <c r="M762" s="207">
        <f t="shared" si="91"/>
        <v>0</v>
      </c>
      <c r="N762" s="198">
        <f>'02 项目基础信息（输入）'!$C$42</f>
        <v>51879.834600000002</v>
      </c>
      <c r="O762" s="198">
        <f t="shared" si="86"/>
        <v>0</v>
      </c>
      <c r="P762" s="198">
        <f>'02 项目基础信息（输入）'!$I$42</f>
        <v>51879.834600000002</v>
      </c>
      <c r="Q762" s="233">
        <f t="shared" si="87"/>
        <v>0</v>
      </c>
      <c r="S762" s="217"/>
      <c r="U762" s="220" t="s">
        <v>2550</v>
      </c>
      <c r="V762" s="1191">
        <v>0</v>
      </c>
      <c r="W762" s="1190">
        <v>8.4715000000000007</v>
      </c>
    </row>
    <row r="763" spans="1:25" ht="20.25" hidden="1" customHeight="1" outlineLevel="4">
      <c r="A763" s="192" t="s">
        <v>1856</v>
      </c>
      <c r="B763" s="192"/>
      <c r="C763" s="197" t="s">
        <v>1850</v>
      </c>
      <c r="D763" s="198">
        <f>'02 项目基础信息（输入）'!$N$42</f>
        <v>55</v>
      </c>
      <c r="E763" s="199" t="s">
        <v>411</v>
      </c>
      <c r="F763" s="197" t="s">
        <v>460</v>
      </c>
      <c r="G763" s="235">
        <f>'02 项目基础信息（输入）'!$O$42</f>
        <v>15</v>
      </c>
      <c r="H763" s="199" t="s">
        <v>400</v>
      </c>
      <c r="I763" s="198">
        <f t="shared" si="90"/>
        <v>825</v>
      </c>
      <c r="J763" s="199" t="s">
        <v>93</v>
      </c>
      <c r="K763" s="207">
        <v>0</v>
      </c>
      <c r="L763" s="209" t="s">
        <v>675</v>
      </c>
      <c r="M763" s="207">
        <f t="shared" si="91"/>
        <v>0</v>
      </c>
      <c r="N763" s="198">
        <f>'02 项目基础信息（输入）'!$C$42</f>
        <v>51879.834600000002</v>
      </c>
      <c r="O763" s="198">
        <f t="shared" si="86"/>
        <v>0</v>
      </c>
      <c r="P763" s="198">
        <f>'02 项目基础信息（输入）'!$I$42</f>
        <v>51879.834600000002</v>
      </c>
      <c r="Q763" s="233">
        <f t="shared" si="87"/>
        <v>0</v>
      </c>
      <c r="S763" s="217"/>
      <c r="U763" s="220" t="s">
        <v>2551</v>
      </c>
      <c r="V763" s="1191">
        <v>0</v>
      </c>
      <c r="W763" s="1190">
        <v>0</v>
      </c>
    </row>
    <row r="764" spans="1:25" ht="20.25" hidden="1" customHeight="1" outlineLevel="4">
      <c r="A764" s="192" t="s">
        <v>1858</v>
      </c>
      <c r="B764" s="192"/>
      <c r="C764" s="197" t="s">
        <v>1850</v>
      </c>
      <c r="D764" s="198">
        <f>'02 项目基础信息（输入）'!$N$42</f>
        <v>55</v>
      </c>
      <c r="E764" s="199" t="s">
        <v>411</v>
      </c>
      <c r="F764" s="197" t="s">
        <v>460</v>
      </c>
      <c r="G764" s="235">
        <f>'02 项目基础信息（输入）'!$O$42</f>
        <v>15</v>
      </c>
      <c r="H764" s="199" t="s">
        <v>400</v>
      </c>
      <c r="I764" s="198">
        <f t="shared" si="90"/>
        <v>825</v>
      </c>
      <c r="J764" s="199" t="s">
        <v>93</v>
      </c>
      <c r="K764" s="207">
        <v>0</v>
      </c>
      <c r="L764" s="209" t="s">
        <v>675</v>
      </c>
      <c r="M764" s="207">
        <f t="shared" si="91"/>
        <v>0</v>
      </c>
      <c r="N764" s="198">
        <f>'02 项目基础信息（输入）'!$C$42</f>
        <v>51879.834600000002</v>
      </c>
      <c r="O764" s="198">
        <f t="shared" si="86"/>
        <v>0</v>
      </c>
      <c r="P764" s="198">
        <f>'02 项目基础信息（输入）'!$I$42</f>
        <v>51879.834600000002</v>
      </c>
      <c r="Q764" s="233">
        <f t="shared" si="87"/>
        <v>0</v>
      </c>
      <c r="S764" s="217"/>
      <c r="U764" s="220" t="s">
        <v>2552</v>
      </c>
      <c r="V764" s="1191">
        <v>15.257199999999999</v>
      </c>
      <c r="W764" s="1190">
        <v>0</v>
      </c>
    </row>
    <row r="765" spans="1:25" ht="20.25" hidden="1" customHeight="1" outlineLevel="4">
      <c r="A765" s="192" t="s">
        <v>1860</v>
      </c>
      <c r="B765" s="192"/>
      <c r="C765" s="197" t="s">
        <v>1850</v>
      </c>
      <c r="D765" s="198">
        <f>'02 项目基础信息（输入）'!$N$42</f>
        <v>55</v>
      </c>
      <c r="E765" s="199" t="s">
        <v>411</v>
      </c>
      <c r="F765" s="197" t="s">
        <v>460</v>
      </c>
      <c r="G765" s="235">
        <f>'02 项目基础信息（输入）'!$O$42</f>
        <v>15</v>
      </c>
      <c r="H765" s="199" t="s">
        <v>400</v>
      </c>
      <c r="I765" s="198">
        <f t="shared" si="90"/>
        <v>825</v>
      </c>
      <c r="J765" s="199" t="s">
        <v>93</v>
      </c>
      <c r="K765" s="207">
        <v>0</v>
      </c>
      <c r="L765" s="209" t="s">
        <v>675</v>
      </c>
      <c r="M765" s="207">
        <f t="shared" si="91"/>
        <v>0</v>
      </c>
      <c r="N765" s="198">
        <f>'02 项目基础信息（输入）'!$C$42</f>
        <v>51879.834600000002</v>
      </c>
      <c r="O765" s="198">
        <f t="shared" si="86"/>
        <v>0</v>
      </c>
      <c r="P765" s="198">
        <f>'02 项目基础信息（输入）'!$I$42</f>
        <v>51879.834600000002</v>
      </c>
      <c r="Q765" s="233">
        <f t="shared" si="87"/>
        <v>0</v>
      </c>
      <c r="S765" s="217"/>
      <c r="U765" s="220" t="s">
        <v>2553</v>
      </c>
      <c r="V765" s="1191">
        <v>0</v>
      </c>
      <c r="W765" s="1190">
        <v>0</v>
      </c>
    </row>
    <row r="766" spans="1:25" ht="20.25" hidden="1" customHeight="1" outlineLevel="4">
      <c r="A766" s="192" t="s">
        <v>1862</v>
      </c>
      <c r="B766" s="192"/>
      <c r="C766" s="197" t="s">
        <v>1850</v>
      </c>
      <c r="D766" s="198">
        <f>'02 项目基础信息（输入）'!$N$42</f>
        <v>55</v>
      </c>
      <c r="E766" s="199" t="s">
        <v>411</v>
      </c>
      <c r="F766" s="197" t="s">
        <v>460</v>
      </c>
      <c r="G766" s="235">
        <f>'02 项目基础信息（输入）'!$O$42</f>
        <v>15</v>
      </c>
      <c r="H766" s="199" t="s">
        <v>400</v>
      </c>
      <c r="I766" s="198">
        <f t="shared" si="90"/>
        <v>825</v>
      </c>
      <c r="J766" s="199" t="s">
        <v>93</v>
      </c>
      <c r="K766" s="207">
        <v>0</v>
      </c>
      <c r="L766" s="209" t="s">
        <v>675</v>
      </c>
      <c r="M766" s="207">
        <f t="shared" si="91"/>
        <v>0</v>
      </c>
      <c r="N766" s="198">
        <f>'02 项目基础信息（输入）'!$C$42</f>
        <v>51879.834600000002</v>
      </c>
      <c r="O766" s="198">
        <f t="shared" si="86"/>
        <v>0</v>
      </c>
      <c r="P766" s="198">
        <f>'02 项目基础信息（输入）'!$I$42</f>
        <v>51879.834600000002</v>
      </c>
      <c r="Q766" s="233">
        <f t="shared" si="87"/>
        <v>0</v>
      </c>
      <c r="S766" s="217"/>
      <c r="U766" s="220" t="s">
        <v>2554</v>
      </c>
      <c r="V766" s="1191">
        <v>0</v>
      </c>
      <c r="W766" s="1190">
        <v>0</v>
      </c>
    </row>
    <row r="767" spans="1:25" ht="20.25" hidden="1" customHeight="1" outlineLevel="4">
      <c r="A767" s="192" t="s">
        <v>1864</v>
      </c>
      <c r="B767" s="192"/>
      <c r="C767" s="197" t="s">
        <v>1850</v>
      </c>
      <c r="D767" s="198">
        <f>'02 项目基础信息（输入）'!$N$42</f>
        <v>55</v>
      </c>
      <c r="E767" s="199" t="s">
        <v>411</v>
      </c>
      <c r="F767" s="197" t="s">
        <v>460</v>
      </c>
      <c r="G767" s="235">
        <f>'02 项目基础信息（输入）'!$O$42</f>
        <v>15</v>
      </c>
      <c r="H767" s="199" t="s">
        <v>400</v>
      </c>
      <c r="I767" s="198">
        <f t="shared" si="90"/>
        <v>825</v>
      </c>
      <c r="J767" s="199" t="s">
        <v>93</v>
      </c>
      <c r="K767" s="207">
        <v>0</v>
      </c>
      <c r="L767" s="209" t="s">
        <v>675</v>
      </c>
      <c r="M767" s="207">
        <f t="shared" si="91"/>
        <v>0</v>
      </c>
      <c r="N767" s="198">
        <f>'02 项目基础信息（输入）'!$C$42</f>
        <v>51879.834600000002</v>
      </c>
      <c r="O767" s="198">
        <f t="shared" si="86"/>
        <v>0</v>
      </c>
      <c r="P767" s="198">
        <f>'02 项目基础信息（输入）'!$I$42</f>
        <v>51879.834600000002</v>
      </c>
      <c r="Q767" s="233">
        <f t="shared" si="87"/>
        <v>0</v>
      </c>
      <c r="S767" s="217"/>
      <c r="U767" s="220" t="s">
        <v>2555</v>
      </c>
      <c r="V767" s="1191">
        <v>0</v>
      </c>
      <c r="W767" s="1190">
        <v>0</v>
      </c>
    </row>
    <row r="768" spans="1:25" ht="20.25" hidden="1" customHeight="1" outlineLevel="3">
      <c r="A768" s="192" t="s">
        <v>2127</v>
      </c>
      <c r="B768" s="192"/>
      <c r="C768" s="197"/>
      <c r="D768" s="198">
        <f>'02 项目基础信息（输入）'!$K$42</f>
        <v>15.519999999999998</v>
      </c>
      <c r="E768" s="199"/>
      <c r="F768" s="197"/>
      <c r="G768" s="199"/>
      <c r="H768" s="199"/>
      <c r="I768" s="197">
        <v>0</v>
      </c>
      <c r="J768" s="199"/>
      <c r="K768" s="207"/>
      <c r="L768" s="209"/>
      <c r="M768" s="198">
        <f>ROUND(SUM(M769:M776),6)</f>
        <v>398.08800000000002</v>
      </c>
      <c r="N768" s="198">
        <f>'02 项目基础信息（输入）'!$C$42</f>
        <v>51879.834600000002</v>
      </c>
      <c r="O768" s="198">
        <f t="shared" si="86"/>
        <v>76.73</v>
      </c>
      <c r="P768" s="198">
        <f>'02 项目基础信息（输入）'!$I$42</f>
        <v>51879.834600000002</v>
      </c>
      <c r="Q768" s="233">
        <f t="shared" si="87"/>
        <v>76.73</v>
      </c>
      <c r="S768" s="217"/>
      <c r="U768" s="220" t="s">
        <v>2556</v>
      </c>
      <c r="V768" s="1191">
        <v>0.65690000000000004</v>
      </c>
      <c r="W768" s="1190">
        <v>79.919200000000004</v>
      </c>
    </row>
    <row r="769" spans="1:23" ht="20.25" hidden="1" customHeight="1" outlineLevel="4">
      <c r="A769" s="192" t="s">
        <v>2129</v>
      </c>
      <c r="B769" s="192"/>
      <c r="C769" s="197" t="s">
        <v>2130</v>
      </c>
      <c r="D769" s="198">
        <f>'02 项目基础信息（输入）'!$K$42</f>
        <v>15.519999999999998</v>
      </c>
      <c r="E769" s="199" t="s">
        <v>411</v>
      </c>
      <c r="F769" s="197" t="s">
        <v>457</v>
      </c>
      <c r="G769" s="235">
        <f>'02 项目基础信息（输入）'!$L$42</f>
        <v>135</v>
      </c>
      <c r="H769" s="199" t="s">
        <v>400</v>
      </c>
      <c r="I769" s="198">
        <f t="shared" ref="I769:I779" si="92">G769*D769</f>
        <v>2095.1999999999998</v>
      </c>
      <c r="J769" s="199" t="s">
        <v>93</v>
      </c>
      <c r="K769" s="700">
        <f>'03 成本测算（输入）'!$D$99</f>
        <v>1900</v>
      </c>
      <c r="L769" s="209" t="s">
        <v>675</v>
      </c>
      <c r="M769" s="198">
        <f t="shared" ref="M769:M779" si="93">ROUND(K769*I769/10000,6)</f>
        <v>398.08800000000002</v>
      </c>
      <c r="N769" s="198">
        <f>'02 项目基础信息（输入）'!$C$42</f>
        <v>51879.834600000002</v>
      </c>
      <c r="O769" s="198">
        <f t="shared" si="86"/>
        <v>76.73</v>
      </c>
      <c r="P769" s="198">
        <f>'02 项目基础信息（输入）'!$I$42</f>
        <v>51879.834600000002</v>
      </c>
      <c r="Q769" s="233">
        <f t="shared" si="87"/>
        <v>76.73</v>
      </c>
      <c r="S769" s="217"/>
      <c r="U769" s="220" t="s">
        <v>2557</v>
      </c>
      <c r="V769" s="1191">
        <v>0</v>
      </c>
      <c r="W769" s="1190">
        <v>79.919200000000004</v>
      </c>
    </row>
    <row r="770" spans="1:23" ht="20.25" hidden="1" customHeight="1" outlineLevel="4">
      <c r="A770" s="192" t="s">
        <v>2132</v>
      </c>
      <c r="B770" s="192"/>
      <c r="C770" s="197" t="s">
        <v>2130</v>
      </c>
      <c r="D770" s="198">
        <f>'02 项目基础信息（输入）'!$K$42</f>
        <v>15.519999999999998</v>
      </c>
      <c r="E770" s="199" t="s">
        <v>411</v>
      </c>
      <c r="F770" s="197" t="s">
        <v>457</v>
      </c>
      <c r="G770" s="235">
        <f>'02 项目基础信息（输入）'!$L$42</f>
        <v>135</v>
      </c>
      <c r="H770" s="199" t="s">
        <v>400</v>
      </c>
      <c r="I770" s="198">
        <f t="shared" si="92"/>
        <v>2095.1999999999998</v>
      </c>
      <c r="J770" s="199" t="s">
        <v>93</v>
      </c>
      <c r="K770" s="207">
        <v>0</v>
      </c>
      <c r="L770" s="209" t="s">
        <v>675</v>
      </c>
      <c r="M770" s="198">
        <f t="shared" si="93"/>
        <v>0</v>
      </c>
      <c r="N770" s="198">
        <f>'02 项目基础信息（输入）'!$C$42</f>
        <v>51879.834600000002</v>
      </c>
      <c r="O770" s="198">
        <f t="shared" si="86"/>
        <v>0</v>
      </c>
      <c r="P770" s="198">
        <f>'02 项目基础信息（输入）'!$I$42</f>
        <v>51879.834600000002</v>
      </c>
      <c r="Q770" s="233">
        <f t="shared" si="87"/>
        <v>0</v>
      </c>
      <c r="S770" s="217"/>
      <c r="U770" s="220" t="s">
        <v>2558</v>
      </c>
      <c r="V770" s="1191">
        <v>0.65690000000000004</v>
      </c>
      <c r="W770" s="1190">
        <v>0</v>
      </c>
    </row>
    <row r="771" spans="1:23" ht="20.25" hidden="1" customHeight="1" outlineLevel="4">
      <c r="A771" s="192" t="s">
        <v>2134</v>
      </c>
      <c r="B771" s="192"/>
      <c r="C771" s="197" t="s">
        <v>2130</v>
      </c>
      <c r="D771" s="198">
        <f>'02 项目基础信息（输入）'!$K$42</f>
        <v>15.519999999999998</v>
      </c>
      <c r="E771" s="199" t="s">
        <v>411</v>
      </c>
      <c r="F771" s="197" t="s">
        <v>457</v>
      </c>
      <c r="G771" s="235">
        <f>'02 项目基础信息（输入）'!$L$42</f>
        <v>135</v>
      </c>
      <c r="H771" s="199" t="s">
        <v>400</v>
      </c>
      <c r="I771" s="198">
        <f t="shared" si="92"/>
        <v>2095.1999999999998</v>
      </c>
      <c r="J771" s="199" t="s">
        <v>93</v>
      </c>
      <c r="K771" s="207">
        <v>0</v>
      </c>
      <c r="L771" s="209" t="s">
        <v>675</v>
      </c>
      <c r="M771" s="198">
        <f t="shared" si="93"/>
        <v>0</v>
      </c>
      <c r="N771" s="198">
        <f>'02 项目基础信息（输入）'!$C$42</f>
        <v>51879.834600000002</v>
      </c>
      <c r="O771" s="198">
        <f t="shared" ref="O771:O834" si="94">ROUND(IFERROR(M771*10000/N771,0),2)</f>
        <v>0</v>
      </c>
      <c r="P771" s="198">
        <f>'02 项目基础信息（输入）'!$I$42</f>
        <v>51879.834600000002</v>
      </c>
      <c r="Q771" s="233">
        <f t="shared" ref="Q771:Q834" si="95">ROUND(IFERROR(M771*10000/P771,0),2)</f>
        <v>0</v>
      </c>
      <c r="S771" s="217"/>
      <c r="U771" s="220" t="s">
        <v>2559</v>
      </c>
      <c r="V771" s="1191">
        <v>0</v>
      </c>
      <c r="W771" s="1190">
        <v>0</v>
      </c>
    </row>
    <row r="772" spans="1:23" ht="20.25" hidden="1" customHeight="1" outlineLevel="4">
      <c r="A772" s="192" t="s">
        <v>2136</v>
      </c>
      <c r="B772" s="192"/>
      <c r="C772" s="197" t="s">
        <v>2130</v>
      </c>
      <c r="D772" s="198">
        <f>'02 项目基础信息（输入）'!$K$42</f>
        <v>15.519999999999998</v>
      </c>
      <c r="E772" s="199" t="s">
        <v>411</v>
      </c>
      <c r="F772" s="197" t="s">
        <v>457</v>
      </c>
      <c r="G772" s="235">
        <f>'02 项目基础信息（输入）'!$L$42</f>
        <v>135</v>
      </c>
      <c r="H772" s="199" t="s">
        <v>400</v>
      </c>
      <c r="I772" s="198">
        <f t="shared" si="92"/>
        <v>2095.1999999999998</v>
      </c>
      <c r="J772" s="199" t="s">
        <v>93</v>
      </c>
      <c r="K772" s="207">
        <v>0</v>
      </c>
      <c r="L772" s="209" t="s">
        <v>675</v>
      </c>
      <c r="M772" s="198">
        <f t="shared" si="93"/>
        <v>0</v>
      </c>
      <c r="N772" s="198">
        <f>'02 项目基础信息（输入）'!$C$42</f>
        <v>51879.834600000002</v>
      </c>
      <c r="O772" s="198">
        <f t="shared" si="94"/>
        <v>0</v>
      </c>
      <c r="P772" s="198">
        <f>'02 项目基础信息（输入）'!$I$42</f>
        <v>51879.834600000002</v>
      </c>
      <c r="Q772" s="233">
        <f t="shared" si="95"/>
        <v>0</v>
      </c>
      <c r="S772" s="217"/>
      <c r="U772" s="220" t="s">
        <v>2560</v>
      </c>
      <c r="V772" s="1191">
        <v>0</v>
      </c>
      <c r="W772" s="1190">
        <v>0</v>
      </c>
    </row>
    <row r="773" spans="1:23" ht="20.25" hidden="1" customHeight="1" outlineLevel="4">
      <c r="A773" s="192" t="s">
        <v>2138</v>
      </c>
      <c r="B773" s="192"/>
      <c r="C773" s="197" t="s">
        <v>2130</v>
      </c>
      <c r="D773" s="198">
        <f>'02 项目基础信息（输入）'!$K$42</f>
        <v>15.519999999999998</v>
      </c>
      <c r="E773" s="199" t="s">
        <v>411</v>
      </c>
      <c r="F773" s="197" t="s">
        <v>457</v>
      </c>
      <c r="G773" s="235">
        <f>'02 项目基础信息（输入）'!$L$42</f>
        <v>135</v>
      </c>
      <c r="H773" s="199" t="s">
        <v>400</v>
      </c>
      <c r="I773" s="198">
        <f t="shared" si="92"/>
        <v>2095.1999999999998</v>
      </c>
      <c r="J773" s="199" t="s">
        <v>93</v>
      </c>
      <c r="K773" s="207">
        <v>0</v>
      </c>
      <c r="L773" s="209" t="s">
        <v>675</v>
      </c>
      <c r="M773" s="198">
        <f t="shared" si="93"/>
        <v>0</v>
      </c>
      <c r="N773" s="198">
        <f>'02 项目基础信息（输入）'!$C$42</f>
        <v>51879.834600000002</v>
      </c>
      <c r="O773" s="198">
        <f t="shared" si="94"/>
        <v>0</v>
      </c>
      <c r="P773" s="198">
        <f>'02 项目基础信息（输入）'!$I$42</f>
        <v>51879.834600000002</v>
      </c>
      <c r="Q773" s="233">
        <f t="shared" si="95"/>
        <v>0</v>
      </c>
      <c r="S773" s="217"/>
      <c r="U773" s="220" t="s">
        <v>2561</v>
      </c>
      <c r="V773" s="1191">
        <v>0</v>
      </c>
      <c r="W773" s="1190">
        <v>0</v>
      </c>
    </row>
    <row r="774" spans="1:23" ht="20.25" hidden="1" customHeight="1" outlineLevel="4">
      <c r="A774" s="192" t="s">
        <v>2140</v>
      </c>
      <c r="B774" s="192"/>
      <c r="C774" s="197" t="s">
        <v>2130</v>
      </c>
      <c r="D774" s="198">
        <f>'02 项目基础信息（输入）'!$K$42</f>
        <v>15.519999999999998</v>
      </c>
      <c r="E774" s="199" t="s">
        <v>411</v>
      </c>
      <c r="F774" s="197" t="s">
        <v>457</v>
      </c>
      <c r="G774" s="235">
        <f>'02 项目基础信息（输入）'!$L$42</f>
        <v>135</v>
      </c>
      <c r="H774" s="199" t="s">
        <v>400</v>
      </c>
      <c r="I774" s="198">
        <f t="shared" si="92"/>
        <v>2095.1999999999998</v>
      </c>
      <c r="J774" s="199" t="s">
        <v>93</v>
      </c>
      <c r="K774" s="207">
        <v>0</v>
      </c>
      <c r="L774" s="209" t="s">
        <v>675</v>
      </c>
      <c r="M774" s="198">
        <f t="shared" si="93"/>
        <v>0</v>
      </c>
      <c r="N774" s="198">
        <f>'02 项目基础信息（输入）'!$C$42</f>
        <v>51879.834600000002</v>
      </c>
      <c r="O774" s="198">
        <f t="shared" si="94"/>
        <v>0</v>
      </c>
      <c r="P774" s="198">
        <f>'02 项目基础信息（输入）'!$I$42</f>
        <v>51879.834600000002</v>
      </c>
      <c r="Q774" s="233">
        <f t="shared" si="95"/>
        <v>0</v>
      </c>
      <c r="S774" s="217"/>
      <c r="U774" s="220" t="s">
        <v>2562</v>
      </c>
      <c r="V774" s="1191">
        <v>0</v>
      </c>
      <c r="W774" s="1190">
        <v>0</v>
      </c>
    </row>
    <row r="775" spans="1:23" ht="20.25" hidden="1" customHeight="1" outlineLevel="4">
      <c r="A775" s="192" t="s">
        <v>2142</v>
      </c>
      <c r="B775" s="192"/>
      <c r="C775" s="197" t="s">
        <v>2130</v>
      </c>
      <c r="D775" s="198">
        <f>'02 项目基础信息（输入）'!$K$42</f>
        <v>15.519999999999998</v>
      </c>
      <c r="E775" s="199" t="s">
        <v>411</v>
      </c>
      <c r="F775" s="197" t="s">
        <v>457</v>
      </c>
      <c r="G775" s="235">
        <f>'02 项目基础信息（输入）'!$L$42</f>
        <v>135</v>
      </c>
      <c r="H775" s="199" t="s">
        <v>400</v>
      </c>
      <c r="I775" s="198">
        <f t="shared" si="92"/>
        <v>2095.1999999999998</v>
      </c>
      <c r="J775" s="199" t="s">
        <v>93</v>
      </c>
      <c r="K775" s="207">
        <v>0</v>
      </c>
      <c r="L775" s="209" t="s">
        <v>675</v>
      </c>
      <c r="M775" s="198">
        <f t="shared" si="93"/>
        <v>0</v>
      </c>
      <c r="N775" s="198">
        <f>'02 项目基础信息（输入）'!$C$42</f>
        <v>51879.834600000002</v>
      </c>
      <c r="O775" s="198">
        <f t="shared" si="94"/>
        <v>0</v>
      </c>
      <c r="P775" s="198">
        <f>'02 项目基础信息（输入）'!$I$42</f>
        <v>51879.834600000002</v>
      </c>
      <c r="Q775" s="233">
        <f t="shared" si="95"/>
        <v>0</v>
      </c>
      <c r="S775" s="217"/>
      <c r="U775" s="220" t="s">
        <v>2563</v>
      </c>
      <c r="V775" s="1191">
        <v>0</v>
      </c>
      <c r="W775" s="1190">
        <v>0</v>
      </c>
    </row>
    <row r="776" spans="1:23" ht="20.25" hidden="1" customHeight="1" outlineLevel="4">
      <c r="A776" s="192" t="s">
        <v>2144</v>
      </c>
      <c r="B776" s="192"/>
      <c r="C776" s="197" t="s">
        <v>2130</v>
      </c>
      <c r="D776" s="198">
        <f>'02 项目基础信息（输入）'!$K$42</f>
        <v>15.519999999999998</v>
      </c>
      <c r="E776" s="199" t="s">
        <v>411</v>
      </c>
      <c r="F776" s="197" t="s">
        <v>457</v>
      </c>
      <c r="G776" s="235">
        <f>'02 项目基础信息（输入）'!$L$42</f>
        <v>135</v>
      </c>
      <c r="H776" s="199" t="s">
        <v>400</v>
      </c>
      <c r="I776" s="198">
        <f t="shared" si="92"/>
        <v>2095.1999999999998</v>
      </c>
      <c r="J776" s="199" t="s">
        <v>93</v>
      </c>
      <c r="K776" s="207">
        <v>0</v>
      </c>
      <c r="L776" s="209" t="s">
        <v>675</v>
      </c>
      <c r="M776" s="198">
        <f t="shared" si="93"/>
        <v>0</v>
      </c>
      <c r="N776" s="198">
        <f>'02 项目基础信息（输入）'!$C$42</f>
        <v>51879.834600000002</v>
      </c>
      <c r="O776" s="198">
        <f t="shared" si="94"/>
        <v>0</v>
      </c>
      <c r="P776" s="198">
        <f>'02 项目基础信息（输入）'!$I$42</f>
        <v>51879.834600000002</v>
      </c>
      <c r="Q776" s="233">
        <f t="shared" si="95"/>
        <v>0</v>
      </c>
      <c r="S776" s="217"/>
      <c r="U776" s="220" t="s">
        <v>2564</v>
      </c>
      <c r="V776" s="1191">
        <v>0</v>
      </c>
      <c r="W776" s="1190">
        <v>0</v>
      </c>
    </row>
    <row r="777" spans="1:23" ht="20.25" hidden="1" customHeight="1" outlineLevel="3">
      <c r="A777" s="192" t="s">
        <v>2146</v>
      </c>
      <c r="B777" s="192"/>
      <c r="C777" s="197" t="s">
        <v>455</v>
      </c>
      <c r="D777" s="198">
        <f>'02 项目基础信息（输入）'!$J$42</f>
        <v>15</v>
      </c>
      <c r="E777" s="199" t="s">
        <v>400</v>
      </c>
      <c r="F777" s="197" t="s">
        <v>455</v>
      </c>
      <c r="G777" s="199">
        <v>1</v>
      </c>
      <c r="H777" s="199" t="s">
        <v>1748</v>
      </c>
      <c r="I777" s="198">
        <f t="shared" si="92"/>
        <v>15</v>
      </c>
      <c r="J777" s="199" t="s">
        <v>400</v>
      </c>
      <c r="K777" s="1040">
        <v>30000</v>
      </c>
      <c r="L777" s="209" t="s">
        <v>1749</v>
      </c>
      <c r="M777" s="198">
        <f t="shared" si="93"/>
        <v>45</v>
      </c>
      <c r="N777" s="198">
        <f>'02 项目基础信息（输入）'!$C$42</f>
        <v>51879.834600000002</v>
      </c>
      <c r="O777" s="198">
        <f t="shared" si="94"/>
        <v>8.67</v>
      </c>
      <c r="P777" s="198">
        <f>'02 项目基础信息（输入）'!$I$42</f>
        <v>51879.834600000002</v>
      </c>
      <c r="Q777" s="233">
        <f t="shared" si="95"/>
        <v>8.67</v>
      </c>
      <c r="S777" s="217"/>
      <c r="U777" s="220" t="s">
        <v>2565</v>
      </c>
      <c r="V777" s="1191">
        <v>0</v>
      </c>
      <c r="W777" s="1190">
        <v>0</v>
      </c>
    </row>
    <row r="778" spans="1:23" ht="20.25" hidden="1" customHeight="1" outlineLevel="3">
      <c r="A778" s="192" t="s">
        <v>2148</v>
      </c>
      <c r="B778" s="192"/>
      <c r="C778" s="197" t="s">
        <v>309</v>
      </c>
      <c r="D778" s="198">
        <f>'02 项目基础信息（输入）'!$AC$42</f>
        <v>300</v>
      </c>
      <c r="E778" s="199" t="s">
        <v>310</v>
      </c>
      <c r="F778" s="197" t="s">
        <v>2149</v>
      </c>
      <c r="G778" s="199">
        <v>1</v>
      </c>
      <c r="H778" s="199" t="s">
        <v>2150</v>
      </c>
      <c r="I778" s="198">
        <f t="shared" si="92"/>
        <v>300</v>
      </c>
      <c r="J778" s="199" t="s">
        <v>400</v>
      </c>
      <c r="K778" s="1040">
        <v>1500</v>
      </c>
      <c r="L778" s="209" t="s">
        <v>1749</v>
      </c>
      <c r="M778" s="207">
        <f t="shared" si="93"/>
        <v>45</v>
      </c>
      <c r="N778" s="198">
        <f>'02 项目基础信息（输入）'!$C$42</f>
        <v>51879.834600000002</v>
      </c>
      <c r="O778" s="198">
        <f t="shared" si="94"/>
        <v>8.67</v>
      </c>
      <c r="P778" s="198">
        <f>'02 项目基础信息（输入）'!$I$42</f>
        <v>51879.834600000002</v>
      </c>
      <c r="Q778" s="233">
        <f t="shared" si="95"/>
        <v>8.67</v>
      </c>
      <c r="S778" s="217"/>
      <c r="U778" s="220" t="s">
        <v>2566</v>
      </c>
      <c r="V778" s="1191">
        <v>6.1862000000000004</v>
      </c>
      <c r="W778" s="1190">
        <v>7.4519000000000002</v>
      </c>
    </row>
    <row r="779" spans="1:23" ht="20.25" hidden="1" customHeight="1" outlineLevel="3">
      <c r="A779" s="192" t="s">
        <v>1868</v>
      </c>
      <c r="B779" s="192"/>
      <c r="C779" s="197" t="s">
        <v>1609</v>
      </c>
      <c r="D779" s="198">
        <f>'02 项目基础信息（输入）'!$C$42</f>
        <v>51879.834600000002</v>
      </c>
      <c r="E779" s="199" t="s">
        <v>93</v>
      </c>
      <c r="F779" s="240" t="s">
        <v>1648</v>
      </c>
      <c r="G779" s="702">
        <f>'03 成本测算（输入）'!D100+'03 成本测算（输入）'!D102+'03 成本测算（输入）'!D104+'03 成本测算（输入）'!D106+'03 成本测算（输入）'!D108</f>
        <v>0.15408241104916706</v>
      </c>
      <c r="H779" s="242" t="s">
        <v>298</v>
      </c>
      <c r="I779" s="243">
        <f t="shared" si="92"/>
        <v>7993.7699999999995</v>
      </c>
      <c r="J779" s="242" t="s">
        <v>93</v>
      </c>
      <c r="K779" s="703">
        <f>IF(I779=0,0,('03 成本测算（输入）'!$D$101*'03 成本测算（输入）'!$D$100+'03 成本测算（输入）'!$D$103*'03 成本测算（输入）'!$D$102+'03 成本测算（输入）'!$D$105*'03 成本测算（输入）'!$D$104+'03 成本测算（输入）'!$D$107*'03 成本测算（输入）'!$D$106+'03 成本测算（输入）'!$D$109*'03 成本测算（输入）'!$D$108)/'05 成本测算明细'!G779)</f>
        <v>2384.9498421896051</v>
      </c>
      <c r="L779" s="245" t="s">
        <v>675</v>
      </c>
      <c r="M779" s="247">
        <f t="shared" si="93"/>
        <v>1906.47405</v>
      </c>
      <c r="N779" s="198">
        <f>'02 项目基础信息（输入）'!$C$42</f>
        <v>51879.834600000002</v>
      </c>
      <c r="O779" s="198">
        <f t="shared" si="94"/>
        <v>367.48</v>
      </c>
      <c r="P779" s="198">
        <f>'02 项目基础信息（输入）'!$I$42</f>
        <v>51879.834600000002</v>
      </c>
      <c r="Q779" s="233">
        <f t="shared" si="95"/>
        <v>367.48</v>
      </c>
      <c r="S779" s="217"/>
      <c r="U779" s="220" t="s">
        <v>2567</v>
      </c>
      <c r="V779" s="1191">
        <v>0.12139999999999999</v>
      </c>
      <c r="W779" s="1190">
        <v>52.610799999999998</v>
      </c>
    </row>
    <row r="780" spans="1:23" ht="20.25" customHeight="1" outlineLevel="2" collapsed="1">
      <c r="A780" s="192" t="s">
        <v>1870</v>
      </c>
      <c r="B780" s="192"/>
      <c r="C780" s="197" t="s">
        <v>1609</v>
      </c>
      <c r="D780" s="198">
        <f>'02 项目基础信息（输入）'!$C$42</f>
        <v>51879.834600000002</v>
      </c>
      <c r="E780" s="199" t="s">
        <v>93</v>
      </c>
      <c r="F780" s="197"/>
      <c r="G780" s="199"/>
      <c r="H780" s="199"/>
      <c r="I780" s="197"/>
      <c r="J780" s="199"/>
      <c r="K780" s="207"/>
      <c r="L780" s="209"/>
      <c r="M780" s="198">
        <f>ROUND(SUM(M781),6)</f>
        <v>90</v>
      </c>
      <c r="N780" s="198">
        <f>'02 项目基础信息（输入）'!$C$42</f>
        <v>51879.834600000002</v>
      </c>
      <c r="O780" s="1386">
        <f t="shared" si="94"/>
        <v>17.350000000000001</v>
      </c>
      <c r="P780" s="198">
        <f>'02 项目基础信息（输入）'!$I$42</f>
        <v>51879.834600000002</v>
      </c>
      <c r="Q780" s="233">
        <f t="shared" si="95"/>
        <v>17.350000000000001</v>
      </c>
      <c r="S780" s="217" t="s">
        <v>1313</v>
      </c>
      <c r="U780" s="220" t="s">
        <v>2568</v>
      </c>
      <c r="V780" s="1191">
        <v>4.5057</v>
      </c>
      <c r="W780" s="1190">
        <v>22.922899999999998</v>
      </c>
    </row>
    <row r="781" spans="1:23" ht="20.25" hidden="1" customHeight="1" outlineLevel="3">
      <c r="A781" s="192" t="s">
        <v>1872</v>
      </c>
      <c r="B781" s="192"/>
      <c r="C781" s="197" t="s">
        <v>460</v>
      </c>
      <c r="D781" s="198">
        <f>'02 项目基础信息（输入）'!$O$42</f>
        <v>15</v>
      </c>
      <c r="E781" s="199" t="s">
        <v>400</v>
      </c>
      <c r="F781" s="197" t="s">
        <v>460</v>
      </c>
      <c r="G781" s="199">
        <v>1</v>
      </c>
      <c r="H781" s="199" t="s">
        <v>1873</v>
      </c>
      <c r="I781" s="198">
        <f>G781*D781</f>
        <v>15</v>
      </c>
      <c r="J781" s="199" t="s">
        <v>1052</v>
      </c>
      <c r="K781" s="1040">
        <v>60000</v>
      </c>
      <c r="L781" s="209" t="s">
        <v>746</v>
      </c>
      <c r="M781" s="207">
        <f>ROUND(K781*I781/10000,6)</f>
        <v>90</v>
      </c>
      <c r="N781" s="198">
        <f>'02 项目基础信息（输入）'!$C$42</f>
        <v>51879.834600000002</v>
      </c>
      <c r="O781" s="198">
        <f t="shared" si="94"/>
        <v>17.350000000000001</v>
      </c>
      <c r="P781" s="198">
        <f>'02 项目基础信息（输入）'!$I$42</f>
        <v>51879.834600000002</v>
      </c>
      <c r="Q781" s="233">
        <f t="shared" si="95"/>
        <v>17.350000000000001</v>
      </c>
      <c r="R781" s="188" t="s">
        <v>7901</v>
      </c>
      <c r="S781" s="217"/>
      <c r="U781" s="220" t="s">
        <v>2569</v>
      </c>
      <c r="V781" s="1191">
        <v>4.5057</v>
      </c>
      <c r="W781" s="1190">
        <v>22.922899999999998</v>
      </c>
    </row>
    <row r="782" spans="1:23" ht="20.25" customHeight="1" outlineLevel="2" collapsed="1">
      <c r="A782" s="192" t="s">
        <v>1875</v>
      </c>
      <c r="B782" s="192"/>
      <c r="C782" s="197" t="s">
        <v>1609</v>
      </c>
      <c r="D782" s="198">
        <f>'02 项目基础信息（输入）'!$C$42</f>
        <v>51879.834600000002</v>
      </c>
      <c r="E782" s="199" t="s">
        <v>93</v>
      </c>
      <c r="F782" s="197"/>
      <c r="G782" s="199"/>
      <c r="H782" s="199"/>
      <c r="I782" s="197"/>
      <c r="J782" s="199"/>
      <c r="K782" s="207"/>
      <c r="L782" s="209"/>
      <c r="M782" s="198">
        <f>ROUND(SUM(M783:M785),6)</f>
        <v>0</v>
      </c>
      <c r="N782" s="198">
        <f>'02 项目基础信息（输入）'!$C$42</f>
        <v>51879.834600000002</v>
      </c>
      <c r="O782" s="198">
        <f t="shared" si="94"/>
        <v>0</v>
      </c>
      <c r="P782" s="198">
        <f>'02 项目基础信息（输入）'!$I$42</f>
        <v>51879.834600000002</v>
      </c>
      <c r="Q782" s="233">
        <f t="shared" si="95"/>
        <v>0</v>
      </c>
      <c r="S782" s="217" t="s">
        <v>1313</v>
      </c>
      <c r="U782" s="220" t="s">
        <v>2570</v>
      </c>
      <c r="V782" s="1191">
        <v>91.661600000000007</v>
      </c>
      <c r="W782" s="1190">
        <v>0</v>
      </c>
    </row>
    <row r="783" spans="1:23" ht="20.25" hidden="1" customHeight="1" outlineLevel="3">
      <c r="A783" s="192" t="s">
        <v>1877</v>
      </c>
      <c r="B783" s="192"/>
      <c r="C783" s="197" t="s">
        <v>1609</v>
      </c>
      <c r="D783" s="198">
        <f>'02 项目基础信息（输入）'!$C$42</f>
        <v>51879.834600000002</v>
      </c>
      <c r="E783" s="199" t="s">
        <v>93</v>
      </c>
      <c r="F783" s="197" t="s">
        <v>694</v>
      </c>
      <c r="G783" s="701"/>
      <c r="H783" s="199" t="s">
        <v>298</v>
      </c>
      <c r="I783" s="198">
        <f>G783*D783</f>
        <v>0</v>
      </c>
      <c r="J783" s="199" t="s">
        <v>93</v>
      </c>
      <c r="K783" s="699"/>
      <c r="L783" s="209" t="s">
        <v>675</v>
      </c>
      <c r="M783" s="207">
        <f>ROUND(K783*I783/10000,6)</f>
        <v>0</v>
      </c>
      <c r="N783" s="198">
        <f>'02 项目基础信息（输入）'!$C$42</f>
        <v>51879.834600000002</v>
      </c>
      <c r="O783" s="198">
        <f t="shared" si="94"/>
        <v>0</v>
      </c>
      <c r="P783" s="198">
        <f>'02 项目基础信息（输入）'!$I$42</f>
        <v>51879.834600000002</v>
      </c>
      <c r="Q783" s="233">
        <f t="shared" si="95"/>
        <v>0</v>
      </c>
      <c r="S783" s="217"/>
      <c r="U783" s="220" t="s">
        <v>2571</v>
      </c>
      <c r="V783" s="1191">
        <v>19.8584</v>
      </c>
      <c r="W783" s="1190">
        <v>0</v>
      </c>
    </row>
    <row r="784" spans="1:23" ht="20.25" hidden="1" customHeight="1" outlineLevel="3">
      <c r="A784" s="192" t="s">
        <v>1879</v>
      </c>
      <c r="B784" s="192"/>
      <c r="C784" s="197" t="s">
        <v>1609</v>
      </c>
      <c r="D784" s="198">
        <f>'02 项目基础信息（输入）'!$C$42</f>
        <v>51879.834600000002</v>
      </c>
      <c r="E784" s="199" t="s">
        <v>93</v>
      </c>
      <c r="F784" s="197" t="s">
        <v>694</v>
      </c>
      <c r="G784" s="701"/>
      <c r="H784" s="199" t="s">
        <v>298</v>
      </c>
      <c r="I784" s="198">
        <f>G784*D784</f>
        <v>0</v>
      </c>
      <c r="J784" s="199" t="s">
        <v>93</v>
      </c>
      <c r="K784" s="699"/>
      <c r="L784" s="209" t="s">
        <v>675</v>
      </c>
      <c r="M784" s="207">
        <f>ROUND(K784*I784/10000,6)</f>
        <v>0</v>
      </c>
      <c r="N784" s="198">
        <f>'02 项目基础信息（输入）'!$C$42</f>
        <v>51879.834600000002</v>
      </c>
      <c r="O784" s="198">
        <f t="shared" si="94"/>
        <v>0</v>
      </c>
      <c r="P784" s="198">
        <f>'02 项目基础信息（输入）'!$I$42</f>
        <v>51879.834600000002</v>
      </c>
      <c r="Q784" s="233">
        <f t="shared" si="95"/>
        <v>0</v>
      </c>
      <c r="S784" s="217"/>
      <c r="U784" s="220" t="s">
        <v>2572</v>
      </c>
      <c r="V784" s="1191">
        <v>71.803200000000004</v>
      </c>
      <c r="W784" s="1190">
        <v>0</v>
      </c>
    </row>
    <row r="785" spans="1:23" ht="20.25" hidden="1" customHeight="1" outlineLevel="3">
      <c r="A785" s="192" t="s">
        <v>1881</v>
      </c>
      <c r="B785" s="192"/>
      <c r="C785" s="197" t="s">
        <v>1609</v>
      </c>
      <c r="D785" s="198">
        <f>'02 项目基础信息（输入）'!$C$42</f>
        <v>51879.834600000002</v>
      </c>
      <c r="E785" s="199" t="s">
        <v>93</v>
      </c>
      <c r="F785" s="197" t="s">
        <v>694</v>
      </c>
      <c r="G785" s="701"/>
      <c r="H785" s="199" t="s">
        <v>298</v>
      </c>
      <c r="I785" s="198">
        <f>G785*D785</f>
        <v>0</v>
      </c>
      <c r="J785" s="199" t="s">
        <v>93</v>
      </c>
      <c r="K785" s="699"/>
      <c r="L785" s="209" t="s">
        <v>675</v>
      </c>
      <c r="M785" s="207">
        <f>ROUND(K785*I785/10000,6)</f>
        <v>0</v>
      </c>
      <c r="N785" s="198">
        <f>'02 项目基础信息（输入）'!$C$42</f>
        <v>51879.834600000002</v>
      </c>
      <c r="O785" s="198">
        <f t="shared" si="94"/>
        <v>0</v>
      </c>
      <c r="P785" s="198">
        <f>'02 项目基础信息（输入）'!$I$42</f>
        <v>51879.834600000002</v>
      </c>
      <c r="Q785" s="233">
        <f t="shared" si="95"/>
        <v>0</v>
      </c>
      <c r="S785" s="217"/>
      <c r="U785" s="220" t="s">
        <v>2573</v>
      </c>
      <c r="V785" s="1191">
        <v>0</v>
      </c>
      <c r="W785" s="1190">
        <v>0</v>
      </c>
    </row>
    <row r="786" spans="1:23" ht="20.25" customHeight="1" outlineLevel="2" collapsed="1">
      <c r="A786" s="192" t="s">
        <v>2159</v>
      </c>
      <c r="B786" s="192"/>
      <c r="C786" s="197" t="s">
        <v>1609</v>
      </c>
      <c r="D786" s="198">
        <f>'02 项目基础信息（输入）'!$C$42</f>
        <v>51879.834600000002</v>
      </c>
      <c r="E786" s="199" t="s">
        <v>93</v>
      </c>
      <c r="F786" s="197"/>
      <c r="G786" s="199"/>
      <c r="H786" s="199"/>
      <c r="I786" s="197"/>
      <c r="J786" s="199"/>
      <c r="K786" s="207"/>
      <c r="L786" s="209"/>
      <c r="M786" s="198">
        <f>ROUND(SUM(M787),6)</f>
        <v>0</v>
      </c>
      <c r="N786" s="198">
        <f>'02 项目基础信息（输入）'!$C$42</f>
        <v>51879.834600000002</v>
      </c>
      <c r="O786" s="198">
        <f t="shared" si="94"/>
        <v>0</v>
      </c>
      <c r="P786" s="198">
        <f>'02 项目基础信息（输入）'!$I$42</f>
        <v>51879.834600000002</v>
      </c>
      <c r="Q786" s="233">
        <f t="shared" si="95"/>
        <v>0</v>
      </c>
      <c r="S786" s="217" t="s">
        <v>1313</v>
      </c>
      <c r="U786" s="220" t="s">
        <v>2574</v>
      </c>
      <c r="V786" s="1191">
        <v>0</v>
      </c>
      <c r="W786" s="1190">
        <v>0</v>
      </c>
    </row>
    <row r="787" spans="1:23" ht="20.25" hidden="1" customHeight="1" outlineLevel="3">
      <c r="A787" s="192" t="s">
        <v>2161</v>
      </c>
      <c r="B787" s="192"/>
      <c r="C787" s="197" t="s">
        <v>1609</v>
      </c>
      <c r="D787" s="198">
        <f>'02 项目基础信息（输入）'!$C$42</f>
        <v>51879.834600000002</v>
      </c>
      <c r="E787" s="199" t="s">
        <v>93</v>
      </c>
      <c r="F787" s="197" t="s">
        <v>1886</v>
      </c>
      <c r="G787" s="199">
        <v>1</v>
      </c>
      <c r="H787" s="199" t="s">
        <v>298</v>
      </c>
      <c r="I787" s="198">
        <f>G787*D787</f>
        <v>51879.834600000002</v>
      </c>
      <c r="J787" s="199" t="s">
        <v>93</v>
      </c>
      <c r="K787" s="207">
        <v>0</v>
      </c>
      <c r="L787" s="209" t="s">
        <v>675</v>
      </c>
      <c r="M787" s="207">
        <f>ROUND(K787*I787/10000,6)</f>
        <v>0</v>
      </c>
      <c r="N787" s="198">
        <f>'02 项目基础信息（输入）'!$C$42</f>
        <v>51879.834600000002</v>
      </c>
      <c r="O787" s="198">
        <f t="shared" si="94"/>
        <v>0</v>
      </c>
      <c r="P787" s="198">
        <f>'02 项目基础信息（输入）'!$I$42</f>
        <v>51879.834600000002</v>
      </c>
      <c r="Q787" s="233">
        <f t="shared" si="95"/>
        <v>0</v>
      </c>
      <c r="S787" s="217"/>
      <c r="U787" s="220" t="s">
        <v>2575</v>
      </c>
      <c r="V787" s="1191">
        <v>0</v>
      </c>
      <c r="W787" s="1190">
        <v>0</v>
      </c>
    </row>
    <row r="788" spans="1:23" ht="20.25" customHeight="1" outlineLevel="2" collapsed="1">
      <c r="A788" s="192" t="s">
        <v>1883</v>
      </c>
      <c r="B788" s="192"/>
      <c r="C788" s="197" t="s">
        <v>1609</v>
      </c>
      <c r="D788" s="198">
        <f>'02 项目基础信息（输入）'!$C$42</f>
        <v>51879.834600000002</v>
      </c>
      <c r="E788" s="199" t="s">
        <v>93</v>
      </c>
      <c r="F788" s="197"/>
      <c r="G788" s="199"/>
      <c r="H788" s="199"/>
      <c r="I788" s="197"/>
      <c r="J788" s="199"/>
      <c r="K788" s="207"/>
      <c r="L788" s="209"/>
      <c r="M788" s="198">
        <f>ROUND(SUM(M789),6)</f>
        <v>0</v>
      </c>
      <c r="N788" s="198">
        <f>'02 项目基础信息（输入）'!$C$42</f>
        <v>51879.834600000002</v>
      </c>
      <c r="O788" s="198">
        <f t="shared" si="94"/>
        <v>0</v>
      </c>
      <c r="P788" s="198">
        <f>'02 项目基础信息（输入）'!$I$42</f>
        <v>51879.834600000002</v>
      </c>
      <c r="Q788" s="233">
        <f t="shared" si="95"/>
        <v>0</v>
      </c>
      <c r="S788" s="217" t="s">
        <v>1313</v>
      </c>
      <c r="U788" s="220" t="s">
        <v>2576</v>
      </c>
      <c r="V788" s="1191">
        <v>0</v>
      </c>
      <c r="W788" s="1190">
        <v>0</v>
      </c>
    </row>
    <row r="789" spans="1:23" ht="20.25" hidden="1" customHeight="1" outlineLevel="3">
      <c r="A789" s="192" t="s">
        <v>1885</v>
      </c>
      <c r="B789" s="192"/>
      <c r="C789" s="197" t="s">
        <v>1609</v>
      </c>
      <c r="D789" s="198">
        <f>'02 项目基础信息（输入）'!$C$42</f>
        <v>51879.834600000002</v>
      </c>
      <c r="E789" s="199" t="s">
        <v>93</v>
      </c>
      <c r="F789" s="197" t="s">
        <v>1886</v>
      </c>
      <c r="G789" s="199">
        <v>1</v>
      </c>
      <c r="H789" s="199" t="s">
        <v>298</v>
      </c>
      <c r="I789" s="198">
        <f>G789*D789</f>
        <v>51879.834600000002</v>
      </c>
      <c r="J789" s="199" t="s">
        <v>93</v>
      </c>
      <c r="K789" s="699"/>
      <c r="L789" s="209" t="s">
        <v>675</v>
      </c>
      <c r="M789" s="207">
        <f>ROUND(K789*I789/10000,6)</f>
        <v>0</v>
      </c>
      <c r="N789" s="198">
        <f>'02 项目基础信息（输入）'!$C$42</f>
        <v>51879.834600000002</v>
      </c>
      <c r="O789" s="198">
        <f t="shared" si="94"/>
        <v>0</v>
      </c>
      <c r="P789" s="198">
        <f>'02 项目基础信息（输入）'!$I$42</f>
        <v>51879.834600000002</v>
      </c>
      <c r="Q789" s="233">
        <f t="shared" si="95"/>
        <v>0</v>
      </c>
      <c r="S789" s="217"/>
      <c r="U789" s="220" t="s">
        <v>2577</v>
      </c>
      <c r="V789" s="1191">
        <v>0</v>
      </c>
      <c r="W789" s="1190">
        <v>0</v>
      </c>
    </row>
    <row r="790" spans="1:23" ht="20.25" customHeight="1" outlineLevel="2" collapsed="1">
      <c r="A790" s="192" t="s">
        <v>1888</v>
      </c>
      <c r="B790" s="192"/>
      <c r="C790" s="197" t="s">
        <v>1609</v>
      </c>
      <c r="D790" s="198">
        <f>'02 项目基础信息（输入）'!$C$42</f>
        <v>51879.834600000002</v>
      </c>
      <c r="E790" s="199" t="s">
        <v>93</v>
      </c>
      <c r="F790" s="197"/>
      <c r="G790" s="199"/>
      <c r="H790" s="199"/>
      <c r="I790" s="197"/>
      <c r="J790" s="199"/>
      <c r="K790" s="207"/>
      <c r="L790" s="209"/>
      <c r="M790" s="198">
        <f>ROUND(SUM(M791:M795),6)</f>
        <v>0</v>
      </c>
      <c r="N790" s="198">
        <f>'02 项目基础信息（输入）'!$C$42</f>
        <v>51879.834600000002</v>
      </c>
      <c r="O790" s="198">
        <f t="shared" si="94"/>
        <v>0</v>
      </c>
      <c r="P790" s="198">
        <f>'02 项目基础信息（输入）'!$I$42</f>
        <v>51879.834600000002</v>
      </c>
      <c r="Q790" s="233">
        <f t="shared" si="95"/>
        <v>0</v>
      </c>
      <c r="S790" s="217" t="s">
        <v>1313</v>
      </c>
      <c r="U790" s="220" t="s">
        <v>2578</v>
      </c>
      <c r="V790" s="1191">
        <v>2.7839</v>
      </c>
      <c r="W790" s="1190">
        <v>0</v>
      </c>
    </row>
    <row r="791" spans="1:23" ht="20.25" hidden="1" customHeight="1" outlineLevel="3">
      <c r="A791" s="192" t="s">
        <v>1890</v>
      </c>
      <c r="B791" s="192"/>
      <c r="C791" s="197" t="s">
        <v>1609</v>
      </c>
      <c r="D791" s="198">
        <f>'02 项目基础信息（输入）'!$C$42</f>
        <v>51879.834600000002</v>
      </c>
      <c r="E791" s="199" t="s">
        <v>93</v>
      </c>
      <c r="F791" s="197" t="s">
        <v>1886</v>
      </c>
      <c r="G791" s="199">
        <v>1</v>
      </c>
      <c r="H791" s="199" t="s">
        <v>298</v>
      </c>
      <c r="I791" s="198">
        <f>G791*D791</f>
        <v>51879.834600000002</v>
      </c>
      <c r="J791" s="199" t="s">
        <v>93</v>
      </c>
      <c r="K791" s="699"/>
      <c r="L791" s="209" t="s">
        <v>675</v>
      </c>
      <c r="M791" s="207">
        <f>ROUND(K791*I791/10000,6)</f>
        <v>0</v>
      </c>
      <c r="N791" s="198">
        <f>'02 项目基础信息（输入）'!$C$42</f>
        <v>51879.834600000002</v>
      </c>
      <c r="O791" s="198">
        <f t="shared" si="94"/>
        <v>0</v>
      </c>
      <c r="P791" s="198">
        <f>'02 项目基础信息（输入）'!$I$42</f>
        <v>51879.834600000002</v>
      </c>
      <c r="Q791" s="233">
        <f t="shared" si="95"/>
        <v>0</v>
      </c>
      <c r="S791" s="217"/>
      <c r="U791" s="220" t="s">
        <v>2579</v>
      </c>
      <c r="V791" s="1191">
        <v>0.30330000000000001</v>
      </c>
      <c r="W791" s="1190">
        <v>0</v>
      </c>
    </row>
    <row r="792" spans="1:23" ht="20.25" hidden="1" customHeight="1" outlineLevel="3">
      <c r="A792" s="192" t="s">
        <v>1892</v>
      </c>
      <c r="B792" s="192"/>
      <c r="C792" s="197" t="s">
        <v>1609</v>
      </c>
      <c r="D792" s="198">
        <f>'02 项目基础信息（输入）'!$C$42</f>
        <v>51879.834600000002</v>
      </c>
      <c r="E792" s="199" t="s">
        <v>93</v>
      </c>
      <c r="F792" s="197" t="s">
        <v>1886</v>
      </c>
      <c r="G792" s="199">
        <v>1</v>
      </c>
      <c r="H792" s="199" t="s">
        <v>298</v>
      </c>
      <c r="I792" s="198">
        <f>G792*D792</f>
        <v>51879.834600000002</v>
      </c>
      <c r="J792" s="199" t="s">
        <v>93</v>
      </c>
      <c r="K792" s="699"/>
      <c r="L792" s="209" t="s">
        <v>675</v>
      </c>
      <c r="M792" s="207">
        <f>ROUND(K792*I792/10000,6)</f>
        <v>0</v>
      </c>
      <c r="N792" s="198">
        <f>'02 项目基础信息（输入）'!$C$42</f>
        <v>51879.834600000002</v>
      </c>
      <c r="O792" s="198">
        <f t="shared" si="94"/>
        <v>0</v>
      </c>
      <c r="P792" s="198">
        <f>'02 项目基础信息（输入）'!$I$42</f>
        <v>51879.834600000002</v>
      </c>
      <c r="Q792" s="233">
        <f t="shared" si="95"/>
        <v>0</v>
      </c>
      <c r="S792" s="217"/>
      <c r="U792" s="220" t="s">
        <v>2580</v>
      </c>
      <c r="V792" s="1191">
        <v>0</v>
      </c>
      <c r="W792" s="1190">
        <v>0</v>
      </c>
    </row>
    <row r="793" spans="1:23" ht="20.25" hidden="1" customHeight="1" outlineLevel="3">
      <c r="A793" s="192" t="s">
        <v>1894</v>
      </c>
      <c r="B793" s="192"/>
      <c r="C793" s="197" t="s">
        <v>1609</v>
      </c>
      <c r="D793" s="198">
        <f>'02 项目基础信息（输入）'!$C$42</f>
        <v>51879.834600000002</v>
      </c>
      <c r="E793" s="199" t="s">
        <v>93</v>
      </c>
      <c r="F793" s="197" t="s">
        <v>1886</v>
      </c>
      <c r="G793" s="199">
        <v>1</v>
      </c>
      <c r="H793" s="199" t="s">
        <v>298</v>
      </c>
      <c r="I793" s="198">
        <f>G793*D793</f>
        <v>51879.834600000002</v>
      </c>
      <c r="J793" s="199" t="s">
        <v>93</v>
      </c>
      <c r="K793" s="699"/>
      <c r="L793" s="209" t="s">
        <v>675</v>
      </c>
      <c r="M793" s="207">
        <f>ROUND(K793*I793/10000,6)</f>
        <v>0</v>
      </c>
      <c r="N793" s="198">
        <f>'02 项目基础信息（输入）'!$C$42</f>
        <v>51879.834600000002</v>
      </c>
      <c r="O793" s="198">
        <f t="shared" si="94"/>
        <v>0</v>
      </c>
      <c r="P793" s="198">
        <f>'02 项目基础信息（输入）'!$I$42</f>
        <v>51879.834600000002</v>
      </c>
      <c r="Q793" s="233">
        <f t="shared" si="95"/>
        <v>0</v>
      </c>
      <c r="S793" s="217"/>
      <c r="U793" s="220" t="s">
        <v>2581</v>
      </c>
      <c r="V793" s="1191">
        <v>0</v>
      </c>
      <c r="W793" s="1190">
        <v>0</v>
      </c>
    </row>
    <row r="794" spans="1:23" ht="20.25" hidden="1" customHeight="1" outlineLevel="3">
      <c r="A794" s="192" t="s">
        <v>1896</v>
      </c>
      <c r="B794" s="192"/>
      <c r="C794" s="197" t="s">
        <v>1609</v>
      </c>
      <c r="D794" s="198">
        <f>'02 项目基础信息（输入）'!$C$42</f>
        <v>51879.834600000002</v>
      </c>
      <c r="E794" s="199" t="s">
        <v>93</v>
      </c>
      <c r="F794" s="197" t="s">
        <v>1886</v>
      </c>
      <c r="G794" s="199">
        <v>1</v>
      </c>
      <c r="H794" s="199" t="s">
        <v>298</v>
      </c>
      <c r="I794" s="198">
        <f>G794*D794</f>
        <v>51879.834600000002</v>
      </c>
      <c r="J794" s="199" t="s">
        <v>93</v>
      </c>
      <c r="K794" s="699"/>
      <c r="L794" s="209" t="s">
        <v>675</v>
      </c>
      <c r="M794" s="207">
        <f>ROUND(K794*I794/10000,6)</f>
        <v>0</v>
      </c>
      <c r="N794" s="198">
        <f>'02 项目基础信息（输入）'!$C$42</f>
        <v>51879.834600000002</v>
      </c>
      <c r="O794" s="198">
        <f t="shared" si="94"/>
        <v>0</v>
      </c>
      <c r="P794" s="198">
        <f>'02 项目基础信息（输入）'!$I$42</f>
        <v>51879.834600000002</v>
      </c>
      <c r="Q794" s="233">
        <f t="shared" si="95"/>
        <v>0</v>
      </c>
      <c r="S794" s="217"/>
      <c r="U794" s="220" t="s">
        <v>2582</v>
      </c>
      <c r="V794" s="1191">
        <v>2.4805999999999999</v>
      </c>
      <c r="W794" s="1190">
        <v>0</v>
      </c>
    </row>
    <row r="795" spans="1:23" ht="20.25" hidden="1" customHeight="1" outlineLevel="3">
      <c r="A795" s="192" t="s">
        <v>1898</v>
      </c>
      <c r="B795" s="192"/>
      <c r="C795" s="197" t="s">
        <v>1609</v>
      </c>
      <c r="D795" s="198">
        <f>'02 项目基础信息（输入）'!$C$42</f>
        <v>51879.834600000002</v>
      </c>
      <c r="E795" s="199" t="s">
        <v>93</v>
      </c>
      <c r="F795" s="197" t="s">
        <v>1886</v>
      </c>
      <c r="G795" s="199">
        <v>1</v>
      </c>
      <c r="H795" s="199" t="s">
        <v>298</v>
      </c>
      <c r="I795" s="198">
        <f>G795*D795</f>
        <v>51879.834600000002</v>
      </c>
      <c r="J795" s="199" t="s">
        <v>93</v>
      </c>
      <c r="K795" s="699"/>
      <c r="L795" s="209" t="s">
        <v>675</v>
      </c>
      <c r="M795" s="207">
        <f>ROUND(K795*I795/10000,6)</f>
        <v>0</v>
      </c>
      <c r="N795" s="198">
        <f>'02 项目基础信息（输入）'!$C$42</f>
        <v>51879.834600000002</v>
      </c>
      <c r="O795" s="198">
        <f t="shared" si="94"/>
        <v>0</v>
      </c>
      <c r="P795" s="198">
        <f>'02 项目基础信息（输入）'!$I$42</f>
        <v>51879.834600000002</v>
      </c>
      <c r="Q795" s="233">
        <f t="shared" si="95"/>
        <v>0</v>
      </c>
      <c r="S795" s="217"/>
      <c r="U795" s="220" t="s">
        <v>2583</v>
      </c>
      <c r="V795" s="1191">
        <v>0</v>
      </c>
      <c r="W795" s="1190">
        <v>0</v>
      </c>
    </row>
    <row r="796" spans="1:23" ht="20.25" customHeight="1" outlineLevel="2" collapsed="1">
      <c r="A796" s="192" t="s">
        <v>1900</v>
      </c>
      <c r="B796" s="192"/>
      <c r="C796" s="197" t="s">
        <v>1609</v>
      </c>
      <c r="D796" s="198">
        <f>'02 项目基础信息（输入）'!$C$42</f>
        <v>51879.834600000002</v>
      </c>
      <c r="E796" s="199" t="s">
        <v>93</v>
      </c>
      <c r="F796" s="197"/>
      <c r="G796" s="199"/>
      <c r="H796" s="199"/>
      <c r="I796" s="197"/>
      <c r="J796" s="199"/>
      <c r="K796" s="207"/>
      <c r="L796" s="209"/>
      <c r="M796" s="198">
        <f>ROUND(SUM(M797:M802),6)</f>
        <v>162</v>
      </c>
      <c r="N796" s="198">
        <f>'02 项目基础信息（输入）'!$C$42</f>
        <v>51879.834600000002</v>
      </c>
      <c r="O796" s="198">
        <f t="shared" si="94"/>
        <v>31.23</v>
      </c>
      <c r="P796" s="198">
        <f>'02 项目基础信息（输入）'!$I$42</f>
        <v>51879.834600000002</v>
      </c>
      <c r="Q796" s="233">
        <f t="shared" si="95"/>
        <v>31.23</v>
      </c>
      <c r="S796" s="217" t="s">
        <v>1314</v>
      </c>
      <c r="U796" s="220" t="s">
        <v>2584</v>
      </c>
      <c r="V796" s="1191">
        <v>32.750599999999999</v>
      </c>
      <c r="W796" s="1190">
        <v>36.611400000000003</v>
      </c>
    </row>
    <row r="797" spans="1:23" ht="20.25" hidden="1" customHeight="1" outlineLevel="3">
      <c r="A797" s="192" t="s">
        <v>1902</v>
      </c>
      <c r="B797" s="192"/>
      <c r="C797" s="197" t="s">
        <v>309</v>
      </c>
      <c r="D797" s="198">
        <f>'02 项目基础信息（输入）'!$AC$42</f>
        <v>300</v>
      </c>
      <c r="E797" s="199" t="s">
        <v>310</v>
      </c>
      <c r="F797" s="197" t="s">
        <v>309</v>
      </c>
      <c r="G797" s="199">
        <v>1</v>
      </c>
      <c r="H797" s="199" t="s">
        <v>1903</v>
      </c>
      <c r="I797" s="198">
        <f t="shared" ref="I797:I802" si="96">G797*D797</f>
        <v>300</v>
      </c>
      <c r="J797" s="199" t="s">
        <v>310</v>
      </c>
      <c r="K797" s="700">
        <f>'03 成本测算（输入）'!$D$110</f>
        <v>5400</v>
      </c>
      <c r="L797" s="209" t="s">
        <v>736</v>
      </c>
      <c r="M797" s="207">
        <f t="shared" ref="M797:M802" si="97">ROUND(K797*I797/10000,6)</f>
        <v>162</v>
      </c>
      <c r="N797" s="198">
        <f>'02 项目基础信息（输入）'!$C$42</f>
        <v>51879.834600000002</v>
      </c>
      <c r="O797" s="198">
        <f t="shared" si="94"/>
        <v>31.23</v>
      </c>
      <c r="P797" s="198">
        <f>'02 项目基础信息（输入）'!$I$42</f>
        <v>51879.834600000002</v>
      </c>
      <c r="Q797" s="233">
        <f t="shared" si="95"/>
        <v>31.23</v>
      </c>
      <c r="S797" s="217"/>
      <c r="U797" s="220" t="s">
        <v>2585</v>
      </c>
      <c r="V797" s="1191">
        <v>26.4313</v>
      </c>
      <c r="W797" s="1190">
        <v>15.2766</v>
      </c>
    </row>
    <row r="798" spans="1:23" ht="20.25" hidden="1" customHeight="1" outlineLevel="3">
      <c r="A798" s="192" t="s">
        <v>1905</v>
      </c>
      <c r="B798" s="192"/>
      <c r="C798" s="197" t="s">
        <v>309</v>
      </c>
      <c r="D798" s="198">
        <f>'02 项目基础信息（输入）'!$AC$42</f>
        <v>300</v>
      </c>
      <c r="E798" s="199" t="s">
        <v>310</v>
      </c>
      <c r="F798" s="197" t="s">
        <v>309</v>
      </c>
      <c r="G798" s="199">
        <v>1</v>
      </c>
      <c r="H798" s="199" t="s">
        <v>1903</v>
      </c>
      <c r="I798" s="198">
        <f t="shared" si="96"/>
        <v>300</v>
      </c>
      <c r="J798" s="199" t="s">
        <v>310</v>
      </c>
      <c r="K798" s="207">
        <v>0</v>
      </c>
      <c r="L798" s="209" t="s">
        <v>736</v>
      </c>
      <c r="M798" s="207">
        <f t="shared" si="97"/>
        <v>0</v>
      </c>
      <c r="N798" s="198">
        <f>'02 项目基础信息（输入）'!$C$42</f>
        <v>51879.834600000002</v>
      </c>
      <c r="O798" s="198">
        <f t="shared" si="94"/>
        <v>0</v>
      </c>
      <c r="P798" s="198">
        <f>'02 项目基础信息（输入）'!$I$42</f>
        <v>51879.834600000002</v>
      </c>
      <c r="Q798" s="233">
        <f t="shared" si="95"/>
        <v>0</v>
      </c>
      <c r="S798" s="217"/>
      <c r="U798" s="220" t="s">
        <v>2586</v>
      </c>
      <c r="V798" s="1191">
        <v>0.2707</v>
      </c>
      <c r="W798" s="1190">
        <v>9.9593000000000007</v>
      </c>
    </row>
    <row r="799" spans="1:23" ht="20.25" hidden="1" customHeight="1" outlineLevel="3">
      <c r="A799" s="192" t="s">
        <v>1907</v>
      </c>
      <c r="B799" s="192"/>
      <c r="C799" s="197" t="s">
        <v>309</v>
      </c>
      <c r="D799" s="198">
        <f>'02 项目基础信息（输入）'!$AC$42</f>
        <v>300</v>
      </c>
      <c r="E799" s="199" t="s">
        <v>310</v>
      </c>
      <c r="F799" s="197" t="s">
        <v>309</v>
      </c>
      <c r="G799" s="199">
        <v>1</v>
      </c>
      <c r="H799" s="199" t="s">
        <v>1903</v>
      </c>
      <c r="I799" s="198">
        <f t="shared" si="96"/>
        <v>300</v>
      </c>
      <c r="J799" s="199" t="s">
        <v>310</v>
      </c>
      <c r="K799" s="207">
        <v>0</v>
      </c>
      <c r="L799" s="209" t="s">
        <v>736</v>
      </c>
      <c r="M799" s="207">
        <f t="shared" si="97"/>
        <v>0</v>
      </c>
      <c r="N799" s="198">
        <f>'02 项目基础信息（输入）'!$C$42</f>
        <v>51879.834600000002</v>
      </c>
      <c r="O799" s="198">
        <f t="shared" si="94"/>
        <v>0</v>
      </c>
      <c r="P799" s="198">
        <f>'02 项目基础信息（输入）'!$I$42</f>
        <v>51879.834600000002</v>
      </c>
      <c r="Q799" s="233">
        <f t="shared" si="95"/>
        <v>0</v>
      </c>
      <c r="S799" s="217"/>
      <c r="U799" s="220" t="s">
        <v>2587</v>
      </c>
      <c r="V799" s="1191">
        <v>4.9126000000000003</v>
      </c>
      <c r="W799" s="1190">
        <v>3.4401000000000002</v>
      </c>
    </row>
    <row r="800" spans="1:23" ht="20.25" hidden="1" customHeight="1" outlineLevel="3">
      <c r="A800" s="192" t="s">
        <v>1909</v>
      </c>
      <c r="B800" s="192"/>
      <c r="C800" s="197" t="s">
        <v>309</v>
      </c>
      <c r="D800" s="198">
        <f>'02 项目基础信息（输入）'!$AC$42</f>
        <v>300</v>
      </c>
      <c r="E800" s="199" t="s">
        <v>310</v>
      </c>
      <c r="F800" s="197" t="s">
        <v>309</v>
      </c>
      <c r="G800" s="199">
        <v>1</v>
      </c>
      <c r="H800" s="199" t="s">
        <v>1903</v>
      </c>
      <c r="I800" s="198">
        <f t="shared" si="96"/>
        <v>300</v>
      </c>
      <c r="J800" s="199" t="s">
        <v>310</v>
      </c>
      <c r="K800" s="207">
        <v>0</v>
      </c>
      <c r="L800" s="209" t="s">
        <v>736</v>
      </c>
      <c r="M800" s="207">
        <f t="shared" si="97"/>
        <v>0</v>
      </c>
      <c r="N800" s="198">
        <f>'02 项目基础信息（输入）'!$C$42</f>
        <v>51879.834600000002</v>
      </c>
      <c r="O800" s="198">
        <f t="shared" si="94"/>
        <v>0</v>
      </c>
      <c r="P800" s="198">
        <f>'02 项目基础信息（输入）'!$I$42</f>
        <v>51879.834600000002</v>
      </c>
      <c r="Q800" s="233">
        <f t="shared" si="95"/>
        <v>0</v>
      </c>
      <c r="S800" s="217"/>
      <c r="U800" s="220" t="s">
        <v>2588</v>
      </c>
      <c r="V800" s="1191">
        <v>0</v>
      </c>
      <c r="W800" s="1190">
        <v>0</v>
      </c>
    </row>
    <row r="801" spans="1:23" ht="20.25" hidden="1" customHeight="1" outlineLevel="3">
      <c r="A801" s="192" t="s">
        <v>1911</v>
      </c>
      <c r="B801" s="192"/>
      <c r="C801" s="197" t="s">
        <v>309</v>
      </c>
      <c r="D801" s="198">
        <f>'02 项目基础信息（输入）'!$AC$42</f>
        <v>300</v>
      </c>
      <c r="E801" s="199" t="s">
        <v>310</v>
      </c>
      <c r="F801" s="197" t="s">
        <v>309</v>
      </c>
      <c r="G801" s="199">
        <v>1</v>
      </c>
      <c r="H801" s="199" t="s">
        <v>1903</v>
      </c>
      <c r="I801" s="198">
        <f t="shared" si="96"/>
        <v>300</v>
      </c>
      <c r="J801" s="199" t="s">
        <v>310</v>
      </c>
      <c r="K801" s="207">
        <v>0</v>
      </c>
      <c r="L801" s="209" t="s">
        <v>736</v>
      </c>
      <c r="M801" s="207">
        <f t="shared" si="97"/>
        <v>0</v>
      </c>
      <c r="N801" s="198">
        <f>'02 项目基础信息（输入）'!$C$42</f>
        <v>51879.834600000002</v>
      </c>
      <c r="O801" s="198">
        <f t="shared" si="94"/>
        <v>0</v>
      </c>
      <c r="P801" s="198">
        <f>'02 项目基础信息（输入）'!$I$42</f>
        <v>51879.834600000002</v>
      </c>
      <c r="Q801" s="233">
        <f t="shared" si="95"/>
        <v>0</v>
      </c>
      <c r="S801" s="217"/>
      <c r="U801" s="220" t="s">
        <v>2589</v>
      </c>
      <c r="V801" s="1191">
        <v>0</v>
      </c>
      <c r="W801" s="1190">
        <v>0</v>
      </c>
    </row>
    <row r="802" spans="1:23" ht="20.25" hidden="1" customHeight="1" outlineLevel="3">
      <c r="A802" s="192" t="s">
        <v>1913</v>
      </c>
      <c r="B802" s="192"/>
      <c r="C802" s="197" t="s">
        <v>309</v>
      </c>
      <c r="D802" s="198">
        <f>'02 项目基础信息（输入）'!$AC$42</f>
        <v>300</v>
      </c>
      <c r="E802" s="199" t="s">
        <v>310</v>
      </c>
      <c r="F802" s="197" t="s">
        <v>309</v>
      </c>
      <c r="G802" s="199">
        <v>1</v>
      </c>
      <c r="H802" s="199" t="s">
        <v>1903</v>
      </c>
      <c r="I802" s="198">
        <f t="shared" si="96"/>
        <v>300</v>
      </c>
      <c r="J802" s="199" t="s">
        <v>310</v>
      </c>
      <c r="K802" s="207">
        <v>0</v>
      </c>
      <c r="L802" s="209" t="s">
        <v>736</v>
      </c>
      <c r="M802" s="207">
        <f t="shared" si="97"/>
        <v>0</v>
      </c>
      <c r="N802" s="198">
        <f>'02 项目基础信息（输入）'!$C$42</f>
        <v>51879.834600000002</v>
      </c>
      <c r="O802" s="198">
        <f t="shared" si="94"/>
        <v>0</v>
      </c>
      <c r="P802" s="198">
        <f>'02 项目基础信息（输入）'!$I$42</f>
        <v>51879.834600000002</v>
      </c>
      <c r="Q802" s="233">
        <f t="shared" si="95"/>
        <v>0</v>
      </c>
      <c r="S802" s="217"/>
      <c r="U802" s="220" t="s">
        <v>2590</v>
      </c>
      <c r="V802" s="1191">
        <v>1.1358999999999999</v>
      </c>
      <c r="W802" s="1190">
        <v>7.9352999999999998</v>
      </c>
    </row>
    <row r="803" spans="1:23" ht="20.25" customHeight="1" outlineLevel="2" collapsed="1">
      <c r="A803" s="192" t="s">
        <v>2178</v>
      </c>
      <c r="B803" s="192"/>
      <c r="C803" s="197" t="s">
        <v>1609</v>
      </c>
      <c r="D803" s="198">
        <f>'02 项目基础信息（输入）'!$C$42</f>
        <v>51879.834600000002</v>
      </c>
      <c r="E803" s="199" t="s">
        <v>93</v>
      </c>
      <c r="F803" s="197"/>
      <c r="G803" s="199"/>
      <c r="H803" s="199"/>
      <c r="I803" s="197"/>
      <c r="J803" s="199"/>
      <c r="K803" s="207"/>
      <c r="L803" s="209"/>
      <c r="M803" s="198">
        <f>ROUND(SUM(M804),6)</f>
        <v>141.64872600000001</v>
      </c>
      <c r="N803" s="198">
        <f>'02 项目基础信息（输入）'!$C$42</f>
        <v>51879.834600000002</v>
      </c>
      <c r="O803" s="1386">
        <f t="shared" si="94"/>
        <v>27.3</v>
      </c>
      <c r="P803" s="198">
        <f>'02 项目基础信息（输入）'!$I$42</f>
        <v>51879.834600000002</v>
      </c>
      <c r="Q803" s="233">
        <f t="shared" si="95"/>
        <v>27.3</v>
      </c>
      <c r="S803" s="217" t="s">
        <v>1313</v>
      </c>
      <c r="U803" s="220" t="s">
        <v>2591</v>
      </c>
      <c r="V803" s="1191">
        <v>32.077100000000002</v>
      </c>
      <c r="W803" s="1190">
        <v>28.921800000000001</v>
      </c>
    </row>
    <row r="804" spans="1:23" ht="20.25" hidden="1" customHeight="1" outlineLevel="3">
      <c r="A804" s="192" t="s">
        <v>2180</v>
      </c>
      <c r="B804" s="192"/>
      <c r="C804" s="197" t="s">
        <v>309</v>
      </c>
      <c r="D804" s="198">
        <f>'02 项目基础信息（输入）'!$AC$42</f>
        <v>300</v>
      </c>
      <c r="E804" s="199" t="s">
        <v>310</v>
      </c>
      <c r="F804" s="197" t="s">
        <v>309</v>
      </c>
      <c r="G804" s="199">
        <v>1</v>
      </c>
      <c r="H804" s="199" t="s">
        <v>1903</v>
      </c>
      <c r="I804" s="198">
        <f>G804*D804</f>
        <v>300</v>
      </c>
      <c r="J804" s="199" t="s">
        <v>310</v>
      </c>
      <c r="K804" s="1040">
        <f>(28*总指标!N24+35*总指标!N25)/总指标!L26</f>
        <v>4721.6242033333328</v>
      </c>
      <c r="L804" s="209" t="s">
        <v>736</v>
      </c>
      <c r="M804" s="207">
        <f>ROUND(K804*I804/10000,6)</f>
        <v>141.64872600000001</v>
      </c>
      <c r="N804" s="198">
        <f>'02 项目基础信息（输入）'!$C$42</f>
        <v>51879.834600000002</v>
      </c>
      <c r="O804" s="198">
        <f t="shared" si="94"/>
        <v>27.3</v>
      </c>
      <c r="P804" s="198">
        <f>'02 项目基础信息（输入）'!$I$42</f>
        <v>51879.834600000002</v>
      </c>
      <c r="Q804" s="233">
        <f t="shared" si="95"/>
        <v>27.3</v>
      </c>
      <c r="R804" s="1087" t="s">
        <v>7717</v>
      </c>
      <c r="S804" s="217"/>
      <c r="U804" s="220" t="s">
        <v>2592</v>
      </c>
      <c r="V804" s="1191">
        <v>32.077100000000002</v>
      </c>
      <c r="W804" s="1190">
        <v>28.921800000000001</v>
      </c>
    </row>
    <row r="805" spans="1:23" ht="20.25" customHeight="1" outlineLevel="2" collapsed="1">
      <c r="A805" s="192" t="s">
        <v>2182</v>
      </c>
      <c r="B805" s="192"/>
      <c r="C805" s="197" t="s">
        <v>1609</v>
      </c>
      <c r="D805" s="198">
        <f>'02 项目基础信息（输入）'!$C$42</f>
        <v>51879.834600000002</v>
      </c>
      <c r="E805" s="199" t="s">
        <v>93</v>
      </c>
      <c r="F805" s="197"/>
      <c r="G805" s="199"/>
      <c r="H805" s="199"/>
      <c r="I805" s="197"/>
      <c r="J805" s="199"/>
      <c r="K805" s="207"/>
      <c r="L805" s="209"/>
      <c r="M805" s="198">
        <f>ROUND(SUM(M806),6)</f>
        <v>44.4</v>
      </c>
      <c r="N805" s="198">
        <f>'02 项目基础信息（输入）'!$C$42</f>
        <v>51879.834600000002</v>
      </c>
      <c r="O805" s="1386">
        <f t="shared" si="94"/>
        <v>8.56</v>
      </c>
      <c r="P805" s="198">
        <f>'02 项目基础信息（输入）'!$I$42</f>
        <v>51879.834600000002</v>
      </c>
      <c r="Q805" s="233">
        <f t="shared" si="95"/>
        <v>8.56</v>
      </c>
      <c r="S805" s="217" t="s">
        <v>1313</v>
      </c>
      <c r="U805" s="220" t="s">
        <v>2593</v>
      </c>
      <c r="V805" s="1191">
        <v>17.817900000000002</v>
      </c>
      <c r="W805" s="1190">
        <v>20.028099999999998</v>
      </c>
    </row>
    <row r="806" spans="1:23" ht="20.25" hidden="1" customHeight="1" outlineLevel="3">
      <c r="A806" s="192" t="s">
        <v>2184</v>
      </c>
      <c r="B806" s="192"/>
      <c r="C806" s="197" t="s">
        <v>309</v>
      </c>
      <c r="D806" s="198">
        <f>'02 项目基础信息（输入）'!$AC$42</f>
        <v>300</v>
      </c>
      <c r="E806" s="199" t="s">
        <v>310</v>
      </c>
      <c r="F806" s="197" t="s">
        <v>309</v>
      </c>
      <c r="G806" s="199">
        <v>1</v>
      </c>
      <c r="H806" s="199" t="s">
        <v>1903</v>
      </c>
      <c r="I806" s="198">
        <f>G806*D806</f>
        <v>300</v>
      </c>
      <c r="J806" s="199" t="s">
        <v>310</v>
      </c>
      <c r="K806" s="1040">
        <f>680+D808*16000/D806</f>
        <v>1480</v>
      </c>
      <c r="L806" s="209" t="s">
        <v>736</v>
      </c>
      <c r="M806" s="198">
        <f>ROUND(K806*I806/10000,6)</f>
        <v>44.4</v>
      </c>
      <c r="N806" s="198">
        <f>'02 项目基础信息（输入）'!$C$42</f>
        <v>51879.834600000002</v>
      </c>
      <c r="O806" s="198">
        <f t="shared" si="94"/>
        <v>8.56</v>
      </c>
      <c r="P806" s="198">
        <f>'02 项目基础信息（输入）'!$I$42</f>
        <v>51879.834600000002</v>
      </c>
      <c r="Q806" s="233">
        <f t="shared" si="95"/>
        <v>8.56</v>
      </c>
      <c r="R806" s="1087" t="s">
        <v>7718</v>
      </c>
      <c r="S806" s="217"/>
      <c r="U806" s="220" t="s">
        <v>2594</v>
      </c>
      <c r="V806" s="1191">
        <v>17.817900000000002</v>
      </c>
      <c r="W806" s="1190">
        <v>20.028099999999998</v>
      </c>
    </row>
    <row r="807" spans="1:23" ht="20.25" customHeight="1" outlineLevel="2" collapsed="1">
      <c r="A807" s="192" t="s">
        <v>1915</v>
      </c>
      <c r="B807" s="192"/>
      <c r="C807" s="197" t="s">
        <v>1609</v>
      </c>
      <c r="D807" s="198">
        <f>'02 项目基础信息（输入）'!$C$42</f>
        <v>51879.834600000002</v>
      </c>
      <c r="E807" s="199" t="s">
        <v>93</v>
      </c>
      <c r="F807" s="197"/>
      <c r="G807" s="199"/>
      <c r="H807" s="199"/>
      <c r="I807" s="197"/>
      <c r="J807" s="199"/>
      <c r="K807" s="207"/>
      <c r="L807" s="209"/>
      <c r="M807" s="198">
        <f>ROUND(SUM(M808:M810),6)</f>
        <v>353.32476000000003</v>
      </c>
      <c r="N807" s="198">
        <f>'02 项目基础信息（输入）'!$C$42</f>
        <v>51879.834600000002</v>
      </c>
      <c r="O807" s="198">
        <f t="shared" si="94"/>
        <v>68.099999999999994</v>
      </c>
      <c r="P807" s="198">
        <f>'02 项目基础信息（输入）'!$I$42</f>
        <v>51879.834600000002</v>
      </c>
      <c r="Q807" s="233">
        <f t="shared" si="95"/>
        <v>68.099999999999994</v>
      </c>
      <c r="S807" s="217" t="s">
        <v>1314</v>
      </c>
      <c r="U807" s="220" t="s">
        <v>2595</v>
      </c>
      <c r="V807" s="1191">
        <v>84.616799999999998</v>
      </c>
      <c r="W807" s="1190">
        <v>98.608800000000002</v>
      </c>
    </row>
    <row r="808" spans="1:23" ht="20.25" hidden="1" customHeight="1" outlineLevel="3">
      <c r="A808" s="192" t="s">
        <v>1917</v>
      </c>
      <c r="B808" s="192"/>
      <c r="C808" s="197" t="s">
        <v>455</v>
      </c>
      <c r="D808" s="198">
        <f>'02 项目基础信息（输入）'!$J$42</f>
        <v>15</v>
      </c>
      <c r="E808" s="199" t="s">
        <v>400</v>
      </c>
      <c r="F808" s="197" t="s">
        <v>455</v>
      </c>
      <c r="G808" s="199">
        <v>1</v>
      </c>
      <c r="H808" s="199" t="s">
        <v>1918</v>
      </c>
      <c r="I808" s="198">
        <f>G808*D808</f>
        <v>15</v>
      </c>
      <c r="J808" s="199" t="s">
        <v>1082</v>
      </c>
      <c r="K808" s="700">
        <f>'03 成本测算（输入）'!$D$112</f>
        <v>197743.84000000003</v>
      </c>
      <c r="L808" s="209" t="s">
        <v>1087</v>
      </c>
      <c r="M808" s="207">
        <f>ROUND(K808*I808/10000,6)</f>
        <v>296.61576000000002</v>
      </c>
      <c r="N808" s="198">
        <f>'02 项目基础信息（输入）'!$C$42</f>
        <v>51879.834600000002</v>
      </c>
      <c r="O808" s="198">
        <f t="shared" si="94"/>
        <v>57.17</v>
      </c>
      <c r="P808" s="198">
        <f>'02 项目基础信息（输入）'!$I$42</f>
        <v>51879.834600000002</v>
      </c>
      <c r="Q808" s="233">
        <f t="shared" si="95"/>
        <v>57.17</v>
      </c>
      <c r="S808" s="217"/>
      <c r="U808" s="220" t="s">
        <v>2596</v>
      </c>
      <c r="V808" s="1191">
        <v>61.415599999999998</v>
      </c>
      <c r="W808" s="1190">
        <v>79.251400000000004</v>
      </c>
    </row>
    <row r="809" spans="1:23" ht="20.25" hidden="1" customHeight="1" outlineLevel="3">
      <c r="A809" s="192" t="s">
        <v>1920</v>
      </c>
      <c r="B809" s="192"/>
      <c r="C809" s="197" t="s">
        <v>455</v>
      </c>
      <c r="D809" s="198">
        <f>'02 项目基础信息（输入）'!$J$42</f>
        <v>15</v>
      </c>
      <c r="E809" s="199" t="s">
        <v>400</v>
      </c>
      <c r="F809" s="197" t="s">
        <v>455</v>
      </c>
      <c r="G809" s="199">
        <v>1</v>
      </c>
      <c r="H809" s="199" t="s">
        <v>1918</v>
      </c>
      <c r="I809" s="198">
        <f>G809*D809</f>
        <v>15</v>
      </c>
      <c r="J809" s="199" t="s">
        <v>1082</v>
      </c>
      <c r="K809" s="700">
        <f>'03 成本测算（输入）'!$D$113</f>
        <v>37806</v>
      </c>
      <c r="L809" s="209" t="s">
        <v>1087</v>
      </c>
      <c r="M809" s="207">
        <f>ROUND(K809*I809/10000,6)</f>
        <v>56.709000000000003</v>
      </c>
      <c r="N809" s="198">
        <f>'02 项目基础信息（输入）'!$C$42</f>
        <v>51879.834600000002</v>
      </c>
      <c r="O809" s="198">
        <f t="shared" si="94"/>
        <v>10.93</v>
      </c>
      <c r="P809" s="198">
        <f>'02 项目基础信息（输入）'!$I$42</f>
        <v>51879.834600000002</v>
      </c>
      <c r="Q809" s="233">
        <f t="shared" si="95"/>
        <v>10.93</v>
      </c>
      <c r="S809" s="217"/>
      <c r="U809" s="220" t="s">
        <v>2597</v>
      </c>
      <c r="V809" s="1191">
        <v>23.2012</v>
      </c>
      <c r="W809" s="1190">
        <v>19.357399999999998</v>
      </c>
    </row>
    <row r="810" spans="1:23" ht="20.25" hidden="1" customHeight="1" outlineLevel="3">
      <c r="A810" s="192" t="s">
        <v>1922</v>
      </c>
      <c r="B810" s="192"/>
      <c r="C810" s="197" t="s">
        <v>455</v>
      </c>
      <c r="D810" s="198">
        <f>'02 项目基础信息（输入）'!$J$42</f>
        <v>15</v>
      </c>
      <c r="E810" s="199" t="s">
        <v>400</v>
      </c>
      <c r="F810" s="197" t="s">
        <v>455</v>
      </c>
      <c r="G810" s="199">
        <v>1</v>
      </c>
      <c r="H810" s="199" t="s">
        <v>1918</v>
      </c>
      <c r="I810" s="198">
        <f>G810*D810</f>
        <v>15</v>
      </c>
      <c r="J810" s="199" t="s">
        <v>1082</v>
      </c>
      <c r="K810" s="207">
        <v>0</v>
      </c>
      <c r="L810" s="209" t="s">
        <v>1087</v>
      </c>
      <c r="M810" s="207">
        <f>ROUND(K810*I810/10000,6)</f>
        <v>0</v>
      </c>
      <c r="N810" s="198">
        <f>'02 项目基础信息（输入）'!$C$42</f>
        <v>51879.834600000002</v>
      </c>
      <c r="O810" s="198">
        <f t="shared" si="94"/>
        <v>0</v>
      </c>
      <c r="P810" s="198">
        <f>'02 项目基础信息（输入）'!$I$42</f>
        <v>51879.834600000002</v>
      </c>
      <c r="Q810" s="233">
        <f t="shared" si="95"/>
        <v>0</v>
      </c>
      <c r="S810" s="217"/>
      <c r="U810" s="220" t="s">
        <v>2598</v>
      </c>
      <c r="V810" s="1191">
        <v>0</v>
      </c>
      <c r="W810" s="1190">
        <v>0</v>
      </c>
    </row>
    <row r="811" spans="1:23" ht="20.25" customHeight="1" outlineLevel="2" collapsed="1">
      <c r="A811" s="192" t="s">
        <v>1924</v>
      </c>
      <c r="B811" s="192"/>
      <c r="C811" s="197" t="s">
        <v>1609</v>
      </c>
      <c r="D811" s="198">
        <f>'02 项目基础信息（输入）'!$C$42</f>
        <v>51879.834600000002</v>
      </c>
      <c r="E811" s="199" t="s">
        <v>93</v>
      </c>
      <c r="F811" s="197"/>
      <c r="G811" s="199"/>
      <c r="H811" s="199"/>
      <c r="I811" s="197"/>
      <c r="J811" s="199"/>
      <c r="K811" s="207"/>
      <c r="L811" s="209"/>
      <c r="M811" s="198">
        <f>ROUND(SUM(M812),6)</f>
        <v>0</v>
      </c>
      <c r="N811" s="198">
        <f>'02 项目基础信息（输入）'!$C$42</f>
        <v>51879.834600000002</v>
      </c>
      <c r="O811" s="198">
        <f t="shared" si="94"/>
        <v>0</v>
      </c>
      <c r="P811" s="198">
        <f>'02 项目基础信息（输入）'!$I$42</f>
        <v>51879.834600000002</v>
      </c>
      <c r="Q811" s="233">
        <f t="shared" si="95"/>
        <v>0</v>
      </c>
      <c r="S811" s="217" t="s">
        <v>1313</v>
      </c>
      <c r="U811" s="220" t="s">
        <v>2599</v>
      </c>
      <c r="V811" s="1191">
        <v>0</v>
      </c>
      <c r="W811" s="1190">
        <v>0</v>
      </c>
    </row>
    <row r="812" spans="1:23" ht="20.25" hidden="1" customHeight="1" outlineLevel="3">
      <c r="A812" s="192" t="s">
        <v>1926</v>
      </c>
      <c r="B812" s="192"/>
      <c r="C812" s="197" t="s">
        <v>1609</v>
      </c>
      <c r="D812" s="198">
        <f>'02 项目基础信息（输入）'!$C$42</f>
        <v>51879.834600000002</v>
      </c>
      <c r="E812" s="199" t="s">
        <v>93</v>
      </c>
      <c r="F812" s="197" t="s">
        <v>1927</v>
      </c>
      <c r="G812" s="209">
        <v>0</v>
      </c>
      <c r="H812" s="199" t="s">
        <v>298</v>
      </c>
      <c r="I812" s="198">
        <f>G812*D812</f>
        <v>0</v>
      </c>
      <c r="J812" s="199" t="s">
        <v>93</v>
      </c>
      <c r="K812" s="207">
        <v>0</v>
      </c>
      <c r="L812" s="209" t="s">
        <v>675</v>
      </c>
      <c r="M812" s="207">
        <f>ROUND(K812*I812/10000,6)</f>
        <v>0</v>
      </c>
      <c r="N812" s="198">
        <f>'02 项目基础信息（输入）'!$C$42</f>
        <v>51879.834600000002</v>
      </c>
      <c r="O812" s="198">
        <f t="shared" si="94"/>
        <v>0</v>
      </c>
      <c r="P812" s="198">
        <f>'02 项目基础信息（输入）'!$I$42</f>
        <v>51879.834600000002</v>
      </c>
      <c r="Q812" s="233">
        <f t="shared" si="95"/>
        <v>0</v>
      </c>
      <c r="S812" s="217"/>
      <c r="U812" s="220" t="s">
        <v>2600</v>
      </c>
      <c r="V812" s="1191">
        <v>0</v>
      </c>
      <c r="W812" s="1190">
        <v>0</v>
      </c>
    </row>
    <row r="813" spans="1:23" ht="20.25" customHeight="1" outlineLevel="2" collapsed="1">
      <c r="A813" s="192" t="s">
        <v>1931</v>
      </c>
      <c r="B813" s="192"/>
      <c r="C813" s="197" t="s">
        <v>1609</v>
      </c>
      <c r="D813" s="198">
        <f>'02 项目基础信息（输入）'!$C$42</f>
        <v>51879.834600000002</v>
      </c>
      <c r="E813" s="199" t="s">
        <v>93</v>
      </c>
      <c r="F813" s="197"/>
      <c r="G813" s="199"/>
      <c r="H813" s="199"/>
      <c r="I813" s="197"/>
      <c r="J813" s="199"/>
      <c r="K813" s="207"/>
      <c r="L813" s="209"/>
      <c r="M813" s="198">
        <f>ROUND(SUM(M814),6)</f>
        <v>0</v>
      </c>
      <c r="N813" s="198">
        <f>'02 项目基础信息（输入）'!$C$42</f>
        <v>51879.834600000002</v>
      </c>
      <c r="O813" s="198">
        <f t="shared" si="94"/>
        <v>0</v>
      </c>
      <c r="P813" s="198">
        <f>'02 项目基础信息（输入）'!$I$42</f>
        <v>51879.834600000002</v>
      </c>
      <c r="Q813" s="233">
        <f t="shared" si="95"/>
        <v>0</v>
      </c>
      <c r="S813" s="217" t="s">
        <v>1313</v>
      </c>
      <c r="U813" s="220" t="s">
        <v>2601</v>
      </c>
      <c r="V813" s="1191">
        <v>0</v>
      </c>
      <c r="W813" s="1190">
        <v>0</v>
      </c>
    </row>
    <row r="814" spans="1:23" ht="20.25" hidden="1" customHeight="1" outlineLevel="3">
      <c r="A814" s="192" t="s">
        <v>1933</v>
      </c>
      <c r="B814" s="192"/>
      <c r="C814" s="197" t="s">
        <v>1609</v>
      </c>
      <c r="D814" s="198">
        <f>'02 项目基础信息（输入）'!$C$42</f>
        <v>51879.834600000002</v>
      </c>
      <c r="E814" s="199" t="s">
        <v>93</v>
      </c>
      <c r="F814" s="197" t="s">
        <v>1886</v>
      </c>
      <c r="G814" s="199">
        <v>1</v>
      </c>
      <c r="H814" s="199" t="s">
        <v>298</v>
      </c>
      <c r="I814" s="198">
        <f>G814*D814</f>
        <v>51879.834600000002</v>
      </c>
      <c r="J814" s="199" t="s">
        <v>93</v>
      </c>
      <c r="K814" s="207">
        <v>0</v>
      </c>
      <c r="L814" s="209" t="s">
        <v>675</v>
      </c>
      <c r="M814" s="207">
        <f>ROUND(K814*I814/10000,6)</f>
        <v>0</v>
      </c>
      <c r="N814" s="198">
        <f>'02 项目基础信息（输入）'!$C$42</f>
        <v>51879.834600000002</v>
      </c>
      <c r="O814" s="198">
        <f t="shared" si="94"/>
        <v>0</v>
      </c>
      <c r="P814" s="198">
        <f>'02 项目基础信息（输入）'!$I$42</f>
        <v>51879.834600000002</v>
      </c>
      <c r="Q814" s="233">
        <f t="shared" si="95"/>
        <v>0</v>
      </c>
      <c r="S814" s="217"/>
      <c r="U814" s="220" t="s">
        <v>2602</v>
      </c>
      <c r="V814" s="1191">
        <v>0</v>
      </c>
      <c r="W814" s="1190">
        <v>0</v>
      </c>
    </row>
    <row r="815" spans="1:23" ht="20.25" customHeight="1" outlineLevel="2" collapsed="1">
      <c r="A815" s="192" t="s">
        <v>1935</v>
      </c>
      <c r="B815" s="192"/>
      <c r="C815" s="197" t="s">
        <v>1609</v>
      </c>
      <c r="D815" s="198">
        <f>'02 项目基础信息（输入）'!$C$42</f>
        <v>51879.834600000002</v>
      </c>
      <c r="E815" s="199" t="s">
        <v>93</v>
      </c>
      <c r="F815" s="197"/>
      <c r="G815" s="199"/>
      <c r="H815" s="199"/>
      <c r="I815" s="197"/>
      <c r="J815" s="199"/>
      <c r="K815" s="207"/>
      <c r="L815" s="209"/>
      <c r="M815" s="198">
        <f>ROUND(SUM(M816:M818),6)</f>
        <v>164.329992</v>
      </c>
      <c r="N815" s="198">
        <f>'02 项目基础信息（输入）'!$C$42</f>
        <v>51879.834600000002</v>
      </c>
      <c r="O815" s="1386">
        <f t="shared" si="94"/>
        <v>31.68</v>
      </c>
      <c r="P815" s="198">
        <f>'02 项目基础信息（输入）'!$I$42</f>
        <v>51879.834600000002</v>
      </c>
      <c r="Q815" s="233">
        <f t="shared" si="95"/>
        <v>31.68</v>
      </c>
      <c r="S815" s="217" t="s">
        <v>1313</v>
      </c>
      <c r="U815" s="220" t="s">
        <v>2603</v>
      </c>
      <c r="V815" s="1191">
        <v>15.043100000000001</v>
      </c>
      <c r="W815" s="1190">
        <v>32.422400000000003</v>
      </c>
    </row>
    <row r="816" spans="1:23" ht="20.25" hidden="1" customHeight="1" outlineLevel="3">
      <c r="A816" s="192" t="s">
        <v>2195</v>
      </c>
      <c r="B816" s="192"/>
      <c r="C816" s="197" t="s">
        <v>309</v>
      </c>
      <c r="D816" s="198">
        <f>'02 项目基础信息（输入）'!$AC$42</f>
        <v>300</v>
      </c>
      <c r="E816" s="199" t="s">
        <v>310</v>
      </c>
      <c r="F816" s="197" t="s">
        <v>2196</v>
      </c>
      <c r="G816" s="199">
        <v>1</v>
      </c>
      <c r="H816" s="199" t="s">
        <v>2197</v>
      </c>
      <c r="I816" s="198">
        <f>G816*D816</f>
        <v>300</v>
      </c>
      <c r="J816" s="199" t="s">
        <v>2198</v>
      </c>
      <c r="K816" s="207">
        <v>0</v>
      </c>
      <c r="L816" s="209" t="s">
        <v>841</v>
      </c>
      <c r="M816" s="207">
        <f>ROUND(K816*I816/10000,6)</f>
        <v>0</v>
      </c>
      <c r="N816" s="198">
        <f>'02 项目基础信息（输入）'!$C$42</f>
        <v>51879.834600000002</v>
      </c>
      <c r="O816" s="198">
        <f t="shared" si="94"/>
        <v>0</v>
      </c>
      <c r="P816" s="198">
        <f>'02 项目基础信息（输入）'!$I$42</f>
        <v>51879.834600000002</v>
      </c>
      <c r="Q816" s="233">
        <f t="shared" si="95"/>
        <v>0</v>
      </c>
      <c r="S816" s="217"/>
      <c r="U816" s="220" t="s">
        <v>2604</v>
      </c>
      <c r="V816" s="1191">
        <v>15.043100000000001</v>
      </c>
      <c r="W816" s="1190">
        <v>0</v>
      </c>
    </row>
    <row r="817" spans="1:23" ht="20.25" hidden="1" customHeight="1" outlineLevel="3">
      <c r="A817" s="192" t="s">
        <v>2200</v>
      </c>
      <c r="B817" s="192"/>
      <c r="C817" s="197" t="s">
        <v>309</v>
      </c>
      <c r="D817" s="198">
        <f>'02 项目基础信息（输入）'!$AC$42</f>
        <v>300</v>
      </c>
      <c r="E817" s="199" t="s">
        <v>310</v>
      </c>
      <c r="F817" s="197" t="s">
        <v>2196</v>
      </c>
      <c r="G817" s="199">
        <v>1</v>
      </c>
      <c r="H817" s="199" t="s">
        <v>2197</v>
      </c>
      <c r="I817" s="198">
        <f>G817*D817</f>
        <v>300</v>
      </c>
      <c r="J817" s="199" t="s">
        <v>2198</v>
      </c>
      <c r="K817" s="207">
        <v>0</v>
      </c>
      <c r="L817" s="209" t="s">
        <v>841</v>
      </c>
      <c r="M817" s="207">
        <f>ROUND(K817*I817/10000,6)</f>
        <v>0</v>
      </c>
      <c r="N817" s="198">
        <f>'02 项目基础信息（输入）'!$C$42</f>
        <v>51879.834600000002</v>
      </c>
      <c r="O817" s="198">
        <f t="shared" si="94"/>
        <v>0</v>
      </c>
      <c r="P817" s="198">
        <f>'02 项目基础信息（输入）'!$I$42</f>
        <v>51879.834600000002</v>
      </c>
      <c r="Q817" s="233">
        <f t="shared" si="95"/>
        <v>0</v>
      </c>
      <c r="S817" s="217"/>
      <c r="U817" s="220" t="s">
        <v>2605</v>
      </c>
      <c r="V817" s="1191">
        <v>0</v>
      </c>
      <c r="W817" s="1190">
        <v>0</v>
      </c>
    </row>
    <row r="818" spans="1:23" ht="20.25" hidden="1" customHeight="1" outlineLevel="3">
      <c r="A818" s="192" t="s">
        <v>2202</v>
      </c>
      <c r="B818" s="192"/>
      <c r="C818" s="197" t="s">
        <v>309</v>
      </c>
      <c r="D818" s="198">
        <f>'02 项目基础信息（输入）'!$AC$42</f>
        <v>300</v>
      </c>
      <c r="E818" s="199" t="s">
        <v>310</v>
      </c>
      <c r="F818" s="197" t="s">
        <v>2196</v>
      </c>
      <c r="G818" s="199">
        <v>1</v>
      </c>
      <c r="H818" s="199" t="s">
        <v>2197</v>
      </c>
      <c r="I818" s="198">
        <f>G818*D818</f>
        <v>300</v>
      </c>
      <c r="J818" s="199" t="s">
        <v>2198</v>
      </c>
      <c r="K818" s="700">
        <f>'03 成本测算（输入）'!$D$73</f>
        <v>5477.666400000001</v>
      </c>
      <c r="L818" s="209" t="s">
        <v>841</v>
      </c>
      <c r="M818" s="207">
        <f>ROUND(K818*I818/10000,6)</f>
        <v>164.329992</v>
      </c>
      <c r="N818" s="198">
        <f>'02 项目基础信息（输入）'!$C$42</f>
        <v>51879.834600000002</v>
      </c>
      <c r="O818" s="198">
        <f t="shared" si="94"/>
        <v>31.68</v>
      </c>
      <c r="P818" s="198">
        <f>'02 项目基础信息（输入）'!$I$42</f>
        <v>51879.834600000002</v>
      </c>
      <c r="Q818" s="233">
        <f t="shared" si="95"/>
        <v>31.68</v>
      </c>
      <c r="S818" s="217"/>
      <c r="U818" s="220" t="s">
        <v>2606</v>
      </c>
      <c r="V818" s="1191">
        <v>0</v>
      </c>
      <c r="W818" s="1190">
        <v>32.422400000000003</v>
      </c>
    </row>
    <row r="819" spans="1:23" ht="20.25" customHeight="1" outlineLevel="2" collapsed="1">
      <c r="A819" s="192" t="s">
        <v>1937</v>
      </c>
      <c r="B819" s="192"/>
      <c r="C819" s="197" t="s">
        <v>1609</v>
      </c>
      <c r="D819" s="198">
        <f>'02 项目基础信息（输入）'!$C$42</f>
        <v>51879.834600000002</v>
      </c>
      <c r="E819" s="199" t="s">
        <v>93</v>
      </c>
      <c r="F819" s="197"/>
      <c r="G819" s="199"/>
      <c r="H819" s="199"/>
      <c r="I819" s="197"/>
      <c r="J819" s="199"/>
      <c r="K819" s="207"/>
      <c r="L819" s="209"/>
      <c r="M819" s="198">
        <f>ROUND(SUM(M820),6)</f>
        <v>0</v>
      </c>
      <c r="N819" s="198">
        <f>'02 项目基础信息（输入）'!$C$42</f>
        <v>51879.834600000002</v>
      </c>
      <c r="O819" s="198">
        <f t="shared" si="94"/>
        <v>0</v>
      </c>
      <c r="P819" s="198">
        <f>'02 项目基础信息（输入）'!$I$42</f>
        <v>51879.834600000002</v>
      </c>
      <c r="Q819" s="233">
        <f t="shared" si="95"/>
        <v>0</v>
      </c>
      <c r="S819" s="217" t="s">
        <v>1313</v>
      </c>
      <c r="U819" s="220" t="s">
        <v>2607</v>
      </c>
      <c r="V819" s="1191">
        <v>0</v>
      </c>
      <c r="W819" s="1190">
        <v>0</v>
      </c>
    </row>
    <row r="820" spans="1:23" ht="20.25" hidden="1" customHeight="1" outlineLevel="3">
      <c r="A820" s="192" t="s">
        <v>2205</v>
      </c>
      <c r="B820" s="192"/>
      <c r="C820" s="197" t="s">
        <v>1609</v>
      </c>
      <c r="D820" s="198">
        <f>'02 项目基础信息（输入）'!$C$42</f>
        <v>51879.834600000002</v>
      </c>
      <c r="E820" s="199" t="s">
        <v>93</v>
      </c>
      <c r="F820" s="197" t="s">
        <v>1609</v>
      </c>
      <c r="G820" s="199">
        <v>1</v>
      </c>
      <c r="H820" s="199" t="s">
        <v>298</v>
      </c>
      <c r="I820" s="198">
        <f>G820*D820</f>
        <v>51879.834600000002</v>
      </c>
      <c r="J820" s="199" t="s">
        <v>93</v>
      </c>
      <c r="K820" s="699"/>
      <c r="L820" s="209" t="s">
        <v>675</v>
      </c>
      <c r="M820" s="207">
        <f>ROUND(K820*I820/10000,6)</f>
        <v>0</v>
      </c>
      <c r="N820" s="198">
        <f>'02 项目基础信息（输入）'!$C$42</f>
        <v>51879.834600000002</v>
      </c>
      <c r="O820" s="198">
        <f t="shared" si="94"/>
        <v>0</v>
      </c>
      <c r="P820" s="198">
        <f>'02 项目基础信息（输入）'!$I$42</f>
        <v>51879.834600000002</v>
      </c>
      <c r="Q820" s="233">
        <f t="shared" si="95"/>
        <v>0</v>
      </c>
      <c r="S820" s="217"/>
      <c r="U820" s="220" t="s">
        <v>2608</v>
      </c>
      <c r="V820" s="1191">
        <v>0</v>
      </c>
      <c r="W820" s="1190">
        <v>0</v>
      </c>
    </row>
    <row r="821" spans="1:23" ht="20.25" customHeight="1" outlineLevel="2" collapsed="1">
      <c r="A821" s="192" t="s">
        <v>1939</v>
      </c>
      <c r="B821" s="192"/>
      <c r="C821" s="197" t="s">
        <v>1609</v>
      </c>
      <c r="D821" s="198">
        <f>'02 项目基础信息（输入）'!$C$42</f>
        <v>51879.834600000002</v>
      </c>
      <c r="E821" s="199" t="s">
        <v>93</v>
      </c>
      <c r="F821" s="197"/>
      <c r="G821" s="199"/>
      <c r="H821" s="199"/>
      <c r="I821" s="197"/>
      <c r="J821" s="199"/>
      <c r="K821" s="207"/>
      <c r="L821" s="209"/>
      <c r="M821" s="198">
        <f>ROUND(SUM(M822),6)</f>
        <v>64</v>
      </c>
      <c r="N821" s="198">
        <f>'02 项目基础信息（输入）'!$C$42</f>
        <v>51879.834600000002</v>
      </c>
      <c r="O821" s="1386">
        <f t="shared" si="94"/>
        <v>12.34</v>
      </c>
      <c r="P821" s="198">
        <f>'02 项目基础信息（输入）'!$I$42</f>
        <v>51879.834600000002</v>
      </c>
      <c r="Q821" s="233">
        <f t="shared" si="95"/>
        <v>12.34</v>
      </c>
      <c r="S821" s="217" t="s">
        <v>1313</v>
      </c>
      <c r="U821" s="220" t="s">
        <v>2609</v>
      </c>
      <c r="V821" s="1191">
        <v>7.8331999999999997</v>
      </c>
      <c r="W821" s="1190">
        <v>11.528</v>
      </c>
    </row>
    <row r="822" spans="1:23" ht="20.25" hidden="1" customHeight="1" outlineLevel="3">
      <c r="A822" s="192" t="s">
        <v>2208</v>
      </c>
      <c r="B822" s="192"/>
      <c r="C822" s="197" t="s">
        <v>477</v>
      </c>
      <c r="D822" s="198">
        <f>'02 项目基础信息（输入）'!$AG$42</f>
        <v>8</v>
      </c>
      <c r="E822" s="199" t="s">
        <v>2209</v>
      </c>
      <c r="F822" s="197" t="s">
        <v>477</v>
      </c>
      <c r="G822" s="199">
        <v>1</v>
      </c>
      <c r="H822" s="199" t="s">
        <v>2210</v>
      </c>
      <c r="I822" s="198">
        <f>G822*D822</f>
        <v>8</v>
      </c>
      <c r="J822" s="199" t="s">
        <v>2209</v>
      </c>
      <c r="K822" s="1040" t="s">
        <v>2610</v>
      </c>
      <c r="L822" s="209" t="s">
        <v>2211</v>
      </c>
      <c r="M822" s="207">
        <f>ROUND(K822*I822/10000,6)</f>
        <v>64</v>
      </c>
      <c r="N822" s="198">
        <f>'02 项目基础信息（输入）'!$C$42</f>
        <v>51879.834600000002</v>
      </c>
      <c r="O822" s="198">
        <f t="shared" si="94"/>
        <v>12.34</v>
      </c>
      <c r="P822" s="198">
        <f>'02 项目基础信息（输入）'!$I$42</f>
        <v>51879.834600000002</v>
      </c>
      <c r="Q822" s="233">
        <f t="shared" si="95"/>
        <v>12.34</v>
      </c>
      <c r="S822" s="217"/>
      <c r="U822" s="220" t="s">
        <v>2611</v>
      </c>
      <c r="V822" s="1191">
        <v>7.8331999999999997</v>
      </c>
      <c r="W822" s="1190">
        <v>11.528</v>
      </c>
    </row>
    <row r="823" spans="1:23" ht="20.25" customHeight="1" outlineLevel="2">
      <c r="A823" s="192" t="s">
        <v>1941</v>
      </c>
      <c r="B823" s="192"/>
      <c r="C823" s="197" t="s">
        <v>1609</v>
      </c>
      <c r="D823" s="198">
        <f>'02 项目基础信息（输入）'!$C$42</f>
        <v>51879.834600000002</v>
      </c>
      <c r="E823" s="199" t="s">
        <v>93</v>
      </c>
      <c r="F823" s="197"/>
      <c r="G823" s="199"/>
      <c r="H823" s="199"/>
      <c r="I823" s="197"/>
      <c r="J823" s="199"/>
      <c r="K823" s="207"/>
      <c r="L823" s="209"/>
      <c r="M823" s="197">
        <v>0</v>
      </c>
      <c r="N823" s="198">
        <f>'02 项目基础信息（输入）'!$C$42</f>
        <v>51879.834600000002</v>
      </c>
      <c r="O823" s="198">
        <f t="shared" si="94"/>
        <v>0</v>
      </c>
      <c r="P823" s="198">
        <f>'02 项目基础信息（输入）'!$I$42</f>
        <v>51879.834600000002</v>
      </c>
      <c r="Q823" s="233">
        <f t="shared" si="95"/>
        <v>0</v>
      </c>
      <c r="S823" s="217" t="s">
        <v>1313</v>
      </c>
      <c r="U823" s="220" t="s">
        <v>2612</v>
      </c>
      <c r="V823" s="1191">
        <v>0</v>
      </c>
      <c r="W823" s="1190">
        <v>0</v>
      </c>
    </row>
    <row r="824" spans="1:23" ht="20.25" customHeight="1" outlineLevel="2">
      <c r="A824" s="192" t="s">
        <v>1952</v>
      </c>
      <c r="B824" s="192"/>
      <c r="C824" s="197" t="s">
        <v>1609</v>
      </c>
      <c r="D824" s="198">
        <f>'02 项目基础信息（输入）'!$C$42</f>
        <v>51879.834600000002</v>
      </c>
      <c r="E824" s="199" t="s">
        <v>93</v>
      </c>
      <c r="F824" s="197"/>
      <c r="G824" s="199"/>
      <c r="H824" s="199"/>
      <c r="I824" s="197"/>
      <c r="J824" s="199"/>
      <c r="K824" s="207"/>
      <c r="L824" s="209"/>
      <c r="M824" s="197">
        <v>0</v>
      </c>
      <c r="N824" s="198">
        <f>'02 项目基础信息（输入）'!$C$42</f>
        <v>51879.834600000002</v>
      </c>
      <c r="O824" s="198">
        <f t="shared" si="94"/>
        <v>0</v>
      </c>
      <c r="P824" s="198">
        <f>'02 项目基础信息（输入）'!$I$42</f>
        <v>51879.834600000002</v>
      </c>
      <c r="Q824" s="233">
        <f t="shared" si="95"/>
        <v>0</v>
      </c>
      <c r="S824" s="217" t="s">
        <v>1313</v>
      </c>
      <c r="U824" s="220" t="s">
        <v>2613</v>
      </c>
      <c r="V824" s="1191">
        <v>0</v>
      </c>
      <c r="W824" s="1190">
        <v>0</v>
      </c>
    </row>
    <row r="825" spans="1:23" ht="20.25" customHeight="1" outlineLevel="2" collapsed="1">
      <c r="A825" s="192" t="s">
        <v>1957</v>
      </c>
      <c r="B825" s="192"/>
      <c r="C825" s="197" t="s">
        <v>1609</v>
      </c>
      <c r="D825" s="198">
        <f>'02 项目基础信息（输入）'!$C$42</f>
        <v>51879.834600000002</v>
      </c>
      <c r="E825" s="199" t="s">
        <v>93</v>
      </c>
      <c r="F825" s="197"/>
      <c r="G825" s="199"/>
      <c r="H825" s="199"/>
      <c r="I825" s="197"/>
      <c r="J825" s="199"/>
      <c r="K825" s="207"/>
      <c r="L825" s="209"/>
      <c r="M825" s="198">
        <f>ROUND(SUM(M826:M829),6)</f>
        <v>0</v>
      </c>
      <c r="N825" s="198">
        <f>'02 项目基础信息（输入）'!$C$42</f>
        <v>51879.834600000002</v>
      </c>
      <c r="O825" s="198">
        <f t="shared" si="94"/>
        <v>0</v>
      </c>
      <c r="P825" s="198">
        <f>'02 项目基础信息（输入）'!$I$42</f>
        <v>51879.834600000002</v>
      </c>
      <c r="Q825" s="233">
        <f t="shared" si="95"/>
        <v>0</v>
      </c>
      <c r="S825" s="217" t="s">
        <v>1313</v>
      </c>
      <c r="U825" s="220" t="s">
        <v>2614</v>
      </c>
      <c r="V825" s="1191">
        <v>0</v>
      </c>
      <c r="W825" s="1190">
        <v>2.1124999999999998</v>
      </c>
    </row>
    <row r="826" spans="1:23" ht="20.25" hidden="1" customHeight="1" outlineLevel="3">
      <c r="A826" s="192" t="s">
        <v>1959</v>
      </c>
      <c r="B826" s="192"/>
      <c r="C826" s="197" t="s">
        <v>1609</v>
      </c>
      <c r="D826" s="198">
        <f>'02 项目基础信息（输入）'!$C$42</f>
        <v>51879.834600000002</v>
      </c>
      <c r="E826" s="199" t="s">
        <v>93</v>
      </c>
      <c r="F826" s="197" t="s">
        <v>1960</v>
      </c>
      <c r="G826" s="199">
        <v>0</v>
      </c>
      <c r="H826" s="199" t="s">
        <v>298</v>
      </c>
      <c r="I826" s="198">
        <f>G826*D826</f>
        <v>0</v>
      </c>
      <c r="J826" s="199" t="s">
        <v>93</v>
      </c>
      <c r="K826" s="207">
        <v>0</v>
      </c>
      <c r="L826" s="209" t="s">
        <v>675</v>
      </c>
      <c r="M826" s="207">
        <f>ROUND(K826*I826/10000,6)</f>
        <v>0</v>
      </c>
      <c r="N826" s="198">
        <f>'02 项目基础信息（输入）'!$C$42</f>
        <v>51879.834600000002</v>
      </c>
      <c r="O826" s="198">
        <f t="shared" si="94"/>
        <v>0</v>
      </c>
      <c r="P826" s="198">
        <f>'02 项目基础信息（输入）'!$I$42</f>
        <v>51879.834600000002</v>
      </c>
      <c r="Q826" s="233">
        <f t="shared" si="95"/>
        <v>0</v>
      </c>
      <c r="S826" s="217"/>
      <c r="U826" s="220" t="s">
        <v>2615</v>
      </c>
      <c r="V826" s="1191">
        <v>0</v>
      </c>
      <c r="W826" s="1190">
        <v>0</v>
      </c>
    </row>
    <row r="827" spans="1:23" ht="20.25" hidden="1" customHeight="1" outlineLevel="3">
      <c r="A827" s="192" t="s">
        <v>1962</v>
      </c>
      <c r="B827" s="192"/>
      <c r="C827" s="197" t="s">
        <v>1609</v>
      </c>
      <c r="D827" s="198">
        <f>'02 项目基础信息（输入）'!$C$42</f>
        <v>51879.834600000002</v>
      </c>
      <c r="E827" s="199" t="s">
        <v>93</v>
      </c>
      <c r="F827" s="197" t="s">
        <v>1960</v>
      </c>
      <c r="G827" s="199">
        <v>0</v>
      </c>
      <c r="H827" s="199" t="s">
        <v>298</v>
      </c>
      <c r="I827" s="198">
        <f>G827*D827</f>
        <v>0</v>
      </c>
      <c r="J827" s="199" t="s">
        <v>93</v>
      </c>
      <c r="K827" s="207">
        <v>0</v>
      </c>
      <c r="L827" s="209" t="s">
        <v>675</v>
      </c>
      <c r="M827" s="207">
        <f>ROUND(K827*I827/10000,6)</f>
        <v>0</v>
      </c>
      <c r="N827" s="198">
        <f>'02 项目基础信息（输入）'!$C$42</f>
        <v>51879.834600000002</v>
      </c>
      <c r="O827" s="198">
        <f t="shared" si="94"/>
        <v>0</v>
      </c>
      <c r="P827" s="198">
        <f>'02 项目基础信息（输入）'!$I$42</f>
        <v>51879.834600000002</v>
      </c>
      <c r="Q827" s="233">
        <f t="shared" si="95"/>
        <v>0</v>
      </c>
      <c r="S827" s="217"/>
      <c r="U827" s="220" t="s">
        <v>2616</v>
      </c>
      <c r="V827" s="1191">
        <v>0</v>
      </c>
      <c r="W827" s="1190">
        <v>0</v>
      </c>
    </row>
    <row r="828" spans="1:23" ht="20.25" hidden="1" customHeight="1" outlineLevel="3">
      <c r="A828" s="192" t="s">
        <v>1964</v>
      </c>
      <c r="B828" s="192"/>
      <c r="C828" s="197" t="s">
        <v>1609</v>
      </c>
      <c r="D828" s="198">
        <f>'02 项目基础信息（输入）'!$C$42</f>
        <v>51879.834600000002</v>
      </c>
      <c r="E828" s="199" t="s">
        <v>93</v>
      </c>
      <c r="F828" s="197" t="s">
        <v>1960</v>
      </c>
      <c r="G828" s="199">
        <v>0</v>
      </c>
      <c r="H828" s="199" t="s">
        <v>298</v>
      </c>
      <c r="I828" s="198">
        <f>G828*D828</f>
        <v>0</v>
      </c>
      <c r="J828" s="199" t="s">
        <v>93</v>
      </c>
      <c r="K828" s="207">
        <v>0</v>
      </c>
      <c r="L828" s="209" t="s">
        <v>675</v>
      </c>
      <c r="M828" s="207">
        <f>ROUND(K828*I828/10000,6)</f>
        <v>0</v>
      </c>
      <c r="N828" s="198">
        <f>'02 项目基础信息（输入）'!$C$42</f>
        <v>51879.834600000002</v>
      </c>
      <c r="O828" s="198">
        <f t="shared" si="94"/>
        <v>0</v>
      </c>
      <c r="P828" s="198">
        <f>'02 项目基础信息（输入）'!$I$42</f>
        <v>51879.834600000002</v>
      </c>
      <c r="Q828" s="233">
        <f t="shared" si="95"/>
        <v>0</v>
      </c>
      <c r="S828" s="217"/>
      <c r="U828" s="220" t="s">
        <v>2617</v>
      </c>
      <c r="V828" s="1191">
        <v>0</v>
      </c>
      <c r="W828" s="1190">
        <v>0</v>
      </c>
    </row>
    <row r="829" spans="1:23" ht="20.25" hidden="1" customHeight="1" outlineLevel="3">
      <c r="A829" s="192" t="s">
        <v>1966</v>
      </c>
      <c r="B829" s="192"/>
      <c r="C829" s="197" t="s">
        <v>1609</v>
      </c>
      <c r="D829" s="198">
        <f>'02 项目基础信息（输入）'!$C$42</f>
        <v>51879.834600000002</v>
      </c>
      <c r="E829" s="199" t="s">
        <v>93</v>
      </c>
      <c r="F829" s="197" t="s">
        <v>1960</v>
      </c>
      <c r="G829" s="199">
        <v>0</v>
      </c>
      <c r="H829" s="199" t="s">
        <v>298</v>
      </c>
      <c r="I829" s="198">
        <f>G829*D829</f>
        <v>0</v>
      </c>
      <c r="J829" s="199" t="s">
        <v>93</v>
      </c>
      <c r="K829" s="207">
        <v>0</v>
      </c>
      <c r="L829" s="209" t="s">
        <v>675</v>
      </c>
      <c r="M829" s="207">
        <f>ROUND(K829*I829/10000,6)</f>
        <v>0</v>
      </c>
      <c r="N829" s="198">
        <f>'02 项目基础信息（输入）'!$C$42</f>
        <v>51879.834600000002</v>
      </c>
      <c r="O829" s="198">
        <f t="shared" si="94"/>
        <v>0</v>
      </c>
      <c r="P829" s="198">
        <f>'02 项目基础信息（输入）'!$I$42</f>
        <v>51879.834600000002</v>
      </c>
      <c r="Q829" s="233">
        <f t="shared" si="95"/>
        <v>0</v>
      </c>
      <c r="S829" s="217"/>
      <c r="U829" s="220" t="s">
        <v>2618</v>
      </c>
      <c r="V829" s="1191">
        <v>0</v>
      </c>
      <c r="W829" s="1190">
        <v>2.1124999999999998</v>
      </c>
    </row>
    <row r="830" spans="1:23" ht="20.25" customHeight="1" outlineLevel="2" collapsed="1">
      <c r="A830" s="192" t="s">
        <v>1968</v>
      </c>
      <c r="B830" s="192"/>
      <c r="C830" s="197" t="s">
        <v>1609</v>
      </c>
      <c r="D830" s="198">
        <f>'02 项目基础信息（输入）'!$C$42</f>
        <v>51879.834600000002</v>
      </c>
      <c r="E830" s="199" t="s">
        <v>93</v>
      </c>
      <c r="F830" s="197"/>
      <c r="G830" s="199"/>
      <c r="H830" s="199"/>
      <c r="I830" s="197"/>
      <c r="J830" s="199"/>
      <c r="K830" s="207"/>
      <c r="L830" s="209"/>
      <c r="M830" s="198">
        <f>ROUND(SUM(M831),6)</f>
        <v>0</v>
      </c>
      <c r="N830" s="198">
        <f>'02 项目基础信息（输入）'!$C$42</f>
        <v>51879.834600000002</v>
      </c>
      <c r="O830" s="198">
        <f t="shared" si="94"/>
        <v>0</v>
      </c>
      <c r="P830" s="198">
        <f>'02 项目基础信息（输入）'!$I$42</f>
        <v>51879.834600000002</v>
      </c>
      <c r="Q830" s="233">
        <f t="shared" si="95"/>
        <v>0</v>
      </c>
      <c r="S830" s="217" t="s">
        <v>1313</v>
      </c>
      <c r="U830" s="220" t="s">
        <v>2619</v>
      </c>
      <c r="V830" s="1191">
        <v>0</v>
      </c>
      <c r="W830" s="1190">
        <v>0</v>
      </c>
    </row>
    <row r="831" spans="1:23" ht="20.25" hidden="1" customHeight="1" outlineLevel="3">
      <c r="A831" s="192" t="s">
        <v>1970</v>
      </c>
      <c r="B831" s="192"/>
      <c r="C831" s="197" t="s">
        <v>1609</v>
      </c>
      <c r="D831" s="198">
        <f>'02 项目基础信息（输入）'!$C$42</f>
        <v>51879.834600000002</v>
      </c>
      <c r="E831" s="199" t="s">
        <v>93</v>
      </c>
      <c r="F831" s="197" t="s">
        <v>1609</v>
      </c>
      <c r="G831" s="199">
        <v>1</v>
      </c>
      <c r="H831" s="199" t="s">
        <v>298</v>
      </c>
      <c r="I831" s="198">
        <f>G831*D831</f>
        <v>51879.834600000002</v>
      </c>
      <c r="J831" s="199" t="s">
        <v>93</v>
      </c>
      <c r="K831" s="699"/>
      <c r="L831" s="209" t="s">
        <v>675</v>
      </c>
      <c r="M831" s="207">
        <f>ROUND(K831*I831/10000,6)</f>
        <v>0</v>
      </c>
      <c r="N831" s="198">
        <f>'02 项目基础信息（输入）'!$C$42</f>
        <v>51879.834600000002</v>
      </c>
      <c r="O831" s="198">
        <f t="shared" si="94"/>
        <v>0</v>
      </c>
      <c r="P831" s="198">
        <f>'02 项目基础信息（输入）'!$I$42</f>
        <v>51879.834600000002</v>
      </c>
      <c r="Q831" s="233">
        <f t="shared" si="95"/>
        <v>0</v>
      </c>
      <c r="S831" s="217"/>
      <c r="U831" s="220" t="s">
        <v>2620</v>
      </c>
      <c r="V831" s="1191">
        <v>0</v>
      </c>
      <c r="W831" s="1190">
        <v>0</v>
      </c>
    </row>
    <row r="832" spans="1:23" ht="20.25" customHeight="1" outlineLevel="2" collapsed="1">
      <c r="A832" s="192" t="s">
        <v>1972</v>
      </c>
      <c r="B832" s="192"/>
      <c r="C832" s="197" t="s">
        <v>1609</v>
      </c>
      <c r="D832" s="198">
        <f>'02 项目基础信息（输入）'!$C$42</f>
        <v>51879.834600000002</v>
      </c>
      <c r="E832" s="199" t="s">
        <v>93</v>
      </c>
      <c r="F832" s="197"/>
      <c r="G832" s="199"/>
      <c r="H832" s="199"/>
      <c r="I832" s="197"/>
      <c r="J832" s="199"/>
      <c r="K832" s="207"/>
      <c r="L832" s="209"/>
      <c r="M832" s="198">
        <f>ROUND(SUM(M833),6)</f>
        <v>62.255802000000003</v>
      </c>
      <c r="N832" s="198">
        <f>'02 项目基础信息（输入）'!$C$42</f>
        <v>51879.834600000002</v>
      </c>
      <c r="O832" s="1386">
        <f t="shared" si="94"/>
        <v>12</v>
      </c>
      <c r="P832" s="198">
        <f>'02 项目基础信息（输入）'!$I$42</f>
        <v>51879.834600000002</v>
      </c>
      <c r="Q832" s="233">
        <f t="shared" si="95"/>
        <v>12</v>
      </c>
      <c r="S832" s="217" t="s">
        <v>1313</v>
      </c>
      <c r="U832" s="220" t="s">
        <v>2621</v>
      </c>
      <c r="V832" s="1191">
        <v>0</v>
      </c>
      <c r="W832" s="1190">
        <v>0</v>
      </c>
    </row>
    <row r="833" spans="1:23" ht="20.25" hidden="1" customHeight="1" outlineLevel="3">
      <c r="A833" s="192" t="s">
        <v>1974</v>
      </c>
      <c r="B833" s="192"/>
      <c r="C833" s="197" t="s">
        <v>1609</v>
      </c>
      <c r="D833" s="198">
        <f>'02 项目基础信息（输入）'!$C$42</f>
        <v>51879.834600000002</v>
      </c>
      <c r="E833" s="199" t="s">
        <v>93</v>
      </c>
      <c r="F833" s="197" t="s">
        <v>1609</v>
      </c>
      <c r="G833" s="199">
        <v>1</v>
      </c>
      <c r="H833" s="199" t="s">
        <v>298</v>
      </c>
      <c r="I833" s="198">
        <f>G833*D833</f>
        <v>51879.834600000002</v>
      </c>
      <c r="J833" s="199" t="s">
        <v>93</v>
      </c>
      <c r="K833" s="700">
        <f>'03 成本测算（输入）'!$D$74</f>
        <v>12</v>
      </c>
      <c r="L833" s="209" t="s">
        <v>675</v>
      </c>
      <c r="M833" s="207">
        <f>ROUND(K833*I833/10000,6)</f>
        <v>62.255802000000003</v>
      </c>
      <c r="N833" s="198">
        <f>'02 项目基础信息（输入）'!$C$42</f>
        <v>51879.834600000002</v>
      </c>
      <c r="O833" s="198">
        <f t="shared" si="94"/>
        <v>12</v>
      </c>
      <c r="P833" s="198">
        <f>'02 项目基础信息（输入）'!$I$42</f>
        <v>51879.834600000002</v>
      </c>
      <c r="Q833" s="233">
        <f t="shared" si="95"/>
        <v>12</v>
      </c>
      <c r="R833" s="188" t="s">
        <v>1975</v>
      </c>
      <c r="S833" s="234"/>
      <c r="U833" s="220" t="s">
        <v>2622</v>
      </c>
      <c r="V833" s="1191">
        <v>0</v>
      </c>
      <c r="W833" s="1190">
        <v>0</v>
      </c>
    </row>
    <row r="834" spans="1:23" ht="0" hidden="1" customHeight="1" outlineLevel="1" collapsed="1">
      <c r="A834" s="196" t="s">
        <v>504</v>
      </c>
      <c r="B834" s="196"/>
      <c r="C834" s="197" t="s">
        <v>1609</v>
      </c>
      <c r="D834" s="198">
        <f>'02 项目基础信息（输入）'!$C$45</f>
        <v>0</v>
      </c>
      <c r="E834" s="199" t="s">
        <v>93</v>
      </c>
      <c r="F834" s="197"/>
      <c r="G834" s="199"/>
      <c r="H834" s="199"/>
      <c r="I834" s="197"/>
      <c r="J834" s="199"/>
      <c r="K834" s="197"/>
      <c r="L834" s="209"/>
      <c r="M834" s="198">
        <f>ROUND(M835+M857+M860+M873+M876+M879+M898+M910+M912+M918+M924+M929+M946+M951+M973+M975+M979+M981+M983+M989+M996+M998+M1000+M1004+M1006+M1008+M1012+M1014+M1016+M1017+M1018+M1023+M1025,6)</f>
        <v>0</v>
      </c>
      <c r="N834" s="198">
        <f>'02 项目基础信息（输入）'!$C$45</f>
        <v>0</v>
      </c>
      <c r="O834" s="198">
        <f t="shared" si="94"/>
        <v>0</v>
      </c>
      <c r="P834" s="198">
        <f>'02 项目基础信息（输入）'!$I$45</f>
        <v>0</v>
      </c>
      <c r="Q834" s="233">
        <f t="shared" si="95"/>
        <v>0</v>
      </c>
      <c r="S834" s="217"/>
      <c r="U834" s="220" t="s">
        <v>2623</v>
      </c>
      <c r="V834" s="1191">
        <v>0</v>
      </c>
    </row>
    <row r="835" spans="1:23" ht="0" hidden="1" customHeight="1" outlineLevel="2">
      <c r="A835" s="192" t="s">
        <v>1611</v>
      </c>
      <c r="B835" s="192"/>
      <c r="C835" s="197" t="s">
        <v>1609</v>
      </c>
      <c r="D835" s="198">
        <f>'02 项目基础信息（输入）'!$C$45</f>
        <v>0</v>
      </c>
      <c r="E835" s="199" t="s">
        <v>93</v>
      </c>
      <c r="F835" s="197"/>
      <c r="G835" s="199"/>
      <c r="H835" s="199"/>
      <c r="I835" s="197"/>
      <c r="J835" s="199"/>
      <c r="K835" s="197"/>
      <c r="L835" s="209"/>
      <c r="M835" s="198">
        <f>ROUND(M836+M839+M840+M845+M846+M852+M853+M856,6)</f>
        <v>0</v>
      </c>
      <c r="N835" s="198">
        <f>'02 项目基础信息（输入）'!$C$45</f>
        <v>0</v>
      </c>
      <c r="O835" s="198">
        <f t="shared" ref="O835:O898" si="98">ROUND(IFERROR(M835*10000/N835,0),2)</f>
        <v>0</v>
      </c>
      <c r="P835" s="198">
        <f>'02 项目基础信息（输入）'!$I$45</f>
        <v>0</v>
      </c>
      <c r="Q835" s="233">
        <f t="shared" ref="Q835:Q898" si="99">ROUND(IFERROR(M835*10000/P835,0),2)</f>
        <v>0</v>
      </c>
      <c r="S835" s="217" t="s">
        <v>1313</v>
      </c>
      <c r="U835" s="220" t="s">
        <v>2624</v>
      </c>
      <c r="V835" s="1191">
        <v>0.122</v>
      </c>
    </row>
    <row r="836" spans="1:23" ht="0" hidden="1" customHeight="1" outlineLevel="3">
      <c r="A836" s="192" t="s">
        <v>1613</v>
      </c>
      <c r="B836" s="192"/>
      <c r="C836" s="197"/>
      <c r="D836" s="198">
        <f>'02 项目基础信息（输入）'!$C$45</f>
        <v>0</v>
      </c>
      <c r="E836" s="199"/>
      <c r="F836" s="197"/>
      <c r="G836" s="199"/>
      <c r="H836" s="199"/>
      <c r="I836" s="197">
        <v>0</v>
      </c>
      <c r="J836" s="199"/>
      <c r="K836" s="197"/>
      <c r="L836" s="209"/>
      <c r="M836" s="198">
        <f>ROUND(SUM(M837:M838),6)</f>
        <v>0</v>
      </c>
      <c r="N836" s="198">
        <f>'02 项目基础信息（输入）'!$C$45</f>
        <v>0</v>
      </c>
      <c r="O836" s="198">
        <f t="shared" si="98"/>
        <v>0</v>
      </c>
      <c r="P836" s="198">
        <f>'02 项目基础信息（输入）'!$I$45</f>
        <v>0</v>
      </c>
      <c r="Q836" s="233">
        <f t="shared" si="99"/>
        <v>0</v>
      </c>
      <c r="S836" s="217"/>
      <c r="U836" s="220" t="s">
        <v>2625</v>
      </c>
      <c r="V836" s="1191">
        <v>0</v>
      </c>
    </row>
    <row r="837" spans="1:23" ht="0" hidden="1" customHeight="1" outlineLevel="4">
      <c r="A837" s="192" t="s">
        <v>1615</v>
      </c>
      <c r="B837" s="192"/>
      <c r="C837" s="197" t="s">
        <v>1609</v>
      </c>
      <c r="D837" s="198">
        <f>'02 项目基础信息（输入）'!$C$45</f>
        <v>0</v>
      </c>
      <c r="E837" s="199" t="s">
        <v>93</v>
      </c>
      <c r="F837" s="197" t="s">
        <v>1616</v>
      </c>
      <c r="G837" s="225">
        <v>0</v>
      </c>
      <c r="H837" s="199" t="s">
        <v>966</v>
      </c>
      <c r="I837" s="198">
        <f>G837*D837</f>
        <v>0</v>
      </c>
      <c r="J837" s="199" t="s">
        <v>1617</v>
      </c>
      <c r="K837" s="228">
        <f>'03 成本测算（输入）'!$D$11</f>
        <v>3.36</v>
      </c>
      <c r="L837" s="209" t="s">
        <v>664</v>
      </c>
      <c r="M837" s="198">
        <f>ROUND(K837*I837/10000,6)</f>
        <v>0</v>
      </c>
      <c r="N837" s="198">
        <f>'02 项目基础信息（输入）'!$C$45</f>
        <v>0</v>
      </c>
      <c r="O837" s="198">
        <f t="shared" si="98"/>
        <v>0</v>
      </c>
      <c r="P837" s="198">
        <f>'02 项目基础信息（输入）'!$I$45</f>
        <v>0</v>
      </c>
      <c r="Q837" s="233">
        <f t="shared" si="99"/>
        <v>0</v>
      </c>
      <c r="S837" s="217"/>
      <c r="U837" s="220" t="s">
        <v>2626</v>
      </c>
      <c r="V837" s="1191">
        <v>0.1182</v>
      </c>
    </row>
    <row r="838" spans="1:23" ht="0" hidden="1" customHeight="1" outlineLevel="4">
      <c r="A838" s="192" t="s">
        <v>1619</v>
      </c>
      <c r="B838" s="192"/>
      <c r="C838" s="197" t="s">
        <v>1609</v>
      </c>
      <c r="D838" s="198">
        <f>'02 项目基础信息（输入）'!$C$45</f>
        <v>0</v>
      </c>
      <c r="E838" s="199" t="s">
        <v>93</v>
      </c>
      <c r="F838" s="197" t="s">
        <v>1616</v>
      </c>
      <c r="G838" s="199">
        <f>G837</f>
        <v>0</v>
      </c>
      <c r="H838" s="199" t="s">
        <v>966</v>
      </c>
      <c r="I838" s="198">
        <f>G838*D838</f>
        <v>0</v>
      </c>
      <c r="J838" s="199" t="s">
        <v>1617</v>
      </c>
      <c r="K838" s="208">
        <v>0</v>
      </c>
      <c r="L838" s="209" t="s">
        <v>664</v>
      </c>
      <c r="M838" s="198">
        <f>ROUND(K838*I838/10000,6)</f>
        <v>0</v>
      </c>
      <c r="N838" s="198">
        <f>'02 项目基础信息（输入）'!$C$45</f>
        <v>0</v>
      </c>
      <c r="O838" s="198">
        <f t="shared" si="98"/>
        <v>0</v>
      </c>
      <c r="P838" s="198">
        <f>'02 项目基础信息（输入）'!$I$45</f>
        <v>0</v>
      </c>
      <c r="Q838" s="233">
        <f t="shared" si="99"/>
        <v>0</v>
      </c>
      <c r="S838" s="217"/>
      <c r="U838" s="220" t="s">
        <v>2627</v>
      </c>
      <c r="V838" s="1191">
        <v>0</v>
      </c>
    </row>
    <row r="839" spans="1:23" ht="0" hidden="1" customHeight="1" outlineLevel="3">
      <c r="A839" s="192" t="s">
        <v>1621</v>
      </c>
      <c r="B839" s="192"/>
      <c r="C839" s="197" t="s">
        <v>1609</v>
      </c>
      <c r="D839" s="198">
        <f>'02 项目基础信息（输入）'!$C$45</f>
        <v>0</v>
      </c>
      <c r="E839" s="199" t="s">
        <v>93</v>
      </c>
      <c r="F839" s="197" t="s">
        <v>1622</v>
      </c>
      <c r="G839" s="225">
        <v>0</v>
      </c>
      <c r="H839" s="199" t="s">
        <v>298</v>
      </c>
      <c r="I839" s="198">
        <f>G839*D839</f>
        <v>0</v>
      </c>
      <c r="J839" s="199" t="s">
        <v>93</v>
      </c>
      <c r="K839" s="208">
        <v>0</v>
      </c>
      <c r="L839" s="209" t="s">
        <v>675</v>
      </c>
      <c r="M839" s="198">
        <f>ROUND(K839*I839/10000,6)</f>
        <v>0</v>
      </c>
      <c r="N839" s="198">
        <f>'02 项目基础信息（输入）'!$C$45</f>
        <v>0</v>
      </c>
      <c r="O839" s="198">
        <f t="shared" si="98"/>
        <v>0</v>
      </c>
      <c r="P839" s="198">
        <f>'02 项目基础信息（输入）'!$I$45</f>
        <v>0</v>
      </c>
      <c r="Q839" s="233">
        <f t="shared" si="99"/>
        <v>0</v>
      </c>
      <c r="S839" s="217"/>
      <c r="U839" s="220" t="s">
        <v>2628</v>
      </c>
      <c r="V839" s="1191">
        <v>17.852499999999999</v>
      </c>
    </row>
    <row r="840" spans="1:23" ht="0" hidden="1" customHeight="1" outlineLevel="3">
      <c r="A840" s="192" t="s">
        <v>1624</v>
      </c>
      <c r="B840" s="192"/>
      <c r="C840" s="197"/>
      <c r="D840" s="198">
        <f>'02 项目基础信息（输入）'!$C$45</f>
        <v>0</v>
      </c>
      <c r="E840" s="199"/>
      <c r="F840" s="197"/>
      <c r="G840" s="199"/>
      <c r="H840" s="199"/>
      <c r="I840" s="197">
        <v>0</v>
      </c>
      <c r="J840" s="199"/>
      <c r="K840" s="207"/>
      <c r="L840" s="209"/>
      <c r="M840" s="198">
        <f>ROUND(SUM(M841:M844),6)</f>
        <v>0</v>
      </c>
      <c r="N840" s="198">
        <f>'02 项目基础信息（输入）'!$C$45</f>
        <v>0</v>
      </c>
      <c r="O840" s="198">
        <f t="shared" si="98"/>
        <v>0</v>
      </c>
      <c r="P840" s="198">
        <f>'02 项目基础信息（输入）'!$I$45</f>
        <v>0</v>
      </c>
      <c r="Q840" s="233">
        <f t="shared" si="99"/>
        <v>0</v>
      </c>
      <c r="S840" s="217"/>
      <c r="U840" s="220" t="s">
        <v>2629</v>
      </c>
      <c r="V840" s="1191">
        <v>17.048100000000002</v>
      </c>
    </row>
    <row r="841" spans="1:23" ht="0" hidden="1" customHeight="1" outlineLevel="4">
      <c r="A841" s="192" t="s">
        <v>1626</v>
      </c>
      <c r="B841" s="192"/>
      <c r="C841" s="197" t="s">
        <v>1609</v>
      </c>
      <c r="D841" s="198">
        <f>'02 项目基础信息（输入）'!$C$45</f>
        <v>0</v>
      </c>
      <c r="E841" s="199" t="s">
        <v>93</v>
      </c>
      <c r="F841" s="197" t="s">
        <v>1627</v>
      </c>
      <c r="G841" s="225">
        <v>0</v>
      </c>
      <c r="H841" s="199" t="s">
        <v>976</v>
      </c>
      <c r="I841" s="198">
        <f>G841*D841</f>
        <v>0</v>
      </c>
      <c r="J841" s="199" t="s">
        <v>1511</v>
      </c>
      <c r="K841" s="228">
        <f>'03 成本测算（输入）'!$D$12</f>
        <v>367.07400000000001</v>
      </c>
      <c r="L841" s="209" t="s">
        <v>671</v>
      </c>
      <c r="M841" s="198">
        <f>ROUND(K841*I841/10000,6)</f>
        <v>0</v>
      </c>
      <c r="N841" s="198">
        <f>'02 项目基础信息（输入）'!$C$45</f>
        <v>0</v>
      </c>
      <c r="O841" s="198">
        <f t="shared" si="98"/>
        <v>0</v>
      </c>
      <c r="P841" s="198">
        <f>'02 项目基础信息（输入）'!$I$45</f>
        <v>0</v>
      </c>
      <c r="Q841" s="233">
        <f t="shared" si="99"/>
        <v>0</v>
      </c>
      <c r="S841" s="217"/>
      <c r="U841" s="220" t="s">
        <v>2630</v>
      </c>
      <c r="V841" s="1191">
        <v>0.8044</v>
      </c>
    </row>
    <row r="842" spans="1:23" ht="0" hidden="1" customHeight="1" outlineLevel="4">
      <c r="A842" s="192" t="s">
        <v>1629</v>
      </c>
      <c r="B842" s="192"/>
      <c r="C842" s="197" t="s">
        <v>1609</v>
      </c>
      <c r="D842" s="198">
        <f>'02 项目基础信息（输入）'!$C$45</f>
        <v>0</v>
      </c>
      <c r="E842" s="199" t="s">
        <v>93</v>
      </c>
      <c r="F842" s="197" t="s">
        <v>1627</v>
      </c>
      <c r="G842" s="199">
        <f>$G$841</f>
        <v>0</v>
      </c>
      <c r="H842" s="199" t="s">
        <v>976</v>
      </c>
      <c r="I842" s="198">
        <f>G842*D842</f>
        <v>0</v>
      </c>
      <c r="J842" s="199" t="s">
        <v>1511</v>
      </c>
      <c r="K842" s="208">
        <v>0</v>
      </c>
      <c r="L842" s="209" t="s">
        <v>671</v>
      </c>
      <c r="M842" s="198">
        <f>ROUND(K842*I842/10000,6)</f>
        <v>0</v>
      </c>
      <c r="N842" s="198">
        <f>'02 项目基础信息（输入）'!$C$45</f>
        <v>0</v>
      </c>
      <c r="O842" s="198">
        <f t="shared" si="98"/>
        <v>0</v>
      </c>
      <c r="P842" s="198">
        <f>'02 项目基础信息（输入）'!$I$45</f>
        <v>0</v>
      </c>
      <c r="Q842" s="233">
        <f t="shared" si="99"/>
        <v>0</v>
      </c>
      <c r="S842" s="217"/>
      <c r="U842" s="220" t="s">
        <v>2631</v>
      </c>
      <c r="V842" s="1191">
        <v>12.0558</v>
      </c>
    </row>
    <row r="843" spans="1:23" ht="0" hidden="1" customHeight="1" outlineLevel="4">
      <c r="A843" s="192" t="s">
        <v>1631</v>
      </c>
      <c r="B843" s="192"/>
      <c r="C843" s="197" t="s">
        <v>1609</v>
      </c>
      <c r="D843" s="198">
        <f>'02 项目基础信息（输入）'!$C$45</f>
        <v>0</v>
      </c>
      <c r="E843" s="199" t="s">
        <v>93</v>
      </c>
      <c r="F843" s="197" t="s">
        <v>1609</v>
      </c>
      <c r="G843" s="199">
        <v>1</v>
      </c>
      <c r="H843" s="199" t="s">
        <v>298</v>
      </c>
      <c r="I843" s="198">
        <f>G843*D843</f>
        <v>0</v>
      </c>
      <c r="J843" s="199" t="s">
        <v>93</v>
      </c>
      <c r="K843" s="228">
        <f>'03 成本测算（输入）'!$D$115</f>
        <v>0</v>
      </c>
      <c r="L843" s="209" t="s">
        <v>675</v>
      </c>
      <c r="M843" s="198">
        <f>ROUND(K843*I843/10000,6)</f>
        <v>0</v>
      </c>
      <c r="N843" s="198">
        <f>'02 项目基础信息（输入）'!$C$45</f>
        <v>0</v>
      </c>
      <c r="O843" s="198">
        <f t="shared" si="98"/>
        <v>0</v>
      </c>
      <c r="P843" s="198">
        <f>'02 项目基础信息（输入）'!$I$45</f>
        <v>0</v>
      </c>
      <c r="Q843" s="233">
        <f t="shared" si="99"/>
        <v>0</v>
      </c>
      <c r="R843" s="188" t="s">
        <v>2233</v>
      </c>
      <c r="S843" s="217"/>
      <c r="U843" s="220" t="s">
        <v>2632</v>
      </c>
      <c r="V843" s="1191">
        <v>2.6070000000000002</v>
      </c>
    </row>
    <row r="844" spans="1:23" ht="0" hidden="1" customHeight="1" outlineLevel="4">
      <c r="A844" s="192" t="s">
        <v>1634</v>
      </c>
      <c r="B844" s="192"/>
      <c r="C844" s="197" t="s">
        <v>1609</v>
      </c>
      <c r="D844" s="198">
        <f>'02 项目基础信息（输入）'!$C$45</f>
        <v>0</v>
      </c>
      <c r="E844" s="199" t="s">
        <v>93</v>
      </c>
      <c r="F844" s="197" t="s">
        <v>1632</v>
      </c>
      <c r="G844" s="199">
        <v>1</v>
      </c>
      <c r="H844" s="199" t="s">
        <v>976</v>
      </c>
      <c r="I844" s="198">
        <f>G844*D844</f>
        <v>0</v>
      </c>
      <c r="J844" s="199" t="s">
        <v>93</v>
      </c>
      <c r="K844" s="207">
        <v>0</v>
      </c>
      <c r="L844" s="209" t="s">
        <v>675</v>
      </c>
      <c r="M844" s="198">
        <f>ROUND(K844*I844/10000,6)</f>
        <v>0</v>
      </c>
      <c r="N844" s="198">
        <f>'02 项目基础信息（输入）'!$C$45</f>
        <v>0</v>
      </c>
      <c r="O844" s="198">
        <f t="shared" si="98"/>
        <v>0</v>
      </c>
      <c r="P844" s="198">
        <f>'02 项目基础信息（输入）'!$I$45</f>
        <v>0</v>
      </c>
      <c r="Q844" s="233">
        <f t="shared" si="99"/>
        <v>0</v>
      </c>
      <c r="S844" s="217"/>
      <c r="U844" s="220" t="s">
        <v>2633</v>
      </c>
      <c r="V844" s="1191">
        <v>9.4488000000000003</v>
      </c>
    </row>
    <row r="845" spans="1:23" ht="0" hidden="1" customHeight="1" outlineLevel="3">
      <c r="A845" s="192" t="s">
        <v>1636</v>
      </c>
      <c r="B845" s="192"/>
      <c r="C845" s="197" t="s">
        <v>1609</v>
      </c>
      <c r="D845" s="198">
        <f>'02 项目基础信息（输入）'!$C$45</f>
        <v>0</v>
      </c>
      <c r="E845" s="199" t="s">
        <v>93</v>
      </c>
      <c r="F845" s="197" t="s">
        <v>1637</v>
      </c>
      <c r="G845" s="225">
        <v>0</v>
      </c>
      <c r="H845" s="199" t="s">
        <v>976</v>
      </c>
      <c r="I845" s="198">
        <f>G845*D845</f>
        <v>0</v>
      </c>
      <c r="J845" s="199" t="s">
        <v>1511</v>
      </c>
      <c r="K845" s="208">
        <v>0</v>
      </c>
      <c r="L845" s="209" t="s">
        <v>671</v>
      </c>
      <c r="M845" s="198">
        <f>ROUND(K845*I845/10000,6)</f>
        <v>0</v>
      </c>
      <c r="N845" s="198">
        <f>'02 项目基础信息（输入）'!$C$45</f>
        <v>0</v>
      </c>
      <c r="O845" s="198">
        <f t="shared" si="98"/>
        <v>0</v>
      </c>
      <c r="P845" s="198">
        <f>'02 项目基础信息（输入）'!$I$45</f>
        <v>0</v>
      </c>
      <c r="Q845" s="233">
        <f t="shared" si="99"/>
        <v>0</v>
      </c>
      <c r="S845" s="217"/>
      <c r="U845" s="220" t="s">
        <v>2634</v>
      </c>
    </row>
    <row r="846" spans="1:23" ht="0" hidden="1" customHeight="1" outlineLevel="3">
      <c r="A846" s="192" t="s">
        <v>1640</v>
      </c>
      <c r="B846" s="192"/>
      <c r="C846" s="197"/>
      <c r="D846" s="198">
        <f>'02 项目基础信息（输入）'!$C$45</f>
        <v>0</v>
      </c>
      <c r="E846" s="199"/>
      <c r="F846" s="197"/>
      <c r="G846" s="199"/>
      <c r="H846" s="199"/>
      <c r="I846" s="197">
        <v>0</v>
      </c>
      <c r="J846" s="199"/>
      <c r="K846" s="207"/>
      <c r="L846" s="209"/>
      <c r="M846" s="198">
        <f>ROUND(SUM(M847:M851),6)</f>
        <v>0</v>
      </c>
      <c r="N846" s="198">
        <f>'02 项目基础信息（输入）'!$C$45</f>
        <v>0</v>
      </c>
      <c r="O846" s="198">
        <f t="shared" si="98"/>
        <v>0</v>
      </c>
      <c r="P846" s="198">
        <f>'02 项目基础信息（输入）'!$I$45</f>
        <v>0</v>
      </c>
      <c r="Q846" s="233">
        <f t="shared" si="99"/>
        <v>0</v>
      </c>
      <c r="S846" s="217"/>
      <c r="U846" s="220" t="s">
        <v>2635</v>
      </c>
    </row>
    <row r="847" spans="1:23" ht="0" hidden="1" customHeight="1" outlineLevel="4">
      <c r="A847" s="192" t="s">
        <v>1642</v>
      </c>
      <c r="B847" s="192"/>
      <c r="C847" s="197" t="s">
        <v>1609</v>
      </c>
      <c r="D847" s="198">
        <f>'02 项目基础信息（输入）'!$C$45</f>
        <v>0</v>
      </c>
      <c r="E847" s="199" t="s">
        <v>93</v>
      </c>
      <c r="F847" s="197" t="s">
        <v>1609</v>
      </c>
      <c r="G847" s="199">
        <v>1</v>
      </c>
      <c r="H847" s="199" t="s">
        <v>298</v>
      </c>
      <c r="I847" s="198">
        <f t="shared" ref="I847:I852" si="100">G847*D847</f>
        <v>0</v>
      </c>
      <c r="J847" s="199" t="s">
        <v>93</v>
      </c>
      <c r="K847" s="208">
        <v>0</v>
      </c>
      <c r="L847" s="209" t="s">
        <v>675</v>
      </c>
      <c r="M847" s="198">
        <f t="shared" ref="M847:M852" si="101">ROUND(K847*I847/10000,6)</f>
        <v>0</v>
      </c>
      <c r="N847" s="198">
        <f>'02 项目基础信息（输入）'!$C$45</f>
        <v>0</v>
      </c>
      <c r="O847" s="198">
        <f t="shared" si="98"/>
        <v>0</v>
      </c>
      <c r="P847" s="198">
        <f>'02 项目基础信息（输入）'!$I$45</f>
        <v>0</v>
      </c>
      <c r="Q847" s="233">
        <f t="shared" si="99"/>
        <v>0</v>
      </c>
      <c r="S847" s="217"/>
      <c r="U847" s="220" t="s">
        <v>2636</v>
      </c>
    </row>
    <row r="848" spans="1:23" ht="0" hidden="1" customHeight="1" outlineLevel="4">
      <c r="A848" s="192" t="s">
        <v>1645</v>
      </c>
      <c r="B848" s="192"/>
      <c r="C848" s="197" t="s">
        <v>1609</v>
      </c>
      <c r="D848" s="198">
        <f>'02 项目基础信息（输入）'!$C$45</f>
        <v>0</v>
      </c>
      <c r="E848" s="199" t="s">
        <v>93</v>
      </c>
      <c r="F848" s="197" t="s">
        <v>1609</v>
      </c>
      <c r="G848" s="199">
        <v>1</v>
      </c>
      <c r="H848" s="199" t="s">
        <v>298</v>
      </c>
      <c r="I848" s="198">
        <f t="shared" si="100"/>
        <v>0</v>
      </c>
      <c r="J848" s="199" t="s">
        <v>93</v>
      </c>
      <c r="K848" s="228">
        <f>'03 成本测算（输入）'!$D$118</f>
        <v>0</v>
      </c>
      <c r="L848" s="209" t="s">
        <v>675</v>
      </c>
      <c r="M848" s="198">
        <f t="shared" si="101"/>
        <v>0</v>
      </c>
      <c r="N848" s="198">
        <f>'02 项目基础信息（输入）'!$C$45</f>
        <v>0</v>
      </c>
      <c r="O848" s="198">
        <f t="shared" si="98"/>
        <v>0</v>
      </c>
      <c r="P848" s="198">
        <f>'02 项目基础信息（输入）'!$I$45</f>
        <v>0</v>
      </c>
      <c r="Q848" s="233">
        <f t="shared" si="99"/>
        <v>0</v>
      </c>
      <c r="R848" s="188" t="s">
        <v>2239</v>
      </c>
      <c r="S848" s="234"/>
      <c r="U848" s="220" t="s">
        <v>2637</v>
      </c>
    </row>
    <row r="849" spans="1:21" ht="0" hidden="1" customHeight="1" outlineLevel="4">
      <c r="A849" s="192" t="s">
        <v>1647</v>
      </c>
      <c r="B849" s="192"/>
      <c r="C849" s="197" t="s">
        <v>1609</v>
      </c>
      <c r="D849" s="198">
        <f>'02 项目基础信息（输入）'!$C$45</f>
        <v>0</v>
      </c>
      <c r="E849" s="199" t="s">
        <v>93</v>
      </c>
      <c r="F849" s="197" t="s">
        <v>1648</v>
      </c>
      <c r="G849" s="199">
        <v>1</v>
      </c>
      <c r="H849" s="199" t="s">
        <v>298</v>
      </c>
      <c r="I849" s="198">
        <f t="shared" si="100"/>
        <v>0</v>
      </c>
      <c r="J849" s="199" t="s">
        <v>93</v>
      </c>
      <c r="K849" s="229"/>
      <c r="L849" s="209" t="s">
        <v>675</v>
      </c>
      <c r="M849" s="198">
        <f t="shared" si="101"/>
        <v>0</v>
      </c>
      <c r="N849" s="198">
        <f>'02 项目基础信息（输入）'!$C$45</f>
        <v>0</v>
      </c>
      <c r="O849" s="198">
        <f t="shared" si="98"/>
        <v>0</v>
      </c>
      <c r="P849" s="198">
        <f>'02 项目基础信息（输入）'!$I$45</f>
        <v>0</v>
      </c>
      <c r="Q849" s="233">
        <f t="shared" si="99"/>
        <v>0</v>
      </c>
      <c r="S849" s="217"/>
      <c r="U849" s="220" t="s">
        <v>2638</v>
      </c>
    </row>
    <row r="850" spans="1:21" ht="0" hidden="1" customHeight="1" outlineLevel="4">
      <c r="A850" s="192" t="s">
        <v>1993</v>
      </c>
      <c r="B850" s="192"/>
      <c r="C850" s="197" t="s">
        <v>1609</v>
      </c>
      <c r="D850" s="198">
        <f>'02 项目基础信息（输入）'!$C$45</f>
        <v>0</v>
      </c>
      <c r="E850" s="199" t="s">
        <v>93</v>
      </c>
      <c r="F850" s="197" t="s">
        <v>1648</v>
      </c>
      <c r="G850" s="199">
        <v>1</v>
      </c>
      <c r="H850" s="199" t="s">
        <v>298</v>
      </c>
      <c r="I850" s="198">
        <f t="shared" si="100"/>
        <v>0</v>
      </c>
      <c r="J850" s="199" t="s">
        <v>93</v>
      </c>
      <c r="K850" s="229"/>
      <c r="L850" s="209" t="s">
        <v>675</v>
      </c>
      <c r="M850" s="198">
        <f t="shared" si="101"/>
        <v>0</v>
      </c>
      <c r="N850" s="198">
        <f>'02 项目基础信息（输入）'!$C$45</f>
        <v>0</v>
      </c>
      <c r="O850" s="198">
        <f t="shared" si="98"/>
        <v>0</v>
      </c>
      <c r="P850" s="198">
        <f>'02 项目基础信息（输入）'!$I$45</f>
        <v>0</v>
      </c>
      <c r="Q850" s="233">
        <f t="shared" si="99"/>
        <v>0</v>
      </c>
      <c r="S850" s="217"/>
      <c r="U850" s="220" t="s">
        <v>2639</v>
      </c>
    </row>
    <row r="851" spans="1:21" ht="0" hidden="1" customHeight="1" outlineLevel="4">
      <c r="A851" s="192" t="s">
        <v>1650</v>
      </c>
      <c r="B851" s="192"/>
      <c r="C851" s="197" t="s">
        <v>1609</v>
      </c>
      <c r="D851" s="198">
        <f>'02 项目基础信息（输入）'!$C$45</f>
        <v>0</v>
      </c>
      <c r="E851" s="199" t="s">
        <v>93</v>
      </c>
      <c r="F851" s="197" t="s">
        <v>1648</v>
      </c>
      <c r="G851" s="199">
        <v>1</v>
      </c>
      <c r="H851" s="199" t="s">
        <v>298</v>
      </c>
      <c r="I851" s="198">
        <f t="shared" si="100"/>
        <v>0</v>
      </c>
      <c r="J851" s="199" t="s">
        <v>93</v>
      </c>
      <c r="K851" s="229"/>
      <c r="L851" s="209" t="s">
        <v>675</v>
      </c>
      <c r="M851" s="198">
        <f t="shared" si="101"/>
        <v>0</v>
      </c>
      <c r="N851" s="198">
        <f>'02 项目基础信息（输入）'!$C$45</f>
        <v>0</v>
      </c>
      <c r="O851" s="198">
        <f t="shared" si="98"/>
        <v>0</v>
      </c>
      <c r="P851" s="198">
        <f>'02 项目基础信息（输入）'!$I$45</f>
        <v>0</v>
      </c>
      <c r="Q851" s="233">
        <f t="shared" si="99"/>
        <v>0</v>
      </c>
      <c r="S851" s="217"/>
      <c r="U851" s="220" t="s">
        <v>2640</v>
      </c>
    </row>
    <row r="852" spans="1:21" ht="0" hidden="1" customHeight="1" outlineLevel="3">
      <c r="A852" s="192" t="s">
        <v>1652</v>
      </c>
      <c r="B852" s="192"/>
      <c r="C852" s="197" t="s">
        <v>1609</v>
      </c>
      <c r="D852" s="198">
        <f>'02 项目基础信息（输入）'!$C$45</f>
        <v>0</v>
      </c>
      <c r="E852" s="199" t="s">
        <v>93</v>
      </c>
      <c r="F852" s="197" t="s">
        <v>1648</v>
      </c>
      <c r="G852" s="199">
        <v>1</v>
      </c>
      <c r="H852" s="199" t="s">
        <v>298</v>
      </c>
      <c r="I852" s="198">
        <f t="shared" si="100"/>
        <v>0</v>
      </c>
      <c r="J852" s="199" t="s">
        <v>93</v>
      </c>
      <c r="K852" s="229"/>
      <c r="L852" s="209" t="s">
        <v>675</v>
      </c>
      <c r="M852" s="198">
        <f t="shared" si="101"/>
        <v>0</v>
      </c>
      <c r="N852" s="198">
        <f>'02 项目基础信息（输入）'!$C$45</f>
        <v>0</v>
      </c>
      <c r="O852" s="198">
        <f t="shared" si="98"/>
        <v>0</v>
      </c>
      <c r="P852" s="198">
        <f>'02 项目基础信息（输入）'!$I$45</f>
        <v>0</v>
      </c>
      <c r="Q852" s="233">
        <f t="shared" si="99"/>
        <v>0</v>
      </c>
      <c r="S852" s="217"/>
      <c r="U852" s="220" t="s">
        <v>2641</v>
      </c>
    </row>
    <row r="853" spans="1:21" ht="0" hidden="1" customHeight="1" outlineLevel="3">
      <c r="A853" s="192" t="s">
        <v>1654</v>
      </c>
      <c r="B853" s="192"/>
      <c r="C853" s="197"/>
      <c r="D853" s="198">
        <f>'02 项目基础信息（输入）'!$C$45</f>
        <v>0</v>
      </c>
      <c r="E853" s="199"/>
      <c r="F853" s="197"/>
      <c r="G853" s="199"/>
      <c r="H853" s="199"/>
      <c r="I853" s="197">
        <v>0</v>
      </c>
      <c r="J853" s="199"/>
      <c r="K853" s="207"/>
      <c r="L853" s="209"/>
      <c r="M853" s="198">
        <f>ROUND(SUM(M854:M855),6)</f>
        <v>0</v>
      </c>
      <c r="N853" s="198">
        <f>'02 项目基础信息（输入）'!$C$45</f>
        <v>0</v>
      </c>
      <c r="O853" s="198">
        <f t="shared" si="98"/>
        <v>0</v>
      </c>
      <c r="P853" s="198">
        <f>'02 项目基础信息（输入）'!$I$45</f>
        <v>0</v>
      </c>
      <c r="Q853" s="233">
        <f t="shared" si="99"/>
        <v>0</v>
      </c>
      <c r="S853" s="217"/>
      <c r="U853" s="220" t="s">
        <v>2642</v>
      </c>
    </row>
    <row r="854" spans="1:21" ht="0" hidden="1" customHeight="1" outlineLevel="4">
      <c r="A854" s="192" t="s">
        <v>1656</v>
      </c>
      <c r="B854" s="192"/>
      <c r="C854" s="197" t="s">
        <v>1609</v>
      </c>
      <c r="D854" s="198">
        <f>'02 项目基础信息（输入）'!$C$45</f>
        <v>0</v>
      </c>
      <c r="E854" s="199" t="s">
        <v>93</v>
      </c>
      <c r="F854" s="197" t="s">
        <v>1657</v>
      </c>
      <c r="G854" s="225"/>
      <c r="H854" s="199" t="s">
        <v>1658</v>
      </c>
      <c r="I854" s="198">
        <f>G854*D854</f>
        <v>0</v>
      </c>
      <c r="J854" s="199" t="s">
        <v>376</v>
      </c>
      <c r="K854" s="229"/>
      <c r="L854" s="209" t="s">
        <v>1659</v>
      </c>
      <c r="M854" s="198">
        <f>ROUND(K854*I854/10000,6)</f>
        <v>0</v>
      </c>
      <c r="N854" s="198">
        <f>'02 项目基础信息（输入）'!$C$45</f>
        <v>0</v>
      </c>
      <c r="O854" s="198">
        <f t="shared" si="98"/>
        <v>0</v>
      </c>
      <c r="P854" s="198">
        <f>'02 项目基础信息（输入）'!$I$45</f>
        <v>0</v>
      </c>
      <c r="Q854" s="233">
        <f t="shared" si="99"/>
        <v>0</v>
      </c>
      <c r="S854" s="217"/>
      <c r="U854" s="220" t="s">
        <v>2643</v>
      </c>
    </row>
    <row r="855" spans="1:21" ht="0" hidden="1" customHeight="1" outlineLevel="4">
      <c r="A855" s="192" t="s">
        <v>1661</v>
      </c>
      <c r="B855" s="192"/>
      <c r="C855" s="197" t="s">
        <v>1609</v>
      </c>
      <c r="D855" s="198">
        <f>'02 项目基础信息（输入）'!$C$45</f>
        <v>0</v>
      </c>
      <c r="E855" s="199" t="s">
        <v>93</v>
      </c>
      <c r="F855" s="197" t="s">
        <v>1609</v>
      </c>
      <c r="G855" s="199">
        <v>1</v>
      </c>
      <c r="H855" s="199" t="s">
        <v>298</v>
      </c>
      <c r="I855" s="198">
        <f>G855*D855</f>
        <v>0</v>
      </c>
      <c r="J855" s="199" t="s">
        <v>93</v>
      </c>
      <c r="K855" s="229"/>
      <c r="L855" s="209" t="s">
        <v>675</v>
      </c>
      <c r="M855" s="198">
        <f>ROUND(K855*I855/10000,6)</f>
        <v>0</v>
      </c>
      <c r="N855" s="198">
        <f>'02 项目基础信息（输入）'!$C$45</f>
        <v>0</v>
      </c>
      <c r="O855" s="198">
        <f t="shared" si="98"/>
        <v>0</v>
      </c>
      <c r="P855" s="198">
        <f>'02 项目基础信息（输入）'!$I$45</f>
        <v>0</v>
      </c>
      <c r="Q855" s="233">
        <f t="shared" si="99"/>
        <v>0</v>
      </c>
      <c r="S855" s="217"/>
      <c r="U855" s="220" t="s">
        <v>2644</v>
      </c>
    </row>
    <row r="856" spans="1:21" ht="0" hidden="1" customHeight="1" outlineLevel="3">
      <c r="A856" s="192" t="s">
        <v>1664</v>
      </c>
      <c r="B856" s="192"/>
      <c r="C856" s="197" t="s">
        <v>1665</v>
      </c>
      <c r="D856" s="198">
        <f>SUM(M836+M839+M840+M845+M846+M852+M853)*10000</f>
        <v>0</v>
      </c>
      <c r="E856" s="199" t="s">
        <v>1666</v>
      </c>
      <c r="F856" s="197" t="s">
        <v>1667</v>
      </c>
      <c r="G856" s="226">
        <f>IFERROR(I856/D856*100,0)</f>
        <v>0</v>
      </c>
      <c r="H856" s="195" t="s">
        <v>123</v>
      </c>
      <c r="I856" s="194">
        <f>K856*N856</f>
        <v>0</v>
      </c>
      <c r="J856" s="195" t="s">
        <v>1666</v>
      </c>
      <c r="K856" s="208">
        <v>0</v>
      </c>
      <c r="L856" s="230" t="s">
        <v>1669</v>
      </c>
      <c r="M856" s="231">
        <f>ROUND(I856/10000,6)</f>
        <v>0</v>
      </c>
      <c r="N856" s="198">
        <f>'02 项目基础信息（输入）'!$C$45</f>
        <v>0</v>
      </c>
      <c r="O856" s="198">
        <f t="shared" si="98"/>
        <v>0</v>
      </c>
      <c r="P856" s="198">
        <f>'02 项目基础信息（输入）'!$I$45</f>
        <v>0</v>
      </c>
      <c r="Q856" s="233">
        <f t="shared" si="99"/>
        <v>0</v>
      </c>
      <c r="S856" s="217"/>
      <c r="U856" s="220" t="s">
        <v>2645</v>
      </c>
    </row>
    <row r="857" spans="1:21" ht="0" hidden="1" customHeight="1" outlineLevel="2">
      <c r="A857" s="192" t="s">
        <v>1671</v>
      </c>
      <c r="B857" s="192"/>
      <c r="C857" s="197" t="s">
        <v>1609</v>
      </c>
      <c r="D857" s="198">
        <f>'02 项目基础信息（输入）'!$C$45</f>
        <v>0</v>
      </c>
      <c r="E857" s="199" t="s">
        <v>93</v>
      </c>
      <c r="F857" s="197"/>
      <c r="G857" s="199"/>
      <c r="H857" s="199"/>
      <c r="I857" s="197"/>
      <c r="J857" s="199"/>
      <c r="K857" s="207"/>
      <c r="L857" s="209"/>
      <c r="M857" s="198">
        <f>ROUND(SUM(M858:M859),6)</f>
        <v>0</v>
      </c>
      <c r="N857" s="198">
        <f>'02 项目基础信息（输入）'!$C$45</f>
        <v>0</v>
      </c>
      <c r="O857" s="198">
        <f t="shared" si="98"/>
        <v>0</v>
      </c>
      <c r="P857" s="198">
        <f>'02 项目基础信息（输入）'!$I$45</f>
        <v>0</v>
      </c>
      <c r="Q857" s="233">
        <f t="shared" si="99"/>
        <v>0</v>
      </c>
      <c r="S857" s="217" t="s">
        <v>1313</v>
      </c>
      <c r="U857" s="220" t="s">
        <v>2646</v>
      </c>
    </row>
    <row r="858" spans="1:21" ht="0" hidden="1" customHeight="1" outlineLevel="3">
      <c r="A858" s="192" t="s">
        <v>1673</v>
      </c>
      <c r="B858" s="192"/>
      <c r="C858" s="197" t="s">
        <v>1609</v>
      </c>
      <c r="D858" s="198">
        <f>'02 项目基础信息（输入）'!$C$45</f>
        <v>0</v>
      </c>
      <c r="E858" s="199" t="s">
        <v>93</v>
      </c>
      <c r="F858" s="197" t="s">
        <v>705</v>
      </c>
      <c r="G858" s="199"/>
      <c r="H858" s="199" t="s">
        <v>298</v>
      </c>
      <c r="I858" s="198">
        <f>G858*D858</f>
        <v>0</v>
      </c>
      <c r="J858" s="199" t="s">
        <v>93</v>
      </c>
      <c r="K858" s="207"/>
      <c r="L858" s="209" t="s">
        <v>675</v>
      </c>
      <c r="M858" s="207">
        <f>ROUND(K858*I858/10000,6)</f>
        <v>0</v>
      </c>
      <c r="N858" s="198">
        <f>'02 项目基础信息（输入）'!$C$45</f>
        <v>0</v>
      </c>
      <c r="O858" s="198">
        <f t="shared" si="98"/>
        <v>0</v>
      </c>
      <c r="P858" s="198">
        <f>'02 项目基础信息（输入）'!$I$45</f>
        <v>0</v>
      </c>
      <c r="Q858" s="233">
        <f t="shared" si="99"/>
        <v>0</v>
      </c>
      <c r="S858" s="217"/>
      <c r="U858" s="220" t="s">
        <v>2647</v>
      </c>
    </row>
    <row r="859" spans="1:21" ht="0" hidden="1" customHeight="1" outlineLevel="3">
      <c r="A859" s="192" t="s">
        <v>1676</v>
      </c>
      <c r="B859" s="192"/>
      <c r="C859" s="197" t="s">
        <v>1609</v>
      </c>
      <c r="D859" s="198">
        <f>'02 项目基础信息（输入）'!$C$45</f>
        <v>0</v>
      </c>
      <c r="E859" s="199" t="s">
        <v>93</v>
      </c>
      <c r="F859" s="197" t="s">
        <v>705</v>
      </c>
      <c r="G859" s="199"/>
      <c r="H859" s="199" t="s">
        <v>298</v>
      </c>
      <c r="I859" s="198">
        <f>G859*D859</f>
        <v>0</v>
      </c>
      <c r="J859" s="199" t="s">
        <v>93</v>
      </c>
      <c r="K859" s="207"/>
      <c r="L859" s="209" t="s">
        <v>675</v>
      </c>
      <c r="M859" s="207">
        <f>ROUND(K859*I859/10000,6)</f>
        <v>0</v>
      </c>
      <c r="N859" s="198">
        <f>'02 项目基础信息（输入）'!$C$45</f>
        <v>0</v>
      </c>
      <c r="O859" s="198">
        <f t="shared" si="98"/>
        <v>0</v>
      </c>
      <c r="P859" s="198">
        <f>'02 项目基础信息（输入）'!$I$45</f>
        <v>0</v>
      </c>
      <c r="Q859" s="233">
        <f t="shared" si="99"/>
        <v>0</v>
      </c>
      <c r="S859" s="217"/>
      <c r="U859" s="220" t="s">
        <v>2648</v>
      </c>
    </row>
    <row r="860" spans="1:21" ht="0" hidden="1" customHeight="1" outlineLevel="2">
      <c r="A860" s="192" t="s">
        <v>1679</v>
      </c>
      <c r="B860" s="192"/>
      <c r="C860" s="197" t="s">
        <v>1609</v>
      </c>
      <c r="D860" s="198">
        <f>'02 项目基础信息（输入）'!$C$45</f>
        <v>0</v>
      </c>
      <c r="E860" s="199" t="s">
        <v>93</v>
      </c>
      <c r="F860" s="197"/>
      <c r="G860" s="199"/>
      <c r="H860" s="199"/>
      <c r="I860" s="197"/>
      <c r="J860" s="199"/>
      <c r="K860" s="207"/>
      <c r="L860" s="209"/>
      <c r="M860" s="198">
        <f>ROUND(SUM(M861:M872),6)</f>
        <v>0</v>
      </c>
      <c r="N860" s="198">
        <f>'02 项目基础信息（输入）'!$C$45</f>
        <v>0</v>
      </c>
      <c r="O860" s="198">
        <f t="shared" si="98"/>
        <v>0</v>
      </c>
      <c r="P860" s="198">
        <f>'02 项目基础信息（输入）'!$I$45</f>
        <v>0</v>
      </c>
      <c r="Q860" s="233">
        <f t="shared" si="99"/>
        <v>0</v>
      </c>
      <c r="S860" s="217" t="s">
        <v>1313</v>
      </c>
      <c r="U860" s="220" t="s">
        <v>2649</v>
      </c>
    </row>
    <row r="861" spans="1:21" ht="0" hidden="1" customHeight="1" outlineLevel="3">
      <c r="A861" s="192" t="s">
        <v>1681</v>
      </c>
      <c r="B861" s="192"/>
      <c r="C861" s="197" t="s">
        <v>1609</v>
      </c>
      <c r="D861" s="198">
        <f>'02 项目基础信息（输入）'!$C$45</f>
        <v>0</v>
      </c>
      <c r="E861" s="199" t="s">
        <v>93</v>
      </c>
      <c r="F861" s="197" t="s">
        <v>1682</v>
      </c>
      <c r="G861" s="238"/>
      <c r="H861" s="199" t="s">
        <v>298</v>
      </c>
      <c r="I861" s="198">
        <f t="shared" ref="I861:I872" si="102">G861*D861</f>
        <v>0</v>
      </c>
      <c r="J861" s="199" t="s">
        <v>93</v>
      </c>
      <c r="K861" s="208"/>
      <c r="L861" s="209" t="s">
        <v>675</v>
      </c>
      <c r="M861" s="207">
        <f t="shared" ref="M861:M872" si="103">ROUND(K861*I861/10000,6)</f>
        <v>0</v>
      </c>
      <c r="N861" s="198">
        <f>'02 项目基础信息（输入）'!$C$45</f>
        <v>0</v>
      </c>
      <c r="O861" s="198">
        <f t="shared" si="98"/>
        <v>0</v>
      </c>
      <c r="P861" s="198">
        <f>'02 项目基础信息（输入）'!$I$45</f>
        <v>0</v>
      </c>
      <c r="Q861" s="233">
        <f t="shared" si="99"/>
        <v>0</v>
      </c>
      <c r="S861" s="217"/>
      <c r="U861" s="220" t="s">
        <v>2650</v>
      </c>
    </row>
    <row r="862" spans="1:21" ht="0" hidden="1" customHeight="1" outlineLevel="3">
      <c r="A862" s="192" t="s">
        <v>1684</v>
      </c>
      <c r="B862" s="192"/>
      <c r="C862" s="197" t="s">
        <v>1609</v>
      </c>
      <c r="D862" s="198">
        <f>'02 项目基础信息（输入）'!$C$45</f>
        <v>0</v>
      </c>
      <c r="E862" s="199" t="s">
        <v>93</v>
      </c>
      <c r="F862" s="197" t="s">
        <v>1682</v>
      </c>
      <c r="G862" s="238"/>
      <c r="H862" s="199" t="s">
        <v>298</v>
      </c>
      <c r="I862" s="198">
        <f t="shared" si="102"/>
        <v>0</v>
      </c>
      <c r="J862" s="199" t="s">
        <v>93</v>
      </c>
      <c r="K862" s="208"/>
      <c r="L862" s="209" t="s">
        <v>675</v>
      </c>
      <c r="M862" s="207">
        <f t="shared" si="103"/>
        <v>0</v>
      </c>
      <c r="N862" s="198">
        <f>'02 项目基础信息（输入）'!$C$45</f>
        <v>0</v>
      </c>
      <c r="O862" s="198">
        <f t="shared" si="98"/>
        <v>0</v>
      </c>
      <c r="P862" s="198">
        <f>'02 项目基础信息（输入）'!$I$45</f>
        <v>0</v>
      </c>
      <c r="Q862" s="233">
        <f t="shared" si="99"/>
        <v>0</v>
      </c>
      <c r="S862" s="217"/>
      <c r="U862" s="220" t="s">
        <v>2651</v>
      </c>
    </row>
    <row r="863" spans="1:21" ht="0" hidden="1" customHeight="1" outlineLevel="3">
      <c r="A863" s="192" t="s">
        <v>2008</v>
      </c>
      <c r="B863" s="192"/>
      <c r="C863" s="197" t="s">
        <v>1609</v>
      </c>
      <c r="D863" s="198">
        <f>'02 项目基础信息（输入）'!$C$45</f>
        <v>0</v>
      </c>
      <c r="E863" s="199" t="s">
        <v>93</v>
      </c>
      <c r="F863" s="197" t="s">
        <v>1682</v>
      </c>
      <c r="G863" s="238"/>
      <c r="H863" s="199" t="s">
        <v>298</v>
      </c>
      <c r="I863" s="198">
        <f t="shared" si="102"/>
        <v>0</v>
      </c>
      <c r="J863" s="199" t="s">
        <v>93</v>
      </c>
      <c r="K863" s="208"/>
      <c r="L863" s="209" t="s">
        <v>675</v>
      </c>
      <c r="M863" s="207">
        <f t="shared" si="103"/>
        <v>0</v>
      </c>
      <c r="N863" s="198">
        <f>'02 项目基础信息（输入）'!$C$45</f>
        <v>0</v>
      </c>
      <c r="O863" s="198">
        <f t="shared" si="98"/>
        <v>0</v>
      </c>
      <c r="P863" s="198">
        <f>'02 项目基础信息（输入）'!$I$45</f>
        <v>0</v>
      </c>
      <c r="Q863" s="233">
        <f t="shared" si="99"/>
        <v>0</v>
      </c>
      <c r="S863" s="217"/>
      <c r="U863" s="220" t="s">
        <v>2652</v>
      </c>
    </row>
    <row r="864" spans="1:21" ht="0" hidden="1" customHeight="1" outlineLevel="3">
      <c r="A864" s="192" t="s">
        <v>2010</v>
      </c>
      <c r="B864" s="192"/>
      <c r="C864" s="197" t="s">
        <v>1609</v>
      </c>
      <c r="D864" s="198">
        <f>'02 项目基础信息（输入）'!$C$45</f>
        <v>0</v>
      </c>
      <c r="E864" s="199" t="s">
        <v>93</v>
      </c>
      <c r="F864" s="197" t="s">
        <v>1682</v>
      </c>
      <c r="G864" s="238"/>
      <c r="H864" s="199" t="s">
        <v>298</v>
      </c>
      <c r="I864" s="198">
        <f t="shared" si="102"/>
        <v>0</v>
      </c>
      <c r="J864" s="199" t="s">
        <v>93</v>
      </c>
      <c r="K864" s="208"/>
      <c r="L864" s="209" t="s">
        <v>675</v>
      </c>
      <c r="M864" s="207">
        <f t="shared" si="103"/>
        <v>0</v>
      </c>
      <c r="N864" s="198">
        <f>'02 项目基础信息（输入）'!$C$45</f>
        <v>0</v>
      </c>
      <c r="O864" s="198">
        <f t="shared" si="98"/>
        <v>0</v>
      </c>
      <c r="P864" s="198">
        <f>'02 项目基础信息（输入）'!$I$45</f>
        <v>0</v>
      </c>
      <c r="Q864" s="233">
        <f t="shared" si="99"/>
        <v>0</v>
      </c>
      <c r="S864" s="217"/>
      <c r="U864" s="220" t="s">
        <v>2653</v>
      </c>
    </row>
    <row r="865" spans="1:21" ht="0" hidden="1" customHeight="1" outlineLevel="3">
      <c r="A865" s="192" t="s">
        <v>2012</v>
      </c>
      <c r="B865" s="192"/>
      <c r="C865" s="197" t="s">
        <v>474</v>
      </c>
      <c r="D865" s="198">
        <f>'02 项目基础信息（输入）'!$AD$45</f>
        <v>0</v>
      </c>
      <c r="E865" s="199" t="s">
        <v>400</v>
      </c>
      <c r="F865" s="197" t="s">
        <v>1682</v>
      </c>
      <c r="G865" s="238"/>
      <c r="H865" s="199" t="s">
        <v>411</v>
      </c>
      <c r="I865" s="198">
        <f t="shared" si="102"/>
        <v>0</v>
      </c>
      <c r="J865" s="199" t="s">
        <v>93</v>
      </c>
      <c r="K865" s="208"/>
      <c r="L865" s="209" t="s">
        <v>675</v>
      </c>
      <c r="M865" s="207">
        <f t="shared" si="103"/>
        <v>0</v>
      </c>
      <c r="N865" s="198">
        <f>'02 项目基础信息（输入）'!$C$45</f>
        <v>0</v>
      </c>
      <c r="O865" s="198">
        <f t="shared" si="98"/>
        <v>0</v>
      </c>
      <c r="P865" s="198">
        <f>'02 项目基础信息（输入）'!$I$45</f>
        <v>0</v>
      </c>
      <c r="Q865" s="233">
        <f t="shared" si="99"/>
        <v>0</v>
      </c>
      <c r="S865" s="217"/>
      <c r="U865" s="220" t="s">
        <v>2654</v>
      </c>
    </row>
    <row r="866" spans="1:21" ht="0" hidden="1" customHeight="1" outlineLevel="3">
      <c r="A866" s="192" t="s">
        <v>2014</v>
      </c>
      <c r="B866" s="192"/>
      <c r="C866" s="197" t="s">
        <v>474</v>
      </c>
      <c r="D866" s="198">
        <f>'02 项目基础信息（输入）'!$AD$45</f>
        <v>0</v>
      </c>
      <c r="E866" s="199" t="s">
        <v>400</v>
      </c>
      <c r="F866" s="197" t="s">
        <v>1682</v>
      </c>
      <c r="G866" s="238"/>
      <c r="H866" s="199" t="s">
        <v>411</v>
      </c>
      <c r="I866" s="198">
        <f t="shared" si="102"/>
        <v>0</v>
      </c>
      <c r="J866" s="199" t="s">
        <v>93</v>
      </c>
      <c r="K866" s="208"/>
      <c r="L866" s="209" t="s">
        <v>675</v>
      </c>
      <c r="M866" s="207">
        <f t="shared" si="103"/>
        <v>0</v>
      </c>
      <c r="N866" s="198">
        <f>'02 项目基础信息（输入）'!$C$45</f>
        <v>0</v>
      </c>
      <c r="O866" s="198">
        <f t="shared" si="98"/>
        <v>0</v>
      </c>
      <c r="P866" s="198">
        <f>'02 项目基础信息（输入）'!$I$45</f>
        <v>0</v>
      </c>
      <c r="Q866" s="233">
        <f t="shared" si="99"/>
        <v>0</v>
      </c>
      <c r="S866" s="217"/>
      <c r="U866" s="220" t="s">
        <v>2655</v>
      </c>
    </row>
    <row r="867" spans="1:21" ht="0" hidden="1" customHeight="1" outlineLevel="3">
      <c r="A867" s="192" t="s">
        <v>2016</v>
      </c>
      <c r="B867" s="192"/>
      <c r="C867" s="197" t="s">
        <v>1609</v>
      </c>
      <c r="D867" s="198">
        <f>'02 项目基础信息（输入）'!$C$45</f>
        <v>0</v>
      </c>
      <c r="E867" s="199" t="s">
        <v>93</v>
      </c>
      <c r="F867" s="197" t="s">
        <v>1682</v>
      </c>
      <c r="G867" s="238"/>
      <c r="H867" s="199" t="s">
        <v>298</v>
      </c>
      <c r="I867" s="198">
        <f t="shared" si="102"/>
        <v>0</v>
      </c>
      <c r="J867" s="199" t="s">
        <v>93</v>
      </c>
      <c r="K867" s="208"/>
      <c r="L867" s="209" t="s">
        <v>675</v>
      </c>
      <c r="M867" s="207">
        <f t="shared" si="103"/>
        <v>0</v>
      </c>
      <c r="N867" s="198">
        <f>'02 项目基础信息（输入）'!$C$45</f>
        <v>0</v>
      </c>
      <c r="O867" s="198">
        <f t="shared" si="98"/>
        <v>0</v>
      </c>
      <c r="P867" s="198">
        <f>'02 项目基础信息（输入）'!$I$45</f>
        <v>0</v>
      </c>
      <c r="Q867" s="233">
        <f t="shared" si="99"/>
        <v>0</v>
      </c>
      <c r="S867" s="217"/>
      <c r="U867" s="220" t="s">
        <v>2656</v>
      </c>
    </row>
    <row r="868" spans="1:21" ht="0" hidden="1" customHeight="1" outlineLevel="3">
      <c r="A868" s="192" t="s">
        <v>2018</v>
      </c>
      <c r="B868" s="192"/>
      <c r="C868" s="197" t="s">
        <v>1609</v>
      </c>
      <c r="D868" s="198">
        <f>'02 项目基础信息（输入）'!$C$45</f>
        <v>0</v>
      </c>
      <c r="E868" s="199" t="s">
        <v>93</v>
      </c>
      <c r="F868" s="197" t="s">
        <v>1682</v>
      </c>
      <c r="G868" s="238"/>
      <c r="H868" s="199" t="s">
        <v>298</v>
      </c>
      <c r="I868" s="198">
        <f t="shared" si="102"/>
        <v>0</v>
      </c>
      <c r="J868" s="199" t="s">
        <v>93</v>
      </c>
      <c r="K868" s="208"/>
      <c r="L868" s="209" t="s">
        <v>675</v>
      </c>
      <c r="M868" s="207">
        <f t="shared" si="103"/>
        <v>0</v>
      </c>
      <c r="N868" s="198">
        <f>'02 项目基础信息（输入）'!$C$45</f>
        <v>0</v>
      </c>
      <c r="O868" s="198">
        <f t="shared" si="98"/>
        <v>0</v>
      </c>
      <c r="P868" s="198">
        <f>'02 项目基础信息（输入）'!$I$45</f>
        <v>0</v>
      </c>
      <c r="Q868" s="233">
        <f t="shared" si="99"/>
        <v>0</v>
      </c>
      <c r="S868" s="217"/>
      <c r="U868" s="220" t="s">
        <v>2657</v>
      </c>
    </row>
    <row r="869" spans="1:21" ht="0" hidden="1" customHeight="1" outlineLevel="3">
      <c r="A869" s="192" t="s">
        <v>2020</v>
      </c>
      <c r="B869" s="192"/>
      <c r="C869" s="197" t="s">
        <v>1609</v>
      </c>
      <c r="D869" s="198">
        <f>'02 项目基础信息（输入）'!$C$45</f>
        <v>0</v>
      </c>
      <c r="E869" s="199" t="s">
        <v>93</v>
      </c>
      <c r="F869" s="197" t="s">
        <v>1682</v>
      </c>
      <c r="G869" s="238"/>
      <c r="H869" s="199" t="s">
        <v>298</v>
      </c>
      <c r="I869" s="198">
        <f t="shared" si="102"/>
        <v>0</v>
      </c>
      <c r="J869" s="199" t="s">
        <v>93</v>
      </c>
      <c r="K869" s="208"/>
      <c r="L869" s="209" t="s">
        <v>675</v>
      </c>
      <c r="M869" s="207">
        <f t="shared" si="103"/>
        <v>0</v>
      </c>
      <c r="N869" s="198">
        <f>'02 项目基础信息（输入）'!$C$45</f>
        <v>0</v>
      </c>
      <c r="O869" s="198">
        <f t="shared" si="98"/>
        <v>0</v>
      </c>
      <c r="P869" s="198">
        <f>'02 项目基础信息（输入）'!$I$45</f>
        <v>0</v>
      </c>
      <c r="Q869" s="233">
        <f t="shared" si="99"/>
        <v>0</v>
      </c>
      <c r="S869" s="217"/>
      <c r="U869" s="220" t="s">
        <v>2658</v>
      </c>
    </row>
    <row r="870" spans="1:21" ht="0" hidden="1" customHeight="1" outlineLevel="3">
      <c r="A870" s="192" t="s">
        <v>2022</v>
      </c>
      <c r="B870" s="192"/>
      <c r="C870" s="197" t="s">
        <v>1609</v>
      </c>
      <c r="D870" s="198">
        <f>'02 项目基础信息（输入）'!$C$45</f>
        <v>0</v>
      </c>
      <c r="E870" s="199" t="s">
        <v>93</v>
      </c>
      <c r="F870" s="197" t="s">
        <v>1682</v>
      </c>
      <c r="G870" s="238"/>
      <c r="H870" s="199" t="s">
        <v>298</v>
      </c>
      <c r="I870" s="198">
        <f t="shared" si="102"/>
        <v>0</v>
      </c>
      <c r="J870" s="199" t="s">
        <v>93</v>
      </c>
      <c r="K870" s="208"/>
      <c r="L870" s="209" t="s">
        <v>675</v>
      </c>
      <c r="M870" s="207">
        <f t="shared" si="103"/>
        <v>0</v>
      </c>
      <c r="N870" s="198">
        <f>'02 项目基础信息（输入）'!$C$45</f>
        <v>0</v>
      </c>
      <c r="O870" s="198">
        <f t="shared" si="98"/>
        <v>0</v>
      </c>
      <c r="P870" s="198">
        <f>'02 项目基础信息（输入）'!$I$45</f>
        <v>0</v>
      </c>
      <c r="Q870" s="233">
        <f t="shared" si="99"/>
        <v>0</v>
      </c>
      <c r="S870" s="217"/>
      <c r="U870" s="220" t="s">
        <v>2659</v>
      </c>
    </row>
    <row r="871" spans="1:21" ht="0" hidden="1" customHeight="1" outlineLevel="3">
      <c r="A871" s="192" t="s">
        <v>1694</v>
      </c>
      <c r="B871" s="192"/>
      <c r="C871" s="197" t="s">
        <v>1609</v>
      </c>
      <c r="D871" s="198">
        <f>'02 项目基础信息（输入）'!$C$45</f>
        <v>0</v>
      </c>
      <c r="E871" s="199" t="s">
        <v>93</v>
      </c>
      <c r="F871" s="197" t="s">
        <v>1682</v>
      </c>
      <c r="G871" s="238"/>
      <c r="H871" s="199" t="s">
        <v>298</v>
      </c>
      <c r="I871" s="198">
        <f t="shared" si="102"/>
        <v>0</v>
      </c>
      <c r="J871" s="199" t="s">
        <v>93</v>
      </c>
      <c r="K871" s="208"/>
      <c r="L871" s="209" t="s">
        <v>675</v>
      </c>
      <c r="M871" s="207">
        <f t="shared" si="103"/>
        <v>0</v>
      </c>
      <c r="N871" s="198">
        <f>'02 项目基础信息（输入）'!$C$45</f>
        <v>0</v>
      </c>
      <c r="O871" s="198">
        <f t="shared" si="98"/>
        <v>0</v>
      </c>
      <c r="P871" s="198">
        <f>'02 项目基础信息（输入）'!$I$45</f>
        <v>0</v>
      </c>
      <c r="Q871" s="233">
        <f t="shared" si="99"/>
        <v>0</v>
      </c>
      <c r="S871" s="217"/>
      <c r="U871" s="220" t="s">
        <v>2660</v>
      </c>
    </row>
    <row r="872" spans="1:21" ht="0" hidden="1" customHeight="1" outlineLevel="3">
      <c r="A872" s="192" t="s">
        <v>1696</v>
      </c>
      <c r="B872" s="192"/>
      <c r="C872" s="197" t="s">
        <v>1609</v>
      </c>
      <c r="D872" s="198">
        <f>'02 项目基础信息（输入）'!$C$45</f>
        <v>0</v>
      </c>
      <c r="E872" s="199" t="s">
        <v>93</v>
      </c>
      <c r="F872" s="197" t="s">
        <v>1682</v>
      </c>
      <c r="G872" s="238"/>
      <c r="H872" s="199" t="s">
        <v>298</v>
      </c>
      <c r="I872" s="198">
        <f t="shared" si="102"/>
        <v>0</v>
      </c>
      <c r="J872" s="199" t="s">
        <v>93</v>
      </c>
      <c r="K872" s="208"/>
      <c r="L872" s="209" t="s">
        <v>675</v>
      </c>
      <c r="M872" s="207">
        <f t="shared" si="103"/>
        <v>0</v>
      </c>
      <c r="N872" s="198">
        <f>'02 项目基础信息（输入）'!$C$45</f>
        <v>0</v>
      </c>
      <c r="O872" s="198">
        <f t="shared" si="98"/>
        <v>0</v>
      </c>
      <c r="P872" s="198">
        <f>'02 项目基础信息（输入）'!$I$45</f>
        <v>0</v>
      </c>
      <c r="Q872" s="233">
        <f t="shared" si="99"/>
        <v>0</v>
      </c>
      <c r="S872" s="217"/>
      <c r="U872" s="220" t="s">
        <v>2661</v>
      </c>
    </row>
    <row r="873" spans="1:21" ht="0" hidden="1" customHeight="1" outlineLevel="2">
      <c r="A873" s="192" t="s">
        <v>1698</v>
      </c>
      <c r="B873" s="192"/>
      <c r="C873" s="197" t="s">
        <v>1609</v>
      </c>
      <c r="D873" s="198">
        <f>'02 项目基础信息（输入）'!$C$45</f>
        <v>0</v>
      </c>
      <c r="E873" s="199" t="s">
        <v>93</v>
      </c>
      <c r="F873" s="197"/>
      <c r="G873" s="199"/>
      <c r="H873" s="199"/>
      <c r="I873" s="197"/>
      <c r="J873" s="199"/>
      <c r="K873" s="207"/>
      <c r="L873" s="209"/>
      <c r="M873" s="198">
        <f>ROUND(SUM(M874:M875),6)</f>
        <v>0</v>
      </c>
      <c r="N873" s="198">
        <f>'02 项目基础信息（输入）'!$C$45</f>
        <v>0</v>
      </c>
      <c r="O873" s="198">
        <f t="shared" si="98"/>
        <v>0</v>
      </c>
      <c r="P873" s="198">
        <f>'02 项目基础信息（输入）'!$I$45</f>
        <v>0</v>
      </c>
      <c r="Q873" s="233">
        <f t="shared" si="99"/>
        <v>0</v>
      </c>
      <c r="S873" s="217" t="s">
        <v>1313</v>
      </c>
      <c r="U873" s="220" t="s">
        <v>2662</v>
      </c>
    </row>
    <row r="874" spans="1:21" ht="0" hidden="1" customHeight="1" outlineLevel="3">
      <c r="A874" s="192" t="s">
        <v>1700</v>
      </c>
      <c r="B874" s="192"/>
      <c r="C874" s="197" t="s">
        <v>1609</v>
      </c>
      <c r="D874" s="198">
        <f>'02 项目基础信息（输入）'!$C$45</f>
        <v>0</v>
      </c>
      <c r="E874" s="199" t="s">
        <v>93</v>
      </c>
      <c r="F874" s="197" t="s">
        <v>1701</v>
      </c>
      <c r="G874" s="238"/>
      <c r="H874" s="199" t="s">
        <v>298</v>
      </c>
      <c r="I874" s="198">
        <f>G874*D874</f>
        <v>0</v>
      </c>
      <c r="J874" s="199" t="s">
        <v>93</v>
      </c>
      <c r="K874" s="208"/>
      <c r="L874" s="209" t="s">
        <v>675</v>
      </c>
      <c r="M874" s="207">
        <f>ROUND(K874*I874/10000,6)</f>
        <v>0</v>
      </c>
      <c r="N874" s="198">
        <f>'02 项目基础信息（输入）'!$C$45</f>
        <v>0</v>
      </c>
      <c r="O874" s="198">
        <f t="shared" si="98"/>
        <v>0</v>
      </c>
      <c r="P874" s="198">
        <f>'02 项目基础信息（输入）'!$I$45</f>
        <v>0</v>
      </c>
      <c r="Q874" s="233">
        <f t="shared" si="99"/>
        <v>0</v>
      </c>
      <c r="S874" s="217"/>
      <c r="U874" s="220" t="s">
        <v>2663</v>
      </c>
    </row>
    <row r="875" spans="1:21" ht="0" hidden="1" customHeight="1" outlineLevel="3">
      <c r="A875" s="192" t="s">
        <v>1703</v>
      </c>
      <c r="B875" s="192"/>
      <c r="C875" s="197" t="s">
        <v>1609</v>
      </c>
      <c r="D875" s="198">
        <f>'02 项目基础信息（输入）'!$C$45</f>
        <v>0</v>
      </c>
      <c r="E875" s="199" t="s">
        <v>93</v>
      </c>
      <c r="F875" s="197" t="s">
        <v>1704</v>
      </c>
      <c r="G875" s="238"/>
      <c r="H875" s="199" t="s">
        <v>298</v>
      </c>
      <c r="I875" s="198">
        <f>G875*D875</f>
        <v>0</v>
      </c>
      <c r="J875" s="199" t="s">
        <v>93</v>
      </c>
      <c r="K875" s="208"/>
      <c r="L875" s="209" t="s">
        <v>675</v>
      </c>
      <c r="M875" s="207">
        <f>ROUND(K875*I875/10000,6)</f>
        <v>0</v>
      </c>
      <c r="N875" s="198">
        <f>'02 项目基础信息（输入）'!$C$45</f>
        <v>0</v>
      </c>
      <c r="O875" s="198">
        <f t="shared" si="98"/>
        <v>0</v>
      </c>
      <c r="P875" s="198">
        <f>'02 项目基础信息（输入）'!$I$45</f>
        <v>0</v>
      </c>
      <c r="Q875" s="233">
        <f t="shared" si="99"/>
        <v>0</v>
      </c>
      <c r="S875" s="217"/>
      <c r="U875" s="220" t="s">
        <v>2664</v>
      </c>
    </row>
    <row r="876" spans="1:21" ht="0" hidden="1" customHeight="1" outlineLevel="2">
      <c r="A876" s="192" t="s">
        <v>1706</v>
      </c>
      <c r="B876" s="192"/>
      <c r="C876" s="197" t="s">
        <v>1609</v>
      </c>
      <c r="D876" s="198">
        <f>'02 项目基础信息（输入）'!$C$45</f>
        <v>0</v>
      </c>
      <c r="E876" s="199" t="s">
        <v>93</v>
      </c>
      <c r="F876" s="197"/>
      <c r="G876" s="199"/>
      <c r="H876" s="199"/>
      <c r="I876" s="197"/>
      <c r="J876" s="199"/>
      <c r="K876" s="207"/>
      <c r="L876" s="209"/>
      <c r="M876" s="198">
        <f>ROUND(SUM(M877:M878),6)</f>
        <v>0</v>
      </c>
      <c r="N876" s="198">
        <f>'02 项目基础信息（输入）'!$C$45</f>
        <v>0</v>
      </c>
      <c r="O876" s="198">
        <f t="shared" si="98"/>
        <v>0</v>
      </c>
      <c r="P876" s="198">
        <f>'02 项目基础信息（输入）'!$I$45</f>
        <v>0</v>
      </c>
      <c r="Q876" s="233">
        <f t="shared" si="99"/>
        <v>0</v>
      </c>
      <c r="S876" s="217" t="s">
        <v>1313</v>
      </c>
      <c r="U876" s="220" t="s">
        <v>2665</v>
      </c>
    </row>
    <row r="877" spans="1:21" ht="0" hidden="1" customHeight="1" outlineLevel="3">
      <c r="A877" s="192" t="s">
        <v>1708</v>
      </c>
      <c r="B877" s="192"/>
      <c r="C877" s="197" t="s">
        <v>1609</v>
      </c>
      <c r="D877" s="198">
        <f>'02 项目基础信息（输入）'!$C$45</f>
        <v>0</v>
      </c>
      <c r="E877" s="199" t="s">
        <v>93</v>
      </c>
      <c r="F877" s="197" t="s">
        <v>1648</v>
      </c>
      <c r="G877" s="238"/>
      <c r="H877" s="199" t="s">
        <v>298</v>
      </c>
      <c r="I877" s="198">
        <f>G877*D877</f>
        <v>0</v>
      </c>
      <c r="J877" s="199" t="s">
        <v>93</v>
      </c>
      <c r="K877" s="208"/>
      <c r="L877" s="209" t="s">
        <v>675</v>
      </c>
      <c r="M877" s="207">
        <f>ROUND(K877*I877/10000,6)</f>
        <v>0</v>
      </c>
      <c r="N877" s="198">
        <f>'02 项目基础信息（输入）'!$C$45</f>
        <v>0</v>
      </c>
      <c r="O877" s="198">
        <f t="shared" si="98"/>
        <v>0</v>
      </c>
      <c r="P877" s="198">
        <f>'02 项目基础信息（输入）'!$I$45</f>
        <v>0</v>
      </c>
      <c r="Q877" s="233">
        <f t="shared" si="99"/>
        <v>0</v>
      </c>
      <c r="S877" s="217"/>
      <c r="U877" s="220" t="s">
        <v>2666</v>
      </c>
    </row>
    <row r="878" spans="1:21" ht="0" hidden="1" customHeight="1" outlineLevel="3">
      <c r="A878" s="192" t="s">
        <v>1710</v>
      </c>
      <c r="B878" s="192"/>
      <c r="C878" s="197" t="s">
        <v>1609</v>
      </c>
      <c r="D878" s="198">
        <f>'02 项目基础信息（输入）'!$C$45</f>
        <v>0</v>
      </c>
      <c r="E878" s="199" t="s">
        <v>93</v>
      </c>
      <c r="F878" s="197" t="s">
        <v>1648</v>
      </c>
      <c r="G878" s="238"/>
      <c r="H878" s="199" t="s">
        <v>298</v>
      </c>
      <c r="I878" s="198">
        <f>G878*D878</f>
        <v>0</v>
      </c>
      <c r="J878" s="199" t="s">
        <v>93</v>
      </c>
      <c r="K878" s="208"/>
      <c r="L878" s="209" t="s">
        <v>675</v>
      </c>
      <c r="M878" s="207">
        <f>ROUND(K878*I878/10000,6)</f>
        <v>0</v>
      </c>
      <c r="N878" s="198">
        <f>'02 项目基础信息（输入）'!$C$45</f>
        <v>0</v>
      </c>
      <c r="O878" s="198">
        <f t="shared" si="98"/>
        <v>0</v>
      </c>
      <c r="P878" s="198">
        <f>'02 项目基础信息（输入）'!$I$45</f>
        <v>0</v>
      </c>
      <c r="Q878" s="233">
        <f t="shared" si="99"/>
        <v>0</v>
      </c>
      <c r="S878" s="217"/>
      <c r="U878" s="220" t="s">
        <v>2667</v>
      </c>
    </row>
    <row r="879" spans="1:21" ht="0" hidden="1" customHeight="1" outlineLevel="2">
      <c r="A879" s="192" t="s">
        <v>1712</v>
      </c>
      <c r="B879" s="192"/>
      <c r="C879" s="197" t="s">
        <v>1609</v>
      </c>
      <c r="D879" s="198">
        <f>'02 项目基础信息（输入）'!$C$45</f>
        <v>0</v>
      </c>
      <c r="E879" s="199" t="s">
        <v>93</v>
      </c>
      <c r="F879" s="197"/>
      <c r="G879" s="199"/>
      <c r="H879" s="199"/>
      <c r="I879" s="197"/>
      <c r="J879" s="199"/>
      <c r="K879" s="207"/>
      <c r="L879" s="209"/>
      <c r="M879" s="198">
        <f>ROUND(SUM(M880:M897),6)</f>
        <v>0</v>
      </c>
      <c r="N879" s="198">
        <f>'02 项目基础信息（输入）'!$C$45</f>
        <v>0</v>
      </c>
      <c r="O879" s="198">
        <f t="shared" si="98"/>
        <v>0</v>
      </c>
      <c r="P879" s="198">
        <f>'02 项目基础信息（输入）'!$I$45</f>
        <v>0</v>
      </c>
      <c r="Q879" s="233">
        <f t="shared" si="99"/>
        <v>0</v>
      </c>
      <c r="S879" s="217" t="s">
        <v>1313</v>
      </c>
      <c r="U879" s="220" t="s">
        <v>2668</v>
      </c>
    </row>
    <row r="880" spans="1:21" ht="0" hidden="1" customHeight="1" outlineLevel="3">
      <c r="A880" s="192" t="s">
        <v>1714</v>
      </c>
      <c r="B880" s="192"/>
      <c r="C880" s="197" t="s">
        <v>1609</v>
      </c>
      <c r="D880" s="198">
        <f>'02 项目基础信息（输入）'!$C$45</f>
        <v>0</v>
      </c>
      <c r="E880" s="199" t="s">
        <v>93</v>
      </c>
      <c r="F880" s="197" t="s">
        <v>1609</v>
      </c>
      <c r="G880" s="199">
        <v>1</v>
      </c>
      <c r="H880" s="199" t="s">
        <v>298</v>
      </c>
      <c r="I880" s="198">
        <f t="shared" ref="I880:I897" si="104">G880*D880</f>
        <v>0</v>
      </c>
      <c r="J880" s="199" t="s">
        <v>93</v>
      </c>
      <c r="K880" s="208"/>
      <c r="L880" s="209" t="s">
        <v>675</v>
      </c>
      <c r="M880" s="207">
        <f t="shared" ref="M880:M897" si="105">ROUND(K880*I880/10000,6)</f>
        <v>0</v>
      </c>
      <c r="N880" s="198">
        <f>'02 项目基础信息（输入）'!$C$45</f>
        <v>0</v>
      </c>
      <c r="O880" s="198">
        <f t="shared" si="98"/>
        <v>0</v>
      </c>
      <c r="P880" s="198">
        <f>'02 项目基础信息（输入）'!$I$45</f>
        <v>0</v>
      </c>
      <c r="Q880" s="233">
        <f t="shared" si="99"/>
        <v>0</v>
      </c>
      <c r="S880" s="217"/>
      <c r="U880" s="220" t="s">
        <v>2669</v>
      </c>
    </row>
    <row r="881" spans="1:21" ht="0" hidden="1" customHeight="1" outlineLevel="3">
      <c r="A881" s="192" t="s">
        <v>1717</v>
      </c>
      <c r="B881" s="192"/>
      <c r="C881" s="197" t="s">
        <v>1609</v>
      </c>
      <c r="D881" s="198">
        <f>'02 项目基础信息（输入）'!$C$45</f>
        <v>0</v>
      </c>
      <c r="E881" s="199" t="s">
        <v>93</v>
      </c>
      <c r="F881" s="197" t="s">
        <v>1609</v>
      </c>
      <c r="G881" s="199">
        <v>1</v>
      </c>
      <c r="H881" s="199" t="s">
        <v>298</v>
      </c>
      <c r="I881" s="198">
        <f t="shared" si="104"/>
        <v>0</v>
      </c>
      <c r="J881" s="199" t="s">
        <v>93</v>
      </c>
      <c r="K881" s="208"/>
      <c r="L881" s="209" t="s">
        <v>675</v>
      </c>
      <c r="M881" s="207">
        <f t="shared" si="105"/>
        <v>0</v>
      </c>
      <c r="N881" s="198">
        <f>'02 项目基础信息（输入）'!$C$45</f>
        <v>0</v>
      </c>
      <c r="O881" s="198">
        <f t="shared" si="98"/>
        <v>0</v>
      </c>
      <c r="P881" s="198">
        <f>'02 项目基础信息（输入）'!$I$45</f>
        <v>0</v>
      </c>
      <c r="Q881" s="233">
        <f t="shared" si="99"/>
        <v>0</v>
      </c>
      <c r="S881" s="217"/>
      <c r="U881" s="220" t="s">
        <v>2670</v>
      </c>
    </row>
    <row r="882" spans="1:21" ht="0" hidden="1" customHeight="1" outlineLevel="3">
      <c r="A882" s="192" t="s">
        <v>1719</v>
      </c>
      <c r="B882" s="192"/>
      <c r="C882" s="197" t="s">
        <v>1609</v>
      </c>
      <c r="D882" s="198">
        <f>'02 项目基础信息（输入）'!$C$45</f>
        <v>0</v>
      </c>
      <c r="E882" s="199" t="s">
        <v>93</v>
      </c>
      <c r="F882" s="197" t="s">
        <v>1609</v>
      </c>
      <c r="G882" s="199">
        <v>1</v>
      </c>
      <c r="H882" s="199" t="s">
        <v>298</v>
      </c>
      <c r="I882" s="198">
        <f t="shared" si="104"/>
        <v>0</v>
      </c>
      <c r="J882" s="199" t="s">
        <v>93</v>
      </c>
      <c r="K882" s="208"/>
      <c r="L882" s="209" t="s">
        <v>675</v>
      </c>
      <c r="M882" s="207">
        <f t="shared" si="105"/>
        <v>0</v>
      </c>
      <c r="N882" s="198">
        <f>'02 项目基础信息（输入）'!$C$45</f>
        <v>0</v>
      </c>
      <c r="O882" s="198">
        <f t="shared" si="98"/>
        <v>0</v>
      </c>
      <c r="P882" s="198">
        <f>'02 项目基础信息（输入）'!$I$45</f>
        <v>0</v>
      </c>
      <c r="Q882" s="233">
        <f t="shared" si="99"/>
        <v>0</v>
      </c>
      <c r="S882" s="217"/>
      <c r="U882" s="220" t="s">
        <v>2671</v>
      </c>
    </row>
    <row r="883" spans="1:21" ht="0" hidden="1" customHeight="1" outlineLevel="3">
      <c r="A883" s="192" t="s">
        <v>1721</v>
      </c>
      <c r="B883" s="192"/>
      <c r="C883" s="197" t="s">
        <v>1609</v>
      </c>
      <c r="D883" s="198">
        <f>'02 项目基础信息（输入）'!$C$45</f>
        <v>0</v>
      </c>
      <c r="E883" s="199" t="s">
        <v>93</v>
      </c>
      <c r="F883" s="197" t="s">
        <v>1609</v>
      </c>
      <c r="G883" s="199">
        <v>1</v>
      </c>
      <c r="H883" s="199" t="s">
        <v>298</v>
      </c>
      <c r="I883" s="198">
        <f t="shared" si="104"/>
        <v>0</v>
      </c>
      <c r="J883" s="199" t="s">
        <v>93</v>
      </c>
      <c r="K883" s="208"/>
      <c r="L883" s="209" t="s">
        <v>675</v>
      </c>
      <c r="M883" s="207">
        <f t="shared" si="105"/>
        <v>0</v>
      </c>
      <c r="N883" s="198">
        <f>'02 项目基础信息（输入）'!$C$45</f>
        <v>0</v>
      </c>
      <c r="O883" s="198">
        <f t="shared" si="98"/>
        <v>0</v>
      </c>
      <c r="P883" s="198">
        <f>'02 项目基础信息（输入）'!$I$45</f>
        <v>0</v>
      </c>
      <c r="Q883" s="233">
        <f t="shared" si="99"/>
        <v>0</v>
      </c>
      <c r="S883" s="217"/>
      <c r="U883" s="220" t="s">
        <v>2672</v>
      </c>
    </row>
    <row r="884" spans="1:21" ht="0" hidden="1" customHeight="1" outlineLevel="3">
      <c r="A884" s="192" t="s">
        <v>1723</v>
      </c>
      <c r="B884" s="192"/>
      <c r="C884" s="197" t="s">
        <v>1609</v>
      </c>
      <c r="D884" s="198">
        <f>'02 项目基础信息（输入）'!$C$45</f>
        <v>0</v>
      </c>
      <c r="E884" s="199" t="s">
        <v>93</v>
      </c>
      <c r="F884" s="197" t="s">
        <v>1609</v>
      </c>
      <c r="G884" s="199">
        <v>1</v>
      </c>
      <c r="H884" s="199" t="s">
        <v>298</v>
      </c>
      <c r="I884" s="198">
        <f t="shared" si="104"/>
        <v>0</v>
      </c>
      <c r="J884" s="199" t="s">
        <v>93</v>
      </c>
      <c r="K884" s="208"/>
      <c r="L884" s="209" t="s">
        <v>675</v>
      </c>
      <c r="M884" s="207">
        <f t="shared" si="105"/>
        <v>0</v>
      </c>
      <c r="N884" s="198">
        <f>'02 项目基础信息（输入）'!$C$45</f>
        <v>0</v>
      </c>
      <c r="O884" s="198">
        <f t="shared" si="98"/>
        <v>0</v>
      </c>
      <c r="P884" s="198">
        <f>'02 项目基础信息（输入）'!$I$45</f>
        <v>0</v>
      </c>
      <c r="Q884" s="233">
        <f t="shared" si="99"/>
        <v>0</v>
      </c>
      <c r="S884" s="217"/>
      <c r="U884" s="220" t="s">
        <v>2673</v>
      </c>
    </row>
    <row r="885" spans="1:21" ht="0" hidden="1" customHeight="1" outlineLevel="3">
      <c r="A885" s="192" t="s">
        <v>1725</v>
      </c>
      <c r="B885" s="192"/>
      <c r="C885" s="197" t="s">
        <v>1609</v>
      </c>
      <c r="D885" s="198">
        <f>'02 项目基础信息（输入）'!$C$45</f>
        <v>0</v>
      </c>
      <c r="E885" s="199" t="s">
        <v>93</v>
      </c>
      <c r="F885" s="197" t="s">
        <v>1609</v>
      </c>
      <c r="G885" s="199">
        <v>1</v>
      </c>
      <c r="H885" s="199" t="s">
        <v>298</v>
      </c>
      <c r="I885" s="198">
        <f t="shared" si="104"/>
        <v>0</v>
      </c>
      <c r="J885" s="199" t="s">
        <v>93</v>
      </c>
      <c r="K885" s="208"/>
      <c r="L885" s="209" t="s">
        <v>675</v>
      </c>
      <c r="M885" s="207">
        <f t="shared" si="105"/>
        <v>0</v>
      </c>
      <c r="N885" s="198">
        <f>'02 项目基础信息（输入）'!$C$45</f>
        <v>0</v>
      </c>
      <c r="O885" s="198">
        <f t="shared" si="98"/>
        <v>0</v>
      </c>
      <c r="P885" s="198">
        <f>'02 项目基础信息（输入）'!$I$45</f>
        <v>0</v>
      </c>
      <c r="Q885" s="233">
        <f t="shared" si="99"/>
        <v>0</v>
      </c>
      <c r="S885" s="217"/>
      <c r="U885" s="220" t="s">
        <v>2674</v>
      </c>
    </row>
    <row r="886" spans="1:21" ht="0" hidden="1" customHeight="1" outlineLevel="3">
      <c r="A886" s="192" t="s">
        <v>1727</v>
      </c>
      <c r="B886" s="192"/>
      <c r="C886" s="197" t="s">
        <v>1609</v>
      </c>
      <c r="D886" s="198">
        <f>'02 项目基础信息（输入）'!$C$45</f>
        <v>0</v>
      </c>
      <c r="E886" s="199" t="s">
        <v>93</v>
      </c>
      <c r="F886" s="197" t="s">
        <v>1609</v>
      </c>
      <c r="G886" s="199">
        <v>1</v>
      </c>
      <c r="H886" s="199" t="s">
        <v>298</v>
      </c>
      <c r="I886" s="198">
        <f t="shared" si="104"/>
        <v>0</v>
      </c>
      <c r="J886" s="199" t="s">
        <v>93</v>
      </c>
      <c r="K886" s="208"/>
      <c r="L886" s="209" t="s">
        <v>675</v>
      </c>
      <c r="M886" s="207">
        <f t="shared" si="105"/>
        <v>0</v>
      </c>
      <c r="N886" s="198">
        <f>'02 项目基础信息（输入）'!$C$45</f>
        <v>0</v>
      </c>
      <c r="O886" s="198">
        <f t="shared" si="98"/>
        <v>0</v>
      </c>
      <c r="P886" s="198">
        <f>'02 项目基础信息（输入）'!$I$45</f>
        <v>0</v>
      </c>
      <c r="Q886" s="233">
        <f t="shared" si="99"/>
        <v>0</v>
      </c>
      <c r="S886" s="217"/>
      <c r="U886" s="220" t="s">
        <v>2675</v>
      </c>
    </row>
    <row r="887" spans="1:21" ht="0" hidden="1" customHeight="1" outlineLevel="3">
      <c r="A887" s="192" t="s">
        <v>1729</v>
      </c>
      <c r="B887" s="192"/>
      <c r="C887" s="197" t="s">
        <v>1609</v>
      </c>
      <c r="D887" s="198">
        <f>'02 项目基础信息（输入）'!$C$45</f>
        <v>0</v>
      </c>
      <c r="E887" s="199" t="s">
        <v>93</v>
      </c>
      <c r="F887" s="197" t="s">
        <v>1609</v>
      </c>
      <c r="G887" s="199">
        <v>1</v>
      </c>
      <c r="H887" s="199" t="s">
        <v>298</v>
      </c>
      <c r="I887" s="198">
        <f t="shared" si="104"/>
        <v>0</v>
      </c>
      <c r="J887" s="199" t="s">
        <v>93</v>
      </c>
      <c r="K887" s="208"/>
      <c r="L887" s="209" t="s">
        <v>675</v>
      </c>
      <c r="M887" s="207">
        <f t="shared" si="105"/>
        <v>0</v>
      </c>
      <c r="N887" s="198">
        <f>'02 项目基础信息（输入）'!$C$45</f>
        <v>0</v>
      </c>
      <c r="O887" s="198">
        <f t="shared" si="98"/>
        <v>0</v>
      </c>
      <c r="P887" s="198">
        <f>'02 项目基础信息（输入）'!$I$45</f>
        <v>0</v>
      </c>
      <c r="Q887" s="233">
        <f t="shared" si="99"/>
        <v>0</v>
      </c>
      <c r="S887" s="217"/>
      <c r="U887" s="220" t="s">
        <v>2676</v>
      </c>
    </row>
    <row r="888" spans="1:21" ht="0" hidden="1" customHeight="1" outlineLevel="3">
      <c r="A888" s="192" t="s">
        <v>1731</v>
      </c>
      <c r="B888" s="192"/>
      <c r="C888" s="197" t="s">
        <v>1609</v>
      </c>
      <c r="D888" s="198">
        <f>'02 项目基础信息（输入）'!$C$45</f>
        <v>0</v>
      </c>
      <c r="E888" s="199" t="s">
        <v>93</v>
      </c>
      <c r="F888" s="197" t="s">
        <v>1609</v>
      </c>
      <c r="G888" s="199">
        <v>1</v>
      </c>
      <c r="H888" s="199" t="s">
        <v>298</v>
      </c>
      <c r="I888" s="198">
        <f t="shared" si="104"/>
        <v>0</v>
      </c>
      <c r="J888" s="199" t="s">
        <v>93</v>
      </c>
      <c r="K888" s="208"/>
      <c r="L888" s="209" t="s">
        <v>675</v>
      </c>
      <c r="M888" s="207">
        <f t="shared" si="105"/>
        <v>0</v>
      </c>
      <c r="N888" s="198">
        <f>'02 项目基础信息（输入）'!$C$45</f>
        <v>0</v>
      </c>
      <c r="O888" s="198">
        <f t="shared" si="98"/>
        <v>0</v>
      </c>
      <c r="P888" s="198">
        <f>'02 项目基础信息（输入）'!$I$45</f>
        <v>0</v>
      </c>
      <c r="Q888" s="233">
        <f t="shared" si="99"/>
        <v>0</v>
      </c>
      <c r="S888" s="217"/>
      <c r="U888" s="220" t="s">
        <v>2677</v>
      </c>
    </row>
    <row r="889" spans="1:21" ht="0" hidden="1" customHeight="1" outlineLevel="3">
      <c r="A889" s="192" t="s">
        <v>1733</v>
      </c>
      <c r="B889" s="192"/>
      <c r="C889" s="197" t="s">
        <v>1609</v>
      </c>
      <c r="D889" s="198">
        <f>'02 项目基础信息（输入）'!$C$45</f>
        <v>0</v>
      </c>
      <c r="E889" s="199" t="s">
        <v>93</v>
      </c>
      <c r="F889" s="197" t="s">
        <v>1609</v>
      </c>
      <c r="G889" s="199">
        <v>1</v>
      </c>
      <c r="H889" s="199" t="s">
        <v>298</v>
      </c>
      <c r="I889" s="198">
        <f t="shared" si="104"/>
        <v>0</v>
      </c>
      <c r="J889" s="199" t="s">
        <v>93</v>
      </c>
      <c r="K889" s="208"/>
      <c r="L889" s="209" t="s">
        <v>675</v>
      </c>
      <c r="M889" s="207">
        <f t="shared" si="105"/>
        <v>0</v>
      </c>
      <c r="N889" s="198">
        <f>'02 项目基础信息（输入）'!$C$45</f>
        <v>0</v>
      </c>
      <c r="O889" s="198">
        <f t="shared" si="98"/>
        <v>0</v>
      </c>
      <c r="P889" s="198">
        <f>'02 项目基础信息（输入）'!$I$45</f>
        <v>0</v>
      </c>
      <c r="Q889" s="233">
        <f t="shared" si="99"/>
        <v>0</v>
      </c>
      <c r="S889" s="217"/>
      <c r="U889" s="220" t="s">
        <v>2678</v>
      </c>
    </row>
    <row r="890" spans="1:21" ht="0" hidden="1" customHeight="1" outlineLevel="3">
      <c r="A890" s="192" t="s">
        <v>1735</v>
      </c>
      <c r="B890" s="192"/>
      <c r="C890" s="197" t="s">
        <v>1609</v>
      </c>
      <c r="D890" s="198">
        <f>'02 项目基础信息（输入）'!$C$45</f>
        <v>0</v>
      </c>
      <c r="E890" s="199" t="s">
        <v>93</v>
      </c>
      <c r="F890" s="197" t="s">
        <v>1609</v>
      </c>
      <c r="G890" s="199">
        <v>1</v>
      </c>
      <c r="H890" s="199" t="s">
        <v>298</v>
      </c>
      <c r="I890" s="198">
        <f t="shared" si="104"/>
        <v>0</v>
      </c>
      <c r="J890" s="199" t="s">
        <v>93</v>
      </c>
      <c r="K890" s="208"/>
      <c r="L890" s="209" t="s">
        <v>675</v>
      </c>
      <c r="M890" s="207">
        <f t="shared" si="105"/>
        <v>0</v>
      </c>
      <c r="N890" s="198">
        <f>'02 项目基础信息（输入）'!$C$45</f>
        <v>0</v>
      </c>
      <c r="O890" s="198">
        <f t="shared" si="98"/>
        <v>0</v>
      </c>
      <c r="P890" s="198">
        <f>'02 项目基础信息（输入）'!$I$45</f>
        <v>0</v>
      </c>
      <c r="Q890" s="233">
        <f t="shared" si="99"/>
        <v>0</v>
      </c>
      <c r="S890" s="217"/>
      <c r="U890" s="220" t="s">
        <v>2679</v>
      </c>
    </row>
    <row r="891" spans="1:21" ht="0" hidden="1" customHeight="1" outlineLevel="3">
      <c r="A891" s="192" t="s">
        <v>1737</v>
      </c>
      <c r="B891" s="192"/>
      <c r="C891" s="197" t="s">
        <v>1609</v>
      </c>
      <c r="D891" s="198">
        <f>'02 项目基础信息（输入）'!$C$45</f>
        <v>0</v>
      </c>
      <c r="E891" s="199" t="s">
        <v>93</v>
      </c>
      <c r="F891" s="197" t="s">
        <v>1609</v>
      </c>
      <c r="G891" s="199">
        <v>1</v>
      </c>
      <c r="H891" s="199" t="s">
        <v>298</v>
      </c>
      <c r="I891" s="198">
        <f t="shared" si="104"/>
        <v>0</v>
      </c>
      <c r="J891" s="199" t="s">
        <v>93</v>
      </c>
      <c r="K891" s="208"/>
      <c r="L891" s="209" t="s">
        <v>675</v>
      </c>
      <c r="M891" s="207">
        <f t="shared" si="105"/>
        <v>0</v>
      </c>
      <c r="N891" s="198">
        <f>'02 项目基础信息（输入）'!$C$45</f>
        <v>0</v>
      </c>
      <c r="O891" s="198">
        <f t="shared" si="98"/>
        <v>0</v>
      </c>
      <c r="P891" s="198">
        <f>'02 项目基础信息（输入）'!$I$45</f>
        <v>0</v>
      </c>
      <c r="Q891" s="233">
        <f t="shared" si="99"/>
        <v>0</v>
      </c>
      <c r="S891" s="217"/>
      <c r="U891" s="220" t="s">
        <v>2680</v>
      </c>
    </row>
    <row r="892" spans="1:21" ht="0" hidden="1" customHeight="1" outlineLevel="3">
      <c r="A892" s="192" t="s">
        <v>1739</v>
      </c>
      <c r="B892" s="192"/>
      <c r="C892" s="197" t="s">
        <v>1609</v>
      </c>
      <c r="D892" s="198">
        <f>'02 项目基础信息（输入）'!$C$45</f>
        <v>0</v>
      </c>
      <c r="E892" s="199" t="s">
        <v>93</v>
      </c>
      <c r="F892" s="197" t="s">
        <v>1609</v>
      </c>
      <c r="G892" s="199">
        <v>1</v>
      </c>
      <c r="H892" s="199" t="s">
        <v>298</v>
      </c>
      <c r="I892" s="198">
        <f t="shared" si="104"/>
        <v>0</v>
      </c>
      <c r="J892" s="199" t="s">
        <v>93</v>
      </c>
      <c r="K892" s="208"/>
      <c r="L892" s="209" t="s">
        <v>675</v>
      </c>
      <c r="M892" s="207">
        <f t="shared" si="105"/>
        <v>0</v>
      </c>
      <c r="N892" s="198">
        <f>'02 项目基础信息（输入）'!$C$45</f>
        <v>0</v>
      </c>
      <c r="O892" s="198">
        <f t="shared" si="98"/>
        <v>0</v>
      </c>
      <c r="P892" s="198">
        <f>'02 项目基础信息（输入）'!$I$45</f>
        <v>0</v>
      </c>
      <c r="Q892" s="233">
        <f t="shared" si="99"/>
        <v>0</v>
      </c>
      <c r="S892" s="217"/>
      <c r="U892" s="220" t="s">
        <v>2681</v>
      </c>
    </row>
    <row r="893" spans="1:21" ht="0" hidden="1" customHeight="1" outlineLevel="3">
      <c r="A893" s="192" t="s">
        <v>1741</v>
      </c>
      <c r="B893" s="192"/>
      <c r="C893" s="197" t="s">
        <v>1609</v>
      </c>
      <c r="D893" s="198">
        <f>'02 项目基础信息（输入）'!$C$45</f>
        <v>0</v>
      </c>
      <c r="E893" s="199" t="s">
        <v>93</v>
      </c>
      <c r="F893" s="197" t="s">
        <v>1609</v>
      </c>
      <c r="G893" s="199">
        <v>1</v>
      </c>
      <c r="H893" s="199" t="s">
        <v>298</v>
      </c>
      <c r="I893" s="198">
        <f t="shared" si="104"/>
        <v>0</v>
      </c>
      <c r="J893" s="199" t="s">
        <v>93</v>
      </c>
      <c r="K893" s="208"/>
      <c r="L893" s="209" t="s">
        <v>675</v>
      </c>
      <c r="M893" s="207">
        <f t="shared" si="105"/>
        <v>0</v>
      </c>
      <c r="N893" s="198">
        <f>'02 项目基础信息（输入）'!$C$45</f>
        <v>0</v>
      </c>
      <c r="O893" s="198">
        <f t="shared" si="98"/>
        <v>0</v>
      </c>
      <c r="P893" s="198">
        <f>'02 项目基础信息（输入）'!$I$45</f>
        <v>0</v>
      </c>
      <c r="Q893" s="233">
        <f t="shared" si="99"/>
        <v>0</v>
      </c>
      <c r="S893" s="217"/>
      <c r="U893" s="220" t="s">
        <v>2682</v>
      </c>
    </row>
    <row r="894" spans="1:21" ht="0" hidden="1" customHeight="1" outlineLevel="3">
      <c r="A894" s="192" t="s">
        <v>1743</v>
      </c>
      <c r="B894" s="192"/>
      <c r="C894" s="197" t="s">
        <v>1609</v>
      </c>
      <c r="D894" s="198">
        <f>'02 项目基础信息（输入）'!$C$45</f>
        <v>0</v>
      </c>
      <c r="E894" s="199" t="s">
        <v>93</v>
      </c>
      <c r="F894" s="197" t="s">
        <v>1609</v>
      </c>
      <c r="G894" s="199">
        <v>1</v>
      </c>
      <c r="H894" s="199" t="s">
        <v>298</v>
      </c>
      <c r="I894" s="198">
        <f t="shared" si="104"/>
        <v>0</v>
      </c>
      <c r="J894" s="199" t="s">
        <v>93</v>
      </c>
      <c r="K894" s="208"/>
      <c r="L894" s="209" t="s">
        <v>675</v>
      </c>
      <c r="M894" s="207">
        <f t="shared" si="105"/>
        <v>0</v>
      </c>
      <c r="N894" s="198">
        <f>'02 项目基础信息（输入）'!$C$45</f>
        <v>0</v>
      </c>
      <c r="O894" s="198">
        <f t="shared" si="98"/>
        <v>0</v>
      </c>
      <c r="P894" s="198">
        <f>'02 项目基础信息（输入）'!$I$45</f>
        <v>0</v>
      </c>
      <c r="Q894" s="233">
        <f t="shared" si="99"/>
        <v>0</v>
      </c>
      <c r="S894" s="217"/>
      <c r="U894" s="220" t="s">
        <v>2683</v>
      </c>
    </row>
    <row r="895" spans="1:21" ht="0" hidden="1" customHeight="1" outlineLevel="3">
      <c r="A895" s="192" t="s">
        <v>1745</v>
      </c>
      <c r="B895" s="192"/>
      <c r="C895" s="197" t="s">
        <v>1609</v>
      </c>
      <c r="D895" s="198">
        <f>'02 项目基础信息（输入）'!$C$45</f>
        <v>0</v>
      </c>
      <c r="E895" s="199" t="s">
        <v>93</v>
      </c>
      <c r="F895" s="197" t="s">
        <v>1609</v>
      </c>
      <c r="G895" s="199">
        <v>1</v>
      </c>
      <c r="H895" s="199" t="s">
        <v>298</v>
      </c>
      <c r="I895" s="198">
        <f t="shared" si="104"/>
        <v>0</v>
      </c>
      <c r="J895" s="199" t="s">
        <v>93</v>
      </c>
      <c r="K895" s="208"/>
      <c r="L895" s="209" t="s">
        <v>675</v>
      </c>
      <c r="M895" s="207">
        <f t="shared" si="105"/>
        <v>0</v>
      </c>
      <c r="N895" s="198">
        <f>'02 项目基础信息（输入）'!$C$45</f>
        <v>0</v>
      </c>
      <c r="O895" s="198">
        <f t="shared" si="98"/>
        <v>0</v>
      </c>
      <c r="P895" s="198">
        <f>'02 项目基础信息（输入）'!$I$45</f>
        <v>0</v>
      </c>
      <c r="Q895" s="233">
        <f t="shared" si="99"/>
        <v>0</v>
      </c>
      <c r="S895" s="217"/>
      <c r="U895" s="220" t="s">
        <v>2684</v>
      </c>
    </row>
    <row r="896" spans="1:21" ht="0" hidden="1" customHeight="1" outlineLevel="3">
      <c r="A896" s="192" t="s">
        <v>1747</v>
      </c>
      <c r="B896" s="192"/>
      <c r="C896" s="197" t="s">
        <v>416</v>
      </c>
      <c r="D896" s="198">
        <f>'02 项目基础信息（输入）'!$AJ$45</f>
        <v>0</v>
      </c>
      <c r="E896" s="199" t="s">
        <v>417</v>
      </c>
      <c r="F896" s="197" t="s">
        <v>416</v>
      </c>
      <c r="G896" s="199">
        <v>1</v>
      </c>
      <c r="H896" s="199" t="s">
        <v>1748</v>
      </c>
      <c r="I896" s="198">
        <f t="shared" si="104"/>
        <v>0</v>
      </c>
      <c r="J896" s="199" t="s">
        <v>400</v>
      </c>
      <c r="K896" s="207">
        <v>0</v>
      </c>
      <c r="L896" s="209" t="s">
        <v>1749</v>
      </c>
      <c r="M896" s="207">
        <f t="shared" si="105"/>
        <v>0</v>
      </c>
      <c r="N896" s="198">
        <f>'02 项目基础信息（输入）'!$C$45</f>
        <v>0</v>
      </c>
      <c r="O896" s="198">
        <f t="shared" si="98"/>
        <v>0</v>
      </c>
      <c r="P896" s="198">
        <f>'02 项目基础信息（输入）'!$I$45</f>
        <v>0</v>
      </c>
      <c r="Q896" s="233">
        <f t="shared" si="99"/>
        <v>0</v>
      </c>
      <c r="S896" s="217"/>
      <c r="U896" s="220" t="s">
        <v>2685</v>
      </c>
    </row>
    <row r="897" spans="1:21" ht="0" hidden="1" customHeight="1" outlineLevel="3">
      <c r="A897" s="192" t="s">
        <v>1751</v>
      </c>
      <c r="B897" s="192"/>
      <c r="C897" s="197" t="s">
        <v>1609</v>
      </c>
      <c r="D897" s="198">
        <f>'02 项目基础信息（输入）'!$C$45</f>
        <v>0</v>
      </c>
      <c r="E897" s="199" t="s">
        <v>93</v>
      </c>
      <c r="F897" s="197" t="s">
        <v>1609</v>
      </c>
      <c r="G897" s="199">
        <v>1</v>
      </c>
      <c r="H897" s="199" t="s">
        <v>298</v>
      </c>
      <c r="I897" s="198">
        <f t="shared" si="104"/>
        <v>0</v>
      </c>
      <c r="J897" s="199" t="s">
        <v>93</v>
      </c>
      <c r="K897" s="208"/>
      <c r="L897" s="209" t="s">
        <v>675</v>
      </c>
      <c r="M897" s="207">
        <f t="shared" si="105"/>
        <v>0</v>
      </c>
      <c r="N897" s="198">
        <f>'02 项目基础信息（输入）'!$C$45</f>
        <v>0</v>
      </c>
      <c r="O897" s="198">
        <f t="shared" si="98"/>
        <v>0</v>
      </c>
      <c r="P897" s="198">
        <f>'02 项目基础信息（输入）'!$I$45</f>
        <v>0</v>
      </c>
      <c r="Q897" s="233">
        <f t="shared" si="99"/>
        <v>0</v>
      </c>
      <c r="S897" s="217"/>
      <c r="U897" s="220" t="s">
        <v>2686</v>
      </c>
    </row>
    <row r="898" spans="1:21" ht="0" hidden="1" customHeight="1" outlineLevel="2">
      <c r="A898" s="192" t="s">
        <v>1753</v>
      </c>
      <c r="B898" s="192"/>
      <c r="C898" s="197" t="s">
        <v>1609</v>
      </c>
      <c r="D898" s="198">
        <f>'02 项目基础信息（输入）'!$C$45</f>
        <v>0</v>
      </c>
      <c r="E898" s="199" t="s">
        <v>93</v>
      </c>
      <c r="F898" s="197"/>
      <c r="G898" s="199"/>
      <c r="H898" s="199"/>
      <c r="I898" s="197"/>
      <c r="J898" s="199"/>
      <c r="K898" s="207"/>
      <c r="L898" s="209"/>
      <c r="M898" s="198">
        <f>ROUND(SUM(M899:M909),6)</f>
        <v>0</v>
      </c>
      <c r="N898" s="198">
        <f>'02 项目基础信息（输入）'!$C$45</f>
        <v>0</v>
      </c>
      <c r="O898" s="198">
        <f t="shared" si="98"/>
        <v>0</v>
      </c>
      <c r="P898" s="198">
        <f>'02 项目基础信息（输入）'!$I$45</f>
        <v>0</v>
      </c>
      <c r="Q898" s="233">
        <f t="shared" si="99"/>
        <v>0</v>
      </c>
      <c r="S898" s="217" t="s">
        <v>1313</v>
      </c>
      <c r="U898" s="220" t="s">
        <v>2687</v>
      </c>
    </row>
    <row r="899" spans="1:21" ht="0" hidden="1" customHeight="1" outlineLevel="3">
      <c r="A899" s="192" t="s">
        <v>1755</v>
      </c>
      <c r="B899" s="192"/>
      <c r="C899" s="197" t="s">
        <v>1609</v>
      </c>
      <c r="D899" s="198">
        <f>'02 项目基础信息（输入）'!$C$45</f>
        <v>0</v>
      </c>
      <c r="E899" s="199" t="s">
        <v>93</v>
      </c>
      <c r="F899" s="197" t="s">
        <v>1609</v>
      </c>
      <c r="G899" s="199">
        <v>1</v>
      </c>
      <c r="H899" s="199" t="s">
        <v>298</v>
      </c>
      <c r="I899" s="198">
        <f t="shared" ref="I899:I909" si="106">G899*D899</f>
        <v>0</v>
      </c>
      <c r="J899" s="199" t="s">
        <v>93</v>
      </c>
      <c r="K899" s="208"/>
      <c r="L899" s="209" t="s">
        <v>675</v>
      </c>
      <c r="M899" s="207">
        <f t="shared" ref="M899:M909" si="107">ROUND(K899*I899/10000,6)</f>
        <v>0</v>
      </c>
      <c r="N899" s="198">
        <f>'02 项目基础信息（输入）'!$C$45</f>
        <v>0</v>
      </c>
      <c r="O899" s="198">
        <f t="shared" ref="O899:O962" si="108">ROUND(IFERROR(M899*10000/N899,0),2)</f>
        <v>0</v>
      </c>
      <c r="P899" s="198">
        <f>'02 项目基础信息（输入）'!$I$45</f>
        <v>0</v>
      </c>
      <c r="Q899" s="233">
        <f t="shared" ref="Q899:Q962" si="109">ROUND(IFERROR(M899*10000/P899,0),2)</f>
        <v>0</v>
      </c>
      <c r="S899" s="217"/>
      <c r="U899" s="220" t="s">
        <v>2688</v>
      </c>
    </row>
    <row r="900" spans="1:21" ht="0" hidden="1" customHeight="1" outlineLevel="3">
      <c r="A900" s="192" t="s">
        <v>1757</v>
      </c>
      <c r="B900" s="192"/>
      <c r="C900" s="197" t="s">
        <v>1609</v>
      </c>
      <c r="D900" s="198">
        <f>'02 项目基础信息（输入）'!$C$45</f>
        <v>0</v>
      </c>
      <c r="E900" s="199" t="s">
        <v>93</v>
      </c>
      <c r="F900" s="197" t="s">
        <v>1609</v>
      </c>
      <c r="G900" s="199">
        <v>1</v>
      </c>
      <c r="H900" s="199" t="s">
        <v>298</v>
      </c>
      <c r="I900" s="198">
        <f t="shared" si="106"/>
        <v>0</v>
      </c>
      <c r="J900" s="199" t="s">
        <v>93</v>
      </c>
      <c r="K900" s="208"/>
      <c r="L900" s="209" t="s">
        <v>675</v>
      </c>
      <c r="M900" s="207">
        <f t="shared" si="107"/>
        <v>0</v>
      </c>
      <c r="N900" s="198">
        <f>'02 项目基础信息（输入）'!$C$45</f>
        <v>0</v>
      </c>
      <c r="O900" s="198">
        <f t="shared" si="108"/>
        <v>0</v>
      </c>
      <c r="P900" s="198">
        <f>'02 项目基础信息（输入）'!$I$45</f>
        <v>0</v>
      </c>
      <c r="Q900" s="233">
        <f t="shared" si="109"/>
        <v>0</v>
      </c>
      <c r="S900" s="217"/>
      <c r="U900" s="220" t="s">
        <v>2689</v>
      </c>
    </row>
    <row r="901" spans="1:21" ht="0" hidden="1" customHeight="1" outlineLevel="3">
      <c r="A901" s="192" t="s">
        <v>1759</v>
      </c>
      <c r="B901" s="192"/>
      <c r="C901" s="197" t="s">
        <v>1609</v>
      </c>
      <c r="D901" s="198">
        <f>'02 项目基础信息（输入）'!$C$45</f>
        <v>0</v>
      </c>
      <c r="E901" s="199" t="s">
        <v>93</v>
      </c>
      <c r="F901" s="197" t="s">
        <v>1609</v>
      </c>
      <c r="G901" s="199">
        <v>1</v>
      </c>
      <c r="H901" s="199" t="s">
        <v>298</v>
      </c>
      <c r="I901" s="198">
        <f t="shared" si="106"/>
        <v>0</v>
      </c>
      <c r="J901" s="199" t="s">
        <v>93</v>
      </c>
      <c r="K901" s="208"/>
      <c r="L901" s="209" t="s">
        <v>675</v>
      </c>
      <c r="M901" s="207">
        <f t="shared" si="107"/>
        <v>0</v>
      </c>
      <c r="N901" s="198">
        <f>'02 项目基础信息（输入）'!$C$45</f>
        <v>0</v>
      </c>
      <c r="O901" s="198">
        <f t="shared" si="108"/>
        <v>0</v>
      </c>
      <c r="P901" s="198">
        <f>'02 项目基础信息（输入）'!$I$45</f>
        <v>0</v>
      </c>
      <c r="Q901" s="233">
        <f t="shared" si="109"/>
        <v>0</v>
      </c>
      <c r="S901" s="217"/>
      <c r="U901" s="220" t="s">
        <v>2690</v>
      </c>
    </row>
    <row r="902" spans="1:21" ht="0" hidden="1" customHeight="1" outlineLevel="3">
      <c r="A902" s="192" t="s">
        <v>1761</v>
      </c>
      <c r="B902" s="192"/>
      <c r="C902" s="197" t="s">
        <v>1609</v>
      </c>
      <c r="D902" s="198">
        <f>'02 项目基础信息（输入）'!$C$45</f>
        <v>0</v>
      </c>
      <c r="E902" s="199" t="s">
        <v>93</v>
      </c>
      <c r="F902" s="197" t="s">
        <v>1609</v>
      </c>
      <c r="G902" s="199">
        <v>1</v>
      </c>
      <c r="H902" s="199" t="s">
        <v>298</v>
      </c>
      <c r="I902" s="198">
        <f t="shared" si="106"/>
        <v>0</v>
      </c>
      <c r="J902" s="199" t="s">
        <v>93</v>
      </c>
      <c r="K902" s="208"/>
      <c r="L902" s="209" t="s">
        <v>675</v>
      </c>
      <c r="M902" s="207">
        <f t="shared" si="107"/>
        <v>0</v>
      </c>
      <c r="N902" s="198">
        <f>'02 项目基础信息（输入）'!$C$45</f>
        <v>0</v>
      </c>
      <c r="O902" s="198">
        <f t="shared" si="108"/>
        <v>0</v>
      </c>
      <c r="P902" s="198">
        <f>'02 项目基础信息（输入）'!$I$45</f>
        <v>0</v>
      </c>
      <c r="Q902" s="233">
        <f t="shared" si="109"/>
        <v>0</v>
      </c>
      <c r="S902" s="217"/>
      <c r="U902" s="220" t="s">
        <v>2691</v>
      </c>
    </row>
    <row r="903" spans="1:21" ht="0" hidden="1" customHeight="1" outlineLevel="3">
      <c r="A903" s="192" t="s">
        <v>1763</v>
      </c>
      <c r="B903" s="192"/>
      <c r="C903" s="197" t="s">
        <v>1609</v>
      </c>
      <c r="D903" s="198">
        <f>'02 项目基础信息（输入）'!$C$45</f>
        <v>0</v>
      </c>
      <c r="E903" s="199" t="s">
        <v>93</v>
      </c>
      <c r="F903" s="197" t="s">
        <v>1609</v>
      </c>
      <c r="G903" s="199">
        <v>1</v>
      </c>
      <c r="H903" s="199" t="s">
        <v>298</v>
      </c>
      <c r="I903" s="198">
        <f t="shared" si="106"/>
        <v>0</v>
      </c>
      <c r="J903" s="199" t="s">
        <v>93</v>
      </c>
      <c r="K903" s="208"/>
      <c r="L903" s="209" t="s">
        <v>675</v>
      </c>
      <c r="M903" s="207">
        <f t="shared" si="107"/>
        <v>0</v>
      </c>
      <c r="N903" s="198">
        <f>'02 项目基础信息（输入）'!$C$45</f>
        <v>0</v>
      </c>
      <c r="O903" s="198">
        <f t="shared" si="108"/>
        <v>0</v>
      </c>
      <c r="P903" s="198">
        <f>'02 项目基础信息（输入）'!$I$45</f>
        <v>0</v>
      </c>
      <c r="Q903" s="233">
        <f t="shared" si="109"/>
        <v>0</v>
      </c>
      <c r="S903" s="217"/>
      <c r="U903" s="220" t="s">
        <v>2692</v>
      </c>
    </row>
    <row r="904" spans="1:21" ht="0" hidden="1" customHeight="1" outlineLevel="3">
      <c r="A904" s="192" t="s">
        <v>1765</v>
      </c>
      <c r="B904" s="192"/>
      <c r="C904" s="197" t="s">
        <v>1609</v>
      </c>
      <c r="D904" s="198">
        <f>'02 项目基础信息（输入）'!$C$45</f>
        <v>0</v>
      </c>
      <c r="E904" s="199" t="s">
        <v>93</v>
      </c>
      <c r="F904" s="197" t="s">
        <v>1609</v>
      </c>
      <c r="G904" s="199">
        <v>1</v>
      </c>
      <c r="H904" s="199" t="s">
        <v>298</v>
      </c>
      <c r="I904" s="198">
        <f t="shared" si="106"/>
        <v>0</v>
      </c>
      <c r="J904" s="199" t="s">
        <v>93</v>
      </c>
      <c r="K904" s="208"/>
      <c r="L904" s="209" t="s">
        <v>675</v>
      </c>
      <c r="M904" s="207">
        <f t="shared" si="107"/>
        <v>0</v>
      </c>
      <c r="N904" s="198">
        <f>'02 项目基础信息（输入）'!$C$45</f>
        <v>0</v>
      </c>
      <c r="O904" s="198">
        <f t="shared" si="108"/>
        <v>0</v>
      </c>
      <c r="P904" s="198">
        <f>'02 项目基础信息（输入）'!$I$45</f>
        <v>0</v>
      </c>
      <c r="Q904" s="233">
        <f t="shared" si="109"/>
        <v>0</v>
      </c>
      <c r="S904" s="217"/>
      <c r="U904" s="220" t="s">
        <v>2693</v>
      </c>
    </row>
    <row r="905" spans="1:21" ht="0" hidden="1" customHeight="1" outlineLevel="3">
      <c r="A905" s="192" t="s">
        <v>1767</v>
      </c>
      <c r="B905" s="192"/>
      <c r="C905" s="197" t="s">
        <v>1609</v>
      </c>
      <c r="D905" s="198">
        <f>'02 项目基础信息（输入）'!$C$45</f>
        <v>0</v>
      </c>
      <c r="E905" s="199" t="s">
        <v>93</v>
      </c>
      <c r="F905" s="197" t="s">
        <v>1609</v>
      </c>
      <c r="G905" s="199">
        <v>1</v>
      </c>
      <c r="H905" s="199" t="s">
        <v>298</v>
      </c>
      <c r="I905" s="198">
        <f t="shared" si="106"/>
        <v>0</v>
      </c>
      <c r="J905" s="199" t="s">
        <v>93</v>
      </c>
      <c r="K905" s="208"/>
      <c r="L905" s="209" t="s">
        <v>675</v>
      </c>
      <c r="M905" s="207">
        <f t="shared" si="107"/>
        <v>0</v>
      </c>
      <c r="N905" s="198">
        <f>'02 项目基础信息（输入）'!$C$45</f>
        <v>0</v>
      </c>
      <c r="O905" s="198">
        <f t="shared" si="108"/>
        <v>0</v>
      </c>
      <c r="P905" s="198">
        <f>'02 项目基础信息（输入）'!$I$45</f>
        <v>0</v>
      </c>
      <c r="Q905" s="233">
        <f t="shared" si="109"/>
        <v>0</v>
      </c>
      <c r="S905" s="217"/>
      <c r="U905" s="220" t="s">
        <v>2694</v>
      </c>
    </row>
    <row r="906" spans="1:21" ht="0" hidden="1" customHeight="1" outlineLevel="3">
      <c r="A906" s="192" t="s">
        <v>1769</v>
      </c>
      <c r="B906" s="192"/>
      <c r="C906" s="197" t="s">
        <v>1609</v>
      </c>
      <c r="D906" s="198">
        <f>'02 项目基础信息（输入）'!$C$45</f>
        <v>0</v>
      </c>
      <c r="E906" s="199" t="s">
        <v>93</v>
      </c>
      <c r="F906" s="197" t="s">
        <v>1609</v>
      </c>
      <c r="G906" s="199">
        <v>1</v>
      </c>
      <c r="H906" s="199" t="s">
        <v>298</v>
      </c>
      <c r="I906" s="198">
        <f t="shared" si="106"/>
        <v>0</v>
      </c>
      <c r="J906" s="199" t="s">
        <v>93</v>
      </c>
      <c r="K906" s="208"/>
      <c r="L906" s="209" t="s">
        <v>675</v>
      </c>
      <c r="M906" s="207">
        <f t="shared" si="107"/>
        <v>0</v>
      </c>
      <c r="N906" s="198">
        <f>'02 项目基础信息（输入）'!$C$45</f>
        <v>0</v>
      </c>
      <c r="O906" s="198">
        <f t="shared" si="108"/>
        <v>0</v>
      </c>
      <c r="P906" s="198">
        <f>'02 项目基础信息（输入）'!$I$45</f>
        <v>0</v>
      </c>
      <c r="Q906" s="233">
        <f t="shared" si="109"/>
        <v>0</v>
      </c>
      <c r="S906" s="217"/>
      <c r="U906" s="220" t="s">
        <v>2695</v>
      </c>
    </row>
    <row r="907" spans="1:21" ht="0" hidden="1" customHeight="1" outlineLevel="3">
      <c r="A907" s="192" t="s">
        <v>1771</v>
      </c>
      <c r="B907" s="192"/>
      <c r="C907" s="197" t="s">
        <v>1609</v>
      </c>
      <c r="D907" s="198">
        <f>'02 项目基础信息（输入）'!$C$45</f>
        <v>0</v>
      </c>
      <c r="E907" s="199" t="s">
        <v>93</v>
      </c>
      <c r="F907" s="197" t="s">
        <v>1609</v>
      </c>
      <c r="G907" s="199">
        <v>1</v>
      </c>
      <c r="H907" s="199" t="s">
        <v>298</v>
      </c>
      <c r="I907" s="198">
        <f t="shared" si="106"/>
        <v>0</v>
      </c>
      <c r="J907" s="199" t="s">
        <v>93</v>
      </c>
      <c r="K907" s="208"/>
      <c r="L907" s="209" t="s">
        <v>675</v>
      </c>
      <c r="M907" s="207">
        <f t="shared" si="107"/>
        <v>0</v>
      </c>
      <c r="N907" s="198">
        <f>'02 项目基础信息（输入）'!$C$45</f>
        <v>0</v>
      </c>
      <c r="O907" s="198">
        <f t="shared" si="108"/>
        <v>0</v>
      </c>
      <c r="P907" s="198">
        <f>'02 项目基础信息（输入）'!$I$45</f>
        <v>0</v>
      </c>
      <c r="Q907" s="233">
        <f t="shared" si="109"/>
        <v>0</v>
      </c>
      <c r="S907" s="217"/>
      <c r="U907" s="220" t="s">
        <v>2696</v>
      </c>
    </row>
    <row r="908" spans="1:21" ht="0" hidden="1" customHeight="1" outlineLevel="3">
      <c r="A908" s="192" t="s">
        <v>1773</v>
      </c>
      <c r="B908" s="192"/>
      <c r="C908" s="197" t="s">
        <v>1609</v>
      </c>
      <c r="D908" s="198">
        <f>'02 项目基础信息（输入）'!$C$45</f>
        <v>0</v>
      </c>
      <c r="E908" s="199" t="s">
        <v>93</v>
      </c>
      <c r="F908" s="197" t="s">
        <v>1609</v>
      </c>
      <c r="G908" s="199">
        <v>1</v>
      </c>
      <c r="H908" s="199" t="s">
        <v>298</v>
      </c>
      <c r="I908" s="198">
        <f t="shared" si="106"/>
        <v>0</v>
      </c>
      <c r="J908" s="199" t="s">
        <v>93</v>
      </c>
      <c r="K908" s="208"/>
      <c r="L908" s="209" t="s">
        <v>675</v>
      </c>
      <c r="M908" s="207">
        <f t="shared" si="107"/>
        <v>0</v>
      </c>
      <c r="N908" s="198">
        <f>'02 项目基础信息（输入）'!$C$45</f>
        <v>0</v>
      </c>
      <c r="O908" s="198">
        <f t="shared" si="108"/>
        <v>0</v>
      </c>
      <c r="P908" s="198">
        <f>'02 项目基础信息（输入）'!$I$45</f>
        <v>0</v>
      </c>
      <c r="Q908" s="233">
        <f t="shared" si="109"/>
        <v>0</v>
      </c>
      <c r="S908" s="217"/>
      <c r="U908" s="220" t="s">
        <v>2697</v>
      </c>
    </row>
    <row r="909" spans="1:21" ht="0" hidden="1" customHeight="1" outlineLevel="3">
      <c r="A909" s="192" t="s">
        <v>1775</v>
      </c>
      <c r="B909" s="192"/>
      <c r="C909" s="197" t="s">
        <v>1609</v>
      </c>
      <c r="D909" s="198">
        <f>'02 项目基础信息（输入）'!$C$45</f>
        <v>0</v>
      </c>
      <c r="E909" s="199" t="s">
        <v>93</v>
      </c>
      <c r="F909" s="197" t="s">
        <v>1609</v>
      </c>
      <c r="G909" s="199">
        <v>1</v>
      </c>
      <c r="H909" s="199" t="s">
        <v>298</v>
      </c>
      <c r="I909" s="198">
        <f t="shared" si="106"/>
        <v>0</v>
      </c>
      <c r="J909" s="199" t="s">
        <v>93</v>
      </c>
      <c r="K909" s="208"/>
      <c r="L909" s="209" t="s">
        <v>675</v>
      </c>
      <c r="M909" s="207">
        <f t="shared" si="107"/>
        <v>0</v>
      </c>
      <c r="N909" s="198">
        <f>'02 项目基础信息（输入）'!$C$45</f>
        <v>0</v>
      </c>
      <c r="O909" s="198">
        <f t="shared" si="108"/>
        <v>0</v>
      </c>
      <c r="P909" s="198">
        <f>'02 项目基础信息（输入）'!$I$45</f>
        <v>0</v>
      </c>
      <c r="Q909" s="233">
        <f t="shared" si="109"/>
        <v>0</v>
      </c>
      <c r="S909" s="217"/>
      <c r="U909" s="220" t="s">
        <v>2698</v>
      </c>
    </row>
    <row r="910" spans="1:21" ht="0" hidden="1" customHeight="1" outlineLevel="2">
      <c r="A910" s="192" t="s">
        <v>1777</v>
      </c>
      <c r="B910" s="192"/>
      <c r="C910" s="197" t="s">
        <v>1609</v>
      </c>
      <c r="D910" s="198">
        <f>'02 项目基础信息（输入）'!$C$45</f>
        <v>0</v>
      </c>
      <c r="E910" s="199" t="s">
        <v>93</v>
      </c>
      <c r="F910" s="197"/>
      <c r="G910" s="199"/>
      <c r="H910" s="199"/>
      <c r="I910" s="197"/>
      <c r="J910" s="199"/>
      <c r="K910" s="207"/>
      <c r="L910" s="209"/>
      <c r="M910" s="198">
        <f>ROUND(SUM(M911),6)</f>
        <v>0</v>
      </c>
      <c r="N910" s="198">
        <f>'02 项目基础信息（输入）'!$C$45</f>
        <v>0</v>
      </c>
      <c r="O910" s="198">
        <f t="shared" si="108"/>
        <v>0</v>
      </c>
      <c r="P910" s="198">
        <f>'02 项目基础信息（输入）'!$I$45</f>
        <v>0</v>
      </c>
      <c r="Q910" s="233">
        <f t="shared" si="109"/>
        <v>0</v>
      </c>
      <c r="S910" s="217" t="s">
        <v>1313</v>
      </c>
      <c r="U910" s="220" t="s">
        <v>2699</v>
      </c>
    </row>
    <row r="911" spans="1:21" ht="0" hidden="1" customHeight="1" outlineLevel="3">
      <c r="A911" s="192" t="s">
        <v>1779</v>
      </c>
      <c r="B911" s="192"/>
      <c r="C911" s="197" t="s">
        <v>1609</v>
      </c>
      <c r="D911" s="198">
        <f>'02 项目基础信息（输入）'!$C$45</f>
        <v>0</v>
      </c>
      <c r="E911" s="199" t="s">
        <v>93</v>
      </c>
      <c r="F911" s="197" t="s">
        <v>984</v>
      </c>
      <c r="G911" s="199">
        <v>0</v>
      </c>
      <c r="H911" s="199" t="s">
        <v>966</v>
      </c>
      <c r="I911" s="198">
        <f>G911*D911</f>
        <v>0</v>
      </c>
      <c r="J911" s="199" t="s">
        <v>1617</v>
      </c>
      <c r="K911" s="207">
        <v>0</v>
      </c>
      <c r="L911" s="209" t="s">
        <v>664</v>
      </c>
      <c r="M911" s="207">
        <f>ROUND(K911*I911/10000,6)</f>
        <v>0</v>
      </c>
      <c r="N911" s="198">
        <f>'02 项目基础信息（输入）'!$C$45</f>
        <v>0</v>
      </c>
      <c r="O911" s="198">
        <f t="shared" si="108"/>
        <v>0</v>
      </c>
      <c r="P911" s="198">
        <f>'02 项目基础信息（输入）'!$I$45</f>
        <v>0</v>
      </c>
      <c r="Q911" s="233">
        <f t="shared" si="109"/>
        <v>0</v>
      </c>
      <c r="S911" s="217"/>
      <c r="U911" s="220" t="s">
        <v>2700</v>
      </c>
    </row>
    <row r="912" spans="1:21" ht="0" hidden="1" customHeight="1" outlineLevel="2">
      <c r="A912" s="192" t="s">
        <v>1781</v>
      </c>
      <c r="B912" s="192"/>
      <c r="C912" s="197" t="s">
        <v>1609</v>
      </c>
      <c r="D912" s="198">
        <f>'02 项目基础信息（输入）'!$C$45</f>
        <v>0</v>
      </c>
      <c r="E912" s="199" t="s">
        <v>93</v>
      </c>
      <c r="F912" s="197"/>
      <c r="G912" s="199"/>
      <c r="H912" s="199"/>
      <c r="I912" s="197"/>
      <c r="J912" s="199"/>
      <c r="K912" s="207"/>
      <c r="L912" s="209"/>
      <c r="M912" s="198">
        <f>ROUND(SUM(M913:M917),6)</f>
        <v>0</v>
      </c>
      <c r="N912" s="198">
        <f>'02 项目基础信息（输入）'!$C$45</f>
        <v>0</v>
      </c>
      <c r="O912" s="198">
        <f t="shared" si="108"/>
        <v>0</v>
      </c>
      <c r="P912" s="198">
        <f>'02 项目基础信息（输入）'!$I$45</f>
        <v>0</v>
      </c>
      <c r="Q912" s="233">
        <f t="shared" si="109"/>
        <v>0</v>
      </c>
      <c r="S912" s="217" t="s">
        <v>1314</v>
      </c>
      <c r="U912" s="220" t="s">
        <v>2701</v>
      </c>
    </row>
    <row r="913" spans="1:21" ht="0" hidden="1" customHeight="1" outlineLevel="3">
      <c r="A913" s="192" t="s">
        <v>2066</v>
      </c>
      <c r="B913" s="192"/>
      <c r="C913" s="197" t="s">
        <v>309</v>
      </c>
      <c r="D913" s="198">
        <f>'02 项目基础信息（输入）'!$AC$45</f>
        <v>0</v>
      </c>
      <c r="E913" s="199" t="s">
        <v>310</v>
      </c>
      <c r="F913" s="197" t="s">
        <v>2067</v>
      </c>
      <c r="G913" s="199">
        <v>1</v>
      </c>
      <c r="H913" s="199" t="s">
        <v>2067</v>
      </c>
      <c r="I913" s="198">
        <f>G913*D913</f>
        <v>0</v>
      </c>
      <c r="J913" s="199" t="s">
        <v>1946</v>
      </c>
      <c r="K913" s="207">
        <v>0</v>
      </c>
      <c r="L913" s="209" t="s">
        <v>1948</v>
      </c>
      <c r="M913" s="207">
        <f>ROUND(K913*I913/10000,6)</f>
        <v>0</v>
      </c>
      <c r="N913" s="198">
        <f>'02 项目基础信息（输入）'!$C$45</f>
        <v>0</v>
      </c>
      <c r="O913" s="198">
        <f t="shared" si="108"/>
        <v>0</v>
      </c>
      <c r="P913" s="198">
        <f>'02 项目基础信息（输入）'!$I$45</f>
        <v>0</v>
      </c>
      <c r="Q913" s="233">
        <f t="shared" si="109"/>
        <v>0</v>
      </c>
      <c r="S913" s="217"/>
      <c r="U913" s="220" t="s">
        <v>2702</v>
      </c>
    </row>
    <row r="914" spans="1:21" ht="0" hidden="1" customHeight="1" outlineLevel="3">
      <c r="A914" s="192" t="s">
        <v>2069</v>
      </c>
      <c r="B914" s="192"/>
      <c r="C914" s="197" t="s">
        <v>309</v>
      </c>
      <c r="D914" s="198">
        <f>'02 项目基础信息（输入）'!$AC$45</f>
        <v>0</v>
      </c>
      <c r="E914" s="199" t="s">
        <v>310</v>
      </c>
      <c r="F914" s="197" t="s">
        <v>2067</v>
      </c>
      <c r="G914" s="199">
        <v>1</v>
      </c>
      <c r="H914" s="199" t="s">
        <v>2067</v>
      </c>
      <c r="I914" s="198">
        <f>G914*D914</f>
        <v>0</v>
      </c>
      <c r="J914" s="199" t="s">
        <v>1946</v>
      </c>
      <c r="K914" s="228">
        <f>'03 成本测算（输入）'!$D$122</f>
        <v>0</v>
      </c>
      <c r="L914" s="209" t="s">
        <v>1948</v>
      </c>
      <c r="M914" s="207">
        <f>ROUND(K914*I914/10000,6)</f>
        <v>0</v>
      </c>
      <c r="N914" s="198">
        <f>'02 项目基础信息（输入）'!$C$45</f>
        <v>0</v>
      </c>
      <c r="O914" s="198">
        <f t="shared" si="108"/>
        <v>0</v>
      </c>
      <c r="P914" s="198">
        <f>'02 项目基础信息（输入）'!$I$45</f>
        <v>0</v>
      </c>
      <c r="Q914" s="233">
        <f t="shared" si="109"/>
        <v>0</v>
      </c>
      <c r="S914" s="217"/>
      <c r="U914" s="220" t="s">
        <v>2703</v>
      </c>
    </row>
    <row r="915" spans="1:21" ht="0" hidden="1" customHeight="1" outlineLevel="3">
      <c r="A915" s="192" t="s">
        <v>2071</v>
      </c>
      <c r="B915" s="192"/>
      <c r="C915" s="197" t="s">
        <v>309</v>
      </c>
      <c r="D915" s="198">
        <f>'02 项目基础信息（输入）'!$AC$45</f>
        <v>0</v>
      </c>
      <c r="E915" s="199" t="s">
        <v>310</v>
      </c>
      <c r="F915" s="197" t="s">
        <v>2067</v>
      </c>
      <c r="G915" s="199">
        <v>1</v>
      </c>
      <c r="H915" s="199" t="s">
        <v>2067</v>
      </c>
      <c r="I915" s="198">
        <f>G915*D915</f>
        <v>0</v>
      </c>
      <c r="J915" s="199" t="s">
        <v>1946</v>
      </c>
      <c r="K915" s="207">
        <v>0</v>
      </c>
      <c r="L915" s="209" t="s">
        <v>1948</v>
      </c>
      <c r="M915" s="207">
        <f>ROUND(K915*I915/10000,6)</f>
        <v>0</v>
      </c>
      <c r="N915" s="198">
        <f>'02 项目基础信息（输入）'!$C$45</f>
        <v>0</v>
      </c>
      <c r="O915" s="198">
        <f t="shared" si="108"/>
        <v>0</v>
      </c>
      <c r="P915" s="198">
        <f>'02 项目基础信息（输入）'!$I$45</f>
        <v>0</v>
      </c>
      <c r="Q915" s="233">
        <f t="shared" si="109"/>
        <v>0</v>
      </c>
      <c r="S915" s="217"/>
      <c r="U915" s="220" t="s">
        <v>2704</v>
      </c>
    </row>
    <row r="916" spans="1:21" ht="0" hidden="1" customHeight="1" outlineLevel="3">
      <c r="A916" s="192" t="s">
        <v>2073</v>
      </c>
      <c r="B916" s="192"/>
      <c r="C916" s="197" t="s">
        <v>309</v>
      </c>
      <c r="D916" s="198">
        <f>'02 项目基础信息（输入）'!$AC$45</f>
        <v>0</v>
      </c>
      <c r="E916" s="199" t="s">
        <v>310</v>
      </c>
      <c r="F916" s="197" t="s">
        <v>2067</v>
      </c>
      <c r="G916" s="199">
        <v>1</v>
      </c>
      <c r="H916" s="199" t="s">
        <v>1946</v>
      </c>
      <c r="I916" s="198">
        <f>G916*D916</f>
        <v>0</v>
      </c>
      <c r="J916" s="199" t="s">
        <v>1946</v>
      </c>
      <c r="K916" s="228">
        <f>'03 成本测算（输入）'!$D$123</f>
        <v>0</v>
      </c>
      <c r="L916" s="209" t="s">
        <v>1948</v>
      </c>
      <c r="M916" s="207">
        <f>ROUND(K916*I916/10000,6)</f>
        <v>0</v>
      </c>
      <c r="N916" s="198">
        <f>'02 项目基础信息（输入）'!$C$45</f>
        <v>0</v>
      </c>
      <c r="O916" s="198">
        <f t="shared" si="108"/>
        <v>0</v>
      </c>
      <c r="P916" s="198">
        <f>'02 项目基础信息（输入）'!$I$45</f>
        <v>0</v>
      </c>
      <c r="Q916" s="233">
        <f t="shared" si="109"/>
        <v>0</v>
      </c>
      <c r="S916" s="217"/>
      <c r="U916" s="220" t="s">
        <v>2705</v>
      </c>
    </row>
    <row r="917" spans="1:21" ht="0" hidden="1" customHeight="1" outlineLevel="3">
      <c r="A917" s="192" t="s">
        <v>1783</v>
      </c>
      <c r="B917" s="192"/>
      <c r="C917" s="197" t="s">
        <v>309</v>
      </c>
      <c r="D917" s="198">
        <f>'02 项目基础信息（输入）'!$AC$45</f>
        <v>0</v>
      </c>
      <c r="E917" s="199" t="s">
        <v>310</v>
      </c>
      <c r="F917" s="197" t="s">
        <v>1784</v>
      </c>
      <c r="G917" s="199">
        <v>1</v>
      </c>
      <c r="H917" s="199" t="s">
        <v>1784</v>
      </c>
      <c r="I917" s="198">
        <f>G917*D917</f>
        <v>0</v>
      </c>
      <c r="J917" s="199" t="s">
        <v>1600</v>
      </c>
      <c r="K917" s="207">
        <v>0</v>
      </c>
      <c r="L917" s="209" t="s">
        <v>1601</v>
      </c>
      <c r="M917" s="207">
        <f>ROUND(K917*I917/10000,6)</f>
        <v>0</v>
      </c>
      <c r="N917" s="198">
        <f>'02 项目基础信息（输入）'!$C$45</f>
        <v>0</v>
      </c>
      <c r="O917" s="198">
        <f t="shared" si="108"/>
        <v>0</v>
      </c>
      <c r="P917" s="198">
        <f>'02 项目基础信息（输入）'!$I$45</f>
        <v>0</v>
      </c>
      <c r="Q917" s="233">
        <f t="shared" si="109"/>
        <v>0</v>
      </c>
      <c r="S917" s="217"/>
      <c r="U917" s="220" t="s">
        <v>2706</v>
      </c>
    </row>
    <row r="918" spans="1:21" ht="0" hidden="1" customHeight="1" outlineLevel="2">
      <c r="A918" s="192" t="s">
        <v>1786</v>
      </c>
      <c r="B918" s="192"/>
      <c r="C918" s="197" t="s">
        <v>1609</v>
      </c>
      <c r="D918" s="198">
        <f>'02 项目基础信息（输入）'!$C$45</f>
        <v>0</v>
      </c>
      <c r="E918" s="199" t="s">
        <v>93</v>
      </c>
      <c r="F918" s="197"/>
      <c r="G918" s="199"/>
      <c r="H918" s="199"/>
      <c r="I918" s="197"/>
      <c r="J918" s="199"/>
      <c r="K918" s="207"/>
      <c r="L918" s="209"/>
      <c r="M918" s="198">
        <f>ROUND(SUM(M919:M923),6)</f>
        <v>0</v>
      </c>
      <c r="N918" s="198">
        <f>'02 项目基础信息（输入）'!$C$45</f>
        <v>0</v>
      </c>
      <c r="O918" s="198">
        <f t="shared" si="108"/>
        <v>0</v>
      </c>
      <c r="P918" s="198">
        <f>'02 项目基础信息（输入）'!$I$45</f>
        <v>0</v>
      </c>
      <c r="Q918" s="233">
        <f t="shared" si="109"/>
        <v>0</v>
      </c>
      <c r="S918" s="217" t="s">
        <v>1314</v>
      </c>
      <c r="U918" s="220" t="s">
        <v>2707</v>
      </c>
    </row>
    <row r="919" spans="1:21" ht="0" hidden="1" customHeight="1" outlineLevel="3">
      <c r="A919" s="192" t="s">
        <v>2077</v>
      </c>
      <c r="B919" s="192"/>
      <c r="C919" s="197" t="s">
        <v>1609</v>
      </c>
      <c r="D919" s="198">
        <f>'02 项目基础信息（输入）'!$C$45</f>
        <v>0</v>
      </c>
      <c r="E919" s="199" t="s">
        <v>93</v>
      </c>
      <c r="F919" s="197" t="s">
        <v>754</v>
      </c>
      <c r="G919" s="224">
        <f>'03 成本测算（输入）'!$D$124</f>
        <v>0</v>
      </c>
      <c r="H919" s="199" t="s">
        <v>298</v>
      </c>
      <c r="I919" s="198">
        <f>G919*D919</f>
        <v>0</v>
      </c>
      <c r="J919" s="199" t="s">
        <v>93</v>
      </c>
      <c r="K919" s="228">
        <f>'03 成本测算（输入）'!$D$125</f>
        <v>0</v>
      </c>
      <c r="L919" s="209" t="s">
        <v>675</v>
      </c>
      <c r="M919" s="207">
        <f>ROUND(K919*I919/10000,6)</f>
        <v>0</v>
      </c>
      <c r="N919" s="198">
        <f>'02 项目基础信息（输入）'!$C$45</f>
        <v>0</v>
      </c>
      <c r="O919" s="198">
        <f t="shared" si="108"/>
        <v>0</v>
      </c>
      <c r="P919" s="198">
        <f>'02 项目基础信息（输入）'!$I$45</f>
        <v>0</v>
      </c>
      <c r="Q919" s="233">
        <f t="shared" si="109"/>
        <v>0</v>
      </c>
      <c r="S919" s="217"/>
      <c r="U919" s="220" t="s">
        <v>2708</v>
      </c>
    </row>
    <row r="920" spans="1:21" ht="0" hidden="1" customHeight="1" outlineLevel="3">
      <c r="A920" s="192" t="s">
        <v>2079</v>
      </c>
      <c r="B920" s="192"/>
      <c r="C920" s="197" t="s">
        <v>1609</v>
      </c>
      <c r="D920" s="198">
        <f>'02 项目基础信息（输入）'!$C$45</f>
        <v>0</v>
      </c>
      <c r="E920" s="199" t="s">
        <v>93</v>
      </c>
      <c r="F920" s="197" t="s">
        <v>754</v>
      </c>
      <c r="G920" s="199">
        <v>0</v>
      </c>
      <c r="H920" s="199" t="s">
        <v>298</v>
      </c>
      <c r="I920" s="198">
        <f>G920*D920</f>
        <v>0</v>
      </c>
      <c r="J920" s="199" t="s">
        <v>93</v>
      </c>
      <c r="K920" s="207">
        <v>0</v>
      </c>
      <c r="L920" s="209" t="s">
        <v>675</v>
      </c>
      <c r="M920" s="207">
        <f>ROUND(K920*I920/10000,6)</f>
        <v>0</v>
      </c>
      <c r="N920" s="198">
        <f>'02 项目基础信息（输入）'!$C$45</f>
        <v>0</v>
      </c>
      <c r="O920" s="198">
        <f t="shared" si="108"/>
        <v>0</v>
      </c>
      <c r="P920" s="198">
        <f>'02 项目基础信息（输入）'!$I$45</f>
        <v>0</v>
      </c>
      <c r="Q920" s="233">
        <f t="shared" si="109"/>
        <v>0</v>
      </c>
      <c r="S920" s="217"/>
      <c r="U920" s="220" t="s">
        <v>2709</v>
      </c>
    </row>
    <row r="921" spans="1:21" ht="0" hidden="1" customHeight="1" outlineLevel="3">
      <c r="A921" s="192" t="s">
        <v>2081</v>
      </c>
      <c r="B921" s="192"/>
      <c r="C921" s="197" t="s">
        <v>1609</v>
      </c>
      <c r="D921" s="198">
        <f>'02 项目基础信息（输入）'!$C$45</f>
        <v>0</v>
      </c>
      <c r="E921" s="199" t="s">
        <v>93</v>
      </c>
      <c r="F921" s="197" t="s">
        <v>754</v>
      </c>
      <c r="G921" s="199">
        <v>0</v>
      </c>
      <c r="H921" s="199" t="s">
        <v>298</v>
      </c>
      <c r="I921" s="198">
        <f>G921*D921</f>
        <v>0</v>
      </c>
      <c r="J921" s="199" t="s">
        <v>93</v>
      </c>
      <c r="K921" s="207">
        <v>0</v>
      </c>
      <c r="L921" s="209" t="s">
        <v>675</v>
      </c>
      <c r="M921" s="207">
        <f>ROUND(K921*I921/10000,6)</f>
        <v>0</v>
      </c>
      <c r="N921" s="198">
        <f>'02 项目基础信息（输入）'!$C$45</f>
        <v>0</v>
      </c>
      <c r="O921" s="198">
        <f t="shared" si="108"/>
        <v>0</v>
      </c>
      <c r="P921" s="198">
        <f>'02 项目基础信息（输入）'!$I$45</f>
        <v>0</v>
      </c>
      <c r="Q921" s="233">
        <f t="shared" si="109"/>
        <v>0</v>
      </c>
      <c r="S921" s="217"/>
      <c r="U921" s="220" t="s">
        <v>2710</v>
      </c>
    </row>
    <row r="922" spans="1:21" ht="0" hidden="1" customHeight="1" outlineLevel="3">
      <c r="A922" s="192" t="s">
        <v>2083</v>
      </c>
      <c r="B922" s="192"/>
      <c r="C922" s="197" t="s">
        <v>1609</v>
      </c>
      <c r="D922" s="198">
        <f>'02 项目基础信息（输入）'!$C$45</f>
        <v>0</v>
      </c>
      <c r="E922" s="199" t="s">
        <v>93</v>
      </c>
      <c r="F922" s="197" t="s">
        <v>2084</v>
      </c>
      <c r="G922" s="225"/>
      <c r="H922" s="199" t="s">
        <v>298</v>
      </c>
      <c r="I922" s="198">
        <f>G922*D922</f>
        <v>0</v>
      </c>
      <c r="J922" s="199" t="s">
        <v>93</v>
      </c>
      <c r="K922" s="208"/>
      <c r="L922" s="209" t="s">
        <v>675</v>
      </c>
      <c r="M922" s="207">
        <f>ROUND(K922*I922/10000,6)</f>
        <v>0</v>
      </c>
      <c r="N922" s="198">
        <f>'02 项目基础信息（输入）'!$C$45</f>
        <v>0</v>
      </c>
      <c r="O922" s="198">
        <f t="shared" si="108"/>
        <v>0</v>
      </c>
      <c r="P922" s="198">
        <f>'02 项目基础信息（输入）'!$I$45</f>
        <v>0</v>
      </c>
      <c r="Q922" s="233">
        <f t="shared" si="109"/>
        <v>0</v>
      </c>
      <c r="S922" s="217"/>
      <c r="U922" s="220" t="s">
        <v>2711</v>
      </c>
    </row>
    <row r="923" spans="1:21" ht="0" hidden="1" customHeight="1" outlineLevel="3">
      <c r="A923" s="192" t="s">
        <v>1788</v>
      </c>
      <c r="B923" s="192"/>
      <c r="C923" s="197" t="s">
        <v>1609</v>
      </c>
      <c r="D923" s="198">
        <f>'02 项目基础信息（输入）'!$C$45</f>
        <v>0</v>
      </c>
      <c r="E923" s="199" t="s">
        <v>93</v>
      </c>
      <c r="F923" s="197" t="s">
        <v>1609</v>
      </c>
      <c r="G923" s="199">
        <v>1</v>
      </c>
      <c r="H923" s="199" t="s">
        <v>298</v>
      </c>
      <c r="I923" s="198">
        <f>G923*D923</f>
        <v>0</v>
      </c>
      <c r="J923" s="199" t="s">
        <v>93</v>
      </c>
      <c r="K923" s="207">
        <v>0</v>
      </c>
      <c r="L923" s="209" t="s">
        <v>675</v>
      </c>
      <c r="M923" s="207">
        <f>ROUND(K923*I923/10000,6)</f>
        <v>0</v>
      </c>
      <c r="N923" s="198">
        <f>'02 项目基础信息（输入）'!$C$45</f>
        <v>0</v>
      </c>
      <c r="O923" s="198">
        <f t="shared" si="108"/>
        <v>0</v>
      </c>
      <c r="P923" s="198">
        <f>'02 项目基础信息（输入）'!$I$45</f>
        <v>0</v>
      </c>
      <c r="Q923" s="233">
        <f t="shared" si="109"/>
        <v>0</v>
      </c>
      <c r="S923" s="217"/>
      <c r="U923" s="220" t="s">
        <v>2712</v>
      </c>
    </row>
    <row r="924" spans="1:21" ht="0" hidden="1" customHeight="1" outlineLevel="2">
      <c r="A924" s="192" t="s">
        <v>1790</v>
      </c>
      <c r="B924" s="192"/>
      <c r="C924" s="197" t="s">
        <v>1609</v>
      </c>
      <c r="D924" s="198">
        <f>'02 项目基础信息（输入）'!$C$45</f>
        <v>0</v>
      </c>
      <c r="E924" s="199" t="s">
        <v>93</v>
      </c>
      <c r="F924" s="197"/>
      <c r="G924" s="199"/>
      <c r="H924" s="199"/>
      <c r="I924" s="197"/>
      <c r="J924" s="199"/>
      <c r="K924" s="207"/>
      <c r="L924" s="209"/>
      <c r="M924" s="198">
        <f>ROUND(SUM(M925:M928),6)</f>
        <v>0</v>
      </c>
      <c r="N924" s="198">
        <f>'02 项目基础信息（输入）'!$C$45</f>
        <v>0</v>
      </c>
      <c r="O924" s="198">
        <f t="shared" si="108"/>
        <v>0</v>
      </c>
      <c r="P924" s="198">
        <f>'02 项目基础信息（输入）'!$I$45</f>
        <v>0</v>
      </c>
      <c r="Q924" s="233">
        <f t="shared" si="109"/>
        <v>0</v>
      </c>
      <c r="S924" s="217" t="s">
        <v>1313</v>
      </c>
      <c r="U924" s="220" t="s">
        <v>2713</v>
      </c>
    </row>
    <row r="925" spans="1:21" ht="0" hidden="1" customHeight="1" outlineLevel="3">
      <c r="A925" s="192" t="s">
        <v>1792</v>
      </c>
      <c r="B925" s="192"/>
      <c r="C925" s="197" t="s">
        <v>1609</v>
      </c>
      <c r="D925" s="198">
        <f>'02 项目基础信息（输入）'!$C$45</f>
        <v>0</v>
      </c>
      <c r="E925" s="199" t="s">
        <v>93</v>
      </c>
      <c r="F925" s="197" t="s">
        <v>727</v>
      </c>
      <c r="G925" s="224">
        <f>'03 成本测算（输入）'!$D$116</f>
        <v>0</v>
      </c>
      <c r="H925" s="199" t="s">
        <v>298</v>
      </c>
      <c r="I925" s="198">
        <f>G925*D925</f>
        <v>0</v>
      </c>
      <c r="J925" s="199" t="s">
        <v>93</v>
      </c>
      <c r="K925" s="228">
        <f>'03 成本测算（输入）'!$D$117</f>
        <v>0</v>
      </c>
      <c r="L925" s="209" t="s">
        <v>675</v>
      </c>
      <c r="M925" s="207">
        <f>ROUND(K925*I925/10000,6)</f>
        <v>0</v>
      </c>
      <c r="N925" s="198">
        <f>'02 项目基础信息（输入）'!$C$45</f>
        <v>0</v>
      </c>
      <c r="O925" s="198">
        <f t="shared" si="108"/>
        <v>0</v>
      </c>
      <c r="P925" s="198">
        <f>'02 项目基础信息（输入）'!$I$45</f>
        <v>0</v>
      </c>
      <c r="Q925" s="233">
        <f t="shared" si="109"/>
        <v>0</v>
      </c>
      <c r="S925" s="217"/>
      <c r="U925" s="220" t="s">
        <v>2714</v>
      </c>
    </row>
    <row r="926" spans="1:21" ht="0" hidden="1" customHeight="1" outlineLevel="3">
      <c r="A926" s="192" t="s">
        <v>1794</v>
      </c>
      <c r="B926" s="192"/>
      <c r="C926" s="197" t="s">
        <v>1609</v>
      </c>
      <c r="D926" s="198">
        <f>'02 项目基础信息（输入）'!$C$45</f>
        <v>0</v>
      </c>
      <c r="E926" s="199" t="s">
        <v>93</v>
      </c>
      <c r="F926" s="197" t="s">
        <v>727</v>
      </c>
      <c r="G926" s="199">
        <f>G925</f>
        <v>0</v>
      </c>
      <c r="H926" s="199" t="s">
        <v>298</v>
      </c>
      <c r="I926" s="198">
        <f>G926*D926</f>
        <v>0</v>
      </c>
      <c r="J926" s="199" t="s">
        <v>93</v>
      </c>
      <c r="K926" s="207">
        <v>0</v>
      </c>
      <c r="L926" s="209" t="s">
        <v>675</v>
      </c>
      <c r="M926" s="207">
        <f>ROUND(K926*I926/10000,6)</f>
        <v>0</v>
      </c>
      <c r="N926" s="198">
        <f>'02 项目基础信息（输入）'!$C$45</f>
        <v>0</v>
      </c>
      <c r="O926" s="198">
        <f t="shared" si="108"/>
        <v>0</v>
      </c>
      <c r="P926" s="198">
        <f>'02 项目基础信息（输入）'!$I$45</f>
        <v>0</v>
      </c>
      <c r="Q926" s="233">
        <f t="shared" si="109"/>
        <v>0</v>
      </c>
      <c r="S926" s="217"/>
      <c r="U926" s="220" t="s">
        <v>2715</v>
      </c>
    </row>
    <row r="927" spans="1:21" ht="0" hidden="1" customHeight="1" outlineLevel="3">
      <c r="A927" s="192" t="s">
        <v>1796</v>
      </c>
      <c r="B927" s="192"/>
      <c r="C927" s="197" t="s">
        <v>1609</v>
      </c>
      <c r="D927" s="198">
        <f>'02 项目基础信息（输入）'!$C$45</f>
        <v>0</v>
      </c>
      <c r="E927" s="199" t="s">
        <v>93</v>
      </c>
      <c r="F927" s="197" t="s">
        <v>727</v>
      </c>
      <c r="G927" s="199">
        <v>1</v>
      </c>
      <c r="H927" s="199" t="s">
        <v>298</v>
      </c>
      <c r="I927" s="198">
        <f>G927*D927</f>
        <v>0</v>
      </c>
      <c r="J927" s="199" t="s">
        <v>93</v>
      </c>
      <c r="K927" s="207">
        <v>0</v>
      </c>
      <c r="L927" s="209" t="s">
        <v>675</v>
      </c>
      <c r="M927" s="207">
        <f>ROUND(K927*I927/10000,6)</f>
        <v>0</v>
      </c>
      <c r="N927" s="198">
        <f>'02 项目基础信息（输入）'!$C$45</f>
        <v>0</v>
      </c>
      <c r="O927" s="198">
        <f t="shared" si="108"/>
        <v>0</v>
      </c>
      <c r="P927" s="198">
        <f>'02 项目基础信息（输入）'!$I$45</f>
        <v>0</v>
      </c>
      <c r="Q927" s="233">
        <f t="shared" si="109"/>
        <v>0</v>
      </c>
      <c r="S927" s="217"/>
      <c r="U927" s="220" t="s">
        <v>2716</v>
      </c>
    </row>
    <row r="928" spans="1:21" ht="0" hidden="1" customHeight="1" outlineLevel="3">
      <c r="A928" s="192" t="s">
        <v>1798</v>
      </c>
      <c r="B928" s="192"/>
      <c r="C928" s="197" t="s">
        <v>1609</v>
      </c>
      <c r="D928" s="198">
        <f>'02 项目基础信息（输入）'!$C$45</f>
        <v>0</v>
      </c>
      <c r="E928" s="199" t="s">
        <v>93</v>
      </c>
      <c r="F928" s="197" t="s">
        <v>727</v>
      </c>
      <c r="G928" s="199">
        <v>1</v>
      </c>
      <c r="H928" s="199" t="s">
        <v>298</v>
      </c>
      <c r="I928" s="198">
        <f>G928*D928</f>
        <v>0</v>
      </c>
      <c r="J928" s="199" t="s">
        <v>93</v>
      </c>
      <c r="K928" s="207">
        <v>0</v>
      </c>
      <c r="L928" s="209" t="s">
        <v>675</v>
      </c>
      <c r="M928" s="207">
        <f>ROUND(K928*I928/10000,6)</f>
        <v>0</v>
      </c>
      <c r="N928" s="198">
        <f>'02 项目基础信息（输入）'!$C$45</f>
        <v>0</v>
      </c>
      <c r="O928" s="198">
        <f t="shared" si="108"/>
        <v>0</v>
      </c>
      <c r="P928" s="198">
        <f>'02 项目基础信息（输入）'!$I$45</f>
        <v>0</v>
      </c>
      <c r="Q928" s="233">
        <f t="shared" si="109"/>
        <v>0</v>
      </c>
      <c r="S928" s="217"/>
      <c r="U928" s="220" t="s">
        <v>2717</v>
      </c>
    </row>
    <row r="929" spans="1:21" ht="0" hidden="1" customHeight="1" outlineLevel="2">
      <c r="A929" s="192" t="s">
        <v>1800</v>
      </c>
      <c r="B929" s="192"/>
      <c r="C929" s="197" t="s">
        <v>1609</v>
      </c>
      <c r="D929" s="198">
        <f>'02 项目基础信息（输入）'!$C$45</f>
        <v>0</v>
      </c>
      <c r="E929" s="199" t="s">
        <v>93</v>
      </c>
      <c r="F929" s="197"/>
      <c r="G929" s="199"/>
      <c r="H929" s="199"/>
      <c r="I929" s="197"/>
      <c r="J929" s="199"/>
      <c r="K929" s="207"/>
      <c r="L929" s="209"/>
      <c r="M929" s="198">
        <f>ROUND(SUM(M930:M945),6)</f>
        <v>0</v>
      </c>
      <c r="N929" s="198">
        <f>'02 项目基础信息（输入）'!$C$45</f>
        <v>0</v>
      </c>
      <c r="O929" s="198">
        <f t="shared" si="108"/>
        <v>0</v>
      </c>
      <c r="P929" s="198">
        <f>'02 项目基础信息（输入）'!$I$45</f>
        <v>0</v>
      </c>
      <c r="Q929" s="233">
        <f t="shared" si="109"/>
        <v>0</v>
      </c>
      <c r="S929" s="217" t="s">
        <v>1314</v>
      </c>
      <c r="U929" s="220" t="s">
        <v>2718</v>
      </c>
    </row>
    <row r="930" spans="1:21" ht="0" hidden="1" customHeight="1" outlineLevel="3">
      <c r="A930" s="192" t="s">
        <v>1802</v>
      </c>
      <c r="B930" s="192"/>
      <c r="C930" s="199" t="s">
        <v>476</v>
      </c>
      <c r="D930" s="198">
        <f>'02 项目基础信息（输入）'!$AF$45</f>
        <v>0</v>
      </c>
      <c r="E930" s="199" t="s">
        <v>93</v>
      </c>
      <c r="F930" s="197" t="s">
        <v>1803</v>
      </c>
      <c r="G930" s="224">
        <f>'03 成本测算（输入）'!$D$128</f>
        <v>0</v>
      </c>
      <c r="H930" s="199" t="s">
        <v>123</v>
      </c>
      <c r="I930" s="198">
        <f t="shared" ref="I930:I943" si="110">G930*D930/100</f>
        <v>0</v>
      </c>
      <c r="J930" s="199" t="s">
        <v>93</v>
      </c>
      <c r="K930" s="228">
        <f>'03 成本测算（输入）'!$D$129</f>
        <v>0</v>
      </c>
      <c r="L930" s="209" t="s">
        <v>675</v>
      </c>
      <c r="M930" s="207">
        <f t="shared" ref="M930:M945" si="111">ROUND(K930*I930/10000,6)</f>
        <v>0</v>
      </c>
      <c r="N930" s="198">
        <f>'02 项目基础信息（输入）'!$C$45</f>
        <v>0</v>
      </c>
      <c r="O930" s="198">
        <f t="shared" si="108"/>
        <v>0</v>
      </c>
      <c r="P930" s="198">
        <f>'02 项目基础信息（输入）'!$I$45</f>
        <v>0</v>
      </c>
      <c r="Q930" s="233">
        <f t="shared" si="109"/>
        <v>0</v>
      </c>
      <c r="S930" s="217"/>
      <c r="U930" s="220" t="s">
        <v>2719</v>
      </c>
    </row>
    <row r="931" spans="1:21" ht="0" hidden="1" customHeight="1" outlineLevel="3">
      <c r="A931" s="192" t="s">
        <v>1805</v>
      </c>
      <c r="B931" s="192"/>
      <c r="C931" s="199" t="s">
        <v>476</v>
      </c>
      <c r="D931" s="198">
        <f>'02 项目基础信息（输入）'!$AF$45</f>
        <v>0</v>
      </c>
      <c r="E931" s="199" t="s">
        <v>93</v>
      </c>
      <c r="F931" s="197" t="s">
        <v>1803</v>
      </c>
      <c r="G931" s="204">
        <f>G930</f>
        <v>0</v>
      </c>
      <c r="H931" s="199" t="s">
        <v>123</v>
      </c>
      <c r="I931" s="198">
        <f t="shared" si="110"/>
        <v>0</v>
      </c>
      <c r="J931" s="199" t="s">
        <v>93</v>
      </c>
      <c r="K931" s="207">
        <v>0</v>
      </c>
      <c r="L931" s="209" t="s">
        <v>675</v>
      </c>
      <c r="M931" s="207">
        <f t="shared" si="111"/>
        <v>0</v>
      </c>
      <c r="N931" s="198">
        <f>'02 项目基础信息（输入）'!$C$45</f>
        <v>0</v>
      </c>
      <c r="O931" s="198">
        <f t="shared" si="108"/>
        <v>0</v>
      </c>
      <c r="P931" s="198">
        <f>'02 项目基础信息（输入）'!$I$45</f>
        <v>0</v>
      </c>
      <c r="Q931" s="233">
        <f t="shared" si="109"/>
        <v>0</v>
      </c>
      <c r="S931" s="217"/>
      <c r="U931" s="220" t="s">
        <v>2720</v>
      </c>
    </row>
    <row r="932" spans="1:21" ht="0" hidden="1" customHeight="1" outlineLevel="3">
      <c r="A932" s="192" t="s">
        <v>1807</v>
      </c>
      <c r="B932" s="192"/>
      <c r="C932" s="199" t="s">
        <v>476</v>
      </c>
      <c r="D932" s="198">
        <f>'02 项目基础信息（输入）'!$AF$45</f>
        <v>0</v>
      </c>
      <c r="E932" s="199" t="s">
        <v>93</v>
      </c>
      <c r="F932" s="197" t="s">
        <v>1803</v>
      </c>
      <c r="G932" s="246">
        <f>'03 成本测算（输入）'!$D$130</f>
        <v>0</v>
      </c>
      <c r="H932" s="199" t="s">
        <v>123</v>
      </c>
      <c r="I932" s="198">
        <f t="shared" si="110"/>
        <v>0</v>
      </c>
      <c r="J932" s="199" t="s">
        <v>93</v>
      </c>
      <c r="K932" s="228">
        <f>'03 成本测算（输入）'!$D$131</f>
        <v>0</v>
      </c>
      <c r="L932" s="209" t="s">
        <v>675</v>
      </c>
      <c r="M932" s="207">
        <f t="shared" si="111"/>
        <v>0</v>
      </c>
      <c r="N932" s="198">
        <f>'02 项目基础信息（输入）'!$C$45</f>
        <v>0</v>
      </c>
      <c r="O932" s="198">
        <f t="shared" si="108"/>
        <v>0</v>
      </c>
      <c r="P932" s="198">
        <f>'02 项目基础信息（输入）'!$I$45</f>
        <v>0</v>
      </c>
      <c r="Q932" s="233">
        <f t="shared" si="109"/>
        <v>0</v>
      </c>
      <c r="S932" s="217"/>
      <c r="U932" s="220" t="s">
        <v>2721</v>
      </c>
    </row>
    <row r="933" spans="1:21" ht="0" hidden="1" customHeight="1" outlineLevel="3">
      <c r="A933" s="192" t="s">
        <v>1809</v>
      </c>
      <c r="B933" s="192"/>
      <c r="C933" s="199" t="s">
        <v>476</v>
      </c>
      <c r="D933" s="198">
        <f>'02 项目基础信息（输入）'!$AF$45</f>
        <v>0</v>
      </c>
      <c r="E933" s="199" t="s">
        <v>93</v>
      </c>
      <c r="F933" s="197" t="s">
        <v>1803</v>
      </c>
      <c r="G933" s="204">
        <f>G932</f>
        <v>0</v>
      </c>
      <c r="H933" s="199" t="s">
        <v>123</v>
      </c>
      <c r="I933" s="198">
        <f t="shared" si="110"/>
        <v>0</v>
      </c>
      <c r="J933" s="199" t="s">
        <v>93</v>
      </c>
      <c r="K933" s="207">
        <v>0</v>
      </c>
      <c r="L933" s="209" t="s">
        <v>675</v>
      </c>
      <c r="M933" s="207">
        <f t="shared" si="111"/>
        <v>0</v>
      </c>
      <c r="N933" s="198">
        <f>'02 项目基础信息（输入）'!$C$45</f>
        <v>0</v>
      </c>
      <c r="O933" s="198">
        <f t="shared" si="108"/>
        <v>0</v>
      </c>
      <c r="P933" s="198">
        <f>'02 项目基础信息（输入）'!$I$45</f>
        <v>0</v>
      </c>
      <c r="Q933" s="233">
        <f t="shared" si="109"/>
        <v>0</v>
      </c>
      <c r="S933" s="217"/>
      <c r="U933" s="220" t="s">
        <v>2722</v>
      </c>
    </row>
    <row r="934" spans="1:21" ht="0" hidden="1" customHeight="1" outlineLevel="3">
      <c r="A934" s="192" t="s">
        <v>1811</v>
      </c>
      <c r="B934" s="192"/>
      <c r="C934" s="199" t="s">
        <v>476</v>
      </c>
      <c r="D934" s="198">
        <f>'02 项目基础信息（输入）'!$AF$45</f>
        <v>0</v>
      </c>
      <c r="E934" s="199" t="s">
        <v>93</v>
      </c>
      <c r="F934" s="197" t="s">
        <v>1803</v>
      </c>
      <c r="G934" s="204">
        <v>0</v>
      </c>
      <c r="H934" s="199" t="s">
        <v>123</v>
      </c>
      <c r="I934" s="198">
        <f t="shared" si="110"/>
        <v>0</v>
      </c>
      <c r="J934" s="199" t="s">
        <v>93</v>
      </c>
      <c r="K934" s="207">
        <v>0</v>
      </c>
      <c r="L934" s="209" t="s">
        <v>675</v>
      </c>
      <c r="M934" s="207">
        <f t="shared" si="111"/>
        <v>0</v>
      </c>
      <c r="N934" s="198">
        <f>'02 项目基础信息（输入）'!$C$45</f>
        <v>0</v>
      </c>
      <c r="O934" s="198">
        <f t="shared" si="108"/>
        <v>0</v>
      </c>
      <c r="P934" s="198">
        <f>'02 项目基础信息（输入）'!$I$45</f>
        <v>0</v>
      </c>
      <c r="Q934" s="233">
        <f t="shared" si="109"/>
        <v>0</v>
      </c>
      <c r="S934" s="217"/>
      <c r="U934" s="220" t="s">
        <v>2723</v>
      </c>
    </row>
    <row r="935" spans="1:21" ht="0" hidden="1" customHeight="1" outlineLevel="3">
      <c r="A935" s="192" t="s">
        <v>1813</v>
      </c>
      <c r="B935" s="192"/>
      <c r="C935" s="199" t="s">
        <v>476</v>
      </c>
      <c r="D935" s="198">
        <f>'02 项目基础信息（输入）'!$AF$45</f>
        <v>0</v>
      </c>
      <c r="E935" s="199" t="s">
        <v>93</v>
      </c>
      <c r="F935" s="197" t="s">
        <v>1803</v>
      </c>
      <c r="G935" s="204">
        <f>G934</f>
        <v>0</v>
      </c>
      <c r="H935" s="199" t="s">
        <v>123</v>
      </c>
      <c r="I935" s="198">
        <f t="shared" si="110"/>
        <v>0</v>
      </c>
      <c r="J935" s="199" t="s">
        <v>93</v>
      </c>
      <c r="K935" s="207">
        <v>0</v>
      </c>
      <c r="L935" s="209" t="s">
        <v>675</v>
      </c>
      <c r="M935" s="207">
        <f t="shared" si="111"/>
        <v>0</v>
      </c>
      <c r="N935" s="198">
        <f>'02 项目基础信息（输入）'!$C$45</f>
        <v>0</v>
      </c>
      <c r="O935" s="198">
        <f t="shared" si="108"/>
        <v>0</v>
      </c>
      <c r="P935" s="198">
        <f>'02 项目基础信息（输入）'!$I$45</f>
        <v>0</v>
      </c>
      <c r="Q935" s="233">
        <f t="shared" si="109"/>
        <v>0</v>
      </c>
      <c r="S935" s="217"/>
      <c r="U935" s="220" t="s">
        <v>2724</v>
      </c>
    </row>
    <row r="936" spans="1:21" ht="0" hidden="1" customHeight="1" outlineLevel="3">
      <c r="A936" s="192" t="s">
        <v>1815</v>
      </c>
      <c r="B936" s="192"/>
      <c r="C936" s="199" t="s">
        <v>476</v>
      </c>
      <c r="D936" s="198">
        <f>'02 项目基础信息（输入）'!$AF$45</f>
        <v>0</v>
      </c>
      <c r="E936" s="199" t="s">
        <v>93</v>
      </c>
      <c r="F936" s="197" t="s">
        <v>1803</v>
      </c>
      <c r="G936" s="204">
        <v>0</v>
      </c>
      <c r="H936" s="199" t="s">
        <v>123</v>
      </c>
      <c r="I936" s="198">
        <f t="shared" si="110"/>
        <v>0</v>
      </c>
      <c r="J936" s="199" t="s">
        <v>93</v>
      </c>
      <c r="K936" s="207">
        <v>0</v>
      </c>
      <c r="L936" s="209" t="s">
        <v>675</v>
      </c>
      <c r="M936" s="207">
        <f t="shared" si="111"/>
        <v>0</v>
      </c>
      <c r="N936" s="198">
        <f>'02 项目基础信息（输入）'!$C$45</f>
        <v>0</v>
      </c>
      <c r="O936" s="198">
        <f t="shared" si="108"/>
        <v>0</v>
      </c>
      <c r="P936" s="198">
        <f>'02 项目基础信息（输入）'!$I$45</f>
        <v>0</v>
      </c>
      <c r="Q936" s="233">
        <f t="shared" si="109"/>
        <v>0</v>
      </c>
      <c r="S936" s="217"/>
      <c r="U936" s="220" t="s">
        <v>2725</v>
      </c>
    </row>
    <row r="937" spans="1:21" ht="0" hidden="1" customHeight="1" outlineLevel="3">
      <c r="A937" s="192" t="s">
        <v>1817</v>
      </c>
      <c r="B937" s="192"/>
      <c r="C937" s="199" t="s">
        <v>476</v>
      </c>
      <c r="D937" s="198">
        <f>'02 项目基础信息（输入）'!$AF$45</f>
        <v>0</v>
      </c>
      <c r="E937" s="199" t="s">
        <v>93</v>
      </c>
      <c r="F937" s="197" t="s">
        <v>1803</v>
      </c>
      <c r="G937" s="204">
        <f>G936</f>
        <v>0</v>
      </c>
      <c r="H937" s="199" t="s">
        <v>123</v>
      </c>
      <c r="I937" s="198">
        <f t="shared" si="110"/>
        <v>0</v>
      </c>
      <c r="J937" s="199" t="s">
        <v>93</v>
      </c>
      <c r="K937" s="207">
        <v>0</v>
      </c>
      <c r="L937" s="209" t="s">
        <v>675</v>
      </c>
      <c r="M937" s="207">
        <f t="shared" si="111"/>
        <v>0</v>
      </c>
      <c r="N937" s="198">
        <f>'02 项目基础信息（输入）'!$C$45</f>
        <v>0</v>
      </c>
      <c r="O937" s="198">
        <f t="shared" si="108"/>
        <v>0</v>
      </c>
      <c r="P937" s="198">
        <f>'02 项目基础信息（输入）'!$I$45</f>
        <v>0</v>
      </c>
      <c r="Q937" s="233">
        <f t="shared" si="109"/>
        <v>0</v>
      </c>
      <c r="S937" s="217"/>
      <c r="U937" s="220" t="s">
        <v>2726</v>
      </c>
    </row>
    <row r="938" spans="1:21" ht="0" hidden="1" customHeight="1" outlineLevel="3">
      <c r="A938" s="192" t="s">
        <v>1819</v>
      </c>
      <c r="B938" s="192"/>
      <c r="C938" s="199" t="s">
        <v>476</v>
      </c>
      <c r="D938" s="198">
        <f>'02 项目基础信息（输入）'!$AF$45</f>
        <v>0</v>
      </c>
      <c r="E938" s="199" t="s">
        <v>93</v>
      </c>
      <c r="F938" s="197" t="s">
        <v>1803</v>
      </c>
      <c r="G938" s="204">
        <v>0</v>
      </c>
      <c r="H938" s="199" t="s">
        <v>123</v>
      </c>
      <c r="I938" s="198">
        <f t="shared" si="110"/>
        <v>0</v>
      </c>
      <c r="J938" s="199" t="s">
        <v>93</v>
      </c>
      <c r="K938" s="207">
        <v>0</v>
      </c>
      <c r="L938" s="209" t="s">
        <v>675</v>
      </c>
      <c r="M938" s="207">
        <f t="shared" si="111"/>
        <v>0</v>
      </c>
      <c r="N938" s="198">
        <f>'02 项目基础信息（输入）'!$C$45</f>
        <v>0</v>
      </c>
      <c r="O938" s="198">
        <f t="shared" si="108"/>
        <v>0</v>
      </c>
      <c r="P938" s="198">
        <f>'02 项目基础信息（输入）'!$I$45</f>
        <v>0</v>
      </c>
      <c r="Q938" s="233">
        <f t="shared" si="109"/>
        <v>0</v>
      </c>
      <c r="S938" s="217"/>
      <c r="U938" s="220" t="s">
        <v>2727</v>
      </c>
    </row>
    <row r="939" spans="1:21" ht="0" hidden="1" customHeight="1" outlineLevel="3">
      <c r="A939" s="192" t="s">
        <v>1821</v>
      </c>
      <c r="B939" s="192"/>
      <c r="C939" s="199" t="s">
        <v>476</v>
      </c>
      <c r="D939" s="198">
        <f>'02 项目基础信息（输入）'!$AF$45</f>
        <v>0</v>
      </c>
      <c r="E939" s="199" t="s">
        <v>93</v>
      </c>
      <c r="F939" s="197" t="s">
        <v>1803</v>
      </c>
      <c r="G939" s="246">
        <f>'03 成本测算（输入）'!$D$132</f>
        <v>0</v>
      </c>
      <c r="H939" s="199" t="s">
        <v>123</v>
      </c>
      <c r="I939" s="198">
        <f t="shared" si="110"/>
        <v>0</v>
      </c>
      <c r="J939" s="199" t="s">
        <v>93</v>
      </c>
      <c r="K939" s="228">
        <f>'03 成本测算（输入）'!$D$133</f>
        <v>0</v>
      </c>
      <c r="L939" s="209" t="s">
        <v>675</v>
      </c>
      <c r="M939" s="207">
        <f t="shared" si="111"/>
        <v>0</v>
      </c>
      <c r="N939" s="198">
        <f>'02 项目基础信息（输入）'!$C$45</f>
        <v>0</v>
      </c>
      <c r="O939" s="198">
        <f t="shared" si="108"/>
        <v>0</v>
      </c>
      <c r="P939" s="198">
        <f>'02 项目基础信息（输入）'!$I$45</f>
        <v>0</v>
      </c>
      <c r="Q939" s="233">
        <f t="shared" si="109"/>
        <v>0</v>
      </c>
      <c r="S939" s="217"/>
      <c r="U939" s="220" t="s">
        <v>2728</v>
      </c>
    </row>
    <row r="940" spans="1:21" ht="0" hidden="1" customHeight="1" outlineLevel="3">
      <c r="A940" s="192" t="s">
        <v>1823</v>
      </c>
      <c r="B940" s="192"/>
      <c r="C940" s="199" t="s">
        <v>476</v>
      </c>
      <c r="D940" s="198">
        <f>'02 项目基础信息（输入）'!$AF$45</f>
        <v>0</v>
      </c>
      <c r="E940" s="199" t="s">
        <v>93</v>
      </c>
      <c r="F940" s="197" t="s">
        <v>1803</v>
      </c>
      <c r="G940" s="246">
        <f>'03 成本测算（输入）'!$D$134</f>
        <v>0</v>
      </c>
      <c r="H940" s="199" t="s">
        <v>123</v>
      </c>
      <c r="I940" s="198">
        <f t="shared" si="110"/>
        <v>0</v>
      </c>
      <c r="J940" s="199" t="s">
        <v>93</v>
      </c>
      <c r="K940" s="228">
        <f>'03 成本测算（输入）'!$D$135</f>
        <v>0</v>
      </c>
      <c r="L940" s="209" t="s">
        <v>675</v>
      </c>
      <c r="M940" s="207">
        <f t="shared" si="111"/>
        <v>0</v>
      </c>
      <c r="N940" s="198">
        <f>'02 项目基础信息（输入）'!$C$45</f>
        <v>0</v>
      </c>
      <c r="O940" s="198">
        <f t="shared" si="108"/>
        <v>0</v>
      </c>
      <c r="P940" s="198">
        <f>'02 项目基础信息（输入）'!$I$45</f>
        <v>0</v>
      </c>
      <c r="Q940" s="233">
        <f t="shared" si="109"/>
        <v>0</v>
      </c>
      <c r="S940" s="217"/>
      <c r="U940" s="220" t="s">
        <v>2729</v>
      </c>
    </row>
    <row r="941" spans="1:21" ht="0" hidden="1" customHeight="1" outlineLevel="3">
      <c r="A941" s="192" t="s">
        <v>1825</v>
      </c>
      <c r="B941" s="192"/>
      <c r="C941" s="199" t="s">
        <v>476</v>
      </c>
      <c r="D941" s="198">
        <f>'02 项目基础信息（输入）'!$AF$45</f>
        <v>0</v>
      </c>
      <c r="E941" s="199" t="s">
        <v>93</v>
      </c>
      <c r="F941" s="197" t="s">
        <v>1803</v>
      </c>
      <c r="G941" s="204">
        <f>G940</f>
        <v>0</v>
      </c>
      <c r="H941" s="199" t="s">
        <v>123</v>
      </c>
      <c r="I941" s="198">
        <f t="shared" si="110"/>
        <v>0</v>
      </c>
      <c r="J941" s="199" t="s">
        <v>93</v>
      </c>
      <c r="K941" s="207">
        <v>0</v>
      </c>
      <c r="L941" s="209" t="s">
        <v>675</v>
      </c>
      <c r="M941" s="207">
        <f t="shared" si="111"/>
        <v>0</v>
      </c>
      <c r="N941" s="198">
        <f>'02 项目基础信息（输入）'!$C$45</f>
        <v>0</v>
      </c>
      <c r="O941" s="198">
        <f t="shared" si="108"/>
        <v>0</v>
      </c>
      <c r="P941" s="198">
        <f>'02 项目基础信息（输入）'!$I$45</f>
        <v>0</v>
      </c>
      <c r="Q941" s="233">
        <f t="shared" si="109"/>
        <v>0</v>
      </c>
      <c r="S941" s="217"/>
      <c r="U941" s="220" t="s">
        <v>2730</v>
      </c>
    </row>
    <row r="942" spans="1:21" ht="0" hidden="1" customHeight="1" outlineLevel="3">
      <c r="A942" s="192" t="s">
        <v>1827</v>
      </c>
      <c r="B942" s="192"/>
      <c r="C942" s="199" t="s">
        <v>476</v>
      </c>
      <c r="D942" s="198">
        <f>'02 项目基础信息（输入）'!$AF$45</f>
        <v>0</v>
      </c>
      <c r="E942" s="199" t="s">
        <v>93</v>
      </c>
      <c r="F942" s="197" t="s">
        <v>1803</v>
      </c>
      <c r="G942" s="246">
        <f>'03 成本测算（输入）'!$D$136</f>
        <v>0</v>
      </c>
      <c r="H942" s="199" t="s">
        <v>123</v>
      </c>
      <c r="I942" s="198">
        <f t="shared" si="110"/>
        <v>0</v>
      </c>
      <c r="J942" s="199" t="s">
        <v>93</v>
      </c>
      <c r="K942" s="228">
        <f>'03 成本测算（输入）'!$D$137</f>
        <v>0</v>
      </c>
      <c r="L942" s="209" t="s">
        <v>675</v>
      </c>
      <c r="M942" s="207">
        <f t="shared" si="111"/>
        <v>0</v>
      </c>
      <c r="N942" s="198">
        <f>'02 项目基础信息（输入）'!$C$45</f>
        <v>0</v>
      </c>
      <c r="O942" s="198">
        <f t="shared" si="108"/>
        <v>0</v>
      </c>
      <c r="P942" s="198">
        <f>'02 项目基础信息（输入）'!$I$45</f>
        <v>0</v>
      </c>
      <c r="Q942" s="233">
        <f t="shared" si="109"/>
        <v>0</v>
      </c>
      <c r="S942" s="217"/>
      <c r="U942" s="220" t="s">
        <v>2731</v>
      </c>
    </row>
    <row r="943" spans="1:21" ht="0" hidden="1" customHeight="1" outlineLevel="3">
      <c r="A943" s="192" t="s">
        <v>1829</v>
      </c>
      <c r="B943" s="192"/>
      <c r="C943" s="199" t="s">
        <v>476</v>
      </c>
      <c r="D943" s="198">
        <f>'02 项目基础信息（输入）'!$AF$45</f>
        <v>0</v>
      </c>
      <c r="E943" s="199" t="s">
        <v>93</v>
      </c>
      <c r="F943" s="197" t="s">
        <v>1803</v>
      </c>
      <c r="G943" s="204">
        <f>G942</f>
        <v>0</v>
      </c>
      <c r="H943" s="199" t="s">
        <v>123</v>
      </c>
      <c r="I943" s="198">
        <f t="shared" si="110"/>
        <v>0</v>
      </c>
      <c r="J943" s="199" t="s">
        <v>93</v>
      </c>
      <c r="K943" s="207">
        <v>0</v>
      </c>
      <c r="L943" s="209" t="s">
        <v>675</v>
      </c>
      <c r="M943" s="207">
        <f t="shared" si="111"/>
        <v>0</v>
      </c>
      <c r="N943" s="198">
        <f>'02 项目基础信息（输入）'!$C$45</f>
        <v>0</v>
      </c>
      <c r="O943" s="198">
        <f t="shared" si="108"/>
        <v>0</v>
      </c>
      <c r="P943" s="198">
        <f>'02 项目基础信息（输入）'!$I$45</f>
        <v>0</v>
      </c>
      <c r="Q943" s="233">
        <f t="shared" si="109"/>
        <v>0</v>
      </c>
      <c r="S943" s="217"/>
      <c r="U943" s="220" t="s">
        <v>2732</v>
      </c>
    </row>
    <row r="944" spans="1:21" ht="0" hidden="1" customHeight="1" outlineLevel="3">
      <c r="A944" s="192" t="s">
        <v>1831</v>
      </c>
      <c r="B944" s="192"/>
      <c r="C944" s="197" t="s">
        <v>1609</v>
      </c>
      <c r="D944" s="198">
        <f>'02 项目基础信息（输入）'!$C$45</f>
        <v>0</v>
      </c>
      <c r="E944" s="199" t="s">
        <v>93</v>
      </c>
      <c r="F944" s="197" t="s">
        <v>1609</v>
      </c>
      <c r="G944" s="199">
        <v>1</v>
      </c>
      <c r="H944" s="199" t="s">
        <v>298</v>
      </c>
      <c r="I944" s="198">
        <f>G944*D944</f>
        <v>0</v>
      </c>
      <c r="J944" s="199" t="s">
        <v>93</v>
      </c>
      <c r="K944" s="207">
        <v>0</v>
      </c>
      <c r="L944" s="209" t="s">
        <v>675</v>
      </c>
      <c r="M944" s="207">
        <f t="shared" si="111"/>
        <v>0</v>
      </c>
      <c r="N944" s="198">
        <f>'02 项目基础信息（输入）'!$C$45</f>
        <v>0</v>
      </c>
      <c r="O944" s="198">
        <f t="shared" si="108"/>
        <v>0</v>
      </c>
      <c r="P944" s="198">
        <f>'02 项目基础信息（输入）'!$I$45</f>
        <v>0</v>
      </c>
      <c r="Q944" s="233">
        <f t="shared" si="109"/>
        <v>0</v>
      </c>
      <c r="S944" s="217"/>
      <c r="U944" s="220" t="s">
        <v>2733</v>
      </c>
    </row>
    <row r="945" spans="1:21" ht="0" hidden="1" customHeight="1" outlineLevel="3">
      <c r="A945" s="192" t="s">
        <v>1833</v>
      </c>
      <c r="B945" s="192"/>
      <c r="C945" s="197" t="s">
        <v>1609</v>
      </c>
      <c r="D945" s="198">
        <f>'02 项目基础信息（输入）'!$C$45</f>
        <v>0</v>
      </c>
      <c r="E945" s="199" t="s">
        <v>93</v>
      </c>
      <c r="F945" s="197" t="s">
        <v>1609</v>
      </c>
      <c r="G945" s="199">
        <v>1</v>
      </c>
      <c r="H945" s="199" t="s">
        <v>298</v>
      </c>
      <c r="I945" s="198">
        <f>G945*D945</f>
        <v>0</v>
      </c>
      <c r="J945" s="199" t="s">
        <v>93</v>
      </c>
      <c r="K945" s="207">
        <v>0</v>
      </c>
      <c r="L945" s="209" t="s">
        <v>675</v>
      </c>
      <c r="M945" s="207">
        <f t="shared" si="111"/>
        <v>0</v>
      </c>
      <c r="N945" s="198">
        <f>'02 项目基础信息（输入）'!$C$45</f>
        <v>0</v>
      </c>
      <c r="O945" s="198">
        <f t="shared" si="108"/>
        <v>0</v>
      </c>
      <c r="P945" s="198">
        <f>'02 项目基础信息（输入）'!$I$45</f>
        <v>0</v>
      </c>
      <c r="Q945" s="233">
        <f t="shared" si="109"/>
        <v>0</v>
      </c>
      <c r="S945" s="217"/>
      <c r="U945" s="220" t="s">
        <v>2734</v>
      </c>
    </row>
    <row r="946" spans="1:21" ht="0" hidden="1" customHeight="1" outlineLevel="2">
      <c r="A946" s="192" t="s">
        <v>1835</v>
      </c>
      <c r="B946" s="192"/>
      <c r="C946" s="197" t="s">
        <v>1609</v>
      </c>
      <c r="D946" s="198">
        <f>'02 项目基础信息（输入）'!$C$45</f>
        <v>0</v>
      </c>
      <c r="E946" s="199" t="s">
        <v>93</v>
      </c>
      <c r="F946" s="197"/>
      <c r="G946" s="199"/>
      <c r="H946" s="199"/>
      <c r="I946" s="197"/>
      <c r="J946" s="199"/>
      <c r="K946" s="207"/>
      <c r="L946" s="209"/>
      <c r="M946" s="198">
        <f>ROUND(SUM(M947:M950),6)</f>
        <v>0</v>
      </c>
      <c r="N946" s="198">
        <f>'02 项目基础信息（输入）'!$C$45</f>
        <v>0</v>
      </c>
      <c r="O946" s="198">
        <f t="shared" si="108"/>
        <v>0</v>
      </c>
      <c r="P946" s="198">
        <f>'02 项目基础信息（输入）'!$I$45</f>
        <v>0</v>
      </c>
      <c r="Q946" s="233">
        <f t="shared" si="109"/>
        <v>0</v>
      </c>
      <c r="S946" s="217" t="s">
        <v>1314</v>
      </c>
      <c r="U946" s="220" t="s">
        <v>2735</v>
      </c>
    </row>
    <row r="947" spans="1:21" ht="0" hidden="1" customHeight="1" outlineLevel="3">
      <c r="A947" s="192" t="s">
        <v>2110</v>
      </c>
      <c r="B947" s="192"/>
      <c r="C947" s="197" t="s">
        <v>309</v>
      </c>
      <c r="D947" s="198">
        <f>'02 项目基础信息（输入）'!$AC$45</f>
        <v>0</v>
      </c>
      <c r="E947" s="199" t="s">
        <v>310</v>
      </c>
      <c r="F947" s="197" t="s">
        <v>1843</v>
      </c>
      <c r="G947" s="239">
        <f>'03 成本测算（输入）'!D138</f>
        <v>0</v>
      </c>
      <c r="H947" s="199" t="s">
        <v>789</v>
      </c>
      <c r="I947" s="198">
        <f>G947*D947</f>
        <v>0</v>
      </c>
      <c r="J947" s="199" t="s">
        <v>131</v>
      </c>
      <c r="K947" s="228">
        <f>'03 成本测算（输入）'!$D$139</f>
        <v>0</v>
      </c>
      <c r="L947" s="209" t="s">
        <v>792</v>
      </c>
      <c r="M947" s="207">
        <f>ROUND(K947*I947/10000,6)</f>
        <v>0</v>
      </c>
      <c r="N947" s="198">
        <f>'02 项目基础信息（输入）'!$C$45</f>
        <v>0</v>
      </c>
      <c r="O947" s="198">
        <f t="shared" si="108"/>
        <v>0</v>
      </c>
      <c r="P947" s="198">
        <f>'02 项目基础信息（输入）'!$I$45</f>
        <v>0</v>
      </c>
      <c r="Q947" s="233">
        <f t="shared" si="109"/>
        <v>0</v>
      </c>
      <c r="S947" s="217"/>
      <c r="U947" s="220" t="s">
        <v>2736</v>
      </c>
    </row>
    <row r="948" spans="1:21" ht="0" hidden="1" customHeight="1" outlineLevel="3">
      <c r="A948" s="192" t="s">
        <v>2112</v>
      </c>
      <c r="B948" s="192"/>
      <c r="C948" s="197" t="s">
        <v>309</v>
      </c>
      <c r="D948" s="198">
        <f>'02 项目基础信息（输入）'!$AC$45</f>
        <v>0</v>
      </c>
      <c r="E948" s="199" t="s">
        <v>310</v>
      </c>
      <c r="F948" s="197" t="s">
        <v>1843</v>
      </c>
      <c r="G948" s="239">
        <f>'03 成本测算（输入）'!D140</f>
        <v>0</v>
      </c>
      <c r="H948" s="199" t="s">
        <v>789</v>
      </c>
      <c r="I948" s="198">
        <f>G948*D948</f>
        <v>0</v>
      </c>
      <c r="J948" s="199" t="s">
        <v>131</v>
      </c>
      <c r="K948" s="228">
        <f>'03 成本测算（输入）'!$D$141</f>
        <v>0</v>
      </c>
      <c r="L948" s="209" t="s">
        <v>792</v>
      </c>
      <c r="M948" s="207">
        <f>ROUND(K948*I948/10000,6)</f>
        <v>0</v>
      </c>
      <c r="N948" s="198">
        <f>'02 项目基础信息（输入）'!$C$45</f>
        <v>0</v>
      </c>
      <c r="O948" s="198">
        <f t="shared" si="108"/>
        <v>0</v>
      </c>
      <c r="P948" s="198">
        <f>'02 项目基础信息（输入）'!$I$45</f>
        <v>0</v>
      </c>
      <c r="Q948" s="233">
        <f t="shared" si="109"/>
        <v>0</v>
      </c>
      <c r="S948" s="217"/>
      <c r="U948" s="220" t="s">
        <v>2737</v>
      </c>
    </row>
    <row r="949" spans="1:21" ht="0" hidden="1" customHeight="1" outlineLevel="3">
      <c r="A949" s="192" t="s">
        <v>1837</v>
      </c>
      <c r="B949" s="192"/>
      <c r="C949" s="197" t="s">
        <v>472</v>
      </c>
      <c r="D949" s="198">
        <f>'02 项目基础信息（输入）'!$AA$45</f>
        <v>0</v>
      </c>
      <c r="E949" s="199" t="s">
        <v>1838</v>
      </c>
      <c r="F949" s="197" t="s">
        <v>1839</v>
      </c>
      <c r="G949" s="238"/>
      <c r="H949" s="199" t="s">
        <v>1840</v>
      </c>
      <c r="I949" s="198">
        <f>G949*D949</f>
        <v>0</v>
      </c>
      <c r="J949" s="199" t="s">
        <v>131</v>
      </c>
      <c r="K949" s="208"/>
      <c r="L949" s="209" t="s">
        <v>792</v>
      </c>
      <c r="M949" s="207">
        <f>ROUND(K949*I949/10000,6)</f>
        <v>0</v>
      </c>
      <c r="N949" s="198">
        <f>'02 项目基础信息（输入）'!$C$45</f>
        <v>0</v>
      </c>
      <c r="O949" s="198">
        <f t="shared" si="108"/>
        <v>0</v>
      </c>
      <c r="P949" s="198">
        <f>'02 项目基础信息（输入）'!$I$45</f>
        <v>0</v>
      </c>
      <c r="Q949" s="233">
        <f t="shared" si="109"/>
        <v>0</v>
      </c>
      <c r="S949" s="217"/>
      <c r="U949" s="220" t="s">
        <v>2738</v>
      </c>
    </row>
    <row r="950" spans="1:21" ht="0" hidden="1" customHeight="1" outlineLevel="3">
      <c r="A950" s="192" t="s">
        <v>1842</v>
      </c>
      <c r="B950" s="192"/>
      <c r="C950" s="197" t="s">
        <v>309</v>
      </c>
      <c r="D950" s="198">
        <f>'02 项目基础信息（输入）'!$AC$45</f>
        <v>0</v>
      </c>
      <c r="E950" s="199" t="s">
        <v>310</v>
      </c>
      <c r="F950" s="197" t="s">
        <v>1843</v>
      </c>
      <c r="G950" s="238"/>
      <c r="H950" s="199" t="s">
        <v>789</v>
      </c>
      <c r="I950" s="198">
        <f>G950*D950</f>
        <v>0</v>
      </c>
      <c r="J950" s="199" t="s">
        <v>131</v>
      </c>
      <c r="K950" s="208"/>
      <c r="L950" s="209" t="s">
        <v>792</v>
      </c>
      <c r="M950" s="207">
        <f>ROUND(K950*I950/10000,6)</f>
        <v>0</v>
      </c>
      <c r="N950" s="198">
        <f>'02 项目基础信息（输入）'!$C$45</f>
        <v>0</v>
      </c>
      <c r="O950" s="198">
        <f t="shared" si="108"/>
        <v>0</v>
      </c>
      <c r="P950" s="198">
        <f>'02 项目基础信息（输入）'!$I$45</f>
        <v>0</v>
      </c>
      <c r="Q950" s="233">
        <f t="shared" si="109"/>
        <v>0</v>
      </c>
      <c r="R950" s="188" t="s">
        <v>2342</v>
      </c>
      <c r="S950" s="234"/>
      <c r="U950" s="220" t="s">
        <v>2739</v>
      </c>
    </row>
    <row r="951" spans="1:21" ht="0" hidden="1" customHeight="1" outlineLevel="2">
      <c r="A951" s="192" t="s">
        <v>1845</v>
      </c>
      <c r="B951" s="192"/>
      <c r="C951" s="197" t="s">
        <v>1609</v>
      </c>
      <c r="D951" s="198">
        <f>'02 项目基础信息（输入）'!$C$45</f>
        <v>0</v>
      </c>
      <c r="E951" s="199" t="s">
        <v>93</v>
      </c>
      <c r="F951" s="197"/>
      <c r="G951" s="199"/>
      <c r="H951" s="199"/>
      <c r="I951" s="197"/>
      <c r="J951" s="199"/>
      <c r="K951" s="207"/>
      <c r="L951" s="209"/>
      <c r="M951" s="198">
        <f>ROUND(M952+M961+M970+M971+M972,6)</f>
        <v>0</v>
      </c>
      <c r="N951" s="198">
        <f>'02 项目基础信息（输入）'!$C$45</f>
        <v>0</v>
      </c>
      <c r="O951" s="198">
        <f t="shared" si="108"/>
        <v>0</v>
      </c>
      <c r="P951" s="198">
        <f>'02 项目基础信息（输入）'!$I$45</f>
        <v>0</v>
      </c>
      <c r="Q951" s="233">
        <f t="shared" si="109"/>
        <v>0</v>
      </c>
      <c r="S951" s="217" t="s">
        <v>1314</v>
      </c>
      <c r="U951" s="220" t="s">
        <v>2740</v>
      </c>
    </row>
    <row r="952" spans="1:21" ht="0" hidden="1" customHeight="1" outlineLevel="3">
      <c r="A952" s="192" t="s">
        <v>2117</v>
      </c>
      <c r="B952" s="192"/>
      <c r="C952" s="197"/>
      <c r="D952" s="198">
        <f>'02 项目基础信息（输入）'!$N$45</f>
        <v>0</v>
      </c>
      <c r="E952" s="199"/>
      <c r="F952" s="197"/>
      <c r="G952" s="199"/>
      <c r="H952" s="199"/>
      <c r="I952" s="197">
        <v>0</v>
      </c>
      <c r="J952" s="199"/>
      <c r="K952" s="207"/>
      <c r="L952" s="209"/>
      <c r="M952" s="198">
        <f>ROUND(SUM(M953:M960),6)</f>
        <v>0</v>
      </c>
      <c r="N952" s="198">
        <f>'02 项目基础信息（输入）'!$C$45</f>
        <v>0</v>
      </c>
      <c r="O952" s="198">
        <f t="shared" si="108"/>
        <v>0</v>
      </c>
      <c r="P952" s="198">
        <f>'02 项目基础信息（输入）'!$I$45</f>
        <v>0</v>
      </c>
      <c r="Q952" s="233">
        <f t="shared" si="109"/>
        <v>0</v>
      </c>
      <c r="S952" s="217"/>
      <c r="U952" s="220" t="s">
        <v>2741</v>
      </c>
    </row>
    <row r="953" spans="1:21" ht="0" hidden="1" customHeight="1" outlineLevel="4">
      <c r="A953" s="192" t="s">
        <v>1849</v>
      </c>
      <c r="B953" s="192"/>
      <c r="C953" s="197" t="s">
        <v>1850</v>
      </c>
      <c r="D953" s="198">
        <f>'02 项目基础信息（输入）'!$N$45</f>
        <v>0</v>
      </c>
      <c r="E953" s="199" t="s">
        <v>411</v>
      </c>
      <c r="F953" s="197" t="s">
        <v>460</v>
      </c>
      <c r="G953" s="235">
        <f>'02 项目基础信息（输入）'!$O$45</f>
        <v>0</v>
      </c>
      <c r="H953" s="199" t="s">
        <v>400</v>
      </c>
      <c r="I953" s="198">
        <f t="shared" ref="I953:I960" si="112">G953*D953</f>
        <v>0</v>
      </c>
      <c r="J953" s="199" t="s">
        <v>93</v>
      </c>
      <c r="K953" s="228">
        <f>'03 成本测算（输入）'!$D$143</f>
        <v>0</v>
      </c>
      <c r="L953" s="209" t="s">
        <v>675</v>
      </c>
      <c r="M953" s="207">
        <f t="shared" ref="M953:M960" si="113">ROUND(K953*I953/10000,6)</f>
        <v>0</v>
      </c>
      <c r="N953" s="198">
        <f>'02 项目基础信息（输入）'!$C$45</f>
        <v>0</v>
      </c>
      <c r="O953" s="198">
        <f t="shared" si="108"/>
        <v>0</v>
      </c>
      <c r="P953" s="198">
        <f>'02 项目基础信息（输入）'!$I$45</f>
        <v>0</v>
      </c>
      <c r="Q953" s="233">
        <f t="shared" si="109"/>
        <v>0</v>
      </c>
      <c r="S953" s="217"/>
      <c r="U953" s="220" t="s">
        <v>2742</v>
      </c>
    </row>
    <row r="954" spans="1:21" ht="0" hidden="1" customHeight="1" outlineLevel="4">
      <c r="A954" s="192" t="s">
        <v>1852</v>
      </c>
      <c r="B954" s="192"/>
      <c r="C954" s="197" t="s">
        <v>1850</v>
      </c>
      <c r="D954" s="198">
        <f>'02 项目基础信息（输入）'!$N$45</f>
        <v>0</v>
      </c>
      <c r="E954" s="199" t="s">
        <v>411</v>
      </c>
      <c r="F954" s="197" t="s">
        <v>460</v>
      </c>
      <c r="G954" s="235">
        <f>'02 项目基础信息（输入）'!$O$45</f>
        <v>0</v>
      </c>
      <c r="H954" s="199" t="s">
        <v>400</v>
      </c>
      <c r="I954" s="198">
        <f t="shared" si="112"/>
        <v>0</v>
      </c>
      <c r="J954" s="199" t="s">
        <v>93</v>
      </c>
      <c r="K954" s="207">
        <v>0</v>
      </c>
      <c r="L954" s="209" t="s">
        <v>675</v>
      </c>
      <c r="M954" s="207">
        <f t="shared" si="113"/>
        <v>0</v>
      </c>
      <c r="N954" s="198">
        <f>'02 项目基础信息（输入）'!$C$45</f>
        <v>0</v>
      </c>
      <c r="O954" s="198">
        <f t="shared" si="108"/>
        <v>0</v>
      </c>
      <c r="P954" s="198">
        <f>'02 项目基础信息（输入）'!$I$45</f>
        <v>0</v>
      </c>
      <c r="Q954" s="233">
        <f t="shared" si="109"/>
        <v>0</v>
      </c>
      <c r="S954" s="217"/>
      <c r="U954" s="220" t="s">
        <v>2743</v>
      </c>
    </row>
    <row r="955" spans="1:21" ht="0" hidden="1" customHeight="1" outlineLevel="4">
      <c r="A955" s="192" t="s">
        <v>1854</v>
      </c>
      <c r="B955" s="192"/>
      <c r="C955" s="197" t="s">
        <v>1850</v>
      </c>
      <c r="D955" s="198">
        <f>'02 项目基础信息（输入）'!$N$45</f>
        <v>0</v>
      </c>
      <c r="E955" s="199" t="s">
        <v>411</v>
      </c>
      <c r="F955" s="197" t="s">
        <v>460</v>
      </c>
      <c r="G955" s="235">
        <f>'02 项目基础信息（输入）'!$O$45</f>
        <v>0</v>
      </c>
      <c r="H955" s="199" t="s">
        <v>400</v>
      </c>
      <c r="I955" s="198">
        <f t="shared" si="112"/>
        <v>0</v>
      </c>
      <c r="J955" s="199" t="s">
        <v>93</v>
      </c>
      <c r="K955" s="207">
        <v>0</v>
      </c>
      <c r="L955" s="209" t="s">
        <v>675</v>
      </c>
      <c r="M955" s="207">
        <f t="shared" si="113"/>
        <v>0</v>
      </c>
      <c r="N955" s="198">
        <f>'02 项目基础信息（输入）'!$C$45</f>
        <v>0</v>
      </c>
      <c r="O955" s="198">
        <f t="shared" si="108"/>
        <v>0</v>
      </c>
      <c r="P955" s="198">
        <f>'02 项目基础信息（输入）'!$I$45</f>
        <v>0</v>
      </c>
      <c r="Q955" s="233">
        <f t="shared" si="109"/>
        <v>0</v>
      </c>
      <c r="S955" s="217"/>
      <c r="U955" s="220" t="s">
        <v>2744</v>
      </c>
    </row>
    <row r="956" spans="1:21" ht="0" hidden="1" customHeight="1" outlineLevel="4">
      <c r="A956" s="192" t="s">
        <v>1856</v>
      </c>
      <c r="B956" s="192"/>
      <c r="C956" s="197" t="s">
        <v>1850</v>
      </c>
      <c r="D956" s="198">
        <f>'02 项目基础信息（输入）'!$N$45</f>
        <v>0</v>
      </c>
      <c r="E956" s="199" t="s">
        <v>411</v>
      </c>
      <c r="F956" s="197" t="s">
        <v>460</v>
      </c>
      <c r="G956" s="235">
        <f>'02 项目基础信息（输入）'!$O$45</f>
        <v>0</v>
      </c>
      <c r="H956" s="199" t="s">
        <v>400</v>
      </c>
      <c r="I956" s="198">
        <f t="shared" si="112"/>
        <v>0</v>
      </c>
      <c r="J956" s="199" t="s">
        <v>93</v>
      </c>
      <c r="K956" s="207">
        <v>0</v>
      </c>
      <c r="L956" s="209" t="s">
        <v>675</v>
      </c>
      <c r="M956" s="207">
        <f t="shared" si="113"/>
        <v>0</v>
      </c>
      <c r="N956" s="198">
        <f>'02 项目基础信息（输入）'!$C$45</f>
        <v>0</v>
      </c>
      <c r="O956" s="198">
        <f t="shared" si="108"/>
        <v>0</v>
      </c>
      <c r="P956" s="198">
        <f>'02 项目基础信息（输入）'!$I$45</f>
        <v>0</v>
      </c>
      <c r="Q956" s="233">
        <f t="shared" si="109"/>
        <v>0</v>
      </c>
      <c r="S956" s="217"/>
      <c r="U956" s="220" t="s">
        <v>2745</v>
      </c>
    </row>
    <row r="957" spans="1:21" ht="0" hidden="1" customHeight="1" outlineLevel="4">
      <c r="A957" s="192" t="s">
        <v>1858</v>
      </c>
      <c r="B957" s="192"/>
      <c r="C957" s="197" t="s">
        <v>1850</v>
      </c>
      <c r="D957" s="198">
        <f>'02 项目基础信息（输入）'!$N$45</f>
        <v>0</v>
      </c>
      <c r="E957" s="199" t="s">
        <v>411</v>
      </c>
      <c r="F957" s="197" t="s">
        <v>460</v>
      </c>
      <c r="G957" s="235">
        <f>'02 项目基础信息（输入）'!$O$45</f>
        <v>0</v>
      </c>
      <c r="H957" s="199" t="s">
        <v>400</v>
      </c>
      <c r="I957" s="198">
        <f t="shared" si="112"/>
        <v>0</v>
      </c>
      <c r="J957" s="199" t="s">
        <v>93</v>
      </c>
      <c r="K957" s="207">
        <v>0</v>
      </c>
      <c r="L957" s="209" t="s">
        <v>675</v>
      </c>
      <c r="M957" s="207">
        <f t="shared" si="113"/>
        <v>0</v>
      </c>
      <c r="N957" s="198">
        <f>'02 项目基础信息（输入）'!$C$45</f>
        <v>0</v>
      </c>
      <c r="O957" s="198">
        <f t="shared" si="108"/>
        <v>0</v>
      </c>
      <c r="P957" s="198">
        <f>'02 项目基础信息（输入）'!$I$45</f>
        <v>0</v>
      </c>
      <c r="Q957" s="233">
        <f t="shared" si="109"/>
        <v>0</v>
      </c>
      <c r="S957" s="217"/>
      <c r="U957" s="220" t="s">
        <v>2746</v>
      </c>
    </row>
    <row r="958" spans="1:21" ht="0" hidden="1" customHeight="1" outlineLevel="4">
      <c r="A958" s="192" t="s">
        <v>1860</v>
      </c>
      <c r="B958" s="192"/>
      <c r="C958" s="197" t="s">
        <v>1850</v>
      </c>
      <c r="D958" s="198">
        <f>'02 项目基础信息（输入）'!$N$45</f>
        <v>0</v>
      </c>
      <c r="E958" s="199" t="s">
        <v>411</v>
      </c>
      <c r="F958" s="197" t="s">
        <v>460</v>
      </c>
      <c r="G958" s="235">
        <f>'02 项目基础信息（输入）'!$O$45</f>
        <v>0</v>
      </c>
      <c r="H958" s="199" t="s">
        <v>400</v>
      </c>
      <c r="I958" s="198">
        <f t="shared" si="112"/>
        <v>0</v>
      </c>
      <c r="J958" s="199" t="s">
        <v>93</v>
      </c>
      <c r="K958" s="207">
        <v>0</v>
      </c>
      <c r="L958" s="209" t="s">
        <v>675</v>
      </c>
      <c r="M958" s="207">
        <f t="shared" si="113"/>
        <v>0</v>
      </c>
      <c r="N958" s="198">
        <f>'02 项目基础信息（输入）'!$C$45</f>
        <v>0</v>
      </c>
      <c r="O958" s="198">
        <f t="shared" si="108"/>
        <v>0</v>
      </c>
      <c r="P958" s="198">
        <f>'02 项目基础信息（输入）'!$I$45</f>
        <v>0</v>
      </c>
      <c r="Q958" s="233">
        <f t="shared" si="109"/>
        <v>0</v>
      </c>
      <c r="S958" s="217"/>
      <c r="U958" s="220" t="s">
        <v>2747</v>
      </c>
    </row>
    <row r="959" spans="1:21" ht="0" hidden="1" customHeight="1" outlineLevel="4">
      <c r="A959" s="192" t="s">
        <v>1862</v>
      </c>
      <c r="B959" s="192"/>
      <c r="C959" s="197" t="s">
        <v>1850</v>
      </c>
      <c r="D959" s="198">
        <f>'02 项目基础信息（输入）'!$N$45</f>
        <v>0</v>
      </c>
      <c r="E959" s="199" t="s">
        <v>411</v>
      </c>
      <c r="F959" s="197" t="s">
        <v>460</v>
      </c>
      <c r="G959" s="235">
        <f>'02 项目基础信息（输入）'!$O$45</f>
        <v>0</v>
      </c>
      <c r="H959" s="199" t="s">
        <v>400</v>
      </c>
      <c r="I959" s="198">
        <f t="shared" si="112"/>
        <v>0</v>
      </c>
      <c r="J959" s="199" t="s">
        <v>93</v>
      </c>
      <c r="K959" s="207">
        <v>0</v>
      </c>
      <c r="L959" s="209" t="s">
        <v>675</v>
      </c>
      <c r="M959" s="207">
        <f t="shared" si="113"/>
        <v>0</v>
      </c>
      <c r="N959" s="198">
        <f>'02 项目基础信息（输入）'!$C$45</f>
        <v>0</v>
      </c>
      <c r="O959" s="198">
        <f t="shared" si="108"/>
        <v>0</v>
      </c>
      <c r="P959" s="198">
        <f>'02 项目基础信息（输入）'!$I$45</f>
        <v>0</v>
      </c>
      <c r="Q959" s="233">
        <f t="shared" si="109"/>
        <v>0</v>
      </c>
      <c r="S959" s="217"/>
      <c r="U959" s="220" t="s">
        <v>2748</v>
      </c>
    </row>
    <row r="960" spans="1:21" ht="0" hidden="1" customHeight="1" outlineLevel="4">
      <c r="A960" s="192" t="s">
        <v>1864</v>
      </c>
      <c r="B960" s="192"/>
      <c r="C960" s="197" t="s">
        <v>1850</v>
      </c>
      <c r="D960" s="198">
        <f>'02 项目基础信息（输入）'!$N$45</f>
        <v>0</v>
      </c>
      <c r="E960" s="199" t="s">
        <v>411</v>
      </c>
      <c r="F960" s="197" t="s">
        <v>460</v>
      </c>
      <c r="G960" s="235">
        <f>'02 项目基础信息（输入）'!$O$45</f>
        <v>0</v>
      </c>
      <c r="H960" s="199" t="s">
        <v>400</v>
      </c>
      <c r="I960" s="198">
        <f t="shared" si="112"/>
        <v>0</v>
      </c>
      <c r="J960" s="199" t="s">
        <v>93</v>
      </c>
      <c r="K960" s="207">
        <v>0</v>
      </c>
      <c r="L960" s="209" t="s">
        <v>675</v>
      </c>
      <c r="M960" s="207">
        <f t="shared" si="113"/>
        <v>0</v>
      </c>
      <c r="N960" s="198">
        <f>'02 项目基础信息（输入）'!$C$45</f>
        <v>0</v>
      </c>
      <c r="O960" s="198">
        <f t="shared" si="108"/>
        <v>0</v>
      </c>
      <c r="P960" s="198">
        <f>'02 项目基础信息（输入）'!$I$45</f>
        <v>0</v>
      </c>
      <c r="Q960" s="233">
        <f t="shared" si="109"/>
        <v>0</v>
      </c>
      <c r="S960" s="217"/>
      <c r="U960" s="220" t="s">
        <v>2749</v>
      </c>
    </row>
    <row r="961" spans="1:21" ht="0" hidden="1" customHeight="1" outlineLevel="3">
      <c r="A961" s="192" t="s">
        <v>2127</v>
      </c>
      <c r="B961" s="192"/>
      <c r="C961" s="197"/>
      <c r="D961" s="198">
        <f>'02 项目基础信息（输入）'!$K$45</f>
        <v>0</v>
      </c>
      <c r="E961" s="199"/>
      <c r="F961" s="197"/>
      <c r="G961" s="199"/>
      <c r="H961" s="199"/>
      <c r="I961" s="197">
        <v>0</v>
      </c>
      <c r="J961" s="199"/>
      <c r="K961" s="207"/>
      <c r="L961" s="209"/>
      <c r="M961" s="198">
        <f>ROUND(SUM(M962:M969),6)</f>
        <v>0</v>
      </c>
      <c r="N961" s="198">
        <f>'02 项目基础信息（输入）'!$C$45</f>
        <v>0</v>
      </c>
      <c r="O961" s="198">
        <f t="shared" si="108"/>
        <v>0</v>
      </c>
      <c r="P961" s="198">
        <f>'02 项目基础信息（输入）'!$I$45</f>
        <v>0</v>
      </c>
      <c r="Q961" s="233">
        <f t="shared" si="109"/>
        <v>0</v>
      </c>
      <c r="S961" s="217"/>
      <c r="U961" s="220" t="s">
        <v>2750</v>
      </c>
    </row>
    <row r="962" spans="1:21" ht="0" hidden="1" customHeight="1" outlineLevel="4">
      <c r="A962" s="192" t="s">
        <v>2129</v>
      </c>
      <c r="B962" s="192"/>
      <c r="C962" s="197" t="s">
        <v>2130</v>
      </c>
      <c r="D962" s="198">
        <f>'02 项目基础信息（输入）'!$K$45</f>
        <v>0</v>
      </c>
      <c r="E962" s="199" t="s">
        <v>411</v>
      </c>
      <c r="F962" s="197" t="s">
        <v>457</v>
      </c>
      <c r="G962" s="235">
        <f>'02 项目基础信息（输入）'!$L$45</f>
        <v>0</v>
      </c>
      <c r="H962" s="199" t="s">
        <v>400</v>
      </c>
      <c r="I962" s="198">
        <f t="shared" ref="I962:I972" si="114">G962*D962</f>
        <v>0</v>
      </c>
      <c r="J962" s="199" t="s">
        <v>93</v>
      </c>
      <c r="K962" s="228">
        <f>'03 成本测算（输入）'!$D$145</f>
        <v>0</v>
      </c>
      <c r="L962" s="209" t="s">
        <v>675</v>
      </c>
      <c r="M962" s="198">
        <f t="shared" ref="M962:M972" si="115">ROUND(K962*I962/10000,6)</f>
        <v>0</v>
      </c>
      <c r="N962" s="198">
        <f>'02 项目基础信息（输入）'!$C$45</f>
        <v>0</v>
      </c>
      <c r="O962" s="198">
        <f t="shared" si="108"/>
        <v>0</v>
      </c>
      <c r="P962" s="198">
        <f>'02 项目基础信息（输入）'!$I$45</f>
        <v>0</v>
      </c>
      <c r="Q962" s="233">
        <f t="shared" si="109"/>
        <v>0</v>
      </c>
      <c r="S962" s="217"/>
      <c r="U962" s="220" t="s">
        <v>2751</v>
      </c>
    </row>
    <row r="963" spans="1:21" ht="0" hidden="1" customHeight="1" outlineLevel="4">
      <c r="A963" s="192" t="s">
        <v>2132</v>
      </c>
      <c r="B963" s="192"/>
      <c r="C963" s="197" t="s">
        <v>2130</v>
      </c>
      <c r="D963" s="198">
        <f>'02 项目基础信息（输入）'!$K$45</f>
        <v>0</v>
      </c>
      <c r="E963" s="199" t="s">
        <v>411</v>
      </c>
      <c r="F963" s="197" t="s">
        <v>457</v>
      </c>
      <c r="G963" s="235">
        <f>'02 项目基础信息（输入）'!$L$45</f>
        <v>0</v>
      </c>
      <c r="H963" s="199" t="s">
        <v>400</v>
      </c>
      <c r="I963" s="198">
        <f t="shared" si="114"/>
        <v>0</v>
      </c>
      <c r="J963" s="199" t="s">
        <v>93</v>
      </c>
      <c r="K963" s="207">
        <v>0</v>
      </c>
      <c r="L963" s="209" t="s">
        <v>675</v>
      </c>
      <c r="M963" s="198">
        <f t="shared" si="115"/>
        <v>0</v>
      </c>
      <c r="N963" s="198">
        <f>'02 项目基础信息（输入）'!$C$45</f>
        <v>0</v>
      </c>
      <c r="O963" s="198">
        <f t="shared" ref="O963:O1026" si="116">ROUND(IFERROR(M963*10000/N963,0),2)</f>
        <v>0</v>
      </c>
      <c r="P963" s="198">
        <f>'02 项目基础信息（输入）'!$I$45</f>
        <v>0</v>
      </c>
      <c r="Q963" s="233">
        <f t="shared" ref="Q963:Q1026" si="117">ROUND(IFERROR(M963*10000/P963,0),2)</f>
        <v>0</v>
      </c>
      <c r="S963" s="217"/>
      <c r="U963" s="220" t="s">
        <v>2752</v>
      </c>
    </row>
    <row r="964" spans="1:21" ht="0" hidden="1" customHeight="1" outlineLevel="4">
      <c r="A964" s="192" t="s">
        <v>2134</v>
      </c>
      <c r="B964" s="192"/>
      <c r="C964" s="197" t="s">
        <v>2130</v>
      </c>
      <c r="D964" s="198">
        <f>'02 项目基础信息（输入）'!$K$45</f>
        <v>0</v>
      </c>
      <c r="E964" s="199" t="s">
        <v>411</v>
      </c>
      <c r="F964" s="197" t="s">
        <v>457</v>
      </c>
      <c r="G964" s="235">
        <f>'02 项目基础信息（输入）'!$L$45</f>
        <v>0</v>
      </c>
      <c r="H964" s="199" t="s">
        <v>400</v>
      </c>
      <c r="I964" s="198">
        <f t="shared" si="114"/>
        <v>0</v>
      </c>
      <c r="J964" s="199" t="s">
        <v>93</v>
      </c>
      <c r="K964" s="207">
        <v>0</v>
      </c>
      <c r="L964" s="209" t="s">
        <v>675</v>
      </c>
      <c r="M964" s="198">
        <f t="shared" si="115"/>
        <v>0</v>
      </c>
      <c r="N964" s="198">
        <f>'02 项目基础信息（输入）'!$C$45</f>
        <v>0</v>
      </c>
      <c r="O964" s="198">
        <f t="shared" si="116"/>
        <v>0</v>
      </c>
      <c r="P964" s="198">
        <f>'02 项目基础信息（输入）'!$I$45</f>
        <v>0</v>
      </c>
      <c r="Q964" s="233">
        <f t="shared" si="117"/>
        <v>0</v>
      </c>
      <c r="S964" s="217"/>
      <c r="U964" s="220" t="s">
        <v>2753</v>
      </c>
    </row>
    <row r="965" spans="1:21" ht="0" hidden="1" customHeight="1" outlineLevel="4">
      <c r="A965" s="192" t="s">
        <v>2136</v>
      </c>
      <c r="B965" s="192"/>
      <c r="C965" s="197" t="s">
        <v>2130</v>
      </c>
      <c r="D965" s="198">
        <f>'02 项目基础信息（输入）'!$K$45</f>
        <v>0</v>
      </c>
      <c r="E965" s="199" t="s">
        <v>411</v>
      </c>
      <c r="F965" s="197" t="s">
        <v>457</v>
      </c>
      <c r="G965" s="235">
        <f>'02 项目基础信息（输入）'!$L$45</f>
        <v>0</v>
      </c>
      <c r="H965" s="199" t="s">
        <v>400</v>
      </c>
      <c r="I965" s="198">
        <f t="shared" si="114"/>
        <v>0</v>
      </c>
      <c r="J965" s="199" t="s">
        <v>93</v>
      </c>
      <c r="K965" s="207">
        <v>0</v>
      </c>
      <c r="L965" s="209" t="s">
        <v>675</v>
      </c>
      <c r="M965" s="198">
        <f t="shared" si="115"/>
        <v>0</v>
      </c>
      <c r="N965" s="198">
        <f>'02 项目基础信息（输入）'!$C$45</f>
        <v>0</v>
      </c>
      <c r="O965" s="198">
        <f t="shared" si="116"/>
        <v>0</v>
      </c>
      <c r="P965" s="198">
        <f>'02 项目基础信息（输入）'!$I$45</f>
        <v>0</v>
      </c>
      <c r="Q965" s="233">
        <f t="shared" si="117"/>
        <v>0</v>
      </c>
      <c r="S965" s="217"/>
      <c r="U965" s="220" t="s">
        <v>2754</v>
      </c>
    </row>
    <row r="966" spans="1:21" ht="0" hidden="1" customHeight="1" outlineLevel="4">
      <c r="A966" s="192" t="s">
        <v>2138</v>
      </c>
      <c r="B966" s="192"/>
      <c r="C966" s="197" t="s">
        <v>2130</v>
      </c>
      <c r="D966" s="198">
        <f>'02 项目基础信息（输入）'!$K$45</f>
        <v>0</v>
      </c>
      <c r="E966" s="199" t="s">
        <v>411</v>
      </c>
      <c r="F966" s="197" t="s">
        <v>457</v>
      </c>
      <c r="G966" s="235">
        <f>'02 项目基础信息（输入）'!$L$45</f>
        <v>0</v>
      </c>
      <c r="H966" s="199" t="s">
        <v>400</v>
      </c>
      <c r="I966" s="198">
        <f t="shared" si="114"/>
        <v>0</v>
      </c>
      <c r="J966" s="199" t="s">
        <v>93</v>
      </c>
      <c r="K966" s="207">
        <v>0</v>
      </c>
      <c r="L966" s="209" t="s">
        <v>675</v>
      </c>
      <c r="M966" s="198">
        <f t="shared" si="115"/>
        <v>0</v>
      </c>
      <c r="N966" s="198">
        <f>'02 项目基础信息（输入）'!$C$45</f>
        <v>0</v>
      </c>
      <c r="O966" s="198">
        <f t="shared" si="116"/>
        <v>0</v>
      </c>
      <c r="P966" s="198">
        <f>'02 项目基础信息（输入）'!$I$45</f>
        <v>0</v>
      </c>
      <c r="Q966" s="233">
        <f t="shared" si="117"/>
        <v>0</v>
      </c>
      <c r="S966" s="217"/>
      <c r="U966" s="220" t="s">
        <v>2755</v>
      </c>
    </row>
    <row r="967" spans="1:21" ht="0" hidden="1" customHeight="1" outlineLevel="4">
      <c r="A967" s="192" t="s">
        <v>2140</v>
      </c>
      <c r="B967" s="192"/>
      <c r="C967" s="197" t="s">
        <v>2130</v>
      </c>
      <c r="D967" s="198">
        <f>'02 项目基础信息（输入）'!$K$45</f>
        <v>0</v>
      </c>
      <c r="E967" s="199" t="s">
        <v>411</v>
      </c>
      <c r="F967" s="197" t="s">
        <v>457</v>
      </c>
      <c r="G967" s="235">
        <f>'02 项目基础信息（输入）'!$L$45</f>
        <v>0</v>
      </c>
      <c r="H967" s="199" t="s">
        <v>400</v>
      </c>
      <c r="I967" s="198">
        <f t="shared" si="114"/>
        <v>0</v>
      </c>
      <c r="J967" s="199" t="s">
        <v>93</v>
      </c>
      <c r="K967" s="207">
        <v>0</v>
      </c>
      <c r="L967" s="209" t="s">
        <v>675</v>
      </c>
      <c r="M967" s="198">
        <f t="shared" si="115"/>
        <v>0</v>
      </c>
      <c r="N967" s="198">
        <f>'02 项目基础信息（输入）'!$C$45</f>
        <v>0</v>
      </c>
      <c r="O967" s="198">
        <f t="shared" si="116"/>
        <v>0</v>
      </c>
      <c r="P967" s="198">
        <f>'02 项目基础信息（输入）'!$I$45</f>
        <v>0</v>
      </c>
      <c r="Q967" s="233">
        <f t="shared" si="117"/>
        <v>0</v>
      </c>
      <c r="S967" s="217"/>
      <c r="U967" s="220" t="s">
        <v>2756</v>
      </c>
    </row>
    <row r="968" spans="1:21" ht="0" hidden="1" customHeight="1" outlineLevel="4">
      <c r="A968" s="192" t="s">
        <v>2142</v>
      </c>
      <c r="B968" s="192"/>
      <c r="C968" s="197" t="s">
        <v>2130</v>
      </c>
      <c r="D968" s="198">
        <f>'02 项目基础信息（输入）'!$K$45</f>
        <v>0</v>
      </c>
      <c r="E968" s="199" t="s">
        <v>411</v>
      </c>
      <c r="F968" s="197" t="s">
        <v>457</v>
      </c>
      <c r="G968" s="235">
        <f>'02 项目基础信息（输入）'!$L$45</f>
        <v>0</v>
      </c>
      <c r="H968" s="199" t="s">
        <v>400</v>
      </c>
      <c r="I968" s="198">
        <f t="shared" si="114"/>
        <v>0</v>
      </c>
      <c r="J968" s="199" t="s">
        <v>93</v>
      </c>
      <c r="K968" s="207">
        <v>0</v>
      </c>
      <c r="L968" s="209" t="s">
        <v>675</v>
      </c>
      <c r="M968" s="198">
        <f t="shared" si="115"/>
        <v>0</v>
      </c>
      <c r="N968" s="198">
        <f>'02 项目基础信息（输入）'!$C$45</f>
        <v>0</v>
      </c>
      <c r="O968" s="198">
        <f t="shared" si="116"/>
        <v>0</v>
      </c>
      <c r="P968" s="198">
        <f>'02 项目基础信息（输入）'!$I$45</f>
        <v>0</v>
      </c>
      <c r="Q968" s="233">
        <f t="shared" si="117"/>
        <v>0</v>
      </c>
      <c r="S968" s="217"/>
      <c r="U968" s="220" t="s">
        <v>2757</v>
      </c>
    </row>
    <row r="969" spans="1:21" ht="0" hidden="1" customHeight="1" outlineLevel="4">
      <c r="A969" s="192" t="s">
        <v>2144</v>
      </c>
      <c r="B969" s="192"/>
      <c r="C969" s="197" t="s">
        <v>2130</v>
      </c>
      <c r="D969" s="198">
        <f>'02 项目基础信息（输入）'!$K$45</f>
        <v>0</v>
      </c>
      <c r="E969" s="199" t="s">
        <v>411</v>
      </c>
      <c r="F969" s="197" t="s">
        <v>457</v>
      </c>
      <c r="G969" s="235">
        <f>'02 项目基础信息（输入）'!$L$45</f>
        <v>0</v>
      </c>
      <c r="H969" s="199" t="s">
        <v>400</v>
      </c>
      <c r="I969" s="198">
        <f t="shared" si="114"/>
        <v>0</v>
      </c>
      <c r="J969" s="199" t="s">
        <v>93</v>
      </c>
      <c r="K969" s="207">
        <v>0</v>
      </c>
      <c r="L969" s="209" t="s">
        <v>675</v>
      </c>
      <c r="M969" s="198">
        <f t="shared" si="115"/>
        <v>0</v>
      </c>
      <c r="N969" s="198">
        <f>'02 项目基础信息（输入）'!$C$45</f>
        <v>0</v>
      </c>
      <c r="O969" s="198">
        <f t="shared" si="116"/>
        <v>0</v>
      </c>
      <c r="P969" s="198">
        <f>'02 项目基础信息（输入）'!$I$45</f>
        <v>0</v>
      </c>
      <c r="Q969" s="233">
        <f t="shared" si="117"/>
        <v>0</v>
      </c>
      <c r="S969" s="217"/>
      <c r="U969" s="220" t="s">
        <v>2758</v>
      </c>
    </row>
    <row r="970" spans="1:21" ht="0" hidden="1" customHeight="1" outlineLevel="3">
      <c r="A970" s="192" t="s">
        <v>2146</v>
      </c>
      <c r="B970" s="192"/>
      <c r="C970" s="197" t="s">
        <v>455</v>
      </c>
      <c r="D970" s="198">
        <f>'02 项目基础信息（输入）'!$J$45</f>
        <v>0</v>
      </c>
      <c r="E970" s="199" t="s">
        <v>400</v>
      </c>
      <c r="F970" s="197" t="s">
        <v>455</v>
      </c>
      <c r="G970" s="199">
        <v>1</v>
      </c>
      <c r="H970" s="199" t="s">
        <v>1748</v>
      </c>
      <c r="I970" s="198">
        <f t="shared" si="114"/>
        <v>0</v>
      </c>
      <c r="J970" s="199" t="s">
        <v>400</v>
      </c>
      <c r="K970" s="208"/>
      <c r="L970" s="209" t="s">
        <v>1749</v>
      </c>
      <c r="M970" s="198">
        <f t="shared" si="115"/>
        <v>0</v>
      </c>
      <c r="N970" s="198">
        <f>'02 项目基础信息（输入）'!$C$45</f>
        <v>0</v>
      </c>
      <c r="O970" s="198">
        <f t="shared" si="116"/>
        <v>0</v>
      </c>
      <c r="P970" s="198">
        <f>'02 项目基础信息（输入）'!$I$45</f>
        <v>0</v>
      </c>
      <c r="Q970" s="233">
        <f t="shared" si="117"/>
        <v>0</v>
      </c>
      <c r="S970" s="217"/>
      <c r="U970" s="220" t="s">
        <v>2759</v>
      </c>
    </row>
    <row r="971" spans="1:21" ht="0" hidden="1" customHeight="1" outlineLevel="3">
      <c r="A971" s="192" t="s">
        <v>2148</v>
      </c>
      <c r="B971" s="192"/>
      <c r="C971" s="197" t="s">
        <v>309</v>
      </c>
      <c r="D971" s="198">
        <f>'02 项目基础信息（输入）'!$AC$45</f>
        <v>0</v>
      </c>
      <c r="E971" s="199" t="s">
        <v>310</v>
      </c>
      <c r="F971" s="197" t="s">
        <v>2149</v>
      </c>
      <c r="G971" s="199">
        <v>1</v>
      </c>
      <c r="H971" s="199" t="s">
        <v>2150</v>
      </c>
      <c r="I971" s="198">
        <f t="shared" si="114"/>
        <v>0</v>
      </c>
      <c r="J971" s="199" t="s">
        <v>400</v>
      </c>
      <c r="K971" s="208"/>
      <c r="L971" s="209" t="s">
        <v>1749</v>
      </c>
      <c r="M971" s="207">
        <f t="shared" si="115"/>
        <v>0</v>
      </c>
      <c r="N971" s="198">
        <f>'02 项目基础信息（输入）'!$C$45</f>
        <v>0</v>
      </c>
      <c r="O971" s="198">
        <f t="shared" si="116"/>
        <v>0</v>
      </c>
      <c r="P971" s="198">
        <f>'02 项目基础信息（输入）'!$I$45</f>
        <v>0</v>
      </c>
      <c r="Q971" s="233">
        <f t="shared" si="117"/>
        <v>0</v>
      </c>
      <c r="S971" s="217"/>
      <c r="U971" s="220" t="s">
        <v>2760</v>
      </c>
    </row>
    <row r="972" spans="1:21" ht="0" hidden="1" customHeight="1" outlineLevel="3">
      <c r="A972" s="192" t="s">
        <v>1868</v>
      </c>
      <c r="B972" s="192"/>
      <c r="C972" s="197" t="s">
        <v>1609</v>
      </c>
      <c r="D972" s="198">
        <f>'02 项目基础信息（输入）'!$C$45</f>
        <v>0</v>
      </c>
      <c r="E972" s="199" t="s">
        <v>93</v>
      </c>
      <c r="F972" s="240" t="s">
        <v>1648</v>
      </c>
      <c r="G972" s="241">
        <f>'03 成本测算（输入）'!D146+'03 成本测算（输入）'!D148+'03 成本测算（输入）'!D150+'03 成本测算（输入）'!D152+'03 成本测算（输入）'!D154</f>
        <v>0</v>
      </c>
      <c r="H972" s="242" t="s">
        <v>298</v>
      </c>
      <c r="I972" s="243">
        <f t="shared" si="114"/>
        <v>0</v>
      </c>
      <c r="J972" s="242" t="s">
        <v>93</v>
      </c>
      <c r="K972" s="244">
        <f>IF(I972=0,0,('03 成本测算（输入）'!$D$147*'03 成本测算（输入）'!$D$146+'03 成本测算（输入）'!$D$149*'03 成本测算（输入）'!$D$148+'03 成本测算（输入）'!$D$151*'03 成本测算（输入）'!$D$150+'03 成本测算（输入）'!$D$153*'03 成本测算（输入）'!$D$152+'03 成本测算（输入）'!$D$155*'03 成本测算（输入）'!$D$154)/'05 成本测算明细'!G972)</f>
        <v>0</v>
      </c>
      <c r="L972" s="245" t="s">
        <v>675</v>
      </c>
      <c r="M972" s="247">
        <f t="shared" si="115"/>
        <v>0</v>
      </c>
      <c r="N972" s="198">
        <f>'02 项目基础信息（输入）'!$C$45</f>
        <v>0</v>
      </c>
      <c r="O972" s="198">
        <f t="shared" si="116"/>
        <v>0</v>
      </c>
      <c r="P972" s="198">
        <f>'02 项目基础信息（输入）'!$I$45</f>
        <v>0</v>
      </c>
      <c r="Q972" s="233">
        <f t="shared" si="117"/>
        <v>0</v>
      </c>
      <c r="S972" s="217"/>
      <c r="U972" s="220" t="s">
        <v>2761</v>
      </c>
    </row>
    <row r="973" spans="1:21" ht="0" hidden="1" customHeight="1" outlineLevel="2">
      <c r="A973" s="192" t="s">
        <v>1870</v>
      </c>
      <c r="B973" s="192"/>
      <c r="C973" s="197" t="s">
        <v>1609</v>
      </c>
      <c r="D973" s="198">
        <f>'02 项目基础信息（输入）'!$C$45</f>
        <v>0</v>
      </c>
      <c r="E973" s="199" t="s">
        <v>93</v>
      </c>
      <c r="F973" s="197"/>
      <c r="G973" s="199"/>
      <c r="H973" s="199"/>
      <c r="I973" s="197"/>
      <c r="J973" s="199"/>
      <c r="K973" s="207"/>
      <c r="L973" s="209"/>
      <c r="M973" s="198">
        <f>ROUND(SUM(M974),6)</f>
        <v>0</v>
      </c>
      <c r="N973" s="198">
        <f>'02 项目基础信息（输入）'!$C$45</f>
        <v>0</v>
      </c>
      <c r="O973" s="198">
        <f t="shared" si="116"/>
        <v>0</v>
      </c>
      <c r="P973" s="198">
        <f>'02 项目基础信息（输入）'!$I$45</f>
        <v>0</v>
      </c>
      <c r="Q973" s="233">
        <f t="shared" si="117"/>
        <v>0</v>
      </c>
      <c r="S973" s="217" t="s">
        <v>1313</v>
      </c>
      <c r="U973" s="220" t="s">
        <v>2762</v>
      </c>
    </row>
    <row r="974" spans="1:21" ht="0" hidden="1" customHeight="1" outlineLevel="3">
      <c r="A974" s="192" t="s">
        <v>1872</v>
      </c>
      <c r="B974" s="192"/>
      <c r="C974" s="197" t="s">
        <v>460</v>
      </c>
      <c r="D974" s="198">
        <f>'02 项目基础信息（输入）'!$O$45</f>
        <v>0</v>
      </c>
      <c r="E974" s="199" t="s">
        <v>400</v>
      </c>
      <c r="F974" s="197" t="s">
        <v>460</v>
      </c>
      <c r="G974" s="199">
        <v>1</v>
      </c>
      <c r="H974" s="199" t="s">
        <v>1873</v>
      </c>
      <c r="I974" s="198">
        <f>G974*D974</f>
        <v>0</v>
      </c>
      <c r="J974" s="199" t="s">
        <v>1052</v>
      </c>
      <c r="K974" s="208"/>
      <c r="L974" s="209" t="s">
        <v>746</v>
      </c>
      <c r="M974" s="207">
        <f>ROUND(K974*I974/10000,6)</f>
        <v>0</v>
      </c>
      <c r="N974" s="198">
        <f>'02 项目基础信息（输入）'!$C$45</f>
        <v>0</v>
      </c>
      <c r="O974" s="198">
        <f t="shared" si="116"/>
        <v>0</v>
      </c>
      <c r="P974" s="198">
        <f>'02 项目基础信息（输入）'!$I$45</f>
        <v>0</v>
      </c>
      <c r="Q974" s="233">
        <f t="shared" si="117"/>
        <v>0</v>
      </c>
      <c r="S974" s="217"/>
      <c r="U974" s="220" t="s">
        <v>2763</v>
      </c>
    </row>
    <row r="975" spans="1:21" ht="0" hidden="1" customHeight="1" outlineLevel="2">
      <c r="A975" s="192" t="s">
        <v>1875</v>
      </c>
      <c r="B975" s="192"/>
      <c r="C975" s="197" t="s">
        <v>1609</v>
      </c>
      <c r="D975" s="198">
        <f>'02 项目基础信息（输入）'!$C$45</f>
        <v>0</v>
      </c>
      <c r="E975" s="199" t="s">
        <v>93</v>
      </c>
      <c r="F975" s="197"/>
      <c r="G975" s="199"/>
      <c r="H975" s="199"/>
      <c r="I975" s="197"/>
      <c r="J975" s="199"/>
      <c r="K975" s="207"/>
      <c r="L975" s="209"/>
      <c r="M975" s="198">
        <f>ROUND(SUM(M976:M978),6)</f>
        <v>0</v>
      </c>
      <c r="N975" s="198">
        <f>'02 项目基础信息（输入）'!$C$45</f>
        <v>0</v>
      </c>
      <c r="O975" s="198">
        <f t="shared" si="116"/>
        <v>0</v>
      </c>
      <c r="P975" s="198">
        <f>'02 项目基础信息（输入）'!$I$45</f>
        <v>0</v>
      </c>
      <c r="Q975" s="233">
        <f t="shared" si="117"/>
        <v>0</v>
      </c>
      <c r="S975" s="217" t="s">
        <v>1313</v>
      </c>
      <c r="U975" s="220" t="s">
        <v>2764</v>
      </c>
    </row>
    <row r="976" spans="1:21" ht="0" hidden="1" customHeight="1" outlineLevel="3">
      <c r="A976" s="192" t="s">
        <v>1877</v>
      </c>
      <c r="B976" s="192"/>
      <c r="C976" s="197" t="s">
        <v>1609</v>
      </c>
      <c r="D976" s="198">
        <f>'02 项目基础信息（输入）'!$C$45</f>
        <v>0</v>
      </c>
      <c r="E976" s="199" t="s">
        <v>93</v>
      </c>
      <c r="F976" s="197" t="s">
        <v>694</v>
      </c>
      <c r="G976" s="238"/>
      <c r="H976" s="199" t="s">
        <v>298</v>
      </c>
      <c r="I976" s="198">
        <f>G976*D976</f>
        <v>0</v>
      </c>
      <c r="J976" s="199" t="s">
        <v>93</v>
      </c>
      <c r="K976" s="208"/>
      <c r="L976" s="209" t="s">
        <v>675</v>
      </c>
      <c r="M976" s="207">
        <f>ROUND(K976*I976/10000,6)</f>
        <v>0</v>
      </c>
      <c r="N976" s="198">
        <f>'02 项目基础信息（输入）'!$C$45</f>
        <v>0</v>
      </c>
      <c r="O976" s="198">
        <f t="shared" si="116"/>
        <v>0</v>
      </c>
      <c r="P976" s="198">
        <f>'02 项目基础信息（输入）'!$I$45</f>
        <v>0</v>
      </c>
      <c r="Q976" s="233">
        <f t="shared" si="117"/>
        <v>0</v>
      </c>
      <c r="S976" s="217"/>
      <c r="U976" s="220" t="s">
        <v>2765</v>
      </c>
    </row>
    <row r="977" spans="1:21" ht="0" hidden="1" customHeight="1" outlineLevel="3">
      <c r="A977" s="192" t="s">
        <v>1879</v>
      </c>
      <c r="B977" s="192"/>
      <c r="C977" s="197" t="s">
        <v>1609</v>
      </c>
      <c r="D977" s="198">
        <f>'02 项目基础信息（输入）'!$C$45</f>
        <v>0</v>
      </c>
      <c r="E977" s="199" t="s">
        <v>93</v>
      </c>
      <c r="F977" s="197" t="s">
        <v>694</v>
      </c>
      <c r="G977" s="238"/>
      <c r="H977" s="199" t="s">
        <v>298</v>
      </c>
      <c r="I977" s="198">
        <f>G977*D977</f>
        <v>0</v>
      </c>
      <c r="J977" s="199" t="s">
        <v>93</v>
      </c>
      <c r="K977" s="208"/>
      <c r="L977" s="209" t="s">
        <v>675</v>
      </c>
      <c r="M977" s="207">
        <f>ROUND(K977*I977/10000,6)</f>
        <v>0</v>
      </c>
      <c r="N977" s="198">
        <f>'02 项目基础信息（输入）'!$C$45</f>
        <v>0</v>
      </c>
      <c r="O977" s="198">
        <f t="shared" si="116"/>
        <v>0</v>
      </c>
      <c r="P977" s="198">
        <f>'02 项目基础信息（输入）'!$I$45</f>
        <v>0</v>
      </c>
      <c r="Q977" s="233">
        <f t="shared" si="117"/>
        <v>0</v>
      </c>
      <c r="S977" s="217"/>
      <c r="U977" s="220" t="s">
        <v>2766</v>
      </c>
    </row>
    <row r="978" spans="1:21" ht="0" hidden="1" customHeight="1" outlineLevel="3">
      <c r="A978" s="192" t="s">
        <v>1881</v>
      </c>
      <c r="B978" s="192"/>
      <c r="C978" s="197" t="s">
        <v>1609</v>
      </c>
      <c r="D978" s="198">
        <f>'02 项目基础信息（输入）'!$C$45</f>
        <v>0</v>
      </c>
      <c r="E978" s="199" t="s">
        <v>93</v>
      </c>
      <c r="F978" s="197" t="s">
        <v>694</v>
      </c>
      <c r="G978" s="238"/>
      <c r="H978" s="199" t="s">
        <v>298</v>
      </c>
      <c r="I978" s="198">
        <f>G978*D978</f>
        <v>0</v>
      </c>
      <c r="J978" s="199" t="s">
        <v>93</v>
      </c>
      <c r="K978" s="208"/>
      <c r="L978" s="209" t="s">
        <v>675</v>
      </c>
      <c r="M978" s="207">
        <f>ROUND(K978*I978/10000,6)</f>
        <v>0</v>
      </c>
      <c r="N978" s="198">
        <f>'02 项目基础信息（输入）'!$C$45</f>
        <v>0</v>
      </c>
      <c r="O978" s="198">
        <f t="shared" si="116"/>
        <v>0</v>
      </c>
      <c r="P978" s="198">
        <f>'02 项目基础信息（输入）'!$I$45</f>
        <v>0</v>
      </c>
      <c r="Q978" s="233">
        <f t="shared" si="117"/>
        <v>0</v>
      </c>
      <c r="S978" s="217"/>
      <c r="U978" s="220" t="s">
        <v>2767</v>
      </c>
    </row>
    <row r="979" spans="1:21" ht="0" hidden="1" customHeight="1" outlineLevel="2">
      <c r="A979" s="192" t="s">
        <v>2159</v>
      </c>
      <c r="B979" s="192"/>
      <c r="C979" s="197" t="s">
        <v>1609</v>
      </c>
      <c r="D979" s="198">
        <f>'02 项目基础信息（输入）'!$C$45</f>
        <v>0</v>
      </c>
      <c r="E979" s="199" t="s">
        <v>93</v>
      </c>
      <c r="F979" s="197"/>
      <c r="G979" s="199"/>
      <c r="H979" s="199"/>
      <c r="I979" s="197"/>
      <c r="J979" s="199"/>
      <c r="K979" s="207"/>
      <c r="L979" s="209"/>
      <c r="M979" s="198">
        <f>ROUND(SUM(M980),6)</f>
        <v>0</v>
      </c>
      <c r="N979" s="198">
        <f>'02 项目基础信息（输入）'!$C$45</f>
        <v>0</v>
      </c>
      <c r="O979" s="198">
        <f t="shared" si="116"/>
        <v>0</v>
      </c>
      <c r="P979" s="198">
        <f>'02 项目基础信息（输入）'!$I$45</f>
        <v>0</v>
      </c>
      <c r="Q979" s="233">
        <f t="shared" si="117"/>
        <v>0</v>
      </c>
      <c r="S979" s="217" t="s">
        <v>1313</v>
      </c>
      <c r="U979" s="220" t="s">
        <v>2768</v>
      </c>
    </row>
    <row r="980" spans="1:21" ht="0" hidden="1" customHeight="1" outlineLevel="3">
      <c r="A980" s="192" t="s">
        <v>2161</v>
      </c>
      <c r="B980" s="192"/>
      <c r="C980" s="197" t="s">
        <v>1609</v>
      </c>
      <c r="D980" s="198">
        <f>'02 项目基础信息（输入）'!$C$45</f>
        <v>0</v>
      </c>
      <c r="E980" s="199" t="s">
        <v>93</v>
      </c>
      <c r="F980" s="197" t="s">
        <v>1886</v>
      </c>
      <c r="G980" s="199">
        <v>1</v>
      </c>
      <c r="H980" s="199" t="s">
        <v>298</v>
      </c>
      <c r="I980" s="198">
        <f>G980*D980</f>
        <v>0</v>
      </c>
      <c r="J980" s="199" t="s">
        <v>93</v>
      </c>
      <c r="K980" s="207">
        <v>0</v>
      </c>
      <c r="L980" s="209" t="s">
        <v>675</v>
      </c>
      <c r="M980" s="207">
        <f>ROUND(K980*I980/10000,6)</f>
        <v>0</v>
      </c>
      <c r="N980" s="198">
        <f>'02 项目基础信息（输入）'!$C$45</f>
        <v>0</v>
      </c>
      <c r="O980" s="198">
        <f t="shared" si="116"/>
        <v>0</v>
      </c>
      <c r="P980" s="198">
        <f>'02 项目基础信息（输入）'!$I$45</f>
        <v>0</v>
      </c>
      <c r="Q980" s="233">
        <f t="shared" si="117"/>
        <v>0</v>
      </c>
      <c r="S980" s="217"/>
      <c r="U980" s="220" t="s">
        <v>2769</v>
      </c>
    </row>
    <row r="981" spans="1:21" ht="0" hidden="1" customHeight="1" outlineLevel="2">
      <c r="A981" s="192" t="s">
        <v>1883</v>
      </c>
      <c r="B981" s="192"/>
      <c r="C981" s="197" t="s">
        <v>1609</v>
      </c>
      <c r="D981" s="198">
        <f>'02 项目基础信息（输入）'!$C$45</f>
        <v>0</v>
      </c>
      <c r="E981" s="199" t="s">
        <v>93</v>
      </c>
      <c r="F981" s="197"/>
      <c r="G981" s="199"/>
      <c r="H981" s="199"/>
      <c r="I981" s="197"/>
      <c r="J981" s="199"/>
      <c r="K981" s="207"/>
      <c r="L981" s="209"/>
      <c r="M981" s="198">
        <f>ROUND(SUM(M982),6)</f>
        <v>0</v>
      </c>
      <c r="N981" s="198">
        <f>'02 项目基础信息（输入）'!$C$45</f>
        <v>0</v>
      </c>
      <c r="O981" s="198">
        <f t="shared" si="116"/>
        <v>0</v>
      </c>
      <c r="P981" s="198">
        <f>'02 项目基础信息（输入）'!$I$45</f>
        <v>0</v>
      </c>
      <c r="Q981" s="233">
        <f t="shared" si="117"/>
        <v>0</v>
      </c>
      <c r="S981" s="217" t="s">
        <v>1313</v>
      </c>
      <c r="U981" s="220" t="s">
        <v>2770</v>
      </c>
    </row>
    <row r="982" spans="1:21" ht="0" hidden="1" customHeight="1" outlineLevel="3">
      <c r="A982" s="192" t="s">
        <v>1885</v>
      </c>
      <c r="B982" s="192"/>
      <c r="C982" s="197" t="s">
        <v>1609</v>
      </c>
      <c r="D982" s="198">
        <f>'02 项目基础信息（输入）'!$C$45</f>
        <v>0</v>
      </c>
      <c r="E982" s="199" t="s">
        <v>93</v>
      </c>
      <c r="F982" s="197" t="s">
        <v>1886</v>
      </c>
      <c r="G982" s="199">
        <v>1</v>
      </c>
      <c r="H982" s="199" t="s">
        <v>298</v>
      </c>
      <c r="I982" s="198">
        <f>G982*D982</f>
        <v>0</v>
      </c>
      <c r="J982" s="199" t="s">
        <v>93</v>
      </c>
      <c r="K982" s="208"/>
      <c r="L982" s="209" t="s">
        <v>675</v>
      </c>
      <c r="M982" s="207">
        <f>ROUND(K982*I982/10000,6)</f>
        <v>0</v>
      </c>
      <c r="N982" s="198">
        <f>'02 项目基础信息（输入）'!$C$45</f>
        <v>0</v>
      </c>
      <c r="O982" s="198">
        <f t="shared" si="116"/>
        <v>0</v>
      </c>
      <c r="P982" s="198">
        <f>'02 项目基础信息（输入）'!$I$45</f>
        <v>0</v>
      </c>
      <c r="Q982" s="233">
        <f t="shared" si="117"/>
        <v>0</v>
      </c>
      <c r="S982" s="217"/>
      <c r="U982" s="220" t="s">
        <v>2771</v>
      </c>
    </row>
    <row r="983" spans="1:21" ht="0" hidden="1" customHeight="1" outlineLevel="2">
      <c r="A983" s="192" t="s">
        <v>1888</v>
      </c>
      <c r="B983" s="192"/>
      <c r="C983" s="197" t="s">
        <v>1609</v>
      </c>
      <c r="D983" s="198">
        <f>'02 项目基础信息（输入）'!$C$45</f>
        <v>0</v>
      </c>
      <c r="E983" s="199" t="s">
        <v>93</v>
      </c>
      <c r="F983" s="197"/>
      <c r="G983" s="199"/>
      <c r="H983" s="199"/>
      <c r="I983" s="197"/>
      <c r="J983" s="199"/>
      <c r="K983" s="207"/>
      <c r="L983" s="209"/>
      <c r="M983" s="198">
        <f>ROUND(SUM(M984:M988),6)</f>
        <v>0</v>
      </c>
      <c r="N983" s="198">
        <f>'02 项目基础信息（输入）'!$C$45</f>
        <v>0</v>
      </c>
      <c r="O983" s="198">
        <f t="shared" si="116"/>
        <v>0</v>
      </c>
      <c r="P983" s="198">
        <f>'02 项目基础信息（输入）'!$I$45</f>
        <v>0</v>
      </c>
      <c r="Q983" s="233">
        <f t="shared" si="117"/>
        <v>0</v>
      </c>
      <c r="S983" s="217" t="s">
        <v>1313</v>
      </c>
      <c r="U983" s="220" t="s">
        <v>2772</v>
      </c>
    </row>
    <row r="984" spans="1:21" ht="0" hidden="1" customHeight="1" outlineLevel="3">
      <c r="A984" s="192" t="s">
        <v>1890</v>
      </c>
      <c r="B984" s="192"/>
      <c r="C984" s="197" t="s">
        <v>1609</v>
      </c>
      <c r="D984" s="198">
        <f>'02 项目基础信息（输入）'!$C$45</f>
        <v>0</v>
      </c>
      <c r="E984" s="199" t="s">
        <v>93</v>
      </c>
      <c r="F984" s="197" t="s">
        <v>1886</v>
      </c>
      <c r="G984" s="199">
        <v>1</v>
      </c>
      <c r="H984" s="199" t="s">
        <v>298</v>
      </c>
      <c r="I984" s="198">
        <f>G984*D984</f>
        <v>0</v>
      </c>
      <c r="J984" s="199" t="s">
        <v>93</v>
      </c>
      <c r="K984" s="208"/>
      <c r="L984" s="209" t="s">
        <v>675</v>
      </c>
      <c r="M984" s="207">
        <f>ROUND(K984*I984/10000,6)</f>
        <v>0</v>
      </c>
      <c r="N984" s="198">
        <f>'02 项目基础信息（输入）'!$C$45</f>
        <v>0</v>
      </c>
      <c r="O984" s="198">
        <f t="shared" si="116"/>
        <v>0</v>
      </c>
      <c r="P984" s="198">
        <f>'02 项目基础信息（输入）'!$I$45</f>
        <v>0</v>
      </c>
      <c r="Q984" s="233">
        <f t="shared" si="117"/>
        <v>0</v>
      </c>
      <c r="S984" s="217"/>
      <c r="U984" s="220" t="s">
        <v>2773</v>
      </c>
    </row>
    <row r="985" spans="1:21" ht="0" hidden="1" customHeight="1" outlineLevel="3">
      <c r="A985" s="192" t="s">
        <v>1892</v>
      </c>
      <c r="B985" s="192"/>
      <c r="C985" s="197" t="s">
        <v>1609</v>
      </c>
      <c r="D985" s="198">
        <f>'02 项目基础信息（输入）'!$C$45</f>
        <v>0</v>
      </c>
      <c r="E985" s="199" t="s">
        <v>93</v>
      </c>
      <c r="F985" s="197" t="s">
        <v>1886</v>
      </c>
      <c r="G985" s="199">
        <v>1</v>
      </c>
      <c r="H985" s="199" t="s">
        <v>298</v>
      </c>
      <c r="I985" s="198">
        <f>G985*D985</f>
        <v>0</v>
      </c>
      <c r="J985" s="199" t="s">
        <v>93</v>
      </c>
      <c r="K985" s="208"/>
      <c r="L985" s="209" t="s">
        <v>675</v>
      </c>
      <c r="M985" s="207">
        <f>ROUND(K985*I985/10000,6)</f>
        <v>0</v>
      </c>
      <c r="N985" s="198">
        <f>'02 项目基础信息（输入）'!$C$45</f>
        <v>0</v>
      </c>
      <c r="O985" s="198">
        <f t="shared" si="116"/>
        <v>0</v>
      </c>
      <c r="P985" s="198">
        <f>'02 项目基础信息（输入）'!$I$45</f>
        <v>0</v>
      </c>
      <c r="Q985" s="233">
        <f t="shared" si="117"/>
        <v>0</v>
      </c>
      <c r="S985" s="217"/>
      <c r="U985" s="220" t="s">
        <v>2774</v>
      </c>
    </row>
    <row r="986" spans="1:21" ht="0" hidden="1" customHeight="1" outlineLevel="3">
      <c r="A986" s="192" t="s">
        <v>1894</v>
      </c>
      <c r="B986" s="192"/>
      <c r="C986" s="197" t="s">
        <v>1609</v>
      </c>
      <c r="D986" s="198">
        <f>'02 项目基础信息（输入）'!$C$45</f>
        <v>0</v>
      </c>
      <c r="E986" s="199" t="s">
        <v>93</v>
      </c>
      <c r="F986" s="197" t="s">
        <v>1886</v>
      </c>
      <c r="G986" s="199">
        <v>1</v>
      </c>
      <c r="H986" s="199" t="s">
        <v>298</v>
      </c>
      <c r="I986" s="198">
        <f>G986*D986</f>
        <v>0</v>
      </c>
      <c r="J986" s="199" t="s">
        <v>93</v>
      </c>
      <c r="K986" s="208"/>
      <c r="L986" s="209" t="s">
        <v>675</v>
      </c>
      <c r="M986" s="207">
        <f>ROUND(K986*I986/10000,6)</f>
        <v>0</v>
      </c>
      <c r="N986" s="198">
        <f>'02 项目基础信息（输入）'!$C$45</f>
        <v>0</v>
      </c>
      <c r="O986" s="198">
        <f t="shared" si="116"/>
        <v>0</v>
      </c>
      <c r="P986" s="198">
        <f>'02 项目基础信息（输入）'!$I$45</f>
        <v>0</v>
      </c>
      <c r="Q986" s="233">
        <f t="shared" si="117"/>
        <v>0</v>
      </c>
      <c r="S986" s="217"/>
      <c r="U986" s="220" t="s">
        <v>2775</v>
      </c>
    </row>
    <row r="987" spans="1:21" ht="0" hidden="1" customHeight="1" outlineLevel="3">
      <c r="A987" s="192" t="s">
        <v>1896</v>
      </c>
      <c r="B987" s="192"/>
      <c r="C987" s="197" t="s">
        <v>1609</v>
      </c>
      <c r="D987" s="198">
        <f>'02 项目基础信息（输入）'!$C$45</f>
        <v>0</v>
      </c>
      <c r="E987" s="199" t="s">
        <v>93</v>
      </c>
      <c r="F987" s="197" t="s">
        <v>1886</v>
      </c>
      <c r="G987" s="199">
        <v>1</v>
      </c>
      <c r="H987" s="199" t="s">
        <v>298</v>
      </c>
      <c r="I987" s="198">
        <f>G987*D987</f>
        <v>0</v>
      </c>
      <c r="J987" s="199" t="s">
        <v>93</v>
      </c>
      <c r="K987" s="208"/>
      <c r="L987" s="209" t="s">
        <v>675</v>
      </c>
      <c r="M987" s="207">
        <f>ROUND(K987*I987/10000,6)</f>
        <v>0</v>
      </c>
      <c r="N987" s="198">
        <f>'02 项目基础信息（输入）'!$C$45</f>
        <v>0</v>
      </c>
      <c r="O987" s="198">
        <f t="shared" si="116"/>
        <v>0</v>
      </c>
      <c r="P987" s="198">
        <f>'02 项目基础信息（输入）'!$I$45</f>
        <v>0</v>
      </c>
      <c r="Q987" s="233">
        <f t="shared" si="117"/>
        <v>0</v>
      </c>
      <c r="S987" s="217"/>
      <c r="U987" s="220" t="s">
        <v>2776</v>
      </c>
    </row>
    <row r="988" spans="1:21" ht="0" hidden="1" customHeight="1" outlineLevel="3">
      <c r="A988" s="192" t="s">
        <v>1898</v>
      </c>
      <c r="B988" s="192"/>
      <c r="C988" s="197" t="s">
        <v>1609</v>
      </c>
      <c r="D988" s="198">
        <f>'02 项目基础信息（输入）'!$C$45</f>
        <v>0</v>
      </c>
      <c r="E988" s="199" t="s">
        <v>93</v>
      </c>
      <c r="F988" s="197" t="s">
        <v>1886</v>
      </c>
      <c r="G988" s="199">
        <v>1</v>
      </c>
      <c r="H988" s="199" t="s">
        <v>298</v>
      </c>
      <c r="I988" s="198">
        <f>G988*D988</f>
        <v>0</v>
      </c>
      <c r="J988" s="199" t="s">
        <v>93</v>
      </c>
      <c r="K988" s="208"/>
      <c r="L988" s="209" t="s">
        <v>675</v>
      </c>
      <c r="M988" s="207">
        <f>ROUND(K988*I988/10000,6)</f>
        <v>0</v>
      </c>
      <c r="N988" s="198">
        <f>'02 项目基础信息（输入）'!$C$45</f>
        <v>0</v>
      </c>
      <c r="O988" s="198">
        <f t="shared" si="116"/>
        <v>0</v>
      </c>
      <c r="P988" s="198">
        <f>'02 项目基础信息（输入）'!$I$45</f>
        <v>0</v>
      </c>
      <c r="Q988" s="233">
        <f t="shared" si="117"/>
        <v>0</v>
      </c>
      <c r="S988" s="217"/>
      <c r="U988" s="220" t="s">
        <v>2777</v>
      </c>
    </row>
    <row r="989" spans="1:21" ht="0" hidden="1" customHeight="1" outlineLevel="2">
      <c r="A989" s="192" t="s">
        <v>1900</v>
      </c>
      <c r="B989" s="192"/>
      <c r="C989" s="197" t="s">
        <v>1609</v>
      </c>
      <c r="D989" s="198">
        <f>'02 项目基础信息（输入）'!$C$45</f>
        <v>0</v>
      </c>
      <c r="E989" s="199" t="s">
        <v>93</v>
      </c>
      <c r="F989" s="197"/>
      <c r="G989" s="199"/>
      <c r="H989" s="199"/>
      <c r="I989" s="197"/>
      <c r="J989" s="199"/>
      <c r="K989" s="207"/>
      <c r="L989" s="209"/>
      <c r="M989" s="198">
        <f>ROUND(SUM(M990:M995),6)</f>
        <v>0</v>
      </c>
      <c r="N989" s="198">
        <f>'02 项目基础信息（输入）'!$C$45</f>
        <v>0</v>
      </c>
      <c r="O989" s="198">
        <f t="shared" si="116"/>
        <v>0</v>
      </c>
      <c r="P989" s="198">
        <f>'02 项目基础信息（输入）'!$I$45</f>
        <v>0</v>
      </c>
      <c r="Q989" s="233">
        <f t="shared" si="117"/>
        <v>0</v>
      </c>
      <c r="S989" s="217" t="s">
        <v>1314</v>
      </c>
      <c r="U989" s="220" t="s">
        <v>2778</v>
      </c>
    </row>
    <row r="990" spans="1:21" ht="0" hidden="1" customHeight="1" outlineLevel="3">
      <c r="A990" s="192" t="s">
        <v>1902</v>
      </c>
      <c r="B990" s="192"/>
      <c r="C990" s="197" t="s">
        <v>309</v>
      </c>
      <c r="D990" s="198">
        <f>'02 项目基础信息（输入）'!$AC$45</f>
        <v>0</v>
      </c>
      <c r="E990" s="199" t="s">
        <v>310</v>
      </c>
      <c r="F990" s="197" t="s">
        <v>309</v>
      </c>
      <c r="G990" s="199">
        <v>1</v>
      </c>
      <c r="H990" s="199" t="s">
        <v>1903</v>
      </c>
      <c r="I990" s="198">
        <f t="shared" ref="I990:I995" si="118">G990*D990</f>
        <v>0</v>
      </c>
      <c r="J990" s="199" t="s">
        <v>310</v>
      </c>
      <c r="K990" s="228">
        <f>'03 成本测算（输入）'!$D$156</f>
        <v>0</v>
      </c>
      <c r="L990" s="209" t="s">
        <v>736</v>
      </c>
      <c r="M990" s="207">
        <f t="shared" ref="M990:M995" si="119">ROUND(K990*I990/10000,6)</f>
        <v>0</v>
      </c>
      <c r="N990" s="198">
        <f>'02 项目基础信息（输入）'!$C$45</f>
        <v>0</v>
      </c>
      <c r="O990" s="198">
        <f t="shared" si="116"/>
        <v>0</v>
      </c>
      <c r="P990" s="198">
        <f>'02 项目基础信息（输入）'!$I$45</f>
        <v>0</v>
      </c>
      <c r="Q990" s="233">
        <f t="shared" si="117"/>
        <v>0</v>
      </c>
      <c r="S990" s="217"/>
      <c r="U990" s="220" t="s">
        <v>2779</v>
      </c>
    </row>
    <row r="991" spans="1:21" ht="0" hidden="1" customHeight="1" outlineLevel="3">
      <c r="A991" s="192" t="s">
        <v>1905</v>
      </c>
      <c r="B991" s="192"/>
      <c r="C991" s="197" t="s">
        <v>309</v>
      </c>
      <c r="D991" s="198">
        <f>'02 项目基础信息（输入）'!$AC$45</f>
        <v>0</v>
      </c>
      <c r="E991" s="199" t="s">
        <v>310</v>
      </c>
      <c r="F991" s="197" t="s">
        <v>309</v>
      </c>
      <c r="G991" s="199">
        <v>1</v>
      </c>
      <c r="H991" s="199" t="s">
        <v>1903</v>
      </c>
      <c r="I991" s="198">
        <f t="shared" si="118"/>
        <v>0</v>
      </c>
      <c r="J991" s="199" t="s">
        <v>310</v>
      </c>
      <c r="K991" s="207">
        <v>0</v>
      </c>
      <c r="L991" s="209" t="s">
        <v>736</v>
      </c>
      <c r="M991" s="207">
        <f t="shared" si="119"/>
        <v>0</v>
      </c>
      <c r="N991" s="198">
        <f>'02 项目基础信息（输入）'!$C$45</f>
        <v>0</v>
      </c>
      <c r="O991" s="198">
        <f t="shared" si="116"/>
        <v>0</v>
      </c>
      <c r="P991" s="198">
        <f>'02 项目基础信息（输入）'!$I$45</f>
        <v>0</v>
      </c>
      <c r="Q991" s="233">
        <f t="shared" si="117"/>
        <v>0</v>
      </c>
      <c r="S991" s="217"/>
      <c r="U991" s="220" t="s">
        <v>2780</v>
      </c>
    </row>
    <row r="992" spans="1:21" ht="0" hidden="1" customHeight="1" outlineLevel="3">
      <c r="A992" s="192" t="s">
        <v>1907</v>
      </c>
      <c r="B992" s="192"/>
      <c r="C992" s="197" t="s">
        <v>309</v>
      </c>
      <c r="D992" s="198">
        <f>'02 项目基础信息（输入）'!$AC$45</f>
        <v>0</v>
      </c>
      <c r="E992" s="199" t="s">
        <v>310</v>
      </c>
      <c r="F992" s="197" t="s">
        <v>309</v>
      </c>
      <c r="G992" s="199">
        <v>1</v>
      </c>
      <c r="H992" s="199" t="s">
        <v>1903</v>
      </c>
      <c r="I992" s="198">
        <f t="shared" si="118"/>
        <v>0</v>
      </c>
      <c r="J992" s="199" t="s">
        <v>310</v>
      </c>
      <c r="K992" s="207">
        <v>0</v>
      </c>
      <c r="L992" s="209" t="s">
        <v>736</v>
      </c>
      <c r="M992" s="207">
        <f t="shared" si="119"/>
        <v>0</v>
      </c>
      <c r="N992" s="198">
        <f>'02 项目基础信息（输入）'!$C$45</f>
        <v>0</v>
      </c>
      <c r="O992" s="198">
        <f t="shared" si="116"/>
        <v>0</v>
      </c>
      <c r="P992" s="198">
        <f>'02 项目基础信息（输入）'!$I$45</f>
        <v>0</v>
      </c>
      <c r="Q992" s="233">
        <f t="shared" si="117"/>
        <v>0</v>
      </c>
      <c r="S992" s="217"/>
      <c r="U992" s="220" t="s">
        <v>2781</v>
      </c>
    </row>
    <row r="993" spans="1:21" ht="0" hidden="1" customHeight="1" outlineLevel="3">
      <c r="A993" s="192" t="s">
        <v>1909</v>
      </c>
      <c r="B993" s="192"/>
      <c r="C993" s="197" t="s">
        <v>309</v>
      </c>
      <c r="D993" s="198">
        <f>'02 项目基础信息（输入）'!$AC$45</f>
        <v>0</v>
      </c>
      <c r="E993" s="199" t="s">
        <v>310</v>
      </c>
      <c r="F993" s="197" t="s">
        <v>309</v>
      </c>
      <c r="G993" s="199">
        <v>1</v>
      </c>
      <c r="H993" s="199" t="s">
        <v>1903</v>
      </c>
      <c r="I993" s="198">
        <f t="shared" si="118"/>
        <v>0</v>
      </c>
      <c r="J993" s="199" t="s">
        <v>310</v>
      </c>
      <c r="K993" s="207">
        <v>0</v>
      </c>
      <c r="L993" s="209" t="s">
        <v>736</v>
      </c>
      <c r="M993" s="207">
        <f t="shared" si="119"/>
        <v>0</v>
      </c>
      <c r="N993" s="198">
        <f>'02 项目基础信息（输入）'!$C$45</f>
        <v>0</v>
      </c>
      <c r="O993" s="198">
        <f t="shared" si="116"/>
        <v>0</v>
      </c>
      <c r="P993" s="198">
        <f>'02 项目基础信息（输入）'!$I$45</f>
        <v>0</v>
      </c>
      <c r="Q993" s="233">
        <f t="shared" si="117"/>
        <v>0</v>
      </c>
      <c r="S993" s="217"/>
      <c r="U993" s="220" t="s">
        <v>2782</v>
      </c>
    </row>
    <row r="994" spans="1:21" ht="0" hidden="1" customHeight="1" outlineLevel="3">
      <c r="A994" s="192" t="s">
        <v>1911</v>
      </c>
      <c r="B994" s="192"/>
      <c r="C994" s="197" t="s">
        <v>309</v>
      </c>
      <c r="D994" s="198">
        <f>'02 项目基础信息（输入）'!$AC$45</f>
        <v>0</v>
      </c>
      <c r="E994" s="199" t="s">
        <v>310</v>
      </c>
      <c r="F994" s="197" t="s">
        <v>309</v>
      </c>
      <c r="G994" s="199">
        <v>1</v>
      </c>
      <c r="H994" s="199" t="s">
        <v>1903</v>
      </c>
      <c r="I994" s="198">
        <f t="shared" si="118"/>
        <v>0</v>
      </c>
      <c r="J994" s="199" t="s">
        <v>310</v>
      </c>
      <c r="K994" s="207">
        <v>0</v>
      </c>
      <c r="L994" s="209" t="s">
        <v>736</v>
      </c>
      <c r="M994" s="207">
        <f t="shared" si="119"/>
        <v>0</v>
      </c>
      <c r="N994" s="198">
        <f>'02 项目基础信息（输入）'!$C$45</f>
        <v>0</v>
      </c>
      <c r="O994" s="198">
        <f t="shared" si="116"/>
        <v>0</v>
      </c>
      <c r="P994" s="198">
        <f>'02 项目基础信息（输入）'!$I$45</f>
        <v>0</v>
      </c>
      <c r="Q994" s="233">
        <f t="shared" si="117"/>
        <v>0</v>
      </c>
      <c r="S994" s="217"/>
      <c r="U994" s="220" t="s">
        <v>2783</v>
      </c>
    </row>
    <row r="995" spans="1:21" ht="0" hidden="1" customHeight="1" outlineLevel="3">
      <c r="A995" s="192" t="s">
        <v>1913</v>
      </c>
      <c r="B995" s="192"/>
      <c r="C995" s="197" t="s">
        <v>309</v>
      </c>
      <c r="D995" s="198">
        <f>'02 项目基础信息（输入）'!$AC$45</f>
        <v>0</v>
      </c>
      <c r="E995" s="199" t="s">
        <v>310</v>
      </c>
      <c r="F995" s="197" t="s">
        <v>309</v>
      </c>
      <c r="G995" s="199">
        <v>1</v>
      </c>
      <c r="H995" s="199" t="s">
        <v>1903</v>
      </c>
      <c r="I995" s="198">
        <f t="shared" si="118"/>
        <v>0</v>
      </c>
      <c r="J995" s="199" t="s">
        <v>310</v>
      </c>
      <c r="K995" s="207">
        <v>0</v>
      </c>
      <c r="L995" s="209" t="s">
        <v>736</v>
      </c>
      <c r="M995" s="207">
        <f t="shared" si="119"/>
        <v>0</v>
      </c>
      <c r="N995" s="198">
        <f>'02 项目基础信息（输入）'!$C$45</f>
        <v>0</v>
      </c>
      <c r="O995" s="198">
        <f t="shared" si="116"/>
        <v>0</v>
      </c>
      <c r="P995" s="198">
        <f>'02 项目基础信息（输入）'!$I$45</f>
        <v>0</v>
      </c>
      <c r="Q995" s="233">
        <f t="shared" si="117"/>
        <v>0</v>
      </c>
      <c r="S995" s="217"/>
      <c r="U995" s="220" t="s">
        <v>2784</v>
      </c>
    </row>
    <row r="996" spans="1:21" ht="0" hidden="1" customHeight="1" outlineLevel="2">
      <c r="A996" s="192" t="s">
        <v>2178</v>
      </c>
      <c r="B996" s="192"/>
      <c r="C996" s="197" t="s">
        <v>1609</v>
      </c>
      <c r="D996" s="198">
        <f>'02 项目基础信息（输入）'!$C$45</f>
        <v>0</v>
      </c>
      <c r="E996" s="199" t="s">
        <v>93</v>
      </c>
      <c r="F996" s="197"/>
      <c r="G996" s="199"/>
      <c r="H996" s="199"/>
      <c r="I996" s="197"/>
      <c r="J996" s="199"/>
      <c r="K996" s="207"/>
      <c r="L996" s="209"/>
      <c r="M996" s="198">
        <f>ROUND(SUM(M997),6)</f>
        <v>0</v>
      </c>
      <c r="N996" s="198">
        <f>'02 项目基础信息（输入）'!$C$45</f>
        <v>0</v>
      </c>
      <c r="O996" s="198">
        <f t="shared" si="116"/>
        <v>0</v>
      </c>
      <c r="P996" s="198">
        <f>'02 项目基础信息（输入）'!$I$45</f>
        <v>0</v>
      </c>
      <c r="Q996" s="233">
        <f t="shared" si="117"/>
        <v>0</v>
      </c>
      <c r="S996" s="217" t="s">
        <v>1313</v>
      </c>
      <c r="U996" s="220" t="s">
        <v>2785</v>
      </c>
    </row>
    <row r="997" spans="1:21" ht="0" hidden="1" customHeight="1" outlineLevel="3">
      <c r="A997" s="192" t="s">
        <v>2180</v>
      </c>
      <c r="B997" s="192"/>
      <c r="C997" s="197" t="s">
        <v>309</v>
      </c>
      <c r="D997" s="198">
        <f>'02 项目基础信息（输入）'!$AC$45</f>
        <v>0</v>
      </c>
      <c r="E997" s="199" t="s">
        <v>310</v>
      </c>
      <c r="F997" s="197" t="s">
        <v>309</v>
      </c>
      <c r="G997" s="199">
        <v>1</v>
      </c>
      <c r="H997" s="199" t="s">
        <v>1903</v>
      </c>
      <c r="I997" s="198">
        <f>G997*D997</f>
        <v>0</v>
      </c>
      <c r="J997" s="199" t="s">
        <v>310</v>
      </c>
      <c r="K997" s="208"/>
      <c r="L997" s="209" t="s">
        <v>736</v>
      </c>
      <c r="M997" s="207">
        <f>ROUND(K997*I997/10000,6)</f>
        <v>0</v>
      </c>
      <c r="N997" s="198">
        <f>'02 项目基础信息（输入）'!$C$45</f>
        <v>0</v>
      </c>
      <c r="O997" s="198">
        <f t="shared" si="116"/>
        <v>0</v>
      </c>
      <c r="P997" s="198">
        <f>'02 项目基础信息（输入）'!$I$45</f>
        <v>0</v>
      </c>
      <c r="Q997" s="233">
        <f t="shared" si="117"/>
        <v>0</v>
      </c>
      <c r="S997" s="217"/>
      <c r="U997" s="220" t="s">
        <v>2786</v>
      </c>
    </row>
    <row r="998" spans="1:21" ht="0" hidden="1" customHeight="1" outlineLevel="2">
      <c r="A998" s="192" t="s">
        <v>2182</v>
      </c>
      <c r="B998" s="192"/>
      <c r="C998" s="197" t="s">
        <v>1609</v>
      </c>
      <c r="D998" s="198">
        <f>'02 项目基础信息（输入）'!$C$45</f>
        <v>0</v>
      </c>
      <c r="E998" s="199" t="s">
        <v>93</v>
      </c>
      <c r="F998" s="197"/>
      <c r="G998" s="199"/>
      <c r="H998" s="199"/>
      <c r="I998" s="197"/>
      <c r="J998" s="199"/>
      <c r="K998" s="207"/>
      <c r="L998" s="209"/>
      <c r="M998" s="198">
        <f>ROUND(SUM(M999),6)</f>
        <v>0</v>
      </c>
      <c r="N998" s="198">
        <f>'02 项目基础信息（输入）'!$C$45</f>
        <v>0</v>
      </c>
      <c r="O998" s="198">
        <f t="shared" si="116"/>
        <v>0</v>
      </c>
      <c r="P998" s="198">
        <f>'02 项目基础信息（输入）'!$I$45</f>
        <v>0</v>
      </c>
      <c r="Q998" s="233">
        <f t="shared" si="117"/>
        <v>0</v>
      </c>
      <c r="S998" s="217" t="s">
        <v>1313</v>
      </c>
      <c r="U998" s="220" t="s">
        <v>2787</v>
      </c>
    </row>
    <row r="999" spans="1:21" ht="0" hidden="1" customHeight="1" outlineLevel="3">
      <c r="A999" s="192" t="s">
        <v>2184</v>
      </c>
      <c r="B999" s="192"/>
      <c r="C999" s="197" t="s">
        <v>309</v>
      </c>
      <c r="D999" s="198">
        <f>'02 项目基础信息（输入）'!$AC$45</f>
        <v>0</v>
      </c>
      <c r="E999" s="199" t="s">
        <v>310</v>
      </c>
      <c r="F999" s="197" t="s">
        <v>309</v>
      </c>
      <c r="G999" s="199">
        <v>1</v>
      </c>
      <c r="H999" s="199" t="s">
        <v>1903</v>
      </c>
      <c r="I999" s="198">
        <f>G999*D999</f>
        <v>0</v>
      </c>
      <c r="J999" s="199" t="s">
        <v>310</v>
      </c>
      <c r="K999" s="208"/>
      <c r="L999" s="209" t="s">
        <v>736</v>
      </c>
      <c r="M999" s="198">
        <f>ROUND(K999*I999/10000,6)</f>
        <v>0</v>
      </c>
      <c r="N999" s="198">
        <f>'02 项目基础信息（输入）'!$C$45</f>
        <v>0</v>
      </c>
      <c r="O999" s="198">
        <f t="shared" si="116"/>
        <v>0</v>
      </c>
      <c r="P999" s="198">
        <f>'02 项目基础信息（输入）'!$I$45</f>
        <v>0</v>
      </c>
      <c r="Q999" s="233">
        <f t="shared" si="117"/>
        <v>0</v>
      </c>
      <c r="S999" s="217"/>
      <c r="U999" s="220" t="s">
        <v>2788</v>
      </c>
    </row>
    <row r="1000" spans="1:21" ht="0" hidden="1" customHeight="1" outlineLevel="2">
      <c r="A1000" s="192" t="s">
        <v>1915</v>
      </c>
      <c r="B1000" s="192"/>
      <c r="C1000" s="197" t="s">
        <v>1609</v>
      </c>
      <c r="D1000" s="198">
        <f>'02 项目基础信息（输入）'!$C$45</f>
        <v>0</v>
      </c>
      <c r="E1000" s="199" t="s">
        <v>93</v>
      </c>
      <c r="F1000" s="197"/>
      <c r="G1000" s="199"/>
      <c r="H1000" s="199"/>
      <c r="I1000" s="197"/>
      <c r="J1000" s="199"/>
      <c r="K1000" s="207"/>
      <c r="L1000" s="209"/>
      <c r="M1000" s="198">
        <f>ROUND(SUM(M1001:M1003),6)</f>
        <v>0</v>
      </c>
      <c r="N1000" s="198">
        <f>'02 项目基础信息（输入）'!$C$45</f>
        <v>0</v>
      </c>
      <c r="O1000" s="198">
        <f t="shared" si="116"/>
        <v>0</v>
      </c>
      <c r="P1000" s="198">
        <f>'02 项目基础信息（输入）'!$I$45</f>
        <v>0</v>
      </c>
      <c r="Q1000" s="233">
        <f t="shared" si="117"/>
        <v>0</v>
      </c>
      <c r="S1000" s="217" t="s">
        <v>1314</v>
      </c>
      <c r="U1000" s="220" t="s">
        <v>2789</v>
      </c>
    </row>
    <row r="1001" spans="1:21" ht="0" hidden="1" customHeight="1" outlineLevel="3">
      <c r="A1001" s="192" t="s">
        <v>1917</v>
      </c>
      <c r="B1001" s="192"/>
      <c r="C1001" s="197" t="s">
        <v>455</v>
      </c>
      <c r="D1001" s="198">
        <f>'02 项目基础信息（输入）'!$J$45</f>
        <v>0</v>
      </c>
      <c r="E1001" s="199" t="s">
        <v>400</v>
      </c>
      <c r="F1001" s="197" t="s">
        <v>455</v>
      </c>
      <c r="G1001" s="199">
        <v>1</v>
      </c>
      <c r="H1001" s="199" t="s">
        <v>1918</v>
      </c>
      <c r="I1001" s="198">
        <f>G1001*D1001</f>
        <v>0</v>
      </c>
      <c r="J1001" s="199" t="s">
        <v>1082</v>
      </c>
      <c r="K1001" s="228">
        <f>'03 成本测算（输入）'!$D$158</f>
        <v>0</v>
      </c>
      <c r="L1001" s="209" t="s">
        <v>1087</v>
      </c>
      <c r="M1001" s="207">
        <f>ROUND(K1001*I1001/10000,6)</f>
        <v>0</v>
      </c>
      <c r="N1001" s="198">
        <f>'02 项目基础信息（输入）'!$C$45</f>
        <v>0</v>
      </c>
      <c r="O1001" s="198">
        <f t="shared" si="116"/>
        <v>0</v>
      </c>
      <c r="P1001" s="198">
        <f>'02 项目基础信息（输入）'!$I$45</f>
        <v>0</v>
      </c>
      <c r="Q1001" s="233">
        <f t="shared" si="117"/>
        <v>0</v>
      </c>
      <c r="S1001" s="217"/>
      <c r="U1001" s="220" t="s">
        <v>2790</v>
      </c>
    </row>
    <row r="1002" spans="1:21" ht="0" hidden="1" customHeight="1" outlineLevel="3">
      <c r="A1002" s="192" t="s">
        <v>1920</v>
      </c>
      <c r="B1002" s="192"/>
      <c r="C1002" s="197" t="s">
        <v>455</v>
      </c>
      <c r="D1002" s="198">
        <f>'02 项目基础信息（输入）'!$J$45</f>
        <v>0</v>
      </c>
      <c r="E1002" s="199" t="s">
        <v>400</v>
      </c>
      <c r="F1002" s="197" t="s">
        <v>455</v>
      </c>
      <c r="G1002" s="199">
        <v>1</v>
      </c>
      <c r="H1002" s="199" t="s">
        <v>1918</v>
      </c>
      <c r="I1002" s="198">
        <f>G1002*D1002</f>
        <v>0</v>
      </c>
      <c r="J1002" s="199" t="s">
        <v>1082</v>
      </c>
      <c r="K1002" s="228">
        <f>'03 成本测算（输入）'!$D$159</f>
        <v>0</v>
      </c>
      <c r="L1002" s="209" t="s">
        <v>1087</v>
      </c>
      <c r="M1002" s="207">
        <f>ROUND(K1002*I1002/10000,6)</f>
        <v>0</v>
      </c>
      <c r="N1002" s="198">
        <f>'02 项目基础信息（输入）'!$C$45</f>
        <v>0</v>
      </c>
      <c r="O1002" s="198">
        <f t="shared" si="116"/>
        <v>0</v>
      </c>
      <c r="P1002" s="198">
        <f>'02 项目基础信息（输入）'!$I$45</f>
        <v>0</v>
      </c>
      <c r="Q1002" s="233">
        <f t="shared" si="117"/>
        <v>0</v>
      </c>
      <c r="S1002" s="217"/>
      <c r="U1002" s="220" t="s">
        <v>2791</v>
      </c>
    </row>
    <row r="1003" spans="1:21" ht="0" hidden="1" customHeight="1" outlineLevel="3">
      <c r="A1003" s="192" t="s">
        <v>1922</v>
      </c>
      <c r="B1003" s="192"/>
      <c r="C1003" s="197" t="s">
        <v>455</v>
      </c>
      <c r="D1003" s="198">
        <f>'02 项目基础信息（输入）'!$J$45</f>
        <v>0</v>
      </c>
      <c r="E1003" s="199" t="s">
        <v>400</v>
      </c>
      <c r="F1003" s="197" t="s">
        <v>455</v>
      </c>
      <c r="G1003" s="199">
        <v>1</v>
      </c>
      <c r="H1003" s="199" t="s">
        <v>1918</v>
      </c>
      <c r="I1003" s="198">
        <f>G1003*D1003</f>
        <v>0</v>
      </c>
      <c r="J1003" s="199" t="s">
        <v>1082</v>
      </c>
      <c r="K1003" s="207">
        <v>0</v>
      </c>
      <c r="L1003" s="209" t="s">
        <v>1087</v>
      </c>
      <c r="M1003" s="207">
        <f>ROUND(K1003*I1003/10000,6)</f>
        <v>0</v>
      </c>
      <c r="N1003" s="198">
        <f>'02 项目基础信息（输入）'!$C$45</f>
        <v>0</v>
      </c>
      <c r="O1003" s="198">
        <f t="shared" si="116"/>
        <v>0</v>
      </c>
      <c r="P1003" s="198">
        <f>'02 项目基础信息（输入）'!$I$45</f>
        <v>0</v>
      </c>
      <c r="Q1003" s="233">
        <f t="shared" si="117"/>
        <v>0</v>
      </c>
      <c r="S1003" s="217"/>
      <c r="U1003" s="220" t="s">
        <v>2792</v>
      </c>
    </row>
    <row r="1004" spans="1:21" ht="0" hidden="1" customHeight="1" outlineLevel="2">
      <c r="A1004" s="192" t="s">
        <v>1924</v>
      </c>
      <c r="B1004" s="192"/>
      <c r="C1004" s="197" t="s">
        <v>1609</v>
      </c>
      <c r="D1004" s="198">
        <f>'02 项目基础信息（输入）'!$C$45</f>
        <v>0</v>
      </c>
      <c r="E1004" s="199" t="s">
        <v>93</v>
      </c>
      <c r="F1004" s="197"/>
      <c r="G1004" s="199"/>
      <c r="H1004" s="199"/>
      <c r="I1004" s="197"/>
      <c r="J1004" s="199"/>
      <c r="K1004" s="207"/>
      <c r="L1004" s="209"/>
      <c r="M1004" s="198">
        <f>ROUND(SUM(M1005),6)</f>
        <v>0</v>
      </c>
      <c r="N1004" s="198">
        <f>'02 项目基础信息（输入）'!$C$45</f>
        <v>0</v>
      </c>
      <c r="O1004" s="198">
        <f t="shared" si="116"/>
        <v>0</v>
      </c>
      <c r="P1004" s="198">
        <f>'02 项目基础信息（输入）'!$I$45</f>
        <v>0</v>
      </c>
      <c r="Q1004" s="233">
        <f t="shared" si="117"/>
        <v>0</v>
      </c>
      <c r="S1004" s="217" t="s">
        <v>1313</v>
      </c>
      <c r="U1004" s="220" t="s">
        <v>2793</v>
      </c>
    </row>
    <row r="1005" spans="1:21" ht="0" hidden="1" customHeight="1" outlineLevel="3">
      <c r="A1005" s="192" t="s">
        <v>1926</v>
      </c>
      <c r="B1005" s="192"/>
      <c r="C1005" s="197" t="s">
        <v>1609</v>
      </c>
      <c r="D1005" s="198">
        <f>'02 项目基础信息（输入）'!$C$45</f>
        <v>0</v>
      </c>
      <c r="E1005" s="199" t="s">
        <v>93</v>
      </c>
      <c r="F1005" s="197" t="s">
        <v>1927</v>
      </c>
      <c r="G1005" s="209">
        <v>0</v>
      </c>
      <c r="H1005" s="199" t="s">
        <v>298</v>
      </c>
      <c r="I1005" s="198">
        <f>G1005*D1005</f>
        <v>0</v>
      </c>
      <c r="J1005" s="199" t="s">
        <v>93</v>
      </c>
      <c r="K1005" s="207">
        <v>0</v>
      </c>
      <c r="L1005" s="209" t="s">
        <v>675</v>
      </c>
      <c r="M1005" s="207">
        <f>ROUND(K1005*I1005/10000,6)</f>
        <v>0</v>
      </c>
      <c r="N1005" s="198">
        <f>'02 项目基础信息（输入）'!$C$45</f>
        <v>0</v>
      </c>
      <c r="O1005" s="198">
        <f t="shared" si="116"/>
        <v>0</v>
      </c>
      <c r="P1005" s="198">
        <f>'02 项目基础信息（输入）'!$I$45</f>
        <v>0</v>
      </c>
      <c r="Q1005" s="233">
        <f t="shared" si="117"/>
        <v>0</v>
      </c>
      <c r="S1005" s="217"/>
      <c r="U1005" s="220" t="s">
        <v>2794</v>
      </c>
    </row>
    <row r="1006" spans="1:21" ht="0" hidden="1" customHeight="1" outlineLevel="2">
      <c r="A1006" s="192" t="s">
        <v>1931</v>
      </c>
      <c r="B1006" s="192"/>
      <c r="C1006" s="197" t="s">
        <v>1609</v>
      </c>
      <c r="D1006" s="198">
        <f>'02 项目基础信息（输入）'!$C$45</f>
        <v>0</v>
      </c>
      <c r="E1006" s="199" t="s">
        <v>93</v>
      </c>
      <c r="F1006" s="197"/>
      <c r="G1006" s="199"/>
      <c r="H1006" s="199"/>
      <c r="I1006" s="197"/>
      <c r="J1006" s="199"/>
      <c r="K1006" s="207"/>
      <c r="L1006" s="209"/>
      <c r="M1006" s="198">
        <f>ROUND(SUM(M1007),6)</f>
        <v>0</v>
      </c>
      <c r="N1006" s="198">
        <f>'02 项目基础信息（输入）'!$C$45</f>
        <v>0</v>
      </c>
      <c r="O1006" s="198">
        <f t="shared" si="116"/>
        <v>0</v>
      </c>
      <c r="P1006" s="198">
        <f>'02 项目基础信息（输入）'!$I$45</f>
        <v>0</v>
      </c>
      <c r="Q1006" s="233">
        <f t="shared" si="117"/>
        <v>0</v>
      </c>
      <c r="S1006" s="217" t="s">
        <v>1313</v>
      </c>
      <c r="U1006" s="220" t="s">
        <v>2795</v>
      </c>
    </row>
    <row r="1007" spans="1:21" ht="0" hidden="1" customHeight="1" outlineLevel="3">
      <c r="A1007" s="192" t="s">
        <v>1933</v>
      </c>
      <c r="B1007" s="192"/>
      <c r="C1007" s="197" t="s">
        <v>1609</v>
      </c>
      <c r="D1007" s="198">
        <f>'02 项目基础信息（输入）'!$C$45</f>
        <v>0</v>
      </c>
      <c r="E1007" s="199" t="s">
        <v>93</v>
      </c>
      <c r="F1007" s="197" t="s">
        <v>1886</v>
      </c>
      <c r="G1007" s="199">
        <v>1</v>
      </c>
      <c r="H1007" s="199" t="s">
        <v>298</v>
      </c>
      <c r="I1007" s="198">
        <f>G1007*D1007</f>
        <v>0</v>
      </c>
      <c r="J1007" s="199" t="s">
        <v>93</v>
      </c>
      <c r="K1007" s="207">
        <v>0</v>
      </c>
      <c r="L1007" s="209" t="s">
        <v>675</v>
      </c>
      <c r="M1007" s="207">
        <f>ROUND(K1007*I1007/10000,6)</f>
        <v>0</v>
      </c>
      <c r="N1007" s="198">
        <f>'02 项目基础信息（输入）'!$C$45</f>
        <v>0</v>
      </c>
      <c r="O1007" s="198">
        <f t="shared" si="116"/>
        <v>0</v>
      </c>
      <c r="P1007" s="198">
        <f>'02 项目基础信息（输入）'!$I$45</f>
        <v>0</v>
      </c>
      <c r="Q1007" s="233">
        <f t="shared" si="117"/>
        <v>0</v>
      </c>
      <c r="S1007" s="217"/>
      <c r="U1007" s="220" t="s">
        <v>2796</v>
      </c>
    </row>
    <row r="1008" spans="1:21" ht="0" hidden="1" customHeight="1" outlineLevel="2">
      <c r="A1008" s="192" t="s">
        <v>1935</v>
      </c>
      <c r="B1008" s="192"/>
      <c r="C1008" s="197" t="s">
        <v>1609</v>
      </c>
      <c r="D1008" s="198">
        <f>'02 项目基础信息（输入）'!$C$45</f>
        <v>0</v>
      </c>
      <c r="E1008" s="199" t="s">
        <v>93</v>
      </c>
      <c r="F1008" s="197"/>
      <c r="G1008" s="199"/>
      <c r="H1008" s="199"/>
      <c r="I1008" s="197"/>
      <c r="J1008" s="199"/>
      <c r="K1008" s="207"/>
      <c r="L1008" s="209"/>
      <c r="M1008" s="198">
        <f>ROUND(SUM(M1009:M1011),6)</f>
        <v>0</v>
      </c>
      <c r="N1008" s="198">
        <f>'02 项目基础信息（输入）'!$C$45</f>
        <v>0</v>
      </c>
      <c r="O1008" s="198">
        <f t="shared" si="116"/>
        <v>0</v>
      </c>
      <c r="P1008" s="198">
        <f>'02 项目基础信息（输入）'!$I$45</f>
        <v>0</v>
      </c>
      <c r="Q1008" s="233">
        <f t="shared" si="117"/>
        <v>0</v>
      </c>
      <c r="S1008" s="217" t="s">
        <v>1313</v>
      </c>
      <c r="U1008" s="220" t="s">
        <v>2797</v>
      </c>
    </row>
    <row r="1009" spans="1:21" ht="0" hidden="1" customHeight="1" outlineLevel="3">
      <c r="A1009" s="192" t="s">
        <v>2195</v>
      </c>
      <c r="B1009" s="192"/>
      <c r="C1009" s="197" t="s">
        <v>309</v>
      </c>
      <c r="D1009" s="198">
        <f>'02 项目基础信息（输入）'!$AC$45</f>
        <v>0</v>
      </c>
      <c r="E1009" s="199" t="s">
        <v>310</v>
      </c>
      <c r="F1009" s="197" t="s">
        <v>2196</v>
      </c>
      <c r="G1009" s="199">
        <v>1</v>
      </c>
      <c r="H1009" s="199" t="s">
        <v>2197</v>
      </c>
      <c r="I1009" s="198">
        <f>G1009*D1009</f>
        <v>0</v>
      </c>
      <c r="J1009" s="199" t="s">
        <v>2198</v>
      </c>
      <c r="K1009" s="207">
        <v>0</v>
      </c>
      <c r="L1009" s="209" t="s">
        <v>841</v>
      </c>
      <c r="M1009" s="207">
        <f>ROUND(K1009*I1009/10000,6)</f>
        <v>0</v>
      </c>
      <c r="N1009" s="198">
        <f>'02 项目基础信息（输入）'!$C$45</f>
        <v>0</v>
      </c>
      <c r="O1009" s="198">
        <f t="shared" si="116"/>
        <v>0</v>
      </c>
      <c r="P1009" s="198">
        <f>'02 项目基础信息（输入）'!$I$45</f>
        <v>0</v>
      </c>
      <c r="Q1009" s="233">
        <f t="shared" si="117"/>
        <v>0</v>
      </c>
      <c r="S1009" s="217"/>
      <c r="U1009" s="220" t="s">
        <v>2798</v>
      </c>
    </row>
    <row r="1010" spans="1:21" ht="0" hidden="1" customHeight="1" outlineLevel="3">
      <c r="A1010" s="192" t="s">
        <v>2200</v>
      </c>
      <c r="B1010" s="192"/>
      <c r="C1010" s="197" t="s">
        <v>309</v>
      </c>
      <c r="D1010" s="198">
        <f>'02 项目基础信息（输入）'!$AC$45</f>
        <v>0</v>
      </c>
      <c r="E1010" s="199" t="s">
        <v>310</v>
      </c>
      <c r="F1010" s="197" t="s">
        <v>2196</v>
      </c>
      <c r="G1010" s="199">
        <v>1</v>
      </c>
      <c r="H1010" s="199" t="s">
        <v>2197</v>
      </c>
      <c r="I1010" s="198">
        <f>G1010*D1010</f>
        <v>0</v>
      </c>
      <c r="J1010" s="199" t="s">
        <v>2198</v>
      </c>
      <c r="K1010" s="207">
        <v>0</v>
      </c>
      <c r="L1010" s="209" t="s">
        <v>841</v>
      </c>
      <c r="M1010" s="207">
        <f>ROUND(K1010*I1010/10000,6)</f>
        <v>0</v>
      </c>
      <c r="N1010" s="198">
        <f>'02 项目基础信息（输入）'!$C$45</f>
        <v>0</v>
      </c>
      <c r="O1010" s="198">
        <f t="shared" si="116"/>
        <v>0</v>
      </c>
      <c r="P1010" s="198">
        <f>'02 项目基础信息（输入）'!$I$45</f>
        <v>0</v>
      </c>
      <c r="Q1010" s="233">
        <f t="shared" si="117"/>
        <v>0</v>
      </c>
      <c r="S1010" s="217"/>
      <c r="U1010" s="220" t="s">
        <v>2799</v>
      </c>
    </row>
    <row r="1011" spans="1:21" ht="0" hidden="1" customHeight="1" outlineLevel="3">
      <c r="A1011" s="192" t="s">
        <v>2202</v>
      </c>
      <c r="B1011" s="192"/>
      <c r="C1011" s="197" t="s">
        <v>309</v>
      </c>
      <c r="D1011" s="198">
        <f>'02 项目基础信息（输入）'!$AC$45</f>
        <v>0</v>
      </c>
      <c r="E1011" s="199" t="s">
        <v>310</v>
      </c>
      <c r="F1011" s="197" t="s">
        <v>2196</v>
      </c>
      <c r="G1011" s="199">
        <v>1</v>
      </c>
      <c r="H1011" s="199" t="s">
        <v>2197</v>
      </c>
      <c r="I1011" s="198">
        <f>G1011*D1011</f>
        <v>0</v>
      </c>
      <c r="J1011" s="199" t="s">
        <v>2198</v>
      </c>
      <c r="K1011" s="228">
        <f>'03 成本测算（输入）'!$D$119</f>
        <v>0</v>
      </c>
      <c r="L1011" s="209" t="s">
        <v>841</v>
      </c>
      <c r="M1011" s="207">
        <f>ROUND(K1011*I1011/10000,6)</f>
        <v>0</v>
      </c>
      <c r="N1011" s="198">
        <f>'02 项目基础信息（输入）'!$C$45</f>
        <v>0</v>
      </c>
      <c r="O1011" s="198">
        <f t="shared" si="116"/>
        <v>0</v>
      </c>
      <c r="P1011" s="198">
        <f>'02 项目基础信息（输入）'!$I$45</f>
        <v>0</v>
      </c>
      <c r="Q1011" s="233">
        <f t="shared" si="117"/>
        <v>0</v>
      </c>
      <c r="S1011" s="217"/>
      <c r="U1011" s="220" t="s">
        <v>2800</v>
      </c>
    </row>
    <row r="1012" spans="1:21" ht="0" hidden="1" customHeight="1" outlineLevel="2">
      <c r="A1012" s="192" t="s">
        <v>1937</v>
      </c>
      <c r="B1012" s="192"/>
      <c r="C1012" s="197" t="s">
        <v>1609</v>
      </c>
      <c r="D1012" s="198">
        <f>'02 项目基础信息（输入）'!$C$45</f>
        <v>0</v>
      </c>
      <c r="E1012" s="199" t="s">
        <v>93</v>
      </c>
      <c r="F1012" s="197"/>
      <c r="G1012" s="199"/>
      <c r="H1012" s="199"/>
      <c r="I1012" s="197"/>
      <c r="J1012" s="199"/>
      <c r="K1012" s="207"/>
      <c r="L1012" s="209"/>
      <c r="M1012" s="198">
        <f>ROUND(SUM(M1013),6)</f>
        <v>0</v>
      </c>
      <c r="N1012" s="198">
        <f>'02 项目基础信息（输入）'!$C$45</f>
        <v>0</v>
      </c>
      <c r="O1012" s="198">
        <f t="shared" si="116"/>
        <v>0</v>
      </c>
      <c r="P1012" s="198">
        <f>'02 项目基础信息（输入）'!$I$45</f>
        <v>0</v>
      </c>
      <c r="Q1012" s="233">
        <f t="shared" si="117"/>
        <v>0</v>
      </c>
      <c r="S1012" s="217" t="s">
        <v>1313</v>
      </c>
      <c r="U1012" s="220" t="s">
        <v>2801</v>
      </c>
    </row>
    <row r="1013" spans="1:21" ht="0" hidden="1" customHeight="1" outlineLevel="3">
      <c r="A1013" s="192" t="s">
        <v>2205</v>
      </c>
      <c r="B1013" s="192"/>
      <c r="C1013" s="197" t="s">
        <v>1609</v>
      </c>
      <c r="D1013" s="198">
        <f>'02 项目基础信息（输入）'!$C$45</f>
        <v>0</v>
      </c>
      <c r="E1013" s="199" t="s">
        <v>93</v>
      </c>
      <c r="F1013" s="197" t="s">
        <v>1609</v>
      </c>
      <c r="G1013" s="199">
        <v>1</v>
      </c>
      <c r="H1013" s="199" t="s">
        <v>298</v>
      </c>
      <c r="I1013" s="198">
        <f>G1013*D1013</f>
        <v>0</v>
      </c>
      <c r="J1013" s="199" t="s">
        <v>93</v>
      </c>
      <c r="K1013" s="208"/>
      <c r="L1013" s="209" t="s">
        <v>675</v>
      </c>
      <c r="M1013" s="207">
        <f>ROUND(K1013*I1013/10000,6)</f>
        <v>0</v>
      </c>
      <c r="N1013" s="198">
        <f>'02 项目基础信息（输入）'!$C$45</f>
        <v>0</v>
      </c>
      <c r="O1013" s="198">
        <f t="shared" si="116"/>
        <v>0</v>
      </c>
      <c r="P1013" s="198">
        <f>'02 项目基础信息（输入）'!$I$45</f>
        <v>0</v>
      </c>
      <c r="Q1013" s="233">
        <f t="shared" si="117"/>
        <v>0</v>
      </c>
      <c r="S1013" s="217"/>
      <c r="U1013" s="220" t="s">
        <v>2802</v>
      </c>
    </row>
    <row r="1014" spans="1:21" ht="0" hidden="1" customHeight="1" outlineLevel="2">
      <c r="A1014" s="192" t="s">
        <v>1939</v>
      </c>
      <c r="B1014" s="192"/>
      <c r="C1014" s="197" t="s">
        <v>1609</v>
      </c>
      <c r="D1014" s="198">
        <f>'02 项目基础信息（输入）'!$C$45</f>
        <v>0</v>
      </c>
      <c r="E1014" s="199" t="s">
        <v>93</v>
      </c>
      <c r="F1014" s="197"/>
      <c r="G1014" s="199"/>
      <c r="H1014" s="199"/>
      <c r="I1014" s="197"/>
      <c r="J1014" s="199"/>
      <c r="K1014" s="207"/>
      <c r="L1014" s="209"/>
      <c r="M1014" s="198">
        <f>ROUND(SUM(M1015),6)</f>
        <v>0</v>
      </c>
      <c r="N1014" s="198">
        <f>'02 项目基础信息（输入）'!$C$45</f>
        <v>0</v>
      </c>
      <c r="O1014" s="198">
        <f t="shared" si="116"/>
        <v>0</v>
      </c>
      <c r="P1014" s="198">
        <f>'02 项目基础信息（输入）'!$I$45</f>
        <v>0</v>
      </c>
      <c r="Q1014" s="233">
        <f t="shared" si="117"/>
        <v>0</v>
      </c>
      <c r="S1014" s="217" t="s">
        <v>1313</v>
      </c>
      <c r="U1014" s="220" t="s">
        <v>2803</v>
      </c>
    </row>
    <row r="1015" spans="1:21" ht="0" hidden="1" customHeight="1" outlineLevel="3">
      <c r="A1015" s="192" t="s">
        <v>2208</v>
      </c>
      <c r="B1015" s="192"/>
      <c r="C1015" s="197" t="s">
        <v>477</v>
      </c>
      <c r="D1015" s="198">
        <f>'02 项目基础信息（输入）'!$AG$45</f>
        <v>0</v>
      </c>
      <c r="E1015" s="199" t="s">
        <v>2209</v>
      </c>
      <c r="F1015" s="197" t="s">
        <v>477</v>
      </c>
      <c r="G1015" s="199">
        <v>1</v>
      </c>
      <c r="H1015" s="199" t="s">
        <v>2210</v>
      </c>
      <c r="I1015" s="198">
        <f>G1015*D1015</f>
        <v>0</v>
      </c>
      <c r="J1015" s="199" t="s">
        <v>2209</v>
      </c>
      <c r="K1015" s="208"/>
      <c r="L1015" s="209" t="s">
        <v>2211</v>
      </c>
      <c r="M1015" s="207">
        <f>ROUND(K1015*I1015/10000,6)</f>
        <v>0</v>
      </c>
      <c r="N1015" s="198">
        <f>'02 项目基础信息（输入）'!$C$45</f>
        <v>0</v>
      </c>
      <c r="O1015" s="198">
        <f t="shared" si="116"/>
        <v>0</v>
      </c>
      <c r="P1015" s="198">
        <f>'02 项目基础信息（输入）'!$I$45</f>
        <v>0</v>
      </c>
      <c r="Q1015" s="233">
        <f t="shared" si="117"/>
        <v>0</v>
      </c>
      <c r="S1015" s="217"/>
      <c r="U1015" s="220" t="s">
        <v>2804</v>
      </c>
    </row>
    <row r="1016" spans="1:21" ht="0" hidden="1" customHeight="1" outlineLevel="2">
      <c r="A1016" s="192" t="s">
        <v>1941</v>
      </c>
      <c r="B1016" s="192"/>
      <c r="C1016" s="197" t="s">
        <v>1609</v>
      </c>
      <c r="D1016" s="198">
        <f>'02 项目基础信息（输入）'!$C$45</f>
        <v>0</v>
      </c>
      <c r="E1016" s="199" t="s">
        <v>93</v>
      </c>
      <c r="F1016" s="197"/>
      <c r="G1016" s="199"/>
      <c r="H1016" s="199"/>
      <c r="I1016" s="197"/>
      <c r="J1016" s="199"/>
      <c r="K1016" s="207"/>
      <c r="L1016" s="209"/>
      <c r="M1016" s="197">
        <v>0</v>
      </c>
      <c r="N1016" s="198">
        <f>'02 项目基础信息（输入）'!$C$45</f>
        <v>0</v>
      </c>
      <c r="O1016" s="198">
        <f t="shared" si="116"/>
        <v>0</v>
      </c>
      <c r="P1016" s="198">
        <f>'02 项目基础信息（输入）'!$I$45</f>
        <v>0</v>
      </c>
      <c r="Q1016" s="233">
        <f t="shared" si="117"/>
        <v>0</v>
      </c>
      <c r="S1016" s="217" t="s">
        <v>1313</v>
      </c>
      <c r="U1016" s="220" t="s">
        <v>2805</v>
      </c>
    </row>
    <row r="1017" spans="1:21" ht="0" hidden="1" customHeight="1" outlineLevel="2">
      <c r="A1017" s="192" t="s">
        <v>1952</v>
      </c>
      <c r="B1017" s="192"/>
      <c r="C1017" s="197" t="s">
        <v>1609</v>
      </c>
      <c r="D1017" s="198">
        <f>'02 项目基础信息（输入）'!$C$45</f>
        <v>0</v>
      </c>
      <c r="E1017" s="199" t="s">
        <v>93</v>
      </c>
      <c r="F1017" s="197"/>
      <c r="G1017" s="199"/>
      <c r="H1017" s="199"/>
      <c r="I1017" s="197"/>
      <c r="J1017" s="199"/>
      <c r="K1017" s="207"/>
      <c r="L1017" s="209"/>
      <c r="M1017" s="197">
        <v>0</v>
      </c>
      <c r="N1017" s="198">
        <f>'02 项目基础信息（输入）'!$C$45</f>
        <v>0</v>
      </c>
      <c r="O1017" s="198">
        <f t="shared" si="116"/>
        <v>0</v>
      </c>
      <c r="P1017" s="198">
        <f>'02 项目基础信息（输入）'!$I$45</f>
        <v>0</v>
      </c>
      <c r="Q1017" s="233">
        <f t="shared" si="117"/>
        <v>0</v>
      </c>
      <c r="S1017" s="217" t="s">
        <v>1313</v>
      </c>
      <c r="U1017" s="220" t="s">
        <v>2806</v>
      </c>
    </row>
    <row r="1018" spans="1:21" ht="0" hidden="1" customHeight="1" outlineLevel="2">
      <c r="A1018" s="192" t="s">
        <v>1957</v>
      </c>
      <c r="B1018" s="192"/>
      <c r="C1018" s="197" t="s">
        <v>1609</v>
      </c>
      <c r="D1018" s="198">
        <f>'02 项目基础信息（输入）'!$C$45</f>
        <v>0</v>
      </c>
      <c r="E1018" s="199" t="s">
        <v>93</v>
      </c>
      <c r="F1018" s="197"/>
      <c r="G1018" s="199"/>
      <c r="H1018" s="199"/>
      <c r="I1018" s="197"/>
      <c r="J1018" s="199"/>
      <c r="K1018" s="207"/>
      <c r="L1018" s="209"/>
      <c r="M1018" s="198">
        <f>ROUND(SUM(M1019:M1022),6)</f>
        <v>0</v>
      </c>
      <c r="N1018" s="198">
        <f>'02 项目基础信息（输入）'!$C$45</f>
        <v>0</v>
      </c>
      <c r="O1018" s="198">
        <f t="shared" si="116"/>
        <v>0</v>
      </c>
      <c r="P1018" s="198">
        <f>'02 项目基础信息（输入）'!$I$45</f>
        <v>0</v>
      </c>
      <c r="Q1018" s="233">
        <f t="shared" si="117"/>
        <v>0</v>
      </c>
      <c r="S1018" s="217" t="s">
        <v>1313</v>
      </c>
      <c r="U1018" s="220" t="s">
        <v>2807</v>
      </c>
    </row>
    <row r="1019" spans="1:21" ht="0" hidden="1" customHeight="1" outlineLevel="3">
      <c r="A1019" s="192" t="s">
        <v>1959</v>
      </c>
      <c r="B1019" s="192"/>
      <c r="C1019" s="197" t="s">
        <v>1609</v>
      </c>
      <c r="D1019" s="198">
        <f>'02 项目基础信息（输入）'!$C$45</f>
        <v>0</v>
      </c>
      <c r="E1019" s="199" t="s">
        <v>93</v>
      </c>
      <c r="F1019" s="197" t="s">
        <v>1960</v>
      </c>
      <c r="G1019" s="199">
        <v>0</v>
      </c>
      <c r="H1019" s="199" t="s">
        <v>298</v>
      </c>
      <c r="I1019" s="198">
        <f>G1019*D1019</f>
        <v>0</v>
      </c>
      <c r="J1019" s="199" t="s">
        <v>93</v>
      </c>
      <c r="K1019" s="207">
        <v>0</v>
      </c>
      <c r="L1019" s="209" t="s">
        <v>675</v>
      </c>
      <c r="M1019" s="207">
        <f>ROUND(K1019*I1019/10000,6)</f>
        <v>0</v>
      </c>
      <c r="N1019" s="198">
        <f>'02 项目基础信息（输入）'!$C$45</f>
        <v>0</v>
      </c>
      <c r="O1019" s="198">
        <f t="shared" si="116"/>
        <v>0</v>
      </c>
      <c r="P1019" s="198">
        <f>'02 项目基础信息（输入）'!$I$45</f>
        <v>0</v>
      </c>
      <c r="Q1019" s="233">
        <f t="shared" si="117"/>
        <v>0</v>
      </c>
      <c r="S1019" s="217"/>
      <c r="U1019" s="220" t="s">
        <v>2808</v>
      </c>
    </row>
    <row r="1020" spans="1:21" ht="0" hidden="1" customHeight="1" outlineLevel="3">
      <c r="A1020" s="192" t="s">
        <v>1962</v>
      </c>
      <c r="B1020" s="192"/>
      <c r="C1020" s="197" t="s">
        <v>1609</v>
      </c>
      <c r="D1020" s="198">
        <f>'02 项目基础信息（输入）'!$C$45</f>
        <v>0</v>
      </c>
      <c r="E1020" s="199" t="s">
        <v>93</v>
      </c>
      <c r="F1020" s="197" t="s">
        <v>1960</v>
      </c>
      <c r="G1020" s="199">
        <v>0</v>
      </c>
      <c r="H1020" s="199" t="s">
        <v>298</v>
      </c>
      <c r="I1020" s="198">
        <f>G1020*D1020</f>
        <v>0</v>
      </c>
      <c r="J1020" s="199" t="s">
        <v>93</v>
      </c>
      <c r="K1020" s="207">
        <v>0</v>
      </c>
      <c r="L1020" s="209" t="s">
        <v>675</v>
      </c>
      <c r="M1020" s="207">
        <f>ROUND(K1020*I1020/10000,6)</f>
        <v>0</v>
      </c>
      <c r="N1020" s="198">
        <f>'02 项目基础信息（输入）'!$C$45</f>
        <v>0</v>
      </c>
      <c r="O1020" s="198">
        <f t="shared" si="116"/>
        <v>0</v>
      </c>
      <c r="P1020" s="198">
        <f>'02 项目基础信息（输入）'!$I$45</f>
        <v>0</v>
      </c>
      <c r="Q1020" s="233">
        <f t="shared" si="117"/>
        <v>0</v>
      </c>
      <c r="S1020" s="217"/>
      <c r="U1020" s="220" t="s">
        <v>2809</v>
      </c>
    </row>
    <row r="1021" spans="1:21" ht="0" hidden="1" customHeight="1" outlineLevel="3">
      <c r="A1021" s="192" t="s">
        <v>1964</v>
      </c>
      <c r="B1021" s="192"/>
      <c r="C1021" s="197" t="s">
        <v>1609</v>
      </c>
      <c r="D1021" s="198">
        <f>'02 项目基础信息（输入）'!$C$45</f>
        <v>0</v>
      </c>
      <c r="E1021" s="199" t="s">
        <v>93</v>
      </c>
      <c r="F1021" s="197" t="s">
        <v>1960</v>
      </c>
      <c r="G1021" s="199">
        <v>0</v>
      </c>
      <c r="H1021" s="199" t="s">
        <v>298</v>
      </c>
      <c r="I1021" s="198">
        <f>G1021*D1021</f>
        <v>0</v>
      </c>
      <c r="J1021" s="199" t="s">
        <v>93</v>
      </c>
      <c r="K1021" s="207">
        <v>0</v>
      </c>
      <c r="L1021" s="209" t="s">
        <v>675</v>
      </c>
      <c r="M1021" s="207">
        <f>ROUND(K1021*I1021/10000,6)</f>
        <v>0</v>
      </c>
      <c r="N1021" s="198">
        <f>'02 项目基础信息（输入）'!$C$45</f>
        <v>0</v>
      </c>
      <c r="O1021" s="198">
        <f t="shared" si="116"/>
        <v>0</v>
      </c>
      <c r="P1021" s="198">
        <f>'02 项目基础信息（输入）'!$I$45</f>
        <v>0</v>
      </c>
      <c r="Q1021" s="233">
        <f t="shared" si="117"/>
        <v>0</v>
      </c>
      <c r="S1021" s="217"/>
      <c r="U1021" s="220" t="s">
        <v>2810</v>
      </c>
    </row>
    <row r="1022" spans="1:21" ht="0" hidden="1" customHeight="1" outlineLevel="3">
      <c r="A1022" s="192" t="s">
        <v>1966</v>
      </c>
      <c r="B1022" s="192"/>
      <c r="C1022" s="197" t="s">
        <v>1609</v>
      </c>
      <c r="D1022" s="198">
        <f>'02 项目基础信息（输入）'!$C$45</f>
        <v>0</v>
      </c>
      <c r="E1022" s="199" t="s">
        <v>93</v>
      </c>
      <c r="F1022" s="197" t="s">
        <v>1960</v>
      </c>
      <c r="G1022" s="199">
        <v>0</v>
      </c>
      <c r="H1022" s="199" t="s">
        <v>298</v>
      </c>
      <c r="I1022" s="198">
        <f>G1022*D1022</f>
        <v>0</v>
      </c>
      <c r="J1022" s="199" t="s">
        <v>93</v>
      </c>
      <c r="K1022" s="207">
        <v>0</v>
      </c>
      <c r="L1022" s="209" t="s">
        <v>675</v>
      </c>
      <c r="M1022" s="207">
        <f>ROUND(K1022*I1022/10000,6)</f>
        <v>0</v>
      </c>
      <c r="N1022" s="198">
        <f>'02 项目基础信息（输入）'!$C$45</f>
        <v>0</v>
      </c>
      <c r="O1022" s="198">
        <f t="shared" si="116"/>
        <v>0</v>
      </c>
      <c r="P1022" s="198">
        <f>'02 项目基础信息（输入）'!$I$45</f>
        <v>0</v>
      </c>
      <c r="Q1022" s="233">
        <f t="shared" si="117"/>
        <v>0</v>
      </c>
      <c r="S1022" s="217"/>
      <c r="U1022" s="220" t="s">
        <v>2811</v>
      </c>
    </row>
    <row r="1023" spans="1:21" ht="0" hidden="1" customHeight="1" outlineLevel="2">
      <c r="A1023" s="192" t="s">
        <v>1968</v>
      </c>
      <c r="B1023" s="192"/>
      <c r="C1023" s="197" t="s">
        <v>1609</v>
      </c>
      <c r="D1023" s="198">
        <f>'02 项目基础信息（输入）'!$C$45</f>
        <v>0</v>
      </c>
      <c r="E1023" s="199" t="s">
        <v>93</v>
      </c>
      <c r="F1023" s="197"/>
      <c r="G1023" s="199"/>
      <c r="H1023" s="199"/>
      <c r="I1023" s="197"/>
      <c r="J1023" s="199"/>
      <c r="K1023" s="207"/>
      <c r="L1023" s="209"/>
      <c r="M1023" s="198">
        <f>ROUND(SUM(M1024),6)</f>
        <v>0</v>
      </c>
      <c r="N1023" s="198">
        <f>'02 项目基础信息（输入）'!$C$45</f>
        <v>0</v>
      </c>
      <c r="O1023" s="198">
        <f t="shared" si="116"/>
        <v>0</v>
      </c>
      <c r="P1023" s="198">
        <f>'02 项目基础信息（输入）'!$I$45</f>
        <v>0</v>
      </c>
      <c r="Q1023" s="233">
        <f t="shared" si="117"/>
        <v>0</v>
      </c>
      <c r="S1023" s="217" t="s">
        <v>1313</v>
      </c>
      <c r="U1023" s="220" t="s">
        <v>2812</v>
      </c>
    </row>
    <row r="1024" spans="1:21" ht="0" hidden="1" customHeight="1" outlineLevel="3">
      <c r="A1024" s="192" t="s">
        <v>1970</v>
      </c>
      <c r="B1024" s="192"/>
      <c r="C1024" s="197" t="s">
        <v>1609</v>
      </c>
      <c r="D1024" s="198">
        <f>'02 项目基础信息（输入）'!$C$45</f>
        <v>0</v>
      </c>
      <c r="E1024" s="199" t="s">
        <v>93</v>
      </c>
      <c r="F1024" s="197" t="s">
        <v>1609</v>
      </c>
      <c r="G1024" s="199">
        <v>1</v>
      </c>
      <c r="H1024" s="199" t="s">
        <v>298</v>
      </c>
      <c r="I1024" s="198">
        <f>G1024*D1024</f>
        <v>0</v>
      </c>
      <c r="J1024" s="199" t="s">
        <v>93</v>
      </c>
      <c r="K1024" s="208"/>
      <c r="L1024" s="209" t="s">
        <v>675</v>
      </c>
      <c r="M1024" s="207">
        <f>ROUND(K1024*I1024/10000,6)</f>
        <v>0</v>
      </c>
      <c r="N1024" s="198">
        <f>'02 项目基础信息（输入）'!$C$45</f>
        <v>0</v>
      </c>
      <c r="O1024" s="198">
        <f t="shared" si="116"/>
        <v>0</v>
      </c>
      <c r="P1024" s="198">
        <f>'02 项目基础信息（输入）'!$I$45</f>
        <v>0</v>
      </c>
      <c r="Q1024" s="233">
        <f t="shared" si="117"/>
        <v>0</v>
      </c>
      <c r="S1024" s="217"/>
      <c r="U1024" s="220" t="s">
        <v>2813</v>
      </c>
    </row>
    <row r="1025" spans="1:21" ht="0" hidden="1" customHeight="1" outlineLevel="2">
      <c r="A1025" s="192" t="s">
        <v>1972</v>
      </c>
      <c r="B1025" s="192"/>
      <c r="C1025" s="197" t="s">
        <v>1609</v>
      </c>
      <c r="D1025" s="198">
        <f>'02 项目基础信息（输入）'!$C$45</f>
        <v>0</v>
      </c>
      <c r="E1025" s="199" t="s">
        <v>93</v>
      </c>
      <c r="F1025" s="197"/>
      <c r="G1025" s="199"/>
      <c r="H1025" s="199"/>
      <c r="I1025" s="197"/>
      <c r="J1025" s="199"/>
      <c r="K1025" s="207"/>
      <c r="L1025" s="209"/>
      <c r="M1025" s="198">
        <f>ROUND(SUM(M1026),6)</f>
        <v>0</v>
      </c>
      <c r="N1025" s="198">
        <f>'02 项目基础信息（输入）'!$C$45</f>
        <v>0</v>
      </c>
      <c r="O1025" s="198">
        <f t="shared" si="116"/>
        <v>0</v>
      </c>
      <c r="P1025" s="198">
        <f>'02 项目基础信息（输入）'!$I$45</f>
        <v>0</v>
      </c>
      <c r="Q1025" s="233">
        <f t="shared" si="117"/>
        <v>0</v>
      </c>
      <c r="S1025" s="217" t="s">
        <v>1313</v>
      </c>
      <c r="U1025" s="220" t="s">
        <v>2814</v>
      </c>
    </row>
    <row r="1026" spans="1:21" ht="0" hidden="1" customHeight="1" outlineLevel="3">
      <c r="A1026" s="192" t="s">
        <v>1974</v>
      </c>
      <c r="B1026" s="192"/>
      <c r="C1026" s="197" t="s">
        <v>1609</v>
      </c>
      <c r="D1026" s="198">
        <f>'02 项目基础信息（输入）'!$C$45</f>
        <v>0</v>
      </c>
      <c r="E1026" s="199" t="s">
        <v>93</v>
      </c>
      <c r="F1026" s="197" t="s">
        <v>1609</v>
      </c>
      <c r="G1026" s="199">
        <v>1</v>
      </c>
      <c r="H1026" s="199" t="s">
        <v>298</v>
      </c>
      <c r="I1026" s="198">
        <f>G1026*D1026</f>
        <v>0</v>
      </c>
      <c r="J1026" s="199" t="s">
        <v>93</v>
      </c>
      <c r="K1026" s="228">
        <f>'03 成本测算（输入）'!$D$120</f>
        <v>0</v>
      </c>
      <c r="L1026" s="209" t="s">
        <v>675</v>
      </c>
      <c r="M1026" s="207">
        <f>ROUND(K1026*I1026/10000,6)</f>
        <v>0</v>
      </c>
      <c r="N1026" s="198">
        <f>'02 项目基础信息（输入）'!$C$45</f>
        <v>0</v>
      </c>
      <c r="O1026" s="198">
        <f t="shared" si="116"/>
        <v>0</v>
      </c>
      <c r="P1026" s="198">
        <f>'02 项目基础信息（输入）'!$I$45</f>
        <v>0</v>
      </c>
      <c r="Q1026" s="233">
        <f t="shared" si="117"/>
        <v>0</v>
      </c>
      <c r="R1026" s="188" t="s">
        <v>1975</v>
      </c>
      <c r="S1026" s="234"/>
      <c r="U1026" s="220" t="s">
        <v>2815</v>
      </c>
    </row>
    <row r="1027" spans="1:21" ht="0" hidden="1" customHeight="1" outlineLevel="1" collapsed="1">
      <c r="A1027" s="192" t="s">
        <v>508</v>
      </c>
      <c r="B1027" s="192"/>
      <c r="C1027" s="197" t="s">
        <v>1609</v>
      </c>
      <c r="D1027" s="198">
        <f>'02 项目基础信息（输入）'!$C$48</f>
        <v>0</v>
      </c>
      <c r="E1027" s="199" t="s">
        <v>93</v>
      </c>
      <c r="F1027" s="197"/>
      <c r="G1027" s="199"/>
      <c r="H1027" s="199"/>
      <c r="I1027" s="197"/>
      <c r="J1027" s="199"/>
      <c r="K1027" s="197"/>
      <c r="L1027" s="209"/>
      <c r="M1027" s="198">
        <f>ROUND(M1028+M1050+M1053+M1066+M1069+M1072+M1091+M1103+M1105+M1111+M1117+M1122+M1139+M1144+M1166+M1168+M1172+M1174+M1176+M1182+M1189+M1191+M1193+M1197+M1199+M1201+M1205+M1207+M1209+M1210+M1211+M1216+M1218,6)</f>
        <v>0</v>
      </c>
      <c r="N1027" s="198">
        <f>'02 项目基础信息（输入）'!$C$48</f>
        <v>0</v>
      </c>
      <c r="O1027" s="198">
        <f t="shared" ref="O1027:O1090" si="120">ROUND(IFERROR(M1027*10000/N1027,0),2)</f>
        <v>0</v>
      </c>
      <c r="P1027" s="198">
        <f>'02 项目基础信息（输入）'!$I$48</f>
        <v>0</v>
      </c>
      <c r="Q1027" s="233">
        <f t="shared" ref="Q1027:Q1090" si="121">ROUND(IFERROR(M1027*10000/P1027,0),2)</f>
        <v>0</v>
      </c>
      <c r="S1027" s="217"/>
      <c r="U1027" s="220" t="s">
        <v>2816</v>
      </c>
    </row>
    <row r="1028" spans="1:21" ht="0" hidden="1" customHeight="1" outlineLevel="2">
      <c r="A1028" s="192" t="s">
        <v>1611</v>
      </c>
      <c r="B1028" s="192"/>
      <c r="C1028" s="197" t="s">
        <v>1609</v>
      </c>
      <c r="D1028" s="198">
        <f>'02 项目基础信息（输入）'!$C$48</f>
        <v>0</v>
      </c>
      <c r="E1028" s="199" t="s">
        <v>93</v>
      </c>
      <c r="F1028" s="197"/>
      <c r="G1028" s="199"/>
      <c r="H1028" s="199"/>
      <c r="I1028" s="197"/>
      <c r="J1028" s="199"/>
      <c r="K1028" s="197"/>
      <c r="L1028" s="209"/>
      <c r="M1028" s="198">
        <f>ROUND(M1029+M1032+M1033+M1038+M1039+M1045+M1046+M1049,6)</f>
        <v>0</v>
      </c>
      <c r="N1028" s="198">
        <f>'02 项目基础信息（输入）'!$C$48</f>
        <v>0</v>
      </c>
      <c r="O1028" s="198">
        <f t="shared" si="120"/>
        <v>0</v>
      </c>
      <c r="P1028" s="198">
        <f>'02 项目基础信息（输入）'!$I$48</f>
        <v>0</v>
      </c>
      <c r="Q1028" s="233">
        <f t="shared" si="121"/>
        <v>0</v>
      </c>
      <c r="S1028" s="217" t="s">
        <v>1313</v>
      </c>
      <c r="U1028" s="220" t="s">
        <v>2817</v>
      </c>
    </row>
    <row r="1029" spans="1:21" ht="0" hidden="1" customHeight="1" outlineLevel="3">
      <c r="A1029" s="192" t="s">
        <v>1613</v>
      </c>
      <c r="B1029" s="192"/>
      <c r="C1029" s="197"/>
      <c r="D1029" s="198">
        <f>'02 项目基础信息（输入）'!$C$48</f>
        <v>0</v>
      </c>
      <c r="E1029" s="199"/>
      <c r="F1029" s="197"/>
      <c r="G1029" s="199"/>
      <c r="H1029" s="199"/>
      <c r="I1029" s="197">
        <v>0</v>
      </c>
      <c r="J1029" s="199"/>
      <c r="K1029" s="197"/>
      <c r="L1029" s="209"/>
      <c r="M1029" s="198">
        <f>ROUND(SUM(M1030:M1031),6)</f>
        <v>0</v>
      </c>
      <c r="N1029" s="198">
        <f>'02 项目基础信息（输入）'!$C$48</f>
        <v>0</v>
      </c>
      <c r="O1029" s="198">
        <f t="shared" si="120"/>
        <v>0</v>
      </c>
      <c r="P1029" s="198">
        <f>'02 项目基础信息（输入）'!$I$48</f>
        <v>0</v>
      </c>
      <c r="Q1029" s="233">
        <f t="shared" si="121"/>
        <v>0</v>
      </c>
      <c r="S1029" s="217"/>
      <c r="U1029" s="220" t="s">
        <v>2818</v>
      </c>
    </row>
    <row r="1030" spans="1:21" ht="0" hidden="1" customHeight="1" outlineLevel="4">
      <c r="A1030" s="192" t="s">
        <v>1615</v>
      </c>
      <c r="B1030" s="192"/>
      <c r="C1030" s="197" t="s">
        <v>1609</v>
      </c>
      <c r="D1030" s="198">
        <f>'02 项目基础信息（输入）'!$C$48</f>
        <v>0</v>
      </c>
      <c r="E1030" s="199" t="s">
        <v>93</v>
      </c>
      <c r="F1030" s="197" t="s">
        <v>1616</v>
      </c>
      <c r="G1030" s="82">
        <v>0</v>
      </c>
      <c r="H1030" s="199" t="s">
        <v>966</v>
      </c>
      <c r="I1030" s="198">
        <f>G1030*D1030</f>
        <v>0</v>
      </c>
      <c r="J1030" s="199" t="s">
        <v>1617</v>
      </c>
      <c r="K1030" s="188">
        <v>0</v>
      </c>
      <c r="L1030" s="209" t="s">
        <v>664</v>
      </c>
      <c r="M1030" s="198">
        <f>ROUND(K1030*I1030/10000,6)</f>
        <v>0</v>
      </c>
      <c r="N1030" s="198">
        <f>'02 项目基础信息（输入）'!$C$48</f>
        <v>0</v>
      </c>
      <c r="O1030" s="198">
        <f t="shared" si="120"/>
        <v>0</v>
      </c>
      <c r="P1030" s="198">
        <f>'02 项目基础信息（输入）'!$I$48</f>
        <v>0</v>
      </c>
      <c r="Q1030" s="233">
        <f t="shared" si="121"/>
        <v>0</v>
      </c>
      <c r="S1030" s="217"/>
      <c r="U1030" s="220" t="s">
        <v>2819</v>
      </c>
    </row>
    <row r="1031" spans="1:21" ht="0" hidden="1" customHeight="1" outlineLevel="4">
      <c r="A1031" s="192" t="s">
        <v>1619</v>
      </c>
      <c r="B1031" s="192"/>
      <c r="C1031" s="197" t="s">
        <v>1609</v>
      </c>
      <c r="D1031" s="198">
        <f>'02 项目基础信息（输入）'!$C$48</f>
        <v>0</v>
      </c>
      <c r="E1031" s="199" t="s">
        <v>93</v>
      </c>
      <c r="F1031" s="197" t="s">
        <v>1616</v>
      </c>
      <c r="G1031" s="82">
        <v>0</v>
      </c>
      <c r="H1031" s="199" t="s">
        <v>966</v>
      </c>
      <c r="I1031" s="198">
        <f>G1031*D1031</f>
        <v>0</v>
      </c>
      <c r="J1031" s="199" t="s">
        <v>1617</v>
      </c>
      <c r="K1031" s="188">
        <v>0</v>
      </c>
      <c r="L1031" s="209" t="s">
        <v>664</v>
      </c>
      <c r="M1031" s="198">
        <f>ROUND(K1031*I1031/10000,6)</f>
        <v>0</v>
      </c>
      <c r="N1031" s="198">
        <f>'02 项目基础信息（输入）'!$C$48</f>
        <v>0</v>
      </c>
      <c r="O1031" s="198">
        <f t="shared" si="120"/>
        <v>0</v>
      </c>
      <c r="P1031" s="198">
        <f>'02 项目基础信息（输入）'!$I$48</f>
        <v>0</v>
      </c>
      <c r="Q1031" s="233">
        <f t="shared" si="121"/>
        <v>0</v>
      </c>
      <c r="S1031" s="217"/>
      <c r="U1031" s="220" t="s">
        <v>2820</v>
      </c>
    </row>
    <row r="1032" spans="1:21" ht="0" hidden="1" customHeight="1" outlineLevel="3">
      <c r="A1032" s="192" t="s">
        <v>1621</v>
      </c>
      <c r="B1032" s="192"/>
      <c r="C1032" s="197" t="s">
        <v>1609</v>
      </c>
      <c r="D1032" s="198">
        <f>'02 项目基础信息（输入）'!$C$48</f>
        <v>0</v>
      </c>
      <c r="E1032" s="199" t="s">
        <v>93</v>
      </c>
      <c r="F1032" s="197" t="s">
        <v>1622</v>
      </c>
      <c r="G1032" s="82">
        <v>0</v>
      </c>
      <c r="H1032" s="199" t="s">
        <v>298</v>
      </c>
      <c r="I1032" s="198">
        <f>G1032*D1032</f>
        <v>0</v>
      </c>
      <c r="J1032" s="199" t="s">
        <v>93</v>
      </c>
      <c r="K1032" s="188">
        <v>0</v>
      </c>
      <c r="L1032" s="209" t="s">
        <v>675</v>
      </c>
      <c r="M1032" s="198">
        <f>ROUND(K1032*I1032/10000,6)</f>
        <v>0</v>
      </c>
      <c r="N1032" s="198">
        <f>'02 项目基础信息（输入）'!$C$48</f>
        <v>0</v>
      </c>
      <c r="O1032" s="198">
        <f t="shared" si="120"/>
        <v>0</v>
      </c>
      <c r="P1032" s="198">
        <f>'02 项目基础信息（输入）'!$I$48</f>
        <v>0</v>
      </c>
      <c r="Q1032" s="233">
        <f t="shared" si="121"/>
        <v>0</v>
      </c>
      <c r="S1032" s="217"/>
      <c r="U1032" s="220" t="s">
        <v>2821</v>
      </c>
    </row>
    <row r="1033" spans="1:21" ht="0" hidden="1" customHeight="1" outlineLevel="3">
      <c r="A1033" s="192" t="s">
        <v>1624</v>
      </c>
      <c r="B1033" s="192"/>
      <c r="C1033" s="197"/>
      <c r="D1033" s="198">
        <f>'02 项目基础信息（输入）'!$C$48</f>
        <v>0</v>
      </c>
      <c r="E1033" s="199"/>
      <c r="F1033" s="197"/>
      <c r="G1033" s="199"/>
      <c r="H1033" s="199"/>
      <c r="I1033" s="197">
        <v>0</v>
      </c>
      <c r="J1033" s="199"/>
      <c r="K1033" s="198"/>
      <c r="L1033" s="209"/>
      <c r="M1033" s="198">
        <f>ROUND(SUM(M1034:M1037),6)</f>
        <v>0</v>
      </c>
      <c r="N1033" s="198">
        <f>'02 项目基础信息（输入）'!$C$48</f>
        <v>0</v>
      </c>
      <c r="O1033" s="198">
        <f t="shared" si="120"/>
        <v>0</v>
      </c>
      <c r="P1033" s="198">
        <f>'02 项目基础信息（输入）'!$I$48</f>
        <v>0</v>
      </c>
      <c r="Q1033" s="233">
        <f t="shared" si="121"/>
        <v>0</v>
      </c>
      <c r="S1033" s="217"/>
      <c r="U1033" s="220" t="s">
        <v>2822</v>
      </c>
    </row>
    <row r="1034" spans="1:21" ht="0" hidden="1" customHeight="1" outlineLevel="4">
      <c r="A1034" s="192" t="s">
        <v>1626</v>
      </c>
      <c r="B1034" s="192"/>
      <c r="C1034" s="197" t="s">
        <v>1609</v>
      </c>
      <c r="D1034" s="198">
        <f>'02 项目基础信息（输入）'!$C$48</f>
        <v>0</v>
      </c>
      <c r="E1034" s="199" t="s">
        <v>93</v>
      </c>
      <c r="F1034" s="197" t="s">
        <v>1627</v>
      </c>
      <c r="G1034" s="82">
        <v>0</v>
      </c>
      <c r="H1034" s="199" t="s">
        <v>976</v>
      </c>
      <c r="I1034" s="198">
        <f>G1034*D1034</f>
        <v>0</v>
      </c>
      <c r="J1034" s="199" t="s">
        <v>1511</v>
      </c>
      <c r="K1034" s="188">
        <v>0</v>
      </c>
      <c r="L1034" s="209" t="s">
        <v>671</v>
      </c>
      <c r="M1034" s="198">
        <f>ROUND(K1034*I1034/10000,6)</f>
        <v>0</v>
      </c>
      <c r="N1034" s="198">
        <f>'02 项目基础信息（输入）'!$C$48</f>
        <v>0</v>
      </c>
      <c r="O1034" s="198">
        <f t="shared" si="120"/>
        <v>0</v>
      </c>
      <c r="P1034" s="198">
        <f>'02 项目基础信息（输入）'!$I$48</f>
        <v>0</v>
      </c>
      <c r="Q1034" s="233">
        <f t="shared" si="121"/>
        <v>0</v>
      </c>
      <c r="S1034" s="217"/>
      <c r="U1034" s="220" t="s">
        <v>2823</v>
      </c>
    </row>
    <row r="1035" spans="1:21" ht="0" hidden="1" customHeight="1" outlineLevel="4">
      <c r="A1035" s="192" t="s">
        <v>1629</v>
      </c>
      <c r="B1035" s="192"/>
      <c r="C1035" s="197" t="s">
        <v>1609</v>
      </c>
      <c r="D1035" s="198">
        <f>'02 项目基础信息（输入）'!$C$48</f>
        <v>0</v>
      </c>
      <c r="E1035" s="199" t="s">
        <v>93</v>
      </c>
      <c r="F1035" s="197" t="s">
        <v>1627</v>
      </c>
      <c r="G1035" s="82">
        <v>0</v>
      </c>
      <c r="H1035" s="199" t="s">
        <v>976</v>
      </c>
      <c r="I1035" s="198">
        <f>G1035*D1035</f>
        <v>0</v>
      </c>
      <c r="J1035" s="199" t="s">
        <v>1511</v>
      </c>
      <c r="K1035" s="188">
        <v>0</v>
      </c>
      <c r="L1035" s="209" t="s">
        <v>671</v>
      </c>
      <c r="M1035" s="198">
        <f>ROUND(K1035*I1035/10000,6)</f>
        <v>0</v>
      </c>
      <c r="N1035" s="198">
        <f>'02 项目基础信息（输入）'!$C$48</f>
        <v>0</v>
      </c>
      <c r="O1035" s="198">
        <f t="shared" si="120"/>
        <v>0</v>
      </c>
      <c r="P1035" s="198">
        <f>'02 项目基础信息（输入）'!$I$48</f>
        <v>0</v>
      </c>
      <c r="Q1035" s="233">
        <f t="shared" si="121"/>
        <v>0</v>
      </c>
      <c r="S1035" s="217"/>
      <c r="U1035" s="220" t="s">
        <v>2824</v>
      </c>
    </row>
    <row r="1036" spans="1:21" ht="0" hidden="1" customHeight="1" outlineLevel="4">
      <c r="A1036" s="192" t="s">
        <v>1631</v>
      </c>
      <c r="B1036" s="192"/>
      <c r="C1036" s="197" t="s">
        <v>1609</v>
      </c>
      <c r="D1036" s="198">
        <f>'02 项目基础信息（输入）'!$C$48</f>
        <v>0</v>
      </c>
      <c r="E1036" s="199" t="s">
        <v>93</v>
      </c>
      <c r="F1036" s="197" t="s">
        <v>1632</v>
      </c>
      <c r="G1036" s="82">
        <v>0</v>
      </c>
      <c r="H1036" s="199" t="s">
        <v>976</v>
      </c>
      <c r="I1036" s="198">
        <f>G1036*D1036</f>
        <v>0</v>
      </c>
      <c r="J1036" s="199" t="s">
        <v>93</v>
      </c>
      <c r="K1036" s="188">
        <v>0</v>
      </c>
      <c r="L1036" s="209" t="s">
        <v>675</v>
      </c>
      <c r="M1036" s="198">
        <f>ROUND(K1036*I1036/10000,6)</f>
        <v>0</v>
      </c>
      <c r="N1036" s="198">
        <f>'02 项目基础信息（输入）'!$C$48</f>
        <v>0</v>
      </c>
      <c r="O1036" s="198">
        <f t="shared" si="120"/>
        <v>0</v>
      </c>
      <c r="P1036" s="198">
        <f>'02 项目基础信息（输入）'!$I$48</f>
        <v>0</v>
      </c>
      <c r="Q1036" s="233">
        <f t="shared" si="121"/>
        <v>0</v>
      </c>
      <c r="S1036" s="217"/>
      <c r="U1036" s="220" t="s">
        <v>2825</v>
      </c>
    </row>
    <row r="1037" spans="1:21" ht="0" hidden="1" customHeight="1" outlineLevel="4">
      <c r="A1037" s="192" t="s">
        <v>1634</v>
      </c>
      <c r="B1037" s="192"/>
      <c r="C1037" s="197" t="s">
        <v>1609</v>
      </c>
      <c r="D1037" s="198">
        <f>'02 项目基础信息（输入）'!$C$48</f>
        <v>0</v>
      </c>
      <c r="E1037" s="199" t="s">
        <v>93</v>
      </c>
      <c r="F1037" s="197" t="s">
        <v>1632</v>
      </c>
      <c r="G1037" s="82">
        <v>0</v>
      </c>
      <c r="H1037" s="199" t="s">
        <v>976</v>
      </c>
      <c r="I1037" s="198">
        <f>G1037*D1037</f>
        <v>0</v>
      </c>
      <c r="J1037" s="199" t="s">
        <v>93</v>
      </c>
      <c r="K1037" s="188">
        <v>0</v>
      </c>
      <c r="L1037" s="209" t="s">
        <v>675</v>
      </c>
      <c r="M1037" s="198">
        <f>ROUND(K1037*I1037/10000,6)</f>
        <v>0</v>
      </c>
      <c r="N1037" s="198">
        <f>'02 项目基础信息（输入）'!$C$48</f>
        <v>0</v>
      </c>
      <c r="O1037" s="198">
        <f t="shared" si="120"/>
        <v>0</v>
      </c>
      <c r="P1037" s="198">
        <f>'02 项目基础信息（输入）'!$I$48</f>
        <v>0</v>
      </c>
      <c r="Q1037" s="233">
        <f t="shared" si="121"/>
        <v>0</v>
      </c>
      <c r="S1037" s="217"/>
      <c r="U1037" s="220" t="s">
        <v>2826</v>
      </c>
    </row>
    <row r="1038" spans="1:21" ht="0" hidden="1" customHeight="1" outlineLevel="3">
      <c r="A1038" s="192" t="s">
        <v>1636</v>
      </c>
      <c r="B1038" s="192"/>
      <c r="C1038" s="197" t="s">
        <v>1609</v>
      </c>
      <c r="D1038" s="198">
        <f>'02 项目基础信息（输入）'!$C$48</f>
        <v>0</v>
      </c>
      <c r="E1038" s="199" t="s">
        <v>93</v>
      </c>
      <c r="F1038" s="197" t="s">
        <v>1637</v>
      </c>
      <c r="G1038" s="82">
        <v>0</v>
      </c>
      <c r="H1038" s="199" t="s">
        <v>976</v>
      </c>
      <c r="I1038" s="198">
        <f>G1038*D1038</f>
        <v>0</v>
      </c>
      <c r="J1038" s="199" t="s">
        <v>1511</v>
      </c>
      <c r="K1038" s="188">
        <v>0</v>
      </c>
      <c r="L1038" s="209" t="s">
        <v>671</v>
      </c>
      <c r="M1038" s="198">
        <f>ROUND(K1038*I1038/10000,6)</f>
        <v>0</v>
      </c>
      <c r="N1038" s="198">
        <f>'02 项目基础信息（输入）'!$C$48</f>
        <v>0</v>
      </c>
      <c r="O1038" s="198">
        <f t="shared" si="120"/>
        <v>0</v>
      </c>
      <c r="P1038" s="198">
        <f>'02 项目基础信息（输入）'!$I$48</f>
        <v>0</v>
      </c>
      <c r="Q1038" s="233">
        <f t="shared" si="121"/>
        <v>0</v>
      </c>
      <c r="S1038" s="217"/>
      <c r="U1038" s="220" t="s">
        <v>2827</v>
      </c>
    </row>
    <row r="1039" spans="1:21" ht="0" hidden="1" customHeight="1" outlineLevel="3">
      <c r="A1039" s="192" t="s">
        <v>1640</v>
      </c>
      <c r="B1039" s="192"/>
      <c r="C1039" s="197"/>
      <c r="D1039" s="198">
        <f>'02 项目基础信息（输入）'!$C$48</f>
        <v>0</v>
      </c>
      <c r="E1039" s="199"/>
      <c r="F1039" s="197"/>
      <c r="G1039" s="199"/>
      <c r="H1039" s="199"/>
      <c r="I1039" s="197">
        <v>0</v>
      </c>
      <c r="J1039" s="199"/>
      <c r="K1039" s="197"/>
      <c r="L1039" s="209"/>
      <c r="M1039" s="198">
        <f>ROUND(SUM(M1040:M1044),6)</f>
        <v>0</v>
      </c>
      <c r="N1039" s="198">
        <f>'02 项目基础信息（输入）'!$C$48</f>
        <v>0</v>
      </c>
      <c r="O1039" s="198">
        <f t="shared" si="120"/>
        <v>0</v>
      </c>
      <c r="P1039" s="198">
        <f>'02 项目基础信息（输入）'!$I$48</f>
        <v>0</v>
      </c>
      <c r="Q1039" s="233">
        <f t="shared" si="121"/>
        <v>0</v>
      </c>
      <c r="S1039" s="217"/>
      <c r="U1039" s="220" t="s">
        <v>2828</v>
      </c>
    </row>
    <row r="1040" spans="1:21" ht="0" hidden="1" customHeight="1" outlineLevel="4">
      <c r="A1040" s="192" t="s">
        <v>1642</v>
      </c>
      <c r="B1040" s="192"/>
      <c r="C1040" s="197" t="s">
        <v>1609</v>
      </c>
      <c r="D1040" s="198">
        <f>'02 项目基础信息（输入）'!$C$48</f>
        <v>0</v>
      </c>
      <c r="E1040" s="199" t="s">
        <v>93</v>
      </c>
      <c r="F1040" s="197" t="s">
        <v>1609</v>
      </c>
      <c r="G1040" s="199">
        <v>1</v>
      </c>
      <c r="H1040" s="199" t="s">
        <v>298</v>
      </c>
      <c r="I1040" s="198">
        <f t="shared" ref="I1040:I1045" si="122">G1040*D1040</f>
        <v>0</v>
      </c>
      <c r="J1040" s="199" t="s">
        <v>93</v>
      </c>
      <c r="K1040" s="188">
        <v>0</v>
      </c>
      <c r="L1040" s="209" t="s">
        <v>675</v>
      </c>
      <c r="M1040" s="198">
        <f t="shared" ref="M1040:M1045" si="123">ROUND(K1040*I1040/10000,6)</f>
        <v>0</v>
      </c>
      <c r="N1040" s="198">
        <f>'02 项目基础信息（输入）'!$C$48</f>
        <v>0</v>
      </c>
      <c r="O1040" s="198">
        <f t="shared" si="120"/>
        <v>0</v>
      </c>
      <c r="P1040" s="198">
        <f>'02 项目基础信息（输入）'!$I$48</f>
        <v>0</v>
      </c>
      <c r="Q1040" s="233">
        <f t="shared" si="121"/>
        <v>0</v>
      </c>
      <c r="S1040" s="217"/>
      <c r="U1040" s="220" t="s">
        <v>2829</v>
      </c>
    </row>
    <row r="1041" spans="1:21" ht="0" hidden="1" customHeight="1" outlineLevel="4">
      <c r="A1041" s="192" t="s">
        <v>1645</v>
      </c>
      <c r="B1041" s="192"/>
      <c r="C1041" s="197" t="s">
        <v>1609</v>
      </c>
      <c r="D1041" s="198">
        <f>'02 项目基础信息（输入）'!$C$48</f>
        <v>0</v>
      </c>
      <c r="E1041" s="199" t="s">
        <v>93</v>
      </c>
      <c r="F1041" s="197" t="s">
        <v>1609</v>
      </c>
      <c r="G1041" s="199">
        <v>1</v>
      </c>
      <c r="H1041" s="199" t="s">
        <v>298</v>
      </c>
      <c r="I1041" s="198">
        <f t="shared" si="122"/>
        <v>0</v>
      </c>
      <c r="J1041" s="199" t="s">
        <v>93</v>
      </c>
      <c r="K1041" s="188">
        <v>0</v>
      </c>
      <c r="L1041" s="209" t="s">
        <v>675</v>
      </c>
      <c r="M1041" s="198">
        <f t="shared" si="123"/>
        <v>0</v>
      </c>
      <c r="N1041" s="198">
        <f>'02 项目基础信息（输入）'!$C$48</f>
        <v>0</v>
      </c>
      <c r="O1041" s="198">
        <f t="shared" si="120"/>
        <v>0</v>
      </c>
      <c r="P1041" s="198">
        <f>'02 项目基础信息（输入）'!$I$48</f>
        <v>0</v>
      </c>
      <c r="Q1041" s="233">
        <f t="shared" si="121"/>
        <v>0</v>
      </c>
      <c r="S1041" s="217"/>
      <c r="U1041" s="220" t="s">
        <v>2830</v>
      </c>
    </row>
    <row r="1042" spans="1:21" ht="0" hidden="1" customHeight="1" outlineLevel="4">
      <c r="A1042" s="192" t="s">
        <v>1647</v>
      </c>
      <c r="B1042" s="192"/>
      <c r="C1042" s="197" t="s">
        <v>1609</v>
      </c>
      <c r="D1042" s="198">
        <f>'02 项目基础信息（输入）'!$C$48</f>
        <v>0</v>
      </c>
      <c r="E1042" s="199" t="s">
        <v>93</v>
      </c>
      <c r="F1042" s="197" t="s">
        <v>1648</v>
      </c>
      <c r="G1042" s="82">
        <v>0</v>
      </c>
      <c r="H1042" s="199" t="s">
        <v>298</v>
      </c>
      <c r="I1042" s="198">
        <f t="shared" si="122"/>
        <v>0</v>
      </c>
      <c r="J1042" s="199" t="s">
        <v>93</v>
      </c>
      <c r="K1042" s="188">
        <v>0</v>
      </c>
      <c r="L1042" s="209" t="s">
        <v>675</v>
      </c>
      <c r="M1042" s="198">
        <f t="shared" si="123"/>
        <v>0</v>
      </c>
      <c r="N1042" s="198">
        <f>'02 项目基础信息（输入）'!$C$48</f>
        <v>0</v>
      </c>
      <c r="O1042" s="198">
        <f t="shared" si="120"/>
        <v>0</v>
      </c>
      <c r="P1042" s="198">
        <f>'02 项目基础信息（输入）'!$I$48</f>
        <v>0</v>
      </c>
      <c r="Q1042" s="233">
        <f t="shared" si="121"/>
        <v>0</v>
      </c>
      <c r="S1042" s="217"/>
      <c r="U1042" s="220" t="s">
        <v>2831</v>
      </c>
    </row>
    <row r="1043" spans="1:21" ht="0" hidden="1" customHeight="1" outlineLevel="4">
      <c r="A1043" s="192" t="s">
        <v>1993</v>
      </c>
      <c r="B1043" s="192"/>
      <c r="C1043" s="197" t="s">
        <v>1609</v>
      </c>
      <c r="D1043" s="198">
        <f>'02 项目基础信息（输入）'!$C$48</f>
        <v>0</v>
      </c>
      <c r="E1043" s="199" t="s">
        <v>93</v>
      </c>
      <c r="F1043" s="197" t="s">
        <v>1648</v>
      </c>
      <c r="G1043" s="82">
        <v>0</v>
      </c>
      <c r="H1043" s="199" t="s">
        <v>298</v>
      </c>
      <c r="I1043" s="198">
        <f t="shared" si="122"/>
        <v>0</v>
      </c>
      <c r="J1043" s="199" t="s">
        <v>93</v>
      </c>
      <c r="K1043" s="188">
        <v>0</v>
      </c>
      <c r="L1043" s="209" t="s">
        <v>675</v>
      </c>
      <c r="M1043" s="198">
        <f t="shared" si="123"/>
        <v>0</v>
      </c>
      <c r="N1043" s="198">
        <f>'02 项目基础信息（输入）'!$C$48</f>
        <v>0</v>
      </c>
      <c r="O1043" s="198">
        <f t="shared" si="120"/>
        <v>0</v>
      </c>
      <c r="P1043" s="198">
        <f>'02 项目基础信息（输入）'!$I$48</f>
        <v>0</v>
      </c>
      <c r="Q1043" s="233">
        <f t="shared" si="121"/>
        <v>0</v>
      </c>
      <c r="S1043" s="217"/>
      <c r="U1043" s="220" t="s">
        <v>2832</v>
      </c>
    </row>
    <row r="1044" spans="1:21" ht="0" hidden="1" customHeight="1" outlineLevel="4">
      <c r="A1044" s="192" t="s">
        <v>1650</v>
      </c>
      <c r="B1044" s="192"/>
      <c r="C1044" s="197" t="s">
        <v>1609</v>
      </c>
      <c r="D1044" s="198">
        <f>'02 项目基础信息（输入）'!$C$48</f>
        <v>0</v>
      </c>
      <c r="E1044" s="199" t="s">
        <v>93</v>
      </c>
      <c r="F1044" s="197" t="s">
        <v>1648</v>
      </c>
      <c r="G1044" s="82">
        <v>0</v>
      </c>
      <c r="H1044" s="199" t="s">
        <v>298</v>
      </c>
      <c r="I1044" s="198">
        <f t="shared" si="122"/>
        <v>0</v>
      </c>
      <c r="J1044" s="199" t="s">
        <v>93</v>
      </c>
      <c r="K1044" s="188">
        <v>0</v>
      </c>
      <c r="L1044" s="209" t="s">
        <v>675</v>
      </c>
      <c r="M1044" s="198">
        <f t="shared" si="123"/>
        <v>0</v>
      </c>
      <c r="N1044" s="198">
        <f>'02 项目基础信息（输入）'!$C$48</f>
        <v>0</v>
      </c>
      <c r="O1044" s="198">
        <f t="shared" si="120"/>
        <v>0</v>
      </c>
      <c r="P1044" s="198">
        <f>'02 项目基础信息（输入）'!$I$48</f>
        <v>0</v>
      </c>
      <c r="Q1044" s="233">
        <f t="shared" si="121"/>
        <v>0</v>
      </c>
      <c r="S1044" s="217"/>
      <c r="U1044" s="220" t="s">
        <v>2833</v>
      </c>
    </row>
    <row r="1045" spans="1:21" ht="0" hidden="1" customHeight="1" outlineLevel="3">
      <c r="A1045" s="192" t="s">
        <v>1652</v>
      </c>
      <c r="B1045" s="192"/>
      <c r="C1045" s="197" t="s">
        <v>1609</v>
      </c>
      <c r="D1045" s="198">
        <f>'02 项目基础信息（输入）'!$C$48</f>
        <v>0</v>
      </c>
      <c r="E1045" s="199" t="s">
        <v>93</v>
      </c>
      <c r="F1045" s="197" t="s">
        <v>1648</v>
      </c>
      <c r="G1045" s="82">
        <v>0</v>
      </c>
      <c r="H1045" s="199" t="s">
        <v>298</v>
      </c>
      <c r="I1045" s="198">
        <f t="shared" si="122"/>
        <v>0</v>
      </c>
      <c r="J1045" s="199" t="s">
        <v>93</v>
      </c>
      <c r="K1045" s="188">
        <v>0</v>
      </c>
      <c r="L1045" s="209" t="s">
        <v>675</v>
      </c>
      <c r="M1045" s="198">
        <f t="shared" si="123"/>
        <v>0</v>
      </c>
      <c r="N1045" s="198">
        <f>'02 项目基础信息（输入）'!$C$48</f>
        <v>0</v>
      </c>
      <c r="O1045" s="198">
        <f t="shared" si="120"/>
        <v>0</v>
      </c>
      <c r="P1045" s="198">
        <f>'02 项目基础信息（输入）'!$I$48</f>
        <v>0</v>
      </c>
      <c r="Q1045" s="233">
        <f t="shared" si="121"/>
        <v>0</v>
      </c>
      <c r="S1045" s="217"/>
      <c r="U1045" s="220" t="s">
        <v>2834</v>
      </c>
    </row>
    <row r="1046" spans="1:21" ht="0" hidden="1" customHeight="1" outlineLevel="3">
      <c r="A1046" s="192" t="s">
        <v>1654</v>
      </c>
      <c r="B1046" s="192"/>
      <c r="C1046" s="197"/>
      <c r="D1046" s="198">
        <f>'02 项目基础信息（输入）'!$C$48</f>
        <v>0</v>
      </c>
      <c r="E1046" s="199"/>
      <c r="F1046" s="197"/>
      <c r="G1046" s="199"/>
      <c r="H1046" s="199"/>
      <c r="I1046" s="197">
        <v>0</v>
      </c>
      <c r="J1046" s="199"/>
      <c r="K1046" s="197"/>
      <c r="L1046" s="209"/>
      <c r="M1046" s="198">
        <f>ROUND(SUM(M1047:M1048),6)</f>
        <v>0</v>
      </c>
      <c r="N1046" s="198">
        <f>'02 项目基础信息（输入）'!$C$48</f>
        <v>0</v>
      </c>
      <c r="O1046" s="198">
        <f t="shared" si="120"/>
        <v>0</v>
      </c>
      <c r="P1046" s="198">
        <f>'02 项目基础信息（输入）'!$I$48</f>
        <v>0</v>
      </c>
      <c r="Q1046" s="233">
        <f t="shared" si="121"/>
        <v>0</v>
      </c>
      <c r="S1046" s="217"/>
      <c r="U1046" s="220" t="s">
        <v>2835</v>
      </c>
    </row>
    <row r="1047" spans="1:21" ht="0" hidden="1" customHeight="1" outlineLevel="4">
      <c r="A1047" s="192" t="s">
        <v>1656</v>
      </c>
      <c r="B1047" s="192"/>
      <c r="C1047" s="197" t="s">
        <v>1609</v>
      </c>
      <c r="D1047" s="198">
        <f>'02 项目基础信息（输入）'!$C$48</f>
        <v>0</v>
      </c>
      <c r="E1047" s="199" t="s">
        <v>93</v>
      </c>
      <c r="F1047" s="197" t="s">
        <v>1657</v>
      </c>
      <c r="G1047" s="82">
        <v>0</v>
      </c>
      <c r="H1047" s="199" t="s">
        <v>1998</v>
      </c>
      <c r="I1047" s="198">
        <f>G1047*D1047</f>
        <v>0</v>
      </c>
      <c r="J1047" s="199" t="s">
        <v>93</v>
      </c>
      <c r="K1047" s="188">
        <v>0</v>
      </c>
      <c r="L1047" s="209" t="s">
        <v>675</v>
      </c>
      <c r="M1047" s="198">
        <f>ROUND(K1047*I1047/10000,6)</f>
        <v>0</v>
      </c>
      <c r="N1047" s="198">
        <f>'02 项目基础信息（输入）'!$C$48</f>
        <v>0</v>
      </c>
      <c r="O1047" s="198">
        <f t="shared" si="120"/>
        <v>0</v>
      </c>
      <c r="P1047" s="198">
        <f>'02 项目基础信息（输入）'!$I$48</f>
        <v>0</v>
      </c>
      <c r="Q1047" s="233">
        <f t="shared" si="121"/>
        <v>0</v>
      </c>
      <c r="S1047" s="217"/>
      <c r="U1047" s="220" t="s">
        <v>2836</v>
      </c>
    </row>
    <row r="1048" spans="1:21" ht="0" hidden="1" customHeight="1" outlineLevel="4">
      <c r="A1048" s="192" t="s">
        <v>1661</v>
      </c>
      <c r="B1048" s="192"/>
      <c r="C1048" s="197" t="s">
        <v>1609</v>
      </c>
      <c r="D1048" s="198">
        <f>'02 项目基础信息（输入）'!$C$48</f>
        <v>0</v>
      </c>
      <c r="E1048" s="199" t="s">
        <v>93</v>
      </c>
      <c r="F1048" s="197" t="s">
        <v>1609</v>
      </c>
      <c r="G1048" s="199">
        <v>1</v>
      </c>
      <c r="H1048" s="199" t="s">
        <v>298</v>
      </c>
      <c r="I1048" s="198">
        <f>G1048*D1048</f>
        <v>0</v>
      </c>
      <c r="J1048" s="199" t="s">
        <v>93</v>
      </c>
      <c r="K1048" s="188">
        <v>0</v>
      </c>
      <c r="L1048" s="209" t="s">
        <v>675</v>
      </c>
      <c r="M1048" s="198">
        <f>ROUND(K1048*I1048/10000,6)</f>
        <v>0</v>
      </c>
      <c r="N1048" s="198">
        <f>'02 项目基础信息（输入）'!$C$48</f>
        <v>0</v>
      </c>
      <c r="O1048" s="198">
        <f t="shared" si="120"/>
        <v>0</v>
      </c>
      <c r="P1048" s="198">
        <f>'02 项目基础信息（输入）'!$I$48</f>
        <v>0</v>
      </c>
      <c r="Q1048" s="233">
        <f t="shared" si="121"/>
        <v>0</v>
      </c>
      <c r="S1048" s="217"/>
      <c r="U1048" s="220" t="s">
        <v>2837</v>
      </c>
    </row>
    <row r="1049" spans="1:21" ht="0" hidden="1" customHeight="1" outlineLevel="3">
      <c r="A1049" s="192" t="s">
        <v>1664</v>
      </c>
      <c r="B1049" s="192"/>
      <c r="C1049" s="197" t="s">
        <v>1665</v>
      </c>
      <c r="D1049" s="198">
        <f>SUM(M1029+M1032+M1033+M1038+M1039+M1045+M1046)*10000</f>
        <v>0</v>
      </c>
      <c r="E1049" s="199" t="s">
        <v>1666</v>
      </c>
      <c r="F1049" s="197" t="s">
        <v>1667</v>
      </c>
      <c r="G1049" s="226">
        <f>IFERROR(I1049/D1049*100,0)</f>
        <v>0</v>
      </c>
      <c r="H1049" s="195" t="s">
        <v>123</v>
      </c>
      <c r="I1049" s="194">
        <f>K1049*N1049</f>
        <v>0</v>
      </c>
      <c r="J1049" s="195" t="s">
        <v>1666</v>
      </c>
      <c r="K1049" s="188">
        <v>0</v>
      </c>
      <c r="L1049" s="230" t="s">
        <v>1669</v>
      </c>
      <c r="M1049" s="231">
        <f>ROUND(I1049/10000,6)</f>
        <v>0</v>
      </c>
      <c r="N1049" s="198">
        <f>'02 项目基础信息（输入）'!$C$48</f>
        <v>0</v>
      </c>
      <c r="O1049" s="198">
        <f t="shared" si="120"/>
        <v>0</v>
      </c>
      <c r="P1049" s="198">
        <f>'02 项目基础信息（输入）'!$I$48</f>
        <v>0</v>
      </c>
      <c r="Q1049" s="233">
        <f t="shared" si="121"/>
        <v>0</v>
      </c>
      <c r="S1049" s="217"/>
      <c r="U1049" s="220" t="s">
        <v>2838</v>
      </c>
    </row>
    <row r="1050" spans="1:21" ht="0" hidden="1" customHeight="1" outlineLevel="2">
      <c r="A1050" s="192" t="s">
        <v>1671</v>
      </c>
      <c r="B1050" s="192"/>
      <c r="C1050" s="197" t="s">
        <v>1609</v>
      </c>
      <c r="D1050" s="198">
        <f>'02 项目基础信息（输入）'!$C$48</f>
        <v>0</v>
      </c>
      <c r="E1050" s="199" t="s">
        <v>93</v>
      </c>
      <c r="F1050" s="197"/>
      <c r="G1050" s="199"/>
      <c r="H1050" s="199"/>
      <c r="I1050" s="197"/>
      <c r="J1050" s="199"/>
      <c r="K1050" s="197"/>
      <c r="L1050" s="209"/>
      <c r="M1050" s="198">
        <f>ROUND(SUM(M1051:M1052),6)</f>
        <v>0</v>
      </c>
      <c r="N1050" s="198">
        <f>'02 项目基础信息（输入）'!$C$48</f>
        <v>0</v>
      </c>
      <c r="O1050" s="198">
        <f t="shared" si="120"/>
        <v>0</v>
      </c>
      <c r="P1050" s="198">
        <f>'02 项目基础信息（输入）'!$I$48</f>
        <v>0</v>
      </c>
      <c r="Q1050" s="233">
        <f t="shared" si="121"/>
        <v>0</v>
      </c>
      <c r="S1050" s="217" t="s">
        <v>1313</v>
      </c>
      <c r="U1050" s="220" t="s">
        <v>2839</v>
      </c>
    </row>
    <row r="1051" spans="1:21" ht="0" hidden="1" customHeight="1" outlineLevel="3">
      <c r="A1051" s="192" t="s">
        <v>1673</v>
      </c>
      <c r="B1051" s="192"/>
      <c r="C1051" s="197" t="s">
        <v>1609</v>
      </c>
      <c r="D1051" s="198">
        <f>'02 项目基础信息（输入）'!$C$48</f>
        <v>0</v>
      </c>
      <c r="E1051" s="199" t="s">
        <v>93</v>
      </c>
      <c r="F1051" s="197" t="s">
        <v>705</v>
      </c>
      <c r="G1051" s="199">
        <v>0</v>
      </c>
      <c r="H1051" s="199" t="s">
        <v>298</v>
      </c>
      <c r="I1051" s="198">
        <f>G1051*D1051</f>
        <v>0</v>
      </c>
      <c r="J1051" s="199" t="s">
        <v>93</v>
      </c>
      <c r="K1051" s="207">
        <v>0</v>
      </c>
      <c r="L1051" s="209" t="s">
        <v>675</v>
      </c>
      <c r="M1051" s="207">
        <f>ROUND(K1051*I1051/10000,6)</f>
        <v>0</v>
      </c>
      <c r="N1051" s="198">
        <f>'02 项目基础信息（输入）'!$C$48</f>
        <v>0</v>
      </c>
      <c r="O1051" s="198">
        <f t="shared" si="120"/>
        <v>0</v>
      </c>
      <c r="P1051" s="198">
        <f>'02 项目基础信息（输入）'!$I$48</f>
        <v>0</v>
      </c>
      <c r="Q1051" s="233">
        <f t="shared" si="121"/>
        <v>0</v>
      </c>
      <c r="S1051" s="217"/>
      <c r="U1051" s="220" t="s">
        <v>2840</v>
      </c>
    </row>
    <row r="1052" spans="1:21" ht="0" hidden="1" customHeight="1" outlineLevel="3">
      <c r="A1052" s="192" t="s">
        <v>1676</v>
      </c>
      <c r="B1052" s="192"/>
      <c r="C1052" s="197" t="s">
        <v>1609</v>
      </c>
      <c r="D1052" s="198">
        <f>'02 项目基础信息（输入）'!$C$48</f>
        <v>0</v>
      </c>
      <c r="E1052" s="199" t="s">
        <v>93</v>
      </c>
      <c r="F1052" s="197" t="s">
        <v>705</v>
      </c>
      <c r="G1052" s="199">
        <v>0</v>
      </c>
      <c r="H1052" s="199" t="s">
        <v>298</v>
      </c>
      <c r="I1052" s="198">
        <f>G1052*D1052</f>
        <v>0</v>
      </c>
      <c r="J1052" s="199" t="s">
        <v>93</v>
      </c>
      <c r="K1052" s="207">
        <v>0</v>
      </c>
      <c r="L1052" s="209" t="s">
        <v>675</v>
      </c>
      <c r="M1052" s="207">
        <f>ROUND(K1052*I1052/10000,6)</f>
        <v>0</v>
      </c>
      <c r="N1052" s="198">
        <f>'02 项目基础信息（输入）'!$C$48</f>
        <v>0</v>
      </c>
      <c r="O1052" s="198">
        <f t="shared" si="120"/>
        <v>0</v>
      </c>
      <c r="P1052" s="198">
        <f>'02 项目基础信息（输入）'!$I$48</f>
        <v>0</v>
      </c>
      <c r="Q1052" s="233">
        <f t="shared" si="121"/>
        <v>0</v>
      </c>
      <c r="S1052" s="217"/>
      <c r="U1052" s="220" t="s">
        <v>2841</v>
      </c>
    </row>
    <row r="1053" spans="1:21" ht="0" hidden="1" customHeight="1" outlineLevel="2">
      <c r="A1053" s="192" t="s">
        <v>1679</v>
      </c>
      <c r="B1053" s="192"/>
      <c r="C1053" s="197" t="s">
        <v>1609</v>
      </c>
      <c r="D1053" s="198">
        <f>'02 项目基础信息（输入）'!$C$48</f>
        <v>0</v>
      </c>
      <c r="E1053" s="199" t="s">
        <v>93</v>
      </c>
      <c r="F1053" s="197"/>
      <c r="G1053" s="199"/>
      <c r="H1053" s="199"/>
      <c r="I1053" s="197"/>
      <c r="J1053" s="199"/>
      <c r="K1053" s="197"/>
      <c r="L1053" s="209"/>
      <c r="M1053" s="198">
        <f>ROUND(SUM(M1054:M1065),6)</f>
        <v>0</v>
      </c>
      <c r="N1053" s="198">
        <f>'02 项目基础信息（输入）'!$C$48</f>
        <v>0</v>
      </c>
      <c r="O1053" s="198">
        <f t="shared" si="120"/>
        <v>0</v>
      </c>
      <c r="P1053" s="198">
        <f>'02 项目基础信息（输入）'!$I$48</f>
        <v>0</v>
      </c>
      <c r="Q1053" s="233">
        <f t="shared" si="121"/>
        <v>0</v>
      </c>
      <c r="S1053" s="217" t="s">
        <v>1313</v>
      </c>
      <c r="U1053" s="220" t="s">
        <v>2842</v>
      </c>
    </row>
    <row r="1054" spans="1:21" ht="0" hidden="1" customHeight="1" outlineLevel="3">
      <c r="A1054" s="192" t="s">
        <v>1681</v>
      </c>
      <c r="B1054" s="192"/>
      <c r="C1054" s="197" t="s">
        <v>1609</v>
      </c>
      <c r="D1054" s="198">
        <f>'02 项目基础信息（输入）'!$C$48</f>
        <v>0</v>
      </c>
      <c r="E1054" s="199" t="s">
        <v>93</v>
      </c>
      <c r="F1054" s="197" t="s">
        <v>1682</v>
      </c>
      <c r="G1054" s="82">
        <v>0</v>
      </c>
      <c r="H1054" s="199" t="s">
        <v>298</v>
      </c>
      <c r="I1054" s="198">
        <f t="shared" ref="I1054:I1065" si="124">G1054*D1054</f>
        <v>0</v>
      </c>
      <c r="J1054" s="199" t="s">
        <v>93</v>
      </c>
      <c r="K1054" s="188">
        <v>0</v>
      </c>
      <c r="L1054" s="209" t="s">
        <v>675</v>
      </c>
      <c r="M1054" s="207">
        <f t="shared" ref="M1054:M1065" si="125">ROUND(K1054*I1054/10000,6)</f>
        <v>0</v>
      </c>
      <c r="N1054" s="198">
        <f>'02 项目基础信息（输入）'!$C$48</f>
        <v>0</v>
      </c>
      <c r="O1054" s="198">
        <f t="shared" si="120"/>
        <v>0</v>
      </c>
      <c r="P1054" s="198">
        <f>'02 项目基础信息（输入）'!$I$48</f>
        <v>0</v>
      </c>
      <c r="Q1054" s="233">
        <f t="shared" si="121"/>
        <v>0</v>
      </c>
      <c r="S1054" s="217"/>
      <c r="U1054" s="220" t="s">
        <v>2843</v>
      </c>
    </row>
    <row r="1055" spans="1:21" ht="0" hidden="1" customHeight="1" outlineLevel="3">
      <c r="A1055" s="192" t="s">
        <v>1684</v>
      </c>
      <c r="B1055" s="192"/>
      <c r="C1055" s="197" t="s">
        <v>1609</v>
      </c>
      <c r="D1055" s="198">
        <f>'02 项目基础信息（输入）'!$C$48</f>
        <v>0</v>
      </c>
      <c r="E1055" s="199" t="s">
        <v>93</v>
      </c>
      <c r="F1055" s="197" t="s">
        <v>1682</v>
      </c>
      <c r="G1055" s="82">
        <v>0</v>
      </c>
      <c r="H1055" s="199" t="s">
        <v>298</v>
      </c>
      <c r="I1055" s="198">
        <f t="shared" si="124"/>
        <v>0</v>
      </c>
      <c r="J1055" s="199" t="s">
        <v>93</v>
      </c>
      <c r="K1055" s="188">
        <v>0</v>
      </c>
      <c r="L1055" s="209" t="s">
        <v>675</v>
      </c>
      <c r="M1055" s="207">
        <f t="shared" si="125"/>
        <v>0</v>
      </c>
      <c r="N1055" s="198">
        <f>'02 项目基础信息（输入）'!$C$48</f>
        <v>0</v>
      </c>
      <c r="O1055" s="198">
        <f t="shared" si="120"/>
        <v>0</v>
      </c>
      <c r="P1055" s="198">
        <f>'02 项目基础信息（输入）'!$I$48</f>
        <v>0</v>
      </c>
      <c r="Q1055" s="233">
        <f t="shared" si="121"/>
        <v>0</v>
      </c>
      <c r="S1055" s="217"/>
      <c r="U1055" s="220" t="s">
        <v>2844</v>
      </c>
    </row>
    <row r="1056" spans="1:21" ht="0" hidden="1" customHeight="1" outlineLevel="3">
      <c r="A1056" s="192" t="s">
        <v>2008</v>
      </c>
      <c r="B1056" s="192"/>
      <c r="C1056" s="197" t="s">
        <v>1609</v>
      </c>
      <c r="D1056" s="198">
        <f>'02 项目基础信息（输入）'!$C$48</f>
        <v>0</v>
      </c>
      <c r="E1056" s="199" t="s">
        <v>93</v>
      </c>
      <c r="F1056" s="197" t="s">
        <v>1682</v>
      </c>
      <c r="G1056" s="82">
        <v>0</v>
      </c>
      <c r="H1056" s="199" t="s">
        <v>298</v>
      </c>
      <c r="I1056" s="198">
        <f t="shared" si="124"/>
        <v>0</v>
      </c>
      <c r="J1056" s="199" t="s">
        <v>93</v>
      </c>
      <c r="K1056" s="188">
        <v>0</v>
      </c>
      <c r="L1056" s="209" t="s">
        <v>675</v>
      </c>
      <c r="M1056" s="207">
        <f t="shared" si="125"/>
        <v>0</v>
      </c>
      <c r="N1056" s="198">
        <f>'02 项目基础信息（输入）'!$C$48</f>
        <v>0</v>
      </c>
      <c r="O1056" s="198">
        <f t="shared" si="120"/>
        <v>0</v>
      </c>
      <c r="P1056" s="198">
        <f>'02 项目基础信息（输入）'!$I$48</f>
        <v>0</v>
      </c>
      <c r="Q1056" s="233">
        <f t="shared" si="121"/>
        <v>0</v>
      </c>
      <c r="S1056" s="217"/>
      <c r="U1056" s="220" t="s">
        <v>2845</v>
      </c>
    </row>
    <row r="1057" spans="1:21" ht="0" hidden="1" customHeight="1" outlineLevel="3">
      <c r="A1057" s="192" t="s">
        <v>2010</v>
      </c>
      <c r="B1057" s="192"/>
      <c r="C1057" s="197" t="s">
        <v>1609</v>
      </c>
      <c r="D1057" s="198">
        <f>'02 项目基础信息（输入）'!$C$48</f>
        <v>0</v>
      </c>
      <c r="E1057" s="199" t="s">
        <v>93</v>
      </c>
      <c r="F1057" s="197" t="s">
        <v>1682</v>
      </c>
      <c r="G1057" s="82">
        <v>0</v>
      </c>
      <c r="H1057" s="199" t="s">
        <v>298</v>
      </c>
      <c r="I1057" s="198">
        <f t="shared" si="124"/>
        <v>0</v>
      </c>
      <c r="J1057" s="199" t="s">
        <v>93</v>
      </c>
      <c r="K1057" s="188">
        <v>0</v>
      </c>
      <c r="L1057" s="209" t="s">
        <v>675</v>
      </c>
      <c r="M1057" s="207">
        <f t="shared" si="125"/>
        <v>0</v>
      </c>
      <c r="N1057" s="198">
        <f>'02 项目基础信息（输入）'!$C$48</f>
        <v>0</v>
      </c>
      <c r="O1057" s="198">
        <f t="shared" si="120"/>
        <v>0</v>
      </c>
      <c r="P1057" s="198">
        <f>'02 项目基础信息（输入）'!$I$48</f>
        <v>0</v>
      </c>
      <c r="Q1057" s="233">
        <f t="shared" si="121"/>
        <v>0</v>
      </c>
      <c r="S1057" s="217"/>
      <c r="U1057" s="220" t="s">
        <v>2846</v>
      </c>
    </row>
    <row r="1058" spans="1:21" ht="0" hidden="1" customHeight="1" outlineLevel="3">
      <c r="A1058" s="192" t="s">
        <v>2012</v>
      </c>
      <c r="B1058" s="192"/>
      <c r="C1058" s="197" t="s">
        <v>474</v>
      </c>
      <c r="D1058" s="198">
        <f>'02 项目基础信息（输入）'!$AD$48</f>
        <v>0</v>
      </c>
      <c r="E1058" s="199" t="s">
        <v>400</v>
      </c>
      <c r="F1058" s="197" t="s">
        <v>1682</v>
      </c>
      <c r="G1058" s="82">
        <v>0</v>
      </c>
      <c r="H1058" s="199" t="s">
        <v>411</v>
      </c>
      <c r="I1058" s="198">
        <f t="shared" si="124"/>
        <v>0</v>
      </c>
      <c r="J1058" s="199" t="s">
        <v>93</v>
      </c>
      <c r="K1058" s="188">
        <v>0</v>
      </c>
      <c r="L1058" s="209" t="s">
        <v>675</v>
      </c>
      <c r="M1058" s="207">
        <f t="shared" si="125"/>
        <v>0</v>
      </c>
      <c r="N1058" s="198">
        <f>'02 项目基础信息（输入）'!$C$48</f>
        <v>0</v>
      </c>
      <c r="O1058" s="198">
        <f t="shared" si="120"/>
        <v>0</v>
      </c>
      <c r="P1058" s="198">
        <f>'02 项目基础信息（输入）'!$I$48</f>
        <v>0</v>
      </c>
      <c r="Q1058" s="233">
        <f t="shared" si="121"/>
        <v>0</v>
      </c>
      <c r="S1058" s="217"/>
      <c r="U1058" s="220" t="s">
        <v>2847</v>
      </c>
    </row>
    <row r="1059" spans="1:21" ht="0" hidden="1" customHeight="1" outlineLevel="3">
      <c r="A1059" s="192" t="s">
        <v>2014</v>
      </c>
      <c r="B1059" s="192"/>
      <c r="C1059" s="197" t="s">
        <v>474</v>
      </c>
      <c r="D1059" s="198">
        <f>'02 项目基础信息（输入）'!$AD$48</f>
        <v>0</v>
      </c>
      <c r="E1059" s="199" t="s">
        <v>400</v>
      </c>
      <c r="F1059" s="197" t="s">
        <v>1682</v>
      </c>
      <c r="G1059" s="82">
        <v>0</v>
      </c>
      <c r="H1059" s="199" t="s">
        <v>411</v>
      </c>
      <c r="I1059" s="198">
        <f t="shared" si="124"/>
        <v>0</v>
      </c>
      <c r="J1059" s="199" t="s">
        <v>93</v>
      </c>
      <c r="K1059" s="188">
        <v>0</v>
      </c>
      <c r="L1059" s="209" t="s">
        <v>675</v>
      </c>
      <c r="M1059" s="207">
        <f t="shared" si="125"/>
        <v>0</v>
      </c>
      <c r="N1059" s="198">
        <f>'02 项目基础信息（输入）'!$C$48</f>
        <v>0</v>
      </c>
      <c r="O1059" s="198">
        <f t="shared" si="120"/>
        <v>0</v>
      </c>
      <c r="P1059" s="198">
        <f>'02 项目基础信息（输入）'!$I$48</f>
        <v>0</v>
      </c>
      <c r="Q1059" s="233">
        <f t="shared" si="121"/>
        <v>0</v>
      </c>
      <c r="S1059" s="217"/>
      <c r="U1059" s="220" t="s">
        <v>2848</v>
      </c>
    </row>
    <row r="1060" spans="1:21" ht="0" hidden="1" customHeight="1" outlineLevel="3">
      <c r="A1060" s="192" t="s">
        <v>2016</v>
      </c>
      <c r="B1060" s="192"/>
      <c r="C1060" s="197" t="s">
        <v>1609</v>
      </c>
      <c r="D1060" s="198">
        <f>'02 项目基础信息（输入）'!$C$48</f>
        <v>0</v>
      </c>
      <c r="E1060" s="199" t="s">
        <v>93</v>
      </c>
      <c r="F1060" s="197" t="s">
        <v>1682</v>
      </c>
      <c r="G1060" s="82">
        <v>0</v>
      </c>
      <c r="H1060" s="199" t="s">
        <v>411</v>
      </c>
      <c r="I1060" s="198">
        <f t="shared" si="124"/>
        <v>0</v>
      </c>
      <c r="J1060" s="199" t="s">
        <v>93</v>
      </c>
      <c r="K1060" s="188">
        <v>0</v>
      </c>
      <c r="L1060" s="209" t="s">
        <v>675</v>
      </c>
      <c r="M1060" s="207">
        <f t="shared" si="125"/>
        <v>0</v>
      </c>
      <c r="N1060" s="198">
        <f>'02 项目基础信息（输入）'!$C$48</f>
        <v>0</v>
      </c>
      <c r="O1060" s="198">
        <f t="shared" si="120"/>
        <v>0</v>
      </c>
      <c r="P1060" s="198">
        <f>'02 项目基础信息（输入）'!$I$48</f>
        <v>0</v>
      </c>
      <c r="Q1060" s="233">
        <f t="shared" si="121"/>
        <v>0</v>
      </c>
      <c r="S1060" s="217"/>
      <c r="U1060" s="220" t="s">
        <v>2849</v>
      </c>
    </row>
    <row r="1061" spans="1:21" ht="0" hidden="1" customHeight="1" outlineLevel="3">
      <c r="A1061" s="192" t="s">
        <v>2018</v>
      </c>
      <c r="B1061" s="192"/>
      <c r="C1061" s="197" t="s">
        <v>1609</v>
      </c>
      <c r="D1061" s="198">
        <f>'02 项目基础信息（输入）'!$C$48</f>
        <v>0</v>
      </c>
      <c r="E1061" s="199" t="s">
        <v>93</v>
      </c>
      <c r="F1061" s="197" t="s">
        <v>1682</v>
      </c>
      <c r="G1061" s="82">
        <v>0</v>
      </c>
      <c r="H1061" s="199" t="s">
        <v>298</v>
      </c>
      <c r="I1061" s="198">
        <f t="shared" si="124"/>
        <v>0</v>
      </c>
      <c r="J1061" s="199" t="s">
        <v>93</v>
      </c>
      <c r="K1061" s="188">
        <v>0</v>
      </c>
      <c r="L1061" s="209" t="s">
        <v>675</v>
      </c>
      <c r="M1061" s="207">
        <f t="shared" si="125"/>
        <v>0</v>
      </c>
      <c r="N1061" s="198">
        <f>'02 项目基础信息（输入）'!$C$48</f>
        <v>0</v>
      </c>
      <c r="O1061" s="198">
        <f t="shared" si="120"/>
        <v>0</v>
      </c>
      <c r="P1061" s="198">
        <f>'02 项目基础信息（输入）'!$I$48</f>
        <v>0</v>
      </c>
      <c r="Q1061" s="233">
        <f t="shared" si="121"/>
        <v>0</v>
      </c>
      <c r="S1061" s="217"/>
      <c r="U1061" s="220" t="s">
        <v>2850</v>
      </c>
    </row>
    <row r="1062" spans="1:21" ht="0" hidden="1" customHeight="1" outlineLevel="3">
      <c r="A1062" s="192" t="s">
        <v>2020</v>
      </c>
      <c r="B1062" s="192"/>
      <c r="C1062" s="197" t="s">
        <v>1609</v>
      </c>
      <c r="D1062" s="198">
        <f>'02 项目基础信息（输入）'!$C$48</f>
        <v>0</v>
      </c>
      <c r="E1062" s="199" t="s">
        <v>93</v>
      </c>
      <c r="F1062" s="197" t="s">
        <v>1682</v>
      </c>
      <c r="G1062" s="82">
        <v>0</v>
      </c>
      <c r="H1062" s="199" t="s">
        <v>298</v>
      </c>
      <c r="I1062" s="198">
        <f t="shared" si="124"/>
        <v>0</v>
      </c>
      <c r="J1062" s="199" t="s">
        <v>93</v>
      </c>
      <c r="K1062" s="188">
        <v>0</v>
      </c>
      <c r="L1062" s="209" t="s">
        <v>675</v>
      </c>
      <c r="M1062" s="207">
        <f t="shared" si="125"/>
        <v>0</v>
      </c>
      <c r="N1062" s="198">
        <f>'02 项目基础信息（输入）'!$C$48</f>
        <v>0</v>
      </c>
      <c r="O1062" s="198">
        <f t="shared" si="120"/>
        <v>0</v>
      </c>
      <c r="P1062" s="198">
        <f>'02 项目基础信息（输入）'!$I$48</f>
        <v>0</v>
      </c>
      <c r="Q1062" s="233">
        <f t="shared" si="121"/>
        <v>0</v>
      </c>
      <c r="S1062" s="217"/>
      <c r="U1062" s="220" t="s">
        <v>2851</v>
      </c>
    </row>
    <row r="1063" spans="1:21" ht="0" hidden="1" customHeight="1" outlineLevel="3">
      <c r="A1063" s="192" t="s">
        <v>2022</v>
      </c>
      <c r="B1063" s="192"/>
      <c r="C1063" s="197" t="s">
        <v>1609</v>
      </c>
      <c r="D1063" s="198">
        <f>'02 项目基础信息（输入）'!$C$48</f>
        <v>0</v>
      </c>
      <c r="E1063" s="199" t="s">
        <v>93</v>
      </c>
      <c r="F1063" s="197" t="s">
        <v>1682</v>
      </c>
      <c r="G1063" s="82">
        <v>0</v>
      </c>
      <c r="H1063" s="199" t="s">
        <v>298</v>
      </c>
      <c r="I1063" s="198">
        <f t="shared" si="124"/>
        <v>0</v>
      </c>
      <c r="J1063" s="199" t="s">
        <v>93</v>
      </c>
      <c r="K1063" s="188">
        <v>0</v>
      </c>
      <c r="L1063" s="209" t="s">
        <v>675</v>
      </c>
      <c r="M1063" s="207">
        <f t="shared" si="125"/>
        <v>0</v>
      </c>
      <c r="N1063" s="198">
        <f>'02 项目基础信息（输入）'!$C$48</f>
        <v>0</v>
      </c>
      <c r="O1063" s="198">
        <f t="shared" si="120"/>
        <v>0</v>
      </c>
      <c r="P1063" s="198">
        <f>'02 项目基础信息（输入）'!$I$48</f>
        <v>0</v>
      </c>
      <c r="Q1063" s="233">
        <f t="shared" si="121"/>
        <v>0</v>
      </c>
      <c r="S1063" s="217"/>
      <c r="U1063" s="220" t="s">
        <v>2852</v>
      </c>
    </row>
    <row r="1064" spans="1:21" ht="0" hidden="1" customHeight="1" outlineLevel="3">
      <c r="A1064" s="192" t="s">
        <v>1694</v>
      </c>
      <c r="B1064" s="192"/>
      <c r="C1064" s="197" t="s">
        <v>1609</v>
      </c>
      <c r="D1064" s="198">
        <f>'02 项目基础信息（输入）'!$C$48</f>
        <v>0</v>
      </c>
      <c r="E1064" s="199" t="s">
        <v>93</v>
      </c>
      <c r="F1064" s="197" t="s">
        <v>1682</v>
      </c>
      <c r="G1064" s="82">
        <v>0</v>
      </c>
      <c r="H1064" s="199" t="s">
        <v>298</v>
      </c>
      <c r="I1064" s="198">
        <f t="shared" si="124"/>
        <v>0</v>
      </c>
      <c r="J1064" s="199" t="s">
        <v>93</v>
      </c>
      <c r="K1064" s="188">
        <v>0</v>
      </c>
      <c r="L1064" s="209" t="s">
        <v>675</v>
      </c>
      <c r="M1064" s="207">
        <f t="shared" si="125"/>
        <v>0</v>
      </c>
      <c r="N1064" s="198">
        <f>'02 项目基础信息（输入）'!$C$48</f>
        <v>0</v>
      </c>
      <c r="O1064" s="198">
        <f t="shared" si="120"/>
        <v>0</v>
      </c>
      <c r="P1064" s="198">
        <f>'02 项目基础信息（输入）'!$I$48</f>
        <v>0</v>
      </c>
      <c r="Q1064" s="233">
        <f t="shared" si="121"/>
        <v>0</v>
      </c>
      <c r="S1064" s="217"/>
      <c r="U1064" s="220" t="s">
        <v>2853</v>
      </c>
    </row>
    <row r="1065" spans="1:21" ht="0" hidden="1" customHeight="1" outlineLevel="3">
      <c r="A1065" s="192" t="s">
        <v>1696</v>
      </c>
      <c r="B1065" s="192"/>
      <c r="C1065" s="197" t="s">
        <v>1609</v>
      </c>
      <c r="D1065" s="198">
        <f>'02 项目基础信息（输入）'!$C$48</f>
        <v>0</v>
      </c>
      <c r="E1065" s="199" t="s">
        <v>93</v>
      </c>
      <c r="F1065" s="197" t="s">
        <v>1682</v>
      </c>
      <c r="G1065" s="82">
        <v>0</v>
      </c>
      <c r="H1065" s="199" t="s">
        <v>298</v>
      </c>
      <c r="I1065" s="198">
        <f t="shared" si="124"/>
        <v>0</v>
      </c>
      <c r="J1065" s="199" t="s">
        <v>93</v>
      </c>
      <c r="K1065" s="188">
        <v>0</v>
      </c>
      <c r="L1065" s="209" t="s">
        <v>675</v>
      </c>
      <c r="M1065" s="207">
        <f t="shared" si="125"/>
        <v>0</v>
      </c>
      <c r="N1065" s="198">
        <f>'02 项目基础信息（输入）'!$C$48</f>
        <v>0</v>
      </c>
      <c r="O1065" s="198">
        <f t="shared" si="120"/>
        <v>0</v>
      </c>
      <c r="P1065" s="198">
        <f>'02 项目基础信息（输入）'!$I$48</f>
        <v>0</v>
      </c>
      <c r="Q1065" s="233">
        <f t="shared" si="121"/>
        <v>0</v>
      </c>
      <c r="S1065" s="217"/>
      <c r="U1065" s="220" t="s">
        <v>2854</v>
      </c>
    </row>
    <row r="1066" spans="1:21" ht="0" hidden="1" customHeight="1" outlineLevel="2">
      <c r="A1066" s="192" t="s">
        <v>1698</v>
      </c>
      <c r="B1066" s="192"/>
      <c r="C1066" s="197" t="s">
        <v>1609</v>
      </c>
      <c r="D1066" s="198">
        <f>'02 项目基础信息（输入）'!$C$48</f>
        <v>0</v>
      </c>
      <c r="E1066" s="199" t="s">
        <v>93</v>
      </c>
      <c r="F1066" s="197"/>
      <c r="G1066" s="199"/>
      <c r="H1066" s="199"/>
      <c r="I1066" s="197"/>
      <c r="J1066" s="199"/>
      <c r="K1066" s="198"/>
      <c r="L1066" s="209"/>
      <c r="M1066" s="198">
        <f>ROUND(SUM(M1067:M1068),6)</f>
        <v>0</v>
      </c>
      <c r="N1066" s="198">
        <f>'02 项目基础信息（输入）'!$C$48</f>
        <v>0</v>
      </c>
      <c r="O1066" s="198">
        <f t="shared" si="120"/>
        <v>0</v>
      </c>
      <c r="P1066" s="198">
        <f>'02 项目基础信息（输入）'!$I$48</f>
        <v>0</v>
      </c>
      <c r="Q1066" s="233">
        <f t="shared" si="121"/>
        <v>0</v>
      </c>
      <c r="S1066" s="217" t="s">
        <v>1313</v>
      </c>
      <c r="U1066" s="220" t="s">
        <v>2855</v>
      </c>
    </row>
    <row r="1067" spans="1:21" ht="0" hidden="1" customHeight="1" outlineLevel="3">
      <c r="A1067" s="192" t="s">
        <v>1700</v>
      </c>
      <c r="B1067" s="192"/>
      <c r="C1067" s="197" t="s">
        <v>1609</v>
      </c>
      <c r="D1067" s="198">
        <f>'02 项目基础信息（输入）'!$C$48</f>
        <v>0</v>
      </c>
      <c r="E1067" s="199" t="s">
        <v>93</v>
      </c>
      <c r="F1067" s="197" t="s">
        <v>1701</v>
      </c>
      <c r="G1067" s="82">
        <v>0</v>
      </c>
      <c r="H1067" s="199" t="s">
        <v>298</v>
      </c>
      <c r="I1067" s="198">
        <f>G1067*D1067</f>
        <v>0</v>
      </c>
      <c r="J1067" s="199" t="s">
        <v>93</v>
      </c>
      <c r="K1067" s="188">
        <v>0</v>
      </c>
      <c r="L1067" s="209" t="s">
        <v>675</v>
      </c>
      <c r="M1067" s="207">
        <f>ROUND(K1067*I1067/10000,6)</f>
        <v>0</v>
      </c>
      <c r="N1067" s="198">
        <f>'02 项目基础信息（输入）'!$C$48</f>
        <v>0</v>
      </c>
      <c r="O1067" s="198">
        <f t="shared" si="120"/>
        <v>0</v>
      </c>
      <c r="P1067" s="198">
        <f>'02 项目基础信息（输入）'!$I$48</f>
        <v>0</v>
      </c>
      <c r="Q1067" s="233">
        <f t="shared" si="121"/>
        <v>0</v>
      </c>
      <c r="S1067" s="217"/>
      <c r="U1067" s="220" t="s">
        <v>2856</v>
      </c>
    </row>
    <row r="1068" spans="1:21" ht="0" hidden="1" customHeight="1" outlineLevel="3">
      <c r="A1068" s="192" t="s">
        <v>1703</v>
      </c>
      <c r="B1068" s="192"/>
      <c r="C1068" s="197" t="s">
        <v>1609</v>
      </c>
      <c r="D1068" s="198">
        <f>'02 项目基础信息（输入）'!$C$48</f>
        <v>0</v>
      </c>
      <c r="E1068" s="199" t="s">
        <v>93</v>
      </c>
      <c r="F1068" s="197" t="s">
        <v>1704</v>
      </c>
      <c r="G1068" s="82">
        <v>0</v>
      </c>
      <c r="H1068" s="199" t="s">
        <v>298</v>
      </c>
      <c r="I1068" s="198">
        <f>G1068*D1068</f>
        <v>0</v>
      </c>
      <c r="J1068" s="199" t="s">
        <v>93</v>
      </c>
      <c r="K1068" s="188">
        <v>0</v>
      </c>
      <c r="L1068" s="209" t="s">
        <v>675</v>
      </c>
      <c r="M1068" s="207">
        <f>ROUND(K1068*I1068/10000,6)</f>
        <v>0</v>
      </c>
      <c r="N1068" s="198">
        <f>'02 项目基础信息（输入）'!$C$48</f>
        <v>0</v>
      </c>
      <c r="O1068" s="198">
        <f t="shared" si="120"/>
        <v>0</v>
      </c>
      <c r="P1068" s="198">
        <f>'02 项目基础信息（输入）'!$I$48</f>
        <v>0</v>
      </c>
      <c r="Q1068" s="233">
        <f t="shared" si="121"/>
        <v>0</v>
      </c>
      <c r="S1068" s="217"/>
      <c r="U1068" s="220" t="s">
        <v>2857</v>
      </c>
    </row>
    <row r="1069" spans="1:21" ht="0" hidden="1" customHeight="1" outlineLevel="2">
      <c r="A1069" s="192" t="s">
        <v>1706</v>
      </c>
      <c r="B1069" s="192"/>
      <c r="C1069" s="197" t="s">
        <v>1609</v>
      </c>
      <c r="D1069" s="198">
        <f>'02 项目基础信息（输入）'!$C$48</f>
        <v>0</v>
      </c>
      <c r="E1069" s="199" t="s">
        <v>93</v>
      </c>
      <c r="F1069" s="197"/>
      <c r="G1069" s="199"/>
      <c r="H1069" s="199"/>
      <c r="I1069" s="197"/>
      <c r="J1069" s="199"/>
      <c r="K1069" s="198"/>
      <c r="L1069" s="209"/>
      <c r="M1069" s="198">
        <f>ROUND(SUM(M1070:M1071),6)</f>
        <v>0</v>
      </c>
      <c r="N1069" s="198">
        <f>'02 项目基础信息（输入）'!$C$48</f>
        <v>0</v>
      </c>
      <c r="O1069" s="198">
        <f t="shared" si="120"/>
        <v>0</v>
      </c>
      <c r="P1069" s="198">
        <f>'02 项目基础信息（输入）'!$I$48</f>
        <v>0</v>
      </c>
      <c r="Q1069" s="233">
        <f t="shared" si="121"/>
        <v>0</v>
      </c>
      <c r="S1069" s="217" t="s">
        <v>1313</v>
      </c>
      <c r="U1069" s="220" t="s">
        <v>2858</v>
      </c>
    </row>
    <row r="1070" spans="1:21" ht="0" hidden="1" customHeight="1" outlineLevel="3">
      <c r="A1070" s="192" t="s">
        <v>1708</v>
      </c>
      <c r="B1070" s="192"/>
      <c r="C1070" s="197" t="s">
        <v>1609</v>
      </c>
      <c r="D1070" s="198">
        <f>'02 项目基础信息（输入）'!$C$48</f>
        <v>0</v>
      </c>
      <c r="E1070" s="199" t="s">
        <v>93</v>
      </c>
      <c r="F1070" s="197" t="s">
        <v>1648</v>
      </c>
      <c r="G1070" s="82">
        <v>0</v>
      </c>
      <c r="H1070" s="199" t="s">
        <v>298</v>
      </c>
      <c r="I1070" s="198">
        <f>G1070*D1070</f>
        <v>0</v>
      </c>
      <c r="J1070" s="199" t="s">
        <v>93</v>
      </c>
      <c r="K1070" s="188">
        <v>0</v>
      </c>
      <c r="L1070" s="209" t="s">
        <v>675</v>
      </c>
      <c r="M1070" s="207">
        <f>ROUND(K1070*I1070/10000,6)</f>
        <v>0</v>
      </c>
      <c r="N1070" s="198">
        <f>'02 项目基础信息（输入）'!$C$48</f>
        <v>0</v>
      </c>
      <c r="O1070" s="198">
        <f t="shared" si="120"/>
        <v>0</v>
      </c>
      <c r="P1070" s="198">
        <f>'02 项目基础信息（输入）'!$I$48</f>
        <v>0</v>
      </c>
      <c r="Q1070" s="233">
        <f t="shared" si="121"/>
        <v>0</v>
      </c>
      <c r="S1070" s="217"/>
      <c r="U1070" s="220" t="s">
        <v>2859</v>
      </c>
    </row>
    <row r="1071" spans="1:21" ht="0" hidden="1" customHeight="1" outlineLevel="3">
      <c r="A1071" s="192" t="s">
        <v>1710</v>
      </c>
      <c r="B1071" s="192"/>
      <c r="C1071" s="197" t="s">
        <v>1609</v>
      </c>
      <c r="D1071" s="198">
        <f>'02 项目基础信息（输入）'!$C$48</f>
        <v>0</v>
      </c>
      <c r="E1071" s="199" t="s">
        <v>93</v>
      </c>
      <c r="F1071" s="197" t="s">
        <v>1648</v>
      </c>
      <c r="G1071" s="82">
        <v>0</v>
      </c>
      <c r="H1071" s="199" t="s">
        <v>298</v>
      </c>
      <c r="I1071" s="198">
        <f>G1071*D1071</f>
        <v>0</v>
      </c>
      <c r="J1071" s="199" t="s">
        <v>93</v>
      </c>
      <c r="K1071" s="188">
        <v>0</v>
      </c>
      <c r="L1071" s="209" t="s">
        <v>675</v>
      </c>
      <c r="M1071" s="207">
        <f>ROUND(K1071*I1071/10000,6)</f>
        <v>0</v>
      </c>
      <c r="N1071" s="198">
        <f>'02 项目基础信息（输入）'!$C$48</f>
        <v>0</v>
      </c>
      <c r="O1071" s="198">
        <f t="shared" si="120"/>
        <v>0</v>
      </c>
      <c r="P1071" s="198">
        <f>'02 项目基础信息（输入）'!$I$48</f>
        <v>0</v>
      </c>
      <c r="Q1071" s="233">
        <f t="shared" si="121"/>
        <v>0</v>
      </c>
      <c r="S1071" s="217"/>
      <c r="U1071" s="220" t="s">
        <v>2860</v>
      </c>
    </row>
    <row r="1072" spans="1:21" ht="0" hidden="1" customHeight="1" outlineLevel="2">
      <c r="A1072" s="192" t="s">
        <v>1712</v>
      </c>
      <c r="B1072" s="192"/>
      <c r="C1072" s="197" t="s">
        <v>1609</v>
      </c>
      <c r="D1072" s="198">
        <f>'02 项目基础信息（输入）'!$C$48</f>
        <v>0</v>
      </c>
      <c r="E1072" s="199" t="s">
        <v>93</v>
      </c>
      <c r="F1072" s="197"/>
      <c r="G1072" s="199"/>
      <c r="H1072" s="199"/>
      <c r="I1072" s="197"/>
      <c r="J1072" s="199"/>
      <c r="K1072" s="198"/>
      <c r="L1072" s="209"/>
      <c r="M1072" s="198">
        <f>ROUND(SUM(M1073:M1090),6)</f>
        <v>0</v>
      </c>
      <c r="N1072" s="198">
        <f>'02 项目基础信息（输入）'!$C$48</f>
        <v>0</v>
      </c>
      <c r="O1072" s="198">
        <f t="shared" si="120"/>
        <v>0</v>
      </c>
      <c r="P1072" s="198">
        <f>'02 项目基础信息（输入）'!$I$48</f>
        <v>0</v>
      </c>
      <c r="Q1072" s="233">
        <f t="shared" si="121"/>
        <v>0</v>
      </c>
      <c r="S1072" s="217" t="s">
        <v>1313</v>
      </c>
      <c r="U1072" s="220" t="s">
        <v>2861</v>
      </c>
    </row>
    <row r="1073" spans="1:21" ht="0" hidden="1" customHeight="1" outlineLevel="3">
      <c r="A1073" s="192" t="s">
        <v>1714</v>
      </c>
      <c r="B1073" s="192"/>
      <c r="C1073" s="197" t="s">
        <v>1609</v>
      </c>
      <c r="D1073" s="198">
        <f>'02 项目基础信息（输入）'!$C$48</f>
        <v>0</v>
      </c>
      <c r="E1073" s="199" t="s">
        <v>93</v>
      </c>
      <c r="F1073" s="197" t="s">
        <v>1609</v>
      </c>
      <c r="G1073" s="199">
        <v>1</v>
      </c>
      <c r="H1073" s="199" t="s">
        <v>298</v>
      </c>
      <c r="I1073" s="198">
        <f t="shared" ref="I1073:I1090" si="126">G1073*D1073</f>
        <v>0</v>
      </c>
      <c r="J1073" s="199" t="s">
        <v>93</v>
      </c>
      <c r="K1073" s="188">
        <v>0</v>
      </c>
      <c r="L1073" s="209" t="s">
        <v>675</v>
      </c>
      <c r="M1073" s="207">
        <f t="shared" ref="M1073:M1090" si="127">ROUND(K1073*I1073/10000,6)</f>
        <v>0</v>
      </c>
      <c r="N1073" s="198">
        <f>'02 项目基础信息（输入）'!$C$48</f>
        <v>0</v>
      </c>
      <c r="O1073" s="198">
        <f t="shared" si="120"/>
        <v>0</v>
      </c>
      <c r="P1073" s="198">
        <f>'02 项目基础信息（输入）'!$I$48</f>
        <v>0</v>
      </c>
      <c r="Q1073" s="233">
        <f t="shared" si="121"/>
        <v>0</v>
      </c>
      <c r="S1073" s="217"/>
      <c r="U1073" s="220" t="s">
        <v>2862</v>
      </c>
    </row>
    <row r="1074" spans="1:21" ht="0" hidden="1" customHeight="1" outlineLevel="3">
      <c r="A1074" s="192" t="s">
        <v>1717</v>
      </c>
      <c r="B1074" s="192"/>
      <c r="C1074" s="197" t="s">
        <v>1609</v>
      </c>
      <c r="D1074" s="198">
        <f>'02 项目基础信息（输入）'!$C$48</f>
        <v>0</v>
      </c>
      <c r="E1074" s="199" t="s">
        <v>93</v>
      </c>
      <c r="F1074" s="197" t="s">
        <v>1609</v>
      </c>
      <c r="G1074" s="199">
        <v>1</v>
      </c>
      <c r="H1074" s="199" t="s">
        <v>298</v>
      </c>
      <c r="I1074" s="198">
        <f t="shared" si="126"/>
        <v>0</v>
      </c>
      <c r="J1074" s="199" t="s">
        <v>93</v>
      </c>
      <c r="K1074" s="188">
        <v>0</v>
      </c>
      <c r="L1074" s="209" t="s">
        <v>675</v>
      </c>
      <c r="M1074" s="207">
        <f t="shared" si="127"/>
        <v>0</v>
      </c>
      <c r="N1074" s="198">
        <f>'02 项目基础信息（输入）'!$C$48</f>
        <v>0</v>
      </c>
      <c r="O1074" s="198">
        <f t="shared" si="120"/>
        <v>0</v>
      </c>
      <c r="P1074" s="198">
        <f>'02 项目基础信息（输入）'!$I$48</f>
        <v>0</v>
      </c>
      <c r="Q1074" s="233">
        <f t="shared" si="121"/>
        <v>0</v>
      </c>
      <c r="S1074" s="217"/>
      <c r="U1074" s="220" t="s">
        <v>2863</v>
      </c>
    </row>
    <row r="1075" spans="1:21" ht="0" hidden="1" customHeight="1" outlineLevel="3">
      <c r="A1075" s="192" t="s">
        <v>1719</v>
      </c>
      <c r="B1075" s="192"/>
      <c r="C1075" s="197" t="s">
        <v>1609</v>
      </c>
      <c r="D1075" s="198">
        <f>'02 项目基础信息（输入）'!$C$48</f>
        <v>0</v>
      </c>
      <c r="E1075" s="199" t="s">
        <v>93</v>
      </c>
      <c r="F1075" s="197" t="s">
        <v>1609</v>
      </c>
      <c r="G1075" s="199">
        <v>1</v>
      </c>
      <c r="H1075" s="199" t="s">
        <v>298</v>
      </c>
      <c r="I1075" s="198">
        <f t="shared" si="126"/>
        <v>0</v>
      </c>
      <c r="J1075" s="199" t="s">
        <v>93</v>
      </c>
      <c r="K1075" s="188">
        <v>0</v>
      </c>
      <c r="L1075" s="209" t="s">
        <v>675</v>
      </c>
      <c r="M1075" s="207">
        <f t="shared" si="127"/>
        <v>0</v>
      </c>
      <c r="N1075" s="198">
        <f>'02 项目基础信息（输入）'!$C$48</f>
        <v>0</v>
      </c>
      <c r="O1075" s="198">
        <f t="shared" si="120"/>
        <v>0</v>
      </c>
      <c r="P1075" s="198">
        <f>'02 项目基础信息（输入）'!$I$48</f>
        <v>0</v>
      </c>
      <c r="Q1075" s="233">
        <f t="shared" si="121"/>
        <v>0</v>
      </c>
      <c r="S1075" s="217"/>
      <c r="U1075" s="220" t="s">
        <v>2864</v>
      </c>
    </row>
    <row r="1076" spans="1:21" ht="0" hidden="1" customHeight="1" outlineLevel="3">
      <c r="A1076" s="192" t="s">
        <v>1721</v>
      </c>
      <c r="B1076" s="192"/>
      <c r="C1076" s="197" t="s">
        <v>1609</v>
      </c>
      <c r="D1076" s="198">
        <f>'02 项目基础信息（输入）'!$C$48</f>
        <v>0</v>
      </c>
      <c r="E1076" s="199" t="s">
        <v>93</v>
      </c>
      <c r="F1076" s="197" t="s">
        <v>1609</v>
      </c>
      <c r="G1076" s="199">
        <v>1</v>
      </c>
      <c r="H1076" s="199" t="s">
        <v>298</v>
      </c>
      <c r="I1076" s="198">
        <f t="shared" si="126"/>
        <v>0</v>
      </c>
      <c r="J1076" s="199" t="s">
        <v>93</v>
      </c>
      <c r="K1076" s="188">
        <v>0</v>
      </c>
      <c r="L1076" s="209" t="s">
        <v>675</v>
      </c>
      <c r="M1076" s="207">
        <f t="shared" si="127"/>
        <v>0</v>
      </c>
      <c r="N1076" s="198">
        <f>'02 项目基础信息（输入）'!$C$48</f>
        <v>0</v>
      </c>
      <c r="O1076" s="198">
        <f t="shared" si="120"/>
        <v>0</v>
      </c>
      <c r="P1076" s="198">
        <f>'02 项目基础信息（输入）'!$I$48</f>
        <v>0</v>
      </c>
      <c r="Q1076" s="233">
        <f t="shared" si="121"/>
        <v>0</v>
      </c>
      <c r="S1076" s="217"/>
      <c r="U1076" s="220" t="s">
        <v>2865</v>
      </c>
    </row>
    <row r="1077" spans="1:21" ht="0" hidden="1" customHeight="1" outlineLevel="3">
      <c r="A1077" s="192" t="s">
        <v>1723</v>
      </c>
      <c r="B1077" s="192"/>
      <c r="C1077" s="197" t="s">
        <v>1609</v>
      </c>
      <c r="D1077" s="198">
        <f>'02 项目基础信息（输入）'!$C$48</f>
        <v>0</v>
      </c>
      <c r="E1077" s="199" t="s">
        <v>93</v>
      </c>
      <c r="F1077" s="197" t="s">
        <v>1609</v>
      </c>
      <c r="G1077" s="199">
        <v>1</v>
      </c>
      <c r="H1077" s="199" t="s">
        <v>298</v>
      </c>
      <c r="I1077" s="198">
        <f t="shared" si="126"/>
        <v>0</v>
      </c>
      <c r="J1077" s="199" t="s">
        <v>93</v>
      </c>
      <c r="K1077" s="188">
        <v>0</v>
      </c>
      <c r="L1077" s="209" t="s">
        <v>675</v>
      </c>
      <c r="M1077" s="207">
        <f t="shared" si="127"/>
        <v>0</v>
      </c>
      <c r="N1077" s="198">
        <f>'02 项目基础信息（输入）'!$C$48</f>
        <v>0</v>
      </c>
      <c r="O1077" s="198">
        <f t="shared" si="120"/>
        <v>0</v>
      </c>
      <c r="P1077" s="198">
        <f>'02 项目基础信息（输入）'!$I$48</f>
        <v>0</v>
      </c>
      <c r="Q1077" s="233">
        <f t="shared" si="121"/>
        <v>0</v>
      </c>
      <c r="S1077" s="217"/>
      <c r="U1077" s="220" t="s">
        <v>2866</v>
      </c>
    </row>
    <row r="1078" spans="1:21" ht="0" hidden="1" customHeight="1" outlineLevel="3">
      <c r="A1078" s="192" t="s">
        <v>1725</v>
      </c>
      <c r="B1078" s="192"/>
      <c r="C1078" s="197" t="s">
        <v>1609</v>
      </c>
      <c r="D1078" s="198">
        <f>'02 项目基础信息（输入）'!$C$48</f>
        <v>0</v>
      </c>
      <c r="E1078" s="199" t="s">
        <v>93</v>
      </c>
      <c r="F1078" s="197" t="s">
        <v>1609</v>
      </c>
      <c r="G1078" s="199">
        <v>1</v>
      </c>
      <c r="H1078" s="199" t="s">
        <v>298</v>
      </c>
      <c r="I1078" s="198">
        <f t="shared" si="126"/>
        <v>0</v>
      </c>
      <c r="J1078" s="199" t="s">
        <v>93</v>
      </c>
      <c r="K1078" s="188">
        <v>0</v>
      </c>
      <c r="L1078" s="209" t="s">
        <v>675</v>
      </c>
      <c r="M1078" s="207">
        <f t="shared" si="127"/>
        <v>0</v>
      </c>
      <c r="N1078" s="198">
        <f>'02 项目基础信息（输入）'!$C$48</f>
        <v>0</v>
      </c>
      <c r="O1078" s="198">
        <f t="shared" si="120"/>
        <v>0</v>
      </c>
      <c r="P1078" s="198">
        <f>'02 项目基础信息（输入）'!$I$48</f>
        <v>0</v>
      </c>
      <c r="Q1078" s="233">
        <f t="shared" si="121"/>
        <v>0</v>
      </c>
      <c r="S1078" s="217"/>
      <c r="U1078" s="220" t="s">
        <v>2867</v>
      </c>
    </row>
    <row r="1079" spans="1:21" ht="0" hidden="1" customHeight="1" outlineLevel="3">
      <c r="A1079" s="192" t="s">
        <v>1727</v>
      </c>
      <c r="B1079" s="192"/>
      <c r="C1079" s="197" t="s">
        <v>1609</v>
      </c>
      <c r="D1079" s="198">
        <f>'02 项目基础信息（输入）'!$C$48</f>
        <v>0</v>
      </c>
      <c r="E1079" s="199" t="s">
        <v>93</v>
      </c>
      <c r="F1079" s="197" t="s">
        <v>1609</v>
      </c>
      <c r="G1079" s="199">
        <v>1</v>
      </c>
      <c r="H1079" s="199" t="s">
        <v>298</v>
      </c>
      <c r="I1079" s="198">
        <f t="shared" si="126"/>
        <v>0</v>
      </c>
      <c r="J1079" s="199" t="s">
        <v>93</v>
      </c>
      <c r="K1079" s="188">
        <v>0</v>
      </c>
      <c r="L1079" s="209" t="s">
        <v>675</v>
      </c>
      <c r="M1079" s="207">
        <f t="shared" si="127"/>
        <v>0</v>
      </c>
      <c r="N1079" s="198">
        <f>'02 项目基础信息（输入）'!$C$48</f>
        <v>0</v>
      </c>
      <c r="O1079" s="198">
        <f t="shared" si="120"/>
        <v>0</v>
      </c>
      <c r="P1079" s="198">
        <f>'02 项目基础信息（输入）'!$I$48</f>
        <v>0</v>
      </c>
      <c r="Q1079" s="233">
        <f t="shared" si="121"/>
        <v>0</v>
      </c>
      <c r="S1079" s="217"/>
      <c r="U1079" s="220" t="s">
        <v>2868</v>
      </c>
    </row>
    <row r="1080" spans="1:21" ht="0" hidden="1" customHeight="1" outlineLevel="3">
      <c r="A1080" s="192" t="s">
        <v>1729</v>
      </c>
      <c r="B1080" s="192"/>
      <c r="C1080" s="197" t="s">
        <v>1609</v>
      </c>
      <c r="D1080" s="198">
        <f>'02 项目基础信息（输入）'!$C$48</f>
        <v>0</v>
      </c>
      <c r="E1080" s="199" t="s">
        <v>93</v>
      </c>
      <c r="F1080" s="197" t="s">
        <v>1609</v>
      </c>
      <c r="G1080" s="199">
        <v>1</v>
      </c>
      <c r="H1080" s="199" t="s">
        <v>298</v>
      </c>
      <c r="I1080" s="198">
        <f t="shared" si="126"/>
        <v>0</v>
      </c>
      <c r="J1080" s="199" t="s">
        <v>93</v>
      </c>
      <c r="K1080" s="188">
        <v>0</v>
      </c>
      <c r="L1080" s="209" t="s">
        <v>675</v>
      </c>
      <c r="M1080" s="207">
        <f t="shared" si="127"/>
        <v>0</v>
      </c>
      <c r="N1080" s="198">
        <f>'02 项目基础信息（输入）'!$C$48</f>
        <v>0</v>
      </c>
      <c r="O1080" s="198">
        <f t="shared" si="120"/>
        <v>0</v>
      </c>
      <c r="P1080" s="198">
        <f>'02 项目基础信息（输入）'!$I$48</f>
        <v>0</v>
      </c>
      <c r="Q1080" s="233">
        <f t="shared" si="121"/>
        <v>0</v>
      </c>
      <c r="S1080" s="217"/>
      <c r="U1080" s="220" t="s">
        <v>2869</v>
      </c>
    </row>
    <row r="1081" spans="1:21" ht="0" hidden="1" customHeight="1" outlineLevel="3">
      <c r="A1081" s="192" t="s">
        <v>1731</v>
      </c>
      <c r="B1081" s="192"/>
      <c r="C1081" s="197" t="s">
        <v>1609</v>
      </c>
      <c r="D1081" s="198">
        <f>'02 项目基础信息（输入）'!$C$48</f>
        <v>0</v>
      </c>
      <c r="E1081" s="199" t="s">
        <v>93</v>
      </c>
      <c r="F1081" s="197" t="s">
        <v>1609</v>
      </c>
      <c r="G1081" s="199">
        <v>1</v>
      </c>
      <c r="H1081" s="199" t="s">
        <v>298</v>
      </c>
      <c r="I1081" s="198">
        <f t="shared" si="126"/>
        <v>0</v>
      </c>
      <c r="J1081" s="199" t="s">
        <v>93</v>
      </c>
      <c r="K1081" s="188">
        <v>0</v>
      </c>
      <c r="L1081" s="209" t="s">
        <v>675</v>
      </c>
      <c r="M1081" s="207">
        <f t="shared" si="127"/>
        <v>0</v>
      </c>
      <c r="N1081" s="198">
        <f>'02 项目基础信息（输入）'!$C$48</f>
        <v>0</v>
      </c>
      <c r="O1081" s="198">
        <f t="shared" si="120"/>
        <v>0</v>
      </c>
      <c r="P1081" s="198">
        <f>'02 项目基础信息（输入）'!$I$48</f>
        <v>0</v>
      </c>
      <c r="Q1081" s="233">
        <f t="shared" si="121"/>
        <v>0</v>
      </c>
      <c r="S1081" s="217"/>
      <c r="U1081" s="220" t="s">
        <v>2870</v>
      </c>
    </row>
    <row r="1082" spans="1:21" ht="0" hidden="1" customHeight="1" outlineLevel="3">
      <c r="A1082" s="192" t="s">
        <v>1733</v>
      </c>
      <c r="B1082" s="192"/>
      <c r="C1082" s="197" t="s">
        <v>1609</v>
      </c>
      <c r="D1082" s="198">
        <f>'02 项目基础信息（输入）'!$C$48</f>
        <v>0</v>
      </c>
      <c r="E1082" s="199" t="s">
        <v>93</v>
      </c>
      <c r="F1082" s="197" t="s">
        <v>1609</v>
      </c>
      <c r="G1082" s="199">
        <v>1</v>
      </c>
      <c r="H1082" s="199" t="s">
        <v>298</v>
      </c>
      <c r="I1082" s="198">
        <f t="shared" si="126"/>
        <v>0</v>
      </c>
      <c r="J1082" s="199" t="s">
        <v>93</v>
      </c>
      <c r="K1082" s="188">
        <v>0</v>
      </c>
      <c r="L1082" s="209" t="s">
        <v>675</v>
      </c>
      <c r="M1082" s="207">
        <f t="shared" si="127"/>
        <v>0</v>
      </c>
      <c r="N1082" s="198">
        <f>'02 项目基础信息（输入）'!$C$48</f>
        <v>0</v>
      </c>
      <c r="O1082" s="198">
        <f t="shared" si="120"/>
        <v>0</v>
      </c>
      <c r="P1082" s="198">
        <f>'02 项目基础信息（输入）'!$I$48</f>
        <v>0</v>
      </c>
      <c r="Q1082" s="233">
        <f t="shared" si="121"/>
        <v>0</v>
      </c>
      <c r="S1082" s="217"/>
      <c r="U1082" s="220" t="s">
        <v>2871</v>
      </c>
    </row>
    <row r="1083" spans="1:21" ht="0" hidden="1" customHeight="1" outlineLevel="3">
      <c r="A1083" s="192" t="s">
        <v>1735</v>
      </c>
      <c r="B1083" s="192"/>
      <c r="C1083" s="197" t="s">
        <v>1609</v>
      </c>
      <c r="D1083" s="198">
        <f>'02 项目基础信息（输入）'!$C$48</f>
        <v>0</v>
      </c>
      <c r="E1083" s="199" t="s">
        <v>93</v>
      </c>
      <c r="F1083" s="197" t="s">
        <v>1609</v>
      </c>
      <c r="G1083" s="199">
        <v>1</v>
      </c>
      <c r="H1083" s="199" t="s">
        <v>298</v>
      </c>
      <c r="I1083" s="198">
        <f t="shared" si="126"/>
        <v>0</v>
      </c>
      <c r="J1083" s="199" t="s">
        <v>93</v>
      </c>
      <c r="K1083" s="188">
        <v>0</v>
      </c>
      <c r="L1083" s="209" t="s">
        <v>675</v>
      </c>
      <c r="M1083" s="207">
        <f t="shared" si="127"/>
        <v>0</v>
      </c>
      <c r="N1083" s="198">
        <f>'02 项目基础信息（输入）'!$C$48</f>
        <v>0</v>
      </c>
      <c r="O1083" s="198">
        <f t="shared" si="120"/>
        <v>0</v>
      </c>
      <c r="P1083" s="198">
        <f>'02 项目基础信息（输入）'!$I$48</f>
        <v>0</v>
      </c>
      <c r="Q1083" s="233">
        <f t="shared" si="121"/>
        <v>0</v>
      </c>
      <c r="S1083" s="217"/>
      <c r="U1083" s="220" t="s">
        <v>2872</v>
      </c>
    </row>
    <row r="1084" spans="1:21" ht="0" hidden="1" customHeight="1" outlineLevel="3">
      <c r="A1084" s="192" t="s">
        <v>1737</v>
      </c>
      <c r="B1084" s="192"/>
      <c r="C1084" s="197" t="s">
        <v>1609</v>
      </c>
      <c r="D1084" s="198">
        <f>'02 项目基础信息（输入）'!$C$48</f>
        <v>0</v>
      </c>
      <c r="E1084" s="199" t="s">
        <v>93</v>
      </c>
      <c r="F1084" s="197" t="s">
        <v>1609</v>
      </c>
      <c r="G1084" s="199">
        <v>1</v>
      </c>
      <c r="H1084" s="199" t="s">
        <v>298</v>
      </c>
      <c r="I1084" s="198">
        <f t="shared" si="126"/>
        <v>0</v>
      </c>
      <c r="J1084" s="199" t="s">
        <v>93</v>
      </c>
      <c r="K1084" s="188">
        <v>0</v>
      </c>
      <c r="L1084" s="209" t="s">
        <v>675</v>
      </c>
      <c r="M1084" s="207">
        <f t="shared" si="127"/>
        <v>0</v>
      </c>
      <c r="N1084" s="198">
        <f>'02 项目基础信息（输入）'!$C$48</f>
        <v>0</v>
      </c>
      <c r="O1084" s="198">
        <f t="shared" si="120"/>
        <v>0</v>
      </c>
      <c r="P1084" s="198">
        <f>'02 项目基础信息（输入）'!$I$48</f>
        <v>0</v>
      </c>
      <c r="Q1084" s="233">
        <f t="shared" si="121"/>
        <v>0</v>
      </c>
      <c r="S1084" s="217"/>
      <c r="U1084" s="220" t="s">
        <v>2873</v>
      </c>
    </row>
    <row r="1085" spans="1:21" ht="0" hidden="1" customHeight="1" outlineLevel="3">
      <c r="A1085" s="192" t="s">
        <v>1739</v>
      </c>
      <c r="B1085" s="192"/>
      <c r="C1085" s="197" t="s">
        <v>1609</v>
      </c>
      <c r="D1085" s="198">
        <f>'02 项目基础信息（输入）'!$C$48</f>
        <v>0</v>
      </c>
      <c r="E1085" s="199" t="s">
        <v>93</v>
      </c>
      <c r="F1085" s="197" t="s">
        <v>1609</v>
      </c>
      <c r="G1085" s="199">
        <v>1</v>
      </c>
      <c r="H1085" s="199" t="s">
        <v>298</v>
      </c>
      <c r="I1085" s="198">
        <f t="shared" si="126"/>
        <v>0</v>
      </c>
      <c r="J1085" s="199" t="s">
        <v>93</v>
      </c>
      <c r="K1085" s="188">
        <v>0</v>
      </c>
      <c r="L1085" s="209" t="s">
        <v>675</v>
      </c>
      <c r="M1085" s="207">
        <f t="shared" si="127"/>
        <v>0</v>
      </c>
      <c r="N1085" s="198">
        <f>'02 项目基础信息（输入）'!$C$48</f>
        <v>0</v>
      </c>
      <c r="O1085" s="198">
        <f t="shared" si="120"/>
        <v>0</v>
      </c>
      <c r="P1085" s="198">
        <f>'02 项目基础信息（输入）'!$I$48</f>
        <v>0</v>
      </c>
      <c r="Q1085" s="233">
        <f t="shared" si="121"/>
        <v>0</v>
      </c>
      <c r="S1085" s="217"/>
      <c r="U1085" s="220" t="s">
        <v>2874</v>
      </c>
    </row>
    <row r="1086" spans="1:21" ht="0" hidden="1" customHeight="1" outlineLevel="3">
      <c r="A1086" s="192" t="s">
        <v>1741</v>
      </c>
      <c r="B1086" s="192"/>
      <c r="C1086" s="197" t="s">
        <v>1609</v>
      </c>
      <c r="D1086" s="198">
        <f>'02 项目基础信息（输入）'!$C$48</f>
        <v>0</v>
      </c>
      <c r="E1086" s="199" t="s">
        <v>93</v>
      </c>
      <c r="F1086" s="197" t="s">
        <v>1609</v>
      </c>
      <c r="G1086" s="199">
        <v>1</v>
      </c>
      <c r="H1086" s="199" t="s">
        <v>298</v>
      </c>
      <c r="I1086" s="198">
        <f t="shared" si="126"/>
        <v>0</v>
      </c>
      <c r="J1086" s="199" t="s">
        <v>93</v>
      </c>
      <c r="K1086" s="188">
        <v>0</v>
      </c>
      <c r="L1086" s="209" t="s">
        <v>675</v>
      </c>
      <c r="M1086" s="207">
        <f t="shared" si="127"/>
        <v>0</v>
      </c>
      <c r="N1086" s="198">
        <f>'02 项目基础信息（输入）'!$C$48</f>
        <v>0</v>
      </c>
      <c r="O1086" s="198">
        <f t="shared" si="120"/>
        <v>0</v>
      </c>
      <c r="P1086" s="198">
        <f>'02 项目基础信息（输入）'!$I$48</f>
        <v>0</v>
      </c>
      <c r="Q1086" s="233">
        <f t="shared" si="121"/>
        <v>0</v>
      </c>
      <c r="S1086" s="217"/>
      <c r="U1086" s="220" t="s">
        <v>2875</v>
      </c>
    </row>
    <row r="1087" spans="1:21" ht="0" hidden="1" customHeight="1" outlineLevel="3">
      <c r="A1087" s="192" t="s">
        <v>1743</v>
      </c>
      <c r="B1087" s="192"/>
      <c r="C1087" s="197" t="s">
        <v>1609</v>
      </c>
      <c r="D1087" s="198">
        <f>'02 项目基础信息（输入）'!$C$48</f>
        <v>0</v>
      </c>
      <c r="E1087" s="199" t="s">
        <v>93</v>
      </c>
      <c r="F1087" s="197" t="s">
        <v>1609</v>
      </c>
      <c r="G1087" s="199">
        <v>1</v>
      </c>
      <c r="H1087" s="199" t="s">
        <v>298</v>
      </c>
      <c r="I1087" s="198">
        <f t="shared" si="126"/>
        <v>0</v>
      </c>
      <c r="J1087" s="199" t="s">
        <v>93</v>
      </c>
      <c r="K1087" s="188">
        <v>0</v>
      </c>
      <c r="L1087" s="209" t="s">
        <v>675</v>
      </c>
      <c r="M1087" s="207">
        <f t="shared" si="127"/>
        <v>0</v>
      </c>
      <c r="N1087" s="198">
        <f>'02 项目基础信息（输入）'!$C$48</f>
        <v>0</v>
      </c>
      <c r="O1087" s="198">
        <f t="shared" si="120"/>
        <v>0</v>
      </c>
      <c r="P1087" s="198">
        <f>'02 项目基础信息（输入）'!$I$48</f>
        <v>0</v>
      </c>
      <c r="Q1087" s="233">
        <f t="shared" si="121"/>
        <v>0</v>
      </c>
      <c r="S1087" s="217"/>
      <c r="U1087" s="220" t="s">
        <v>2876</v>
      </c>
    </row>
    <row r="1088" spans="1:21" ht="0" hidden="1" customHeight="1" outlineLevel="3">
      <c r="A1088" s="192" t="s">
        <v>1745</v>
      </c>
      <c r="B1088" s="192"/>
      <c r="C1088" s="197" t="s">
        <v>1609</v>
      </c>
      <c r="D1088" s="198">
        <f>'02 项目基础信息（输入）'!$C$48</f>
        <v>0</v>
      </c>
      <c r="E1088" s="199" t="s">
        <v>93</v>
      </c>
      <c r="F1088" s="197" t="s">
        <v>1609</v>
      </c>
      <c r="G1088" s="199">
        <v>1</v>
      </c>
      <c r="H1088" s="199" t="s">
        <v>298</v>
      </c>
      <c r="I1088" s="198">
        <f t="shared" si="126"/>
        <v>0</v>
      </c>
      <c r="J1088" s="199" t="s">
        <v>93</v>
      </c>
      <c r="K1088" s="188">
        <v>0</v>
      </c>
      <c r="L1088" s="209" t="s">
        <v>675</v>
      </c>
      <c r="M1088" s="207">
        <f t="shared" si="127"/>
        <v>0</v>
      </c>
      <c r="N1088" s="198">
        <f>'02 项目基础信息（输入）'!$C$48</f>
        <v>0</v>
      </c>
      <c r="O1088" s="198">
        <f t="shared" si="120"/>
        <v>0</v>
      </c>
      <c r="P1088" s="198">
        <f>'02 项目基础信息（输入）'!$I$48</f>
        <v>0</v>
      </c>
      <c r="Q1088" s="233">
        <f t="shared" si="121"/>
        <v>0</v>
      </c>
      <c r="S1088" s="217"/>
      <c r="U1088" s="220" t="s">
        <v>2877</v>
      </c>
    </row>
    <row r="1089" spans="1:21" ht="0" hidden="1" customHeight="1" outlineLevel="3">
      <c r="A1089" s="192" t="s">
        <v>1747</v>
      </c>
      <c r="B1089" s="192"/>
      <c r="C1089" s="197" t="s">
        <v>416</v>
      </c>
      <c r="D1089" s="198">
        <f>'02 项目基础信息（输入）'!$AJ$48</f>
        <v>0</v>
      </c>
      <c r="E1089" s="199" t="s">
        <v>417</v>
      </c>
      <c r="F1089" s="197" t="s">
        <v>416</v>
      </c>
      <c r="G1089" s="199">
        <v>1</v>
      </c>
      <c r="H1089" s="199" t="s">
        <v>1748</v>
      </c>
      <c r="I1089" s="198">
        <f t="shared" si="126"/>
        <v>0</v>
      </c>
      <c r="J1089" s="199" t="s">
        <v>400</v>
      </c>
      <c r="K1089" s="188">
        <v>0</v>
      </c>
      <c r="L1089" s="209" t="s">
        <v>1749</v>
      </c>
      <c r="M1089" s="207">
        <f t="shared" si="127"/>
        <v>0</v>
      </c>
      <c r="N1089" s="198">
        <f>'02 项目基础信息（输入）'!$C$48</f>
        <v>0</v>
      </c>
      <c r="O1089" s="198">
        <f t="shared" si="120"/>
        <v>0</v>
      </c>
      <c r="P1089" s="198">
        <f>'02 项目基础信息（输入）'!$I$48</f>
        <v>0</v>
      </c>
      <c r="Q1089" s="233">
        <f t="shared" si="121"/>
        <v>0</v>
      </c>
      <c r="S1089" s="217"/>
      <c r="U1089" s="220" t="s">
        <v>2878</v>
      </c>
    </row>
    <row r="1090" spans="1:21" ht="0" hidden="1" customHeight="1" outlineLevel="3">
      <c r="A1090" s="192" t="s">
        <v>1751</v>
      </c>
      <c r="B1090" s="192"/>
      <c r="C1090" s="197" t="s">
        <v>1609</v>
      </c>
      <c r="D1090" s="198">
        <f>'02 项目基础信息（输入）'!$C$48</f>
        <v>0</v>
      </c>
      <c r="E1090" s="199" t="s">
        <v>93</v>
      </c>
      <c r="F1090" s="197" t="s">
        <v>1609</v>
      </c>
      <c r="G1090" s="199">
        <v>1</v>
      </c>
      <c r="H1090" s="199" t="s">
        <v>298</v>
      </c>
      <c r="I1090" s="198">
        <f t="shared" si="126"/>
        <v>0</v>
      </c>
      <c r="J1090" s="199" t="s">
        <v>93</v>
      </c>
      <c r="K1090" s="188">
        <v>0</v>
      </c>
      <c r="L1090" s="209" t="s">
        <v>675</v>
      </c>
      <c r="M1090" s="207">
        <f t="shared" si="127"/>
        <v>0</v>
      </c>
      <c r="N1090" s="198">
        <f>'02 项目基础信息（输入）'!$C$48</f>
        <v>0</v>
      </c>
      <c r="O1090" s="198">
        <f t="shared" si="120"/>
        <v>0</v>
      </c>
      <c r="P1090" s="198">
        <f>'02 项目基础信息（输入）'!$I$48</f>
        <v>0</v>
      </c>
      <c r="Q1090" s="233">
        <f t="shared" si="121"/>
        <v>0</v>
      </c>
      <c r="S1090" s="217"/>
      <c r="U1090" s="220" t="s">
        <v>2879</v>
      </c>
    </row>
    <row r="1091" spans="1:21" ht="0" hidden="1" customHeight="1" outlineLevel="2">
      <c r="A1091" s="192" t="s">
        <v>1753</v>
      </c>
      <c r="B1091" s="192"/>
      <c r="C1091" s="197" t="s">
        <v>1609</v>
      </c>
      <c r="D1091" s="198">
        <f>'02 项目基础信息（输入）'!$C$48</f>
        <v>0</v>
      </c>
      <c r="E1091" s="199" t="s">
        <v>93</v>
      </c>
      <c r="F1091" s="197"/>
      <c r="G1091" s="199"/>
      <c r="H1091" s="199"/>
      <c r="I1091" s="197"/>
      <c r="J1091" s="199"/>
      <c r="K1091" s="198"/>
      <c r="L1091" s="209"/>
      <c r="M1091" s="198">
        <f>ROUND(SUM(M1092:M1102),6)</f>
        <v>0</v>
      </c>
      <c r="N1091" s="198">
        <f>'02 项目基础信息（输入）'!$C$48</f>
        <v>0</v>
      </c>
      <c r="O1091" s="198">
        <f t="shared" ref="O1091:O1154" si="128">ROUND(IFERROR(M1091*10000/N1091,0),2)</f>
        <v>0</v>
      </c>
      <c r="P1091" s="198">
        <f>'02 项目基础信息（输入）'!$I$48</f>
        <v>0</v>
      </c>
      <c r="Q1091" s="233">
        <f t="shared" ref="Q1091:Q1154" si="129">ROUND(IFERROR(M1091*10000/P1091,0),2)</f>
        <v>0</v>
      </c>
      <c r="S1091" s="217" t="s">
        <v>1313</v>
      </c>
      <c r="U1091" s="220" t="s">
        <v>2880</v>
      </c>
    </row>
    <row r="1092" spans="1:21" ht="0" hidden="1" customHeight="1" outlineLevel="3">
      <c r="A1092" s="192" t="s">
        <v>1755</v>
      </c>
      <c r="B1092" s="192"/>
      <c r="C1092" s="197" t="s">
        <v>1609</v>
      </c>
      <c r="D1092" s="198">
        <f>'02 项目基础信息（输入）'!$C$48</f>
        <v>0</v>
      </c>
      <c r="E1092" s="199" t="s">
        <v>93</v>
      </c>
      <c r="F1092" s="197" t="s">
        <v>1609</v>
      </c>
      <c r="G1092" s="199">
        <v>1</v>
      </c>
      <c r="H1092" s="199" t="s">
        <v>298</v>
      </c>
      <c r="I1092" s="198">
        <f t="shared" ref="I1092:I1102" si="130">G1092*D1092</f>
        <v>0</v>
      </c>
      <c r="J1092" s="199" t="s">
        <v>93</v>
      </c>
      <c r="K1092" s="188">
        <v>0</v>
      </c>
      <c r="L1092" s="209" t="s">
        <v>675</v>
      </c>
      <c r="M1092" s="207">
        <f t="shared" ref="M1092:M1102" si="131">ROUND(K1092*I1092/10000,6)</f>
        <v>0</v>
      </c>
      <c r="N1092" s="198">
        <f>'02 项目基础信息（输入）'!$C$48</f>
        <v>0</v>
      </c>
      <c r="O1092" s="198">
        <f t="shared" si="128"/>
        <v>0</v>
      </c>
      <c r="P1092" s="198">
        <f>'02 项目基础信息（输入）'!$I$48</f>
        <v>0</v>
      </c>
      <c r="Q1092" s="233">
        <f t="shared" si="129"/>
        <v>0</v>
      </c>
      <c r="S1092" s="217"/>
      <c r="U1092" s="220" t="s">
        <v>2881</v>
      </c>
    </row>
    <row r="1093" spans="1:21" ht="0" hidden="1" customHeight="1" outlineLevel="3">
      <c r="A1093" s="192" t="s">
        <v>1757</v>
      </c>
      <c r="B1093" s="192"/>
      <c r="C1093" s="197" t="s">
        <v>1609</v>
      </c>
      <c r="D1093" s="198">
        <f>'02 项目基础信息（输入）'!$C$48</f>
        <v>0</v>
      </c>
      <c r="E1093" s="199" t="s">
        <v>93</v>
      </c>
      <c r="F1093" s="197" t="s">
        <v>1609</v>
      </c>
      <c r="G1093" s="199">
        <v>1</v>
      </c>
      <c r="H1093" s="199" t="s">
        <v>298</v>
      </c>
      <c r="I1093" s="198">
        <f t="shared" si="130"/>
        <v>0</v>
      </c>
      <c r="J1093" s="199" t="s">
        <v>93</v>
      </c>
      <c r="K1093" s="188">
        <v>0</v>
      </c>
      <c r="L1093" s="209" t="s">
        <v>675</v>
      </c>
      <c r="M1093" s="207">
        <f t="shared" si="131"/>
        <v>0</v>
      </c>
      <c r="N1093" s="198">
        <f>'02 项目基础信息（输入）'!$C$48</f>
        <v>0</v>
      </c>
      <c r="O1093" s="198">
        <f t="shared" si="128"/>
        <v>0</v>
      </c>
      <c r="P1093" s="198">
        <f>'02 项目基础信息（输入）'!$I$48</f>
        <v>0</v>
      </c>
      <c r="Q1093" s="233">
        <f t="shared" si="129"/>
        <v>0</v>
      </c>
      <c r="S1093" s="217"/>
      <c r="U1093" s="220" t="s">
        <v>2882</v>
      </c>
    </row>
    <row r="1094" spans="1:21" ht="0" hidden="1" customHeight="1" outlineLevel="3">
      <c r="A1094" s="192" t="s">
        <v>1759</v>
      </c>
      <c r="B1094" s="192"/>
      <c r="C1094" s="197" t="s">
        <v>1609</v>
      </c>
      <c r="D1094" s="198">
        <f>'02 项目基础信息（输入）'!$C$48</f>
        <v>0</v>
      </c>
      <c r="E1094" s="199" t="s">
        <v>93</v>
      </c>
      <c r="F1094" s="197" t="s">
        <v>1609</v>
      </c>
      <c r="G1094" s="199">
        <v>1</v>
      </c>
      <c r="H1094" s="199" t="s">
        <v>298</v>
      </c>
      <c r="I1094" s="198">
        <f t="shared" si="130"/>
        <v>0</v>
      </c>
      <c r="J1094" s="199" t="s">
        <v>93</v>
      </c>
      <c r="K1094" s="188">
        <v>0</v>
      </c>
      <c r="L1094" s="209" t="s">
        <v>675</v>
      </c>
      <c r="M1094" s="207">
        <f t="shared" si="131"/>
        <v>0</v>
      </c>
      <c r="N1094" s="198">
        <f>'02 项目基础信息（输入）'!$C$48</f>
        <v>0</v>
      </c>
      <c r="O1094" s="198">
        <f t="shared" si="128"/>
        <v>0</v>
      </c>
      <c r="P1094" s="198">
        <f>'02 项目基础信息（输入）'!$I$48</f>
        <v>0</v>
      </c>
      <c r="Q1094" s="233">
        <f t="shared" si="129"/>
        <v>0</v>
      </c>
      <c r="S1094" s="217"/>
      <c r="U1094" s="220" t="s">
        <v>2883</v>
      </c>
    </row>
    <row r="1095" spans="1:21" ht="0" hidden="1" customHeight="1" outlineLevel="3">
      <c r="A1095" s="192" t="s">
        <v>1761</v>
      </c>
      <c r="B1095" s="192"/>
      <c r="C1095" s="197" t="s">
        <v>1609</v>
      </c>
      <c r="D1095" s="198">
        <f>'02 项目基础信息（输入）'!$C$48</f>
        <v>0</v>
      </c>
      <c r="E1095" s="199" t="s">
        <v>93</v>
      </c>
      <c r="F1095" s="197" t="s">
        <v>1609</v>
      </c>
      <c r="G1095" s="199">
        <v>1</v>
      </c>
      <c r="H1095" s="199" t="s">
        <v>298</v>
      </c>
      <c r="I1095" s="198">
        <f t="shared" si="130"/>
        <v>0</v>
      </c>
      <c r="J1095" s="199" t="s">
        <v>93</v>
      </c>
      <c r="K1095" s="188">
        <v>0</v>
      </c>
      <c r="L1095" s="209" t="s">
        <v>675</v>
      </c>
      <c r="M1095" s="207">
        <f t="shared" si="131"/>
        <v>0</v>
      </c>
      <c r="N1095" s="198">
        <f>'02 项目基础信息（输入）'!$C$48</f>
        <v>0</v>
      </c>
      <c r="O1095" s="198">
        <f t="shared" si="128"/>
        <v>0</v>
      </c>
      <c r="P1095" s="198">
        <f>'02 项目基础信息（输入）'!$I$48</f>
        <v>0</v>
      </c>
      <c r="Q1095" s="233">
        <f t="shared" si="129"/>
        <v>0</v>
      </c>
      <c r="S1095" s="217"/>
      <c r="U1095" s="220" t="s">
        <v>2884</v>
      </c>
    </row>
    <row r="1096" spans="1:21" ht="0" hidden="1" customHeight="1" outlineLevel="3">
      <c r="A1096" s="192" t="s">
        <v>1763</v>
      </c>
      <c r="B1096" s="192"/>
      <c r="C1096" s="197" t="s">
        <v>1609</v>
      </c>
      <c r="D1096" s="198">
        <f>'02 项目基础信息（输入）'!$C$48</f>
        <v>0</v>
      </c>
      <c r="E1096" s="199" t="s">
        <v>93</v>
      </c>
      <c r="F1096" s="197" t="s">
        <v>1609</v>
      </c>
      <c r="G1096" s="199">
        <v>1</v>
      </c>
      <c r="H1096" s="199" t="s">
        <v>298</v>
      </c>
      <c r="I1096" s="198">
        <f t="shared" si="130"/>
        <v>0</v>
      </c>
      <c r="J1096" s="199" t="s">
        <v>93</v>
      </c>
      <c r="K1096" s="188">
        <v>0</v>
      </c>
      <c r="L1096" s="209" t="s">
        <v>675</v>
      </c>
      <c r="M1096" s="207">
        <f t="shared" si="131"/>
        <v>0</v>
      </c>
      <c r="N1096" s="198">
        <f>'02 项目基础信息（输入）'!$C$48</f>
        <v>0</v>
      </c>
      <c r="O1096" s="198">
        <f t="shared" si="128"/>
        <v>0</v>
      </c>
      <c r="P1096" s="198">
        <f>'02 项目基础信息（输入）'!$I$48</f>
        <v>0</v>
      </c>
      <c r="Q1096" s="233">
        <f t="shared" si="129"/>
        <v>0</v>
      </c>
      <c r="S1096" s="217"/>
      <c r="U1096" s="220" t="s">
        <v>2885</v>
      </c>
    </row>
    <row r="1097" spans="1:21" ht="0" hidden="1" customHeight="1" outlineLevel="3">
      <c r="A1097" s="192" t="s">
        <v>1765</v>
      </c>
      <c r="B1097" s="192"/>
      <c r="C1097" s="197" t="s">
        <v>1609</v>
      </c>
      <c r="D1097" s="198">
        <f>'02 项目基础信息（输入）'!$C$48</f>
        <v>0</v>
      </c>
      <c r="E1097" s="199" t="s">
        <v>93</v>
      </c>
      <c r="F1097" s="197" t="s">
        <v>1609</v>
      </c>
      <c r="G1097" s="199">
        <v>1</v>
      </c>
      <c r="H1097" s="199" t="s">
        <v>298</v>
      </c>
      <c r="I1097" s="198">
        <f t="shared" si="130"/>
        <v>0</v>
      </c>
      <c r="J1097" s="199" t="s">
        <v>93</v>
      </c>
      <c r="K1097" s="188">
        <v>0</v>
      </c>
      <c r="L1097" s="209" t="s">
        <v>675</v>
      </c>
      <c r="M1097" s="207">
        <f t="shared" si="131"/>
        <v>0</v>
      </c>
      <c r="N1097" s="198">
        <f>'02 项目基础信息（输入）'!$C$48</f>
        <v>0</v>
      </c>
      <c r="O1097" s="198">
        <f t="shared" si="128"/>
        <v>0</v>
      </c>
      <c r="P1097" s="198">
        <f>'02 项目基础信息（输入）'!$I$48</f>
        <v>0</v>
      </c>
      <c r="Q1097" s="233">
        <f t="shared" si="129"/>
        <v>0</v>
      </c>
      <c r="S1097" s="217"/>
      <c r="U1097" s="220" t="s">
        <v>2886</v>
      </c>
    </row>
    <row r="1098" spans="1:21" ht="0" hidden="1" customHeight="1" outlineLevel="3">
      <c r="A1098" s="192" t="s">
        <v>1767</v>
      </c>
      <c r="B1098" s="192"/>
      <c r="C1098" s="197" t="s">
        <v>1609</v>
      </c>
      <c r="D1098" s="198">
        <f>'02 项目基础信息（输入）'!$C$48</f>
        <v>0</v>
      </c>
      <c r="E1098" s="199" t="s">
        <v>93</v>
      </c>
      <c r="F1098" s="197" t="s">
        <v>1609</v>
      </c>
      <c r="G1098" s="199">
        <v>1</v>
      </c>
      <c r="H1098" s="199" t="s">
        <v>298</v>
      </c>
      <c r="I1098" s="198">
        <f t="shared" si="130"/>
        <v>0</v>
      </c>
      <c r="J1098" s="199" t="s">
        <v>93</v>
      </c>
      <c r="K1098" s="188">
        <v>0</v>
      </c>
      <c r="L1098" s="209" t="s">
        <v>675</v>
      </c>
      <c r="M1098" s="207">
        <f t="shared" si="131"/>
        <v>0</v>
      </c>
      <c r="N1098" s="198">
        <f>'02 项目基础信息（输入）'!$C$48</f>
        <v>0</v>
      </c>
      <c r="O1098" s="198">
        <f t="shared" si="128"/>
        <v>0</v>
      </c>
      <c r="P1098" s="198">
        <f>'02 项目基础信息（输入）'!$I$48</f>
        <v>0</v>
      </c>
      <c r="Q1098" s="233">
        <f t="shared" si="129"/>
        <v>0</v>
      </c>
      <c r="S1098" s="217"/>
      <c r="U1098" s="220" t="s">
        <v>2887</v>
      </c>
    </row>
    <row r="1099" spans="1:21" ht="0" hidden="1" customHeight="1" outlineLevel="3">
      <c r="A1099" s="192" t="s">
        <v>1769</v>
      </c>
      <c r="B1099" s="192"/>
      <c r="C1099" s="197" t="s">
        <v>1609</v>
      </c>
      <c r="D1099" s="198">
        <f>'02 项目基础信息（输入）'!$C$48</f>
        <v>0</v>
      </c>
      <c r="E1099" s="199" t="s">
        <v>93</v>
      </c>
      <c r="F1099" s="197" t="s">
        <v>1609</v>
      </c>
      <c r="G1099" s="199">
        <v>1</v>
      </c>
      <c r="H1099" s="199" t="s">
        <v>298</v>
      </c>
      <c r="I1099" s="198">
        <f t="shared" si="130"/>
        <v>0</v>
      </c>
      <c r="J1099" s="199" t="s">
        <v>93</v>
      </c>
      <c r="K1099" s="188">
        <v>0</v>
      </c>
      <c r="L1099" s="209" t="s">
        <v>675</v>
      </c>
      <c r="M1099" s="207">
        <f t="shared" si="131"/>
        <v>0</v>
      </c>
      <c r="N1099" s="198">
        <f>'02 项目基础信息（输入）'!$C$48</f>
        <v>0</v>
      </c>
      <c r="O1099" s="198">
        <f t="shared" si="128"/>
        <v>0</v>
      </c>
      <c r="P1099" s="198">
        <f>'02 项目基础信息（输入）'!$I$48</f>
        <v>0</v>
      </c>
      <c r="Q1099" s="233">
        <f t="shared" si="129"/>
        <v>0</v>
      </c>
      <c r="S1099" s="217"/>
      <c r="U1099" s="220" t="s">
        <v>2888</v>
      </c>
    </row>
    <row r="1100" spans="1:21" ht="0" hidden="1" customHeight="1" outlineLevel="3">
      <c r="A1100" s="192" t="s">
        <v>1771</v>
      </c>
      <c r="B1100" s="192"/>
      <c r="C1100" s="197" t="s">
        <v>1609</v>
      </c>
      <c r="D1100" s="198">
        <f>'02 项目基础信息（输入）'!$C$48</f>
        <v>0</v>
      </c>
      <c r="E1100" s="199" t="s">
        <v>93</v>
      </c>
      <c r="F1100" s="197" t="s">
        <v>1609</v>
      </c>
      <c r="G1100" s="199">
        <v>1</v>
      </c>
      <c r="H1100" s="199" t="s">
        <v>298</v>
      </c>
      <c r="I1100" s="198">
        <f t="shared" si="130"/>
        <v>0</v>
      </c>
      <c r="J1100" s="199" t="s">
        <v>93</v>
      </c>
      <c r="K1100" s="188">
        <v>0</v>
      </c>
      <c r="L1100" s="209" t="s">
        <v>675</v>
      </c>
      <c r="M1100" s="207">
        <f t="shared" si="131"/>
        <v>0</v>
      </c>
      <c r="N1100" s="198">
        <f>'02 项目基础信息（输入）'!$C$48</f>
        <v>0</v>
      </c>
      <c r="O1100" s="198">
        <f t="shared" si="128"/>
        <v>0</v>
      </c>
      <c r="P1100" s="198">
        <f>'02 项目基础信息（输入）'!$I$48</f>
        <v>0</v>
      </c>
      <c r="Q1100" s="233">
        <f t="shared" si="129"/>
        <v>0</v>
      </c>
      <c r="S1100" s="217"/>
      <c r="U1100" s="220" t="s">
        <v>2889</v>
      </c>
    </row>
    <row r="1101" spans="1:21" ht="0" hidden="1" customHeight="1" outlineLevel="3">
      <c r="A1101" s="192" t="s">
        <v>1773</v>
      </c>
      <c r="B1101" s="192"/>
      <c r="C1101" s="197" t="s">
        <v>1609</v>
      </c>
      <c r="D1101" s="198">
        <f>'02 项目基础信息（输入）'!$C$48</f>
        <v>0</v>
      </c>
      <c r="E1101" s="199" t="s">
        <v>93</v>
      </c>
      <c r="F1101" s="197" t="s">
        <v>1609</v>
      </c>
      <c r="G1101" s="199">
        <v>1</v>
      </c>
      <c r="H1101" s="199" t="s">
        <v>298</v>
      </c>
      <c r="I1101" s="198">
        <f t="shared" si="130"/>
        <v>0</v>
      </c>
      <c r="J1101" s="199" t="s">
        <v>93</v>
      </c>
      <c r="K1101" s="188">
        <v>0</v>
      </c>
      <c r="L1101" s="209" t="s">
        <v>675</v>
      </c>
      <c r="M1101" s="207">
        <f t="shared" si="131"/>
        <v>0</v>
      </c>
      <c r="N1101" s="198">
        <f>'02 项目基础信息（输入）'!$C$48</f>
        <v>0</v>
      </c>
      <c r="O1101" s="198">
        <f t="shared" si="128"/>
        <v>0</v>
      </c>
      <c r="P1101" s="198">
        <f>'02 项目基础信息（输入）'!$I$48</f>
        <v>0</v>
      </c>
      <c r="Q1101" s="233">
        <f t="shared" si="129"/>
        <v>0</v>
      </c>
      <c r="S1101" s="217"/>
      <c r="U1101" s="220" t="s">
        <v>2890</v>
      </c>
    </row>
    <row r="1102" spans="1:21" ht="0" hidden="1" customHeight="1" outlineLevel="3">
      <c r="A1102" s="192" t="s">
        <v>1775</v>
      </c>
      <c r="B1102" s="192"/>
      <c r="C1102" s="197" t="s">
        <v>1609</v>
      </c>
      <c r="D1102" s="198">
        <f>'02 项目基础信息（输入）'!$C$48</f>
        <v>0</v>
      </c>
      <c r="E1102" s="199" t="s">
        <v>93</v>
      </c>
      <c r="F1102" s="197" t="s">
        <v>1609</v>
      </c>
      <c r="G1102" s="199">
        <v>1</v>
      </c>
      <c r="H1102" s="199" t="s">
        <v>298</v>
      </c>
      <c r="I1102" s="198">
        <f t="shared" si="130"/>
        <v>0</v>
      </c>
      <c r="J1102" s="199" t="s">
        <v>93</v>
      </c>
      <c r="K1102" s="188">
        <v>0</v>
      </c>
      <c r="L1102" s="209" t="s">
        <v>675</v>
      </c>
      <c r="M1102" s="207">
        <f t="shared" si="131"/>
        <v>0</v>
      </c>
      <c r="N1102" s="198">
        <f>'02 项目基础信息（输入）'!$C$48</f>
        <v>0</v>
      </c>
      <c r="O1102" s="198">
        <f t="shared" si="128"/>
        <v>0</v>
      </c>
      <c r="P1102" s="198">
        <f>'02 项目基础信息（输入）'!$I$48</f>
        <v>0</v>
      </c>
      <c r="Q1102" s="233">
        <f t="shared" si="129"/>
        <v>0</v>
      </c>
      <c r="S1102" s="217"/>
      <c r="U1102" s="220" t="s">
        <v>2891</v>
      </c>
    </row>
    <row r="1103" spans="1:21" ht="0" hidden="1" customHeight="1" outlineLevel="2">
      <c r="A1103" s="192" t="s">
        <v>1777</v>
      </c>
      <c r="B1103" s="192"/>
      <c r="C1103" s="197" t="s">
        <v>1609</v>
      </c>
      <c r="D1103" s="198">
        <f>'02 项目基础信息（输入）'!$C$48</f>
        <v>0</v>
      </c>
      <c r="E1103" s="199" t="s">
        <v>93</v>
      </c>
      <c r="F1103" s="197"/>
      <c r="G1103" s="199"/>
      <c r="H1103" s="199"/>
      <c r="I1103" s="197"/>
      <c r="J1103" s="199"/>
      <c r="K1103" s="198"/>
      <c r="L1103" s="209"/>
      <c r="M1103" s="198">
        <f>ROUND(SUM(M1104),6)</f>
        <v>0</v>
      </c>
      <c r="N1103" s="198">
        <f>'02 项目基础信息（输入）'!$C$48</f>
        <v>0</v>
      </c>
      <c r="O1103" s="198">
        <f t="shared" si="128"/>
        <v>0</v>
      </c>
      <c r="P1103" s="198">
        <f>'02 项目基础信息（输入）'!$I$48</f>
        <v>0</v>
      </c>
      <c r="Q1103" s="233">
        <f t="shared" si="129"/>
        <v>0</v>
      </c>
      <c r="S1103" s="217" t="s">
        <v>1313</v>
      </c>
      <c r="U1103" s="220" t="s">
        <v>2892</v>
      </c>
    </row>
    <row r="1104" spans="1:21" ht="0" hidden="1" customHeight="1" outlineLevel="3">
      <c r="A1104" s="192" t="s">
        <v>1779</v>
      </c>
      <c r="B1104" s="192"/>
      <c r="C1104" s="197" t="s">
        <v>1609</v>
      </c>
      <c r="D1104" s="198">
        <f>'02 项目基础信息（输入）'!$C$48</f>
        <v>0</v>
      </c>
      <c r="E1104" s="199" t="s">
        <v>93</v>
      </c>
      <c r="F1104" s="197" t="s">
        <v>984</v>
      </c>
      <c r="G1104" s="82">
        <v>0</v>
      </c>
      <c r="H1104" s="199" t="s">
        <v>966</v>
      </c>
      <c r="I1104" s="198">
        <f>G1104*D1104</f>
        <v>0</v>
      </c>
      <c r="J1104" s="199" t="s">
        <v>1617</v>
      </c>
      <c r="K1104" s="188">
        <v>0</v>
      </c>
      <c r="L1104" s="209" t="s">
        <v>664</v>
      </c>
      <c r="M1104" s="207">
        <f>ROUND(K1104*I1104/10000,6)</f>
        <v>0</v>
      </c>
      <c r="N1104" s="198">
        <f>'02 项目基础信息（输入）'!$C$48</f>
        <v>0</v>
      </c>
      <c r="O1104" s="198">
        <f t="shared" si="128"/>
        <v>0</v>
      </c>
      <c r="P1104" s="198">
        <f>'02 项目基础信息（输入）'!$I$48</f>
        <v>0</v>
      </c>
      <c r="Q1104" s="233">
        <f t="shared" si="129"/>
        <v>0</v>
      </c>
      <c r="S1104" s="217"/>
      <c r="U1104" s="220" t="s">
        <v>2893</v>
      </c>
    </row>
    <row r="1105" spans="1:21" ht="0" hidden="1" customHeight="1" outlineLevel="2">
      <c r="A1105" s="192" t="s">
        <v>1781</v>
      </c>
      <c r="B1105" s="192"/>
      <c r="C1105" s="197" t="s">
        <v>1609</v>
      </c>
      <c r="D1105" s="198">
        <f>'02 项目基础信息（输入）'!$C$48</f>
        <v>0</v>
      </c>
      <c r="E1105" s="199" t="s">
        <v>93</v>
      </c>
      <c r="F1105" s="197"/>
      <c r="G1105" s="199"/>
      <c r="H1105" s="199"/>
      <c r="I1105" s="197"/>
      <c r="J1105" s="199"/>
      <c r="K1105" s="198"/>
      <c r="L1105" s="209"/>
      <c r="M1105" s="198">
        <f>ROUND(SUM(M1106:M1110),6)</f>
        <v>0</v>
      </c>
      <c r="N1105" s="198">
        <f>'02 项目基础信息（输入）'!$C$48</f>
        <v>0</v>
      </c>
      <c r="O1105" s="198">
        <f t="shared" si="128"/>
        <v>0</v>
      </c>
      <c r="P1105" s="198">
        <f>'02 项目基础信息（输入）'!$I$48</f>
        <v>0</v>
      </c>
      <c r="Q1105" s="233">
        <f t="shared" si="129"/>
        <v>0</v>
      </c>
      <c r="S1105" s="217" t="s">
        <v>1314</v>
      </c>
      <c r="U1105" s="220" t="s">
        <v>2894</v>
      </c>
    </row>
    <row r="1106" spans="1:21" ht="0" hidden="1" customHeight="1" outlineLevel="3">
      <c r="A1106" s="192" t="s">
        <v>2066</v>
      </c>
      <c r="B1106" s="192"/>
      <c r="C1106" s="197" t="s">
        <v>309</v>
      </c>
      <c r="D1106" s="198">
        <f>'02 项目基础信息（输入）'!$AC$48</f>
        <v>0</v>
      </c>
      <c r="E1106" s="199" t="s">
        <v>310</v>
      </c>
      <c r="F1106" s="197" t="s">
        <v>2067</v>
      </c>
      <c r="G1106" s="199">
        <v>1</v>
      </c>
      <c r="H1106" s="199" t="s">
        <v>2067</v>
      </c>
      <c r="I1106" s="198">
        <f>G1106*D1106</f>
        <v>0</v>
      </c>
      <c r="J1106" s="199" t="s">
        <v>1946</v>
      </c>
      <c r="K1106" s="188">
        <v>0</v>
      </c>
      <c r="L1106" s="209" t="s">
        <v>1948</v>
      </c>
      <c r="M1106" s="207">
        <f>ROUND(K1106*I1106/10000,6)</f>
        <v>0</v>
      </c>
      <c r="N1106" s="198">
        <f>'02 项目基础信息（输入）'!$C$48</f>
        <v>0</v>
      </c>
      <c r="O1106" s="198">
        <f t="shared" si="128"/>
        <v>0</v>
      </c>
      <c r="P1106" s="198">
        <f>'02 项目基础信息（输入）'!$I$48</f>
        <v>0</v>
      </c>
      <c r="Q1106" s="233">
        <f t="shared" si="129"/>
        <v>0</v>
      </c>
      <c r="S1106" s="217"/>
      <c r="U1106" s="220" t="s">
        <v>2895</v>
      </c>
    </row>
    <row r="1107" spans="1:21" ht="0" hidden="1" customHeight="1" outlineLevel="3">
      <c r="A1107" s="192" t="s">
        <v>2069</v>
      </c>
      <c r="B1107" s="192"/>
      <c r="C1107" s="197" t="s">
        <v>309</v>
      </c>
      <c r="D1107" s="198">
        <f>'02 项目基础信息（输入）'!$AC$48</f>
        <v>0</v>
      </c>
      <c r="E1107" s="199" t="s">
        <v>310</v>
      </c>
      <c r="F1107" s="197" t="s">
        <v>2067</v>
      </c>
      <c r="G1107" s="199">
        <v>1</v>
      </c>
      <c r="H1107" s="199" t="s">
        <v>2067</v>
      </c>
      <c r="I1107" s="198">
        <f>G1107*D1107</f>
        <v>0</v>
      </c>
      <c r="J1107" s="199" t="s">
        <v>1946</v>
      </c>
      <c r="K1107" s="188">
        <v>0</v>
      </c>
      <c r="L1107" s="209" t="s">
        <v>1948</v>
      </c>
      <c r="M1107" s="207">
        <f>ROUND(K1107*I1107/10000,6)</f>
        <v>0</v>
      </c>
      <c r="N1107" s="198">
        <f>'02 项目基础信息（输入）'!$C$48</f>
        <v>0</v>
      </c>
      <c r="O1107" s="198">
        <f t="shared" si="128"/>
        <v>0</v>
      </c>
      <c r="P1107" s="198">
        <f>'02 项目基础信息（输入）'!$I$48</f>
        <v>0</v>
      </c>
      <c r="Q1107" s="233">
        <f t="shared" si="129"/>
        <v>0</v>
      </c>
      <c r="S1107" s="217"/>
      <c r="U1107" s="220" t="s">
        <v>2896</v>
      </c>
    </row>
    <row r="1108" spans="1:21" ht="0" hidden="1" customHeight="1" outlineLevel="3">
      <c r="A1108" s="192" t="s">
        <v>2071</v>
      </c>
      <c r="B1108" s="192"/>
      <c r="C1108" s="197" t="s">
        <v>309</v>
      </c>
      <c r="D1108" s="198">
        <f>'02 项目基础信息（输入）'!$AC$48</f>
        <v>0</v>
      </c>
      <c r="E1108" s="199" t="s">
        <v>310</v>
      </c>
      <c r="F1108" s="197" t="s">
        <v>2067</v>
      </c>
      <c r="G1108" s="199">
        <v>1</v>
      </c>
      <c r="H1108" s="199" t="s">
        <v>2067</v>
      </c>
      <c r="I1108" s="198">
        <f>G1108*D1108</f>
        <v>0</v>
      </c>
      <c r="J1108" s="199" t="s">
        <v>1946</v>
      </c>
      <c r="K1108" s="188">
        <v>0</v>
      </c>
      <c r="L1108" s="209" t="s">
        <v>1948</v>
      </c>
      <c r="M1108" s="207">
        <f>ROUND(K1108*I1108/10000,6)</f>
        <v>0</v>
      </c>
      <c r="N1108" s="198">
        <f>'02 项目基础信息（输入）'!$C$48</f>
        <v>0</v>
      </c>
      <c r="O1108" s="198">
        <f t="shared" si="128"/>
        <v>0</v>
      </c>
      <c r="P1108" s="198">
        <f>'02 项目基础信息（输入）'!$I$48</f>
        <v>0</v>
      </c>
      <c r="Q1108" s="233">
        <f t="shared" si="129"/>
        <v>0</v>
      </c>
      <c r="S1108" s="217"/>
      <c r="U1108" s="220" t="s">
        <v>2897</v>
      </c>
    </row>
    <row r="1109" spans="1:21" ht="0" hidden="1" customHeight="1" outlineLevel="3">
      <c r="A1109" s="192" t="s">
        <v>2073</v>
      </c>
      <c r="B1109" s="192"/>
      <c r="C1109" s="197" t="s">
        <v>309</v>
      </c>
      <c r="D1109" s="198">
        <f>'02 项目基础信息（输入）'!$AC$48</f>
        <v>0</v>
      </c>
      <c r="E1109" s="199" t="s">
        <v>310</v>
      </c>
      <c r="F1109" s="197" t="s">
        <v>2067</v>
      </c>
      <c r="G1109" s="199">
        <v>1</v>
      </c>
      <c r="H1109" s="199" t="s">
        <v>1946</v>
      </c>
      <c r="I1109" s="198">
        <f>G1109*D1109</f>
        <v>0</v>
      </c>
      <c r="J1109" s="199" t="s">
        <v>1946</v>
      </c>
      <c r="K1109" s="188">
        <v>0</v>
      </c>
      <c r="L1109" s="209" t="s">
        <v>1948</v>
      </c>
      <c r="M1109" s="207">
        <f>ROUND(K1109*I1109/10000,6)</f>
        <v>0</v>
      </c>
      <c r="N1109" s="198">
        <f>'02 项目基础信息（输入）'!$C$48</f>
        <v>0</v>
      </c>
      <c r="O1109" s="198">
        <f t="shared" si="128"/>
        <v>0</v>
      </c>
      <c r="P1109" s="198">
        <f>'02 项目基础信息（输入）'!$I$48</f>
        <v>0</v>
      </c>
      <c r="Q1109" s="233">
        <f t="shared" si="129"/>
        <v>0</v>
      </c>
      <c r="S1109" s="217"/>
      <c r="U1109" s="220" t="s">
        <v>2898</v>
      </c>
    </row>
    <row r="1110" spans="1:21" ht="0" hidden="1" customHeight="1" outlineLevel="3">
      <c r="A1110" s="192" t="s">
        <v>1783</v>
      </c>
      <c r="B1110" s="192"/>
      <c r="C1110" s="197" t="s">
        <v>309</v>
      </c>
      <c r="D1110" s="198">
        <f>'02 项目基础信息（输入）'!$AC$48</f>
        <v>0</v>
      </c>
      <c r="E1110" s="199" t="s">
        <v>310</v>
      </c>
      <c r="F1110" s="197" t="s">
        <v>1784</v>
      </c>
      <c r="G1110" s="199">
        <v>1</v>
      </c>
      <c r="H1110" s="199" t="s">
        <v>1784</v>
      </c>
      <c r="I1110" s="198">
        <f>G1110*D1110</f>
        <v>0</v>
      </c>
      <c r="J1110" s="199" t="s">
        <v>1600</v>
      </c>
      <c r="K1110" s="188">
        <v>0</v>
      </c>
      <c r="L1110" s="209" t="s">
        <v>1601</v>
      </c>
      <c r="M1110" s="207">
        <f>ROUND(K1110*I1110/10000,6)</f>
        <v>0</v>
      </c>
      <c r="N1110" s="198">
        <f>'02 项目基础信息（输入）'!$C$48</f>
        <v>0</v>
      </c>
      <c r="O1110" s="198">
        <f t="shared" si="128"/>
        <v>0</v>
      </c>
      <c r="P1110" s="198">
        <f>'02 项目基础信息（输入）'!$I$48</f>
        <v>0</v>
      </c>
      <c r="Q1110" s="233">
        <f t="shared" si="129"/>
        <v>0</v>
      </c>
      <c r="S1110" s="217"/>
      <c r="U1110" s="220" t="s">
        <v>2899</v>
      </c>
    </row>
    <row r="1111" spans="1:21" ht="0" hidden="1" customHeight="1" outlineLevel="2">
      <c r="A1111" s="192" t="s">
        <v>1786</v>
      </c>
      <c r="B1111" s="192"/>
      <c r="C1111" s="197" t="s">
        <v>1609</v>
      </c>
      <c r="D1111" s="198">
        <f>'02 项目基础信息（输入）'!$C$48</f>
        <v>0</v>
      </c>
      <c r="E1111" s="199" t="s">
        <v>93</v>
      </c>
      <c r="F1111" s="197"/>
      <c r="G1111" s="199"/>
      <c r="H1111" s="199"/>
      <c r="I1111" s="197"/>
      <c r="J1111" s="199"/>
      <c r="K1111" s="198"/>
      <c r="L1111" s="209"/>
      <c r="M1111" s="198">
        <f>ROUND(SUM(M1112:M1116),6)</f>
        <v>0</v>
      </c>
      <c r="N1111" s="198">
        <f>'02 项目基础信息（输入）'!$C$48</f>
        <v>0</v>
      </c>
      <c r="O1111" s="198">
        <f t="shared" si="128"/>
        <v>0</v>
      </c>
      <c r="P1111" s="198">
        <f>'02 项目基础信息（输入）'!$I$48</f>
        <v>0</v>
      </c>
      <c r="Q1111" s="233">
        <f t="shared" si="129"/>
        <v>0</v>
      </c>
      <c r="S1111" s="217" t="s">
        <v>1314</v>
      </c>
      <c r="U1111" s="220" t="s">
        <v>2900</v>
      </c>
    </row>
    <row r="1112" spans="1:21" ht="0" hidden="1" customHeight="1" outlineLevel="3">
      <c r="A1112" s="192" t="s">
        <v>2077</v>
      </c>
      <c r="B1112" s="192"/>
      <c r="C1112" s="197" t="s">
        <v>1609</v>
      </c>
      <c r="D1112" s="198">
        <f>'02 项目基础信息（输入）'!$C$48</f>
        <v>0</v>
      </c>
      <c r="E1112" s="199" t="s">
        <v>93</v>
      </c>
      <c r="F1112" s="197" t="s">
        <v>754</v>
      </c>
      <c r="G1112" s="82">
        <v>0</v>
      </c>
      <c r="H1112" s="199" t="s">
        <v>298</v>
      </c>
      <c r="I1112" s="198">
        <f>G1112*D1112</f>
        <v>0</v>
      </c>
      <c r="J1112" s="199" t="s">
        <v>93</v>
      </c>
      <c r="K1112" s="188">
        <v>0</v>
      </c>
      <c r="L1112" s="209" t="s">
        <v>675</v>
      </c>
      <c r="M1112" s="207">
        <f>ROUND(K1112*I1112/10000,6)</f>
        <v>0</v>
      </c>
      <c r="N1112" s="198">
        <f>'02 项目基础信息（输入）'!$C$48</f>
        <v>0</v>
      </c>
      <c r="O1112" s="198">
        <f t="shared" si="128"/>
        <v>0</v>
      </c>
      <c r="P1112" s="198">
        <f>'02 项目基础信息（输入）'!$I$48</f>
        <v>0</v>
      </c>
      <c r="Q1112" s="233">
        <f t="shared" si="129"/>
        <v>0</v>
      </c>
      <c r="S1112" s="217"/>
      <c r="U1112" s="220" t="s">
        <v>2901</v>
      </c>
    </row>
    <row r="1113" spans="1:21" ht="0" hidden="1" customHeight="1" outlineLevel="3">
      <c r="A1113" s="192" t="s">
        <v>2079</v>
      </c>
      <c r="B1113" s="192"/>
      <c r="C1113" s="197" t="s">
        <v>1609</v>
      </c>
      <c r="D1113" s="198">
        <f>'02 项目基础信息（输入）'!$C$48</f>
        <v>0</v>
      </c>
      <c r="E1113" s="199" t="s">
        <v>93</v>
      </c>
      <c r="F1113" s="197" t="s">
        <v>754</v>
      </c>
      <c r="G1113" s="82">
        <v>0</v>
      </c>
      <c r="H1113" s="199" t="s">
        <v>298</v>
      </c>
      <c r="I1113" s="198">
        <f>G1113*D1113</f>
        <v>0</v>
      </c>
      <c r="J1113" s="199" t="s">
        <v>93</v>
      </c>
      <c r="K1113" s="188">
        <v>0</v>
      </c>
      <c r="L1113" s="209" t="s">
        <v>675</v>
      </c>
      <c r="M1113" s="207">
        <f>ROUND(K1113*I1113/10000,6)</f>
        <v>0</v>
      </c>
      <c r="N1113" s="198">
        <f>'02 项目基础信息（输入）'!$C$48</f>
        <v>0</v>
      </c>
      <c r="O1113" s="198">
        <f t="shared" si="128"/>
        <v>0</v>
      </c>
      <c r="P1113" s="198">
        <f>'02 项目基础信息（输入）'!$I$48</f>
        <v>0</v>
      </c>
      <c r="Q1113" s="233">
        <f t="shared" si="129"/>
        <v>0</v>
      </c>
      <c r="S1113" s="217"/>
      <c r="U1113" s="220" t="s">
        <v>2902</v>
      </c>
    </row>
    <row r="1114" spans="1:21" ht="0" hidden="1" customHeight="1" outlineLevel="3">
      <c r="A1114" s="192" t="s">
        <v>2081</v>
      </c>
      <c r="B1114" s="192"/>
      <c r="C1114" s="197" t="s">
        <v>1609</v>
      </c>
      <c r="D1114" s="198">
        <f>'02 项目基础信息（输入）'!$C$48</f>
        <v>0</v>
      </c>
      <c r="E1114" s="199" t="s">
        <v>93</v>
      </c>
      <c r="F1114" s="197" t="s">
        <v>754</v>
      </c>
      <c r="G1114" s="82">
        <v>0</v>
      </c>
      <c r="H1114" s="199" t="s">
        <v>298</v>
      </c>
      <c r="I1114" s="198">
        <f>G1114*D1114</f>
        <v>0</v>
      </c>
      <c r="J1114" s="199" t="s">
        <v>93</v>
      </c>
      <c r="K1114" s="188">
        <v>0</v>
      </c>
      <c r="L1114" s="209" t="s">
        <v>675</v>
      </c>
      <c r="M1114" s="207">
        <f>ROUND(K1114*I1114/10000,6)</f>
        <v>0</v>
      </c>
      <c r="N1114" s="198">
        <f>'02 项目基础信息（输入）'!$C$48</f>
        <v>0</v>
      </c>
      <c r="O1114" s="198">
        <f t="shared" si="128"/>
        <v>0</v>
      </c>
      <c r="P1114" s="198">
        <f>'02 项目基础信息（输入）'!$I$48</f>
        <v>0</v>
      </c>
      <c r="Q1114" s="233">
        <f t="shared" si="129"/>
        <v>0</v>
      </c>
      <c r="S1114" s="217"/>
      <c r="U1114" s="220" t="s">
        <v>2903</v>
      </c>
    </row>
    <row r="1115" spans="1:21" ht="0" hidden="1" customHeight="1" outlineLevel="3">
      <c r="A1115" s="192" t="s">
        <v>2083</v>
      </c>
      <c r="B1115" s="192"/>
      <c r="C1115" s="197" t="s">
        <v>1609</v>
      </c>
      <c r="D1115" s="198">
        <f>'02 项目基础信息（输入）'!$C$48</f>
        <v>0</v>
      </c>
      <c r="E1115" s="199" t="s">
        <v>93</v>
      </c>
      <c r="F1115" s="197" t="s">
        <v>2084</v>
      </c>
      <c r="G1115" s="82">
        <v>0</v>
      </c>
      <c r="H1115" s="199" t="s">
        <v>298</v>
      </c>
      <c r="I1115" s="198">
        <f>G1115*D1115</f>
        <v>0</v>
      </c>
      <c r="J1115" s="199" t="s">
        <v>93</v>
      </c>
      <c r="K1115" s="188">
        <v>0</v>
      </c>
      <c r="L1115" s="209" t="s">
        <v>675</v>
      </c>
      <c r="M1115" s="207">
        <f>ROUND(K1115*I1115/10000,6)</f>
        <v>0</v>
      </c>
      <c r="N1115" s="198">
        <f>'02 项目基础信息（输入）'!$C$48</f>
        <v>0</v>
      </c>
      <c r="O1115" s="198">
        <f t="shared" si="128"/>
        <v>0</v>
      </c>
      <c r="P1115" s="198">
        <f>'02 项目基础信息（输入）'!$I$48</f>
        <v>0</v>
      </c>
      <c r="Q1115" s="233">
        <f t="shared" si="129"/>
        <v>0</v>
      </c>
      <c r="S1115" s="217"/>
      <c r="U1115" s="220" t="s">
        <v>2904</v>
      </c>
    </row>
    <row r="1116" spans="1:21" ht="0" hidden="1" customHeight="1" outlineLevel="3">
      <c r="A1116" s="192" t="s">
        <v>1788</v>
      </c>
      <c r="B1116" s="192"/>
      <c r="C1116" s="197" t="s">
        <v>1609</v>
      </c>
      <c r="D1116" s="198">
        <f>'02 项目基础信息（输入）'!$C$48</f>
        <v>0</v>
      </c>
      <c r="E1116" s="199" t="s">
        <v>93</v>
      </c>
      <c r="F1116" s="197" t="s">
        <v>1609</v>
      </c>
      <c r="G1116" s="199">
        <v>1</v>
      </c>
      <c r="H1116" s="199" t="s">
        <v>298</v>
      </c>
      <c r="I1116" s="198">
        <f>G1116*D1116</f>
        <v>0</v>
      </c>
      <c r="J1116" s="199" t="s">
        <v>93</v>
      </c>
      <c r="K1116" s="188">
        <v>0</v>
      </c>
      <c r="L1116" s="209" t="s">
        <v>675</v>
      </c>
      <c r="M1116" s="207">
        <f>ROUND(K1116*I1116/10000,6)</f>
        <v>0</v>
      </c>
      <c r="N1116" s="198">
        <f>'02 项目基础信息（输入）'!$C$48</f>
        <v>0</v>
      </c>
      <c r="O1116" s="198">
        <f t="shared" si="128"/>
        <v>0</v>
      </c>
      <c r="P1116" s="198">
        <f>'02 项目基础信息（输入）'!$I$48</f>
        <v>0</v>
      </c>
      <c r="Q1116" s="233">
        <f t="shared" si="129"/>
        <v>0</v>
      </c>
      <c r="S1116" s="217"/>
      <c r="U1116" s="220" t="s">
        <v>2905</v>
      </c>
    </row>
    <row r="1117" spans="1:21" ht="0" hidden="1" customHeight="1" outlineLevel="2">
      <c r="A1117" s="192" t="s">
        <v>1790</v>
      </c>
      <c r="B1117" s="192"/>
      <c r="C1117" s="197" t="s">
        <v>1609</v>
      </c>
      <c r="D1117" s="198">
        <f>'02 项目基础信息（输入）'!$C$48</f>
        <v>0</v>
      </c>
      <c r="E1117" s="199" t="s">
        <v>93</v>
      </c>
      <c r="F1117" s="197"/>
      <c r="G1117" s="199"/>
      <c r="H1117" s="199"/>
      <c r="I1117" s="197"/>
      <c r="J1117" s="199"/>
      <c r="K1117" s="198"/>
      <c r="L1117" s="209"/>
      <c r="M1117" s="198">
        <f>ROUND(SUM(M1118:M1121),6)</f>
        <v>0</v>
      </c>
      <c r="N1117" s="198">
        <f>'02 项目基础信息（输入）'!$C$48</f>
        <v>0</v>
      </c>
      <c r="O1117" s="198">
        <f t="shared" si="128"/>
        <v>0</v>
      </c>
      <c r="P1117" s="198">
        <f>'02 项目基础信息（输入）'!$I$48</f>
        <v>0</v>
      </c>
      <c r="Q1117" s="233">
        <f t="shared" si="129"/>
        <v>0</v>
      </c>
      <c r="S1117" s="217" t="s">
        <v>1313</v>
      </c>
      <c r="U1117" s="220" t="s">
        <v>2906</v>
      </c>
    </row>
    <row r="1118" spans="1:21" ht="0" hidden="1" customHeight="1" outlineLevel="3">
      <c r="A1118" s="192" t="s">
        <v>1792</v>
      </c>
      <c r="B1118" s="192"/>
      <c r="C1118" s="197" t="s">
        <v>1609</v>
      </c>
      <c r="D1118" s="198">
        <f>'02 项目基础信息（输入）'!$C$48</f>
        <v>0</v>
      </c>
      <c r="E1118" s="199" t="s">
        <v>93</v>
      </c>
      <c r="F1118" s="197" t="s">
        <v>727</v>
      </c>
      <c r="G1118" s="82">
        <v>0</v>
      </c>
      <c r="H1118" s="199" t="s">
        <v>298</v>
      </c>
      <c r="I1118" s="198">
        <f>G1118*D1118</f>
        <v>0</v>
      </c>
      <c r="J1118" s="199" t="s">
        <v>93</v>
      </c>
      <c r="K1118" s="188">
        <v>0</v>
      </c>
      <c r="L1118" s="209" t="s">
        <v>675</v>
      </c>
      <c r="M1118" s="207">
        <f>ROUND(K1118*I1118/10000,6)</f>
        <v>0</v>
      </c>
      <c r="N1118" s="198">
        <f>'02 项目基础信息（输入）'!$C$48</f>
        <v>0</v>
      </c>
      <c r="O1118" s="198">
        <f t="shared" si="128"/>
        <v>0</v>
      </c>
      <c r="P1118" s="198">
        <f>'02 项目基础信息（输入）'!$I$48</f>
        <v>0</v>
      </c>
      <c r="Q1118" s="233">
        <f t="shared" si="129"/>
        <v>0</v>
      </c>
      <c r="S1118" s="217"/>
      <c r="U1118" s="220" t="s">
        <v>2907</v>
      </c>
    </row>
    <row r="1119" spans="1:21" ht="0" hidden="1" customHeight="1" outlineLevel="3">
      <c r="A1119" s="192" t="s">
        <v>1794</v>
      </c>
      <c r="B1119" s="192"/>
      <c r="C1119" s="197" t="s">
        <v>1609</v>
      </c>
      <c r="D1119" s="198">
        <f>'02 项目基础信息（输入）'!$C$48</f>
        <v>0</v>
      </c>
      <c r="E1119" s="199" t="s">
        <v>93</v>
      </c>
      <c r="F1119" s="197" t="s">
        <v>727</v>
      </c>
      <c r="G1119" s="82">
        <v>0</v>
      </c>
      <c r="H1119" s="199" t="s">
        <v>298</v>
      </c>
      <c r="I1119" s="198">
        <f>G1119*D1119</f>
        <v>0</v>
      </c>
      <c r="J1119" s="199" t="s">
        <v>93</v>
      </c>
      <c r="K1119" s="188">
        <v>0</v>
      </c>
      <c r="L1119" s="209" t="s">
        <v>675</v>
      </c>
      <c r="M1119" s="207">
        <f>ROUND(K1119*I1119/10000,6)</f>
        <v>0</v>
      </c>
      <c r="N1119" s="198">
        <f>'02 项目基础信息（输入）'!$C$48</f>
        <v>0</v>
      </c>
      <c r="O1119" s="198">
        <f t="shared" si="128"/>
        <v>0</v>
      </c>
      <c r="P1119" s="198">
        <f>'02 项目基础信息（输入）'!$I$48</f>
        <v>0</v>
      </c>
      <c r="Q1119" s="233">
        <f t="shared" si="129"/>
        <v>0</v>
      </c>
      <c r="S1119" s="217"/>
      <c r="U1119" s="220" t="s">
        <v>2908</v>
      </c>
    </row>
    <row r="1120" spans="1:21" ht="0" hidden="1" customHeight="1" outlineLevel="3">
      <c r="A1120" s="192" t="s">
        <v>1796</v>
      </c>
      <c r="B1120" s="192"/>
      <c r="C1120" s="197" t="s">
        <v>1609</v>
      </c>
      <c r="D1120" s="198">
        <f>'02 项目基础信息（输入）'!$C$48</f>
        <v>0</v>
      </c>
      <c r="E1120" s="199" t="s">
        <v>93</v>
      </c>
      <c r="F1120" s="197" t="s">
        <v>727</v>
      </c>
      <c r="G1120" s="82">
        <v>0</v>
      </c>
      <c r="H1120" s="199" t="s">
        <v>298</v>
      </c>
      <c r="I1120" s="198">
        <f>G1120*D1120</f>
        <v>0</v>
      </c>
      <c r="J1120" s="199" t="s">
        <v>93</v>
      </c>
      <c r="K1120" s="188">
        <v>0</v>
      </c>
      <c r="L1120" s="209" t="s">
        <v>675</v>
      </c>
      <c r="M1120" s="207">
        <f>ROUND(K1120*I1120/10000,6)</f>
        <v>0</v>
      </c>
      <c r="N1120" s="198">
        <f>'02 项目基础信息（输入）'!$C$48</f>
        <v>0</v>
      </c>
      <c r="O1120" s="198">
        <f t="shared" si="128"/>
        <v>0</v>
      </c>
      <c r="P1120" s="198">
        <f>'02 项目基础信息（输入）'!$I$48</f>
        <v>0</v>
      </c>
      <c r="Q1120" s="233">
        <f t="shared" si="129"/>
        <v>0</v>
      </c>
      <c r="S1120" s="217"/>
      <c r="U1120" s="220" t="s">
        <v>2909</v>
      </c>
    </row>
    <row r="1121" spans="1:21" ht="0" hidden="1" customHeight="1" outlineLevel="3">
      <c r="A1121" s="192" t="s">
        <v>1798</v>
      </c>
      <c r="B1121" s="192"/>
      <c r="C1121" s="197" t="s">
        <v>1609</v>
      </c>
      <c r="D1121" s="198">
        <f>'02 项目基础信息（输入）'!$C$48</f>
        <v>0</v>
      </c>
      <c r="E1121" s="199" t="s">
        <v>93</v>
      </c>
      <c r="F1121" s="197" t="s">
        <v>727</v>
      </c>
      <c r="G1121" s="82">
        <v>0</v>
      </c>
      <c r="H1121" s="199" t="s">
        <v>298</v>
      </c>
      <c r="I1121" s="198">
        <f>G1121*D1121</f>
        <v>0</v>
      </c>
      <c r="J1121" s="199" t="s">
        <v>93</v>
      </c>
      <c r="K1121" s="188">
        <v>0</v>
      </c>
      <c r="L1121" s="209" t="s">
        <v>675</v>
      </c>
      <c r="M1121" s="207">
        <f>ROUND(K1121*I1121/10000,6)</f>
        <v>0</v>
      </c>
      <c r="N1121" s="198">
        <f>'02 项目基础信息（输入）'!$C$48</f>
        <v>0</v>
      </c>
      <c r="O1121" s="198">
        <f t="shared" si="128"/>
        <v>0</v>
      </c>
      <c r="P1121" s="198">
        <f>'02 项目基础信息（输入）'!$I$48</f>
        <v>0</v>
      </c>
      <c r="Q1121" s="233">
        <f t="shared" si="129"/>
        <v>0</v>
      </c>
      <c r="S1121" s="217"/>
      <c r="U1121" s="220" t="s">
        <v>2910</v>
      </c>
    </row>
    <row r="1122" spans="1:21" ht="0" hidden="1" customHeight="1" outlineLevel="2">
      <c r="A1122" s="192" t="s">
        <v>1800</v>
      </c>
      <c r="B1122" s="192"/>
      <c r="C1122" s="197" t="s">
        <v>1609</v>
      </c>
      <c r="D1122" s="198">
        <f>'02 项目基础信息（输入）'!$C$48</f>
        <v>0</v>
      </c>
      <c r="E1122" s="199" t="s">
        <v>93</v>
      </c>
      <c r="F1122" s="197"/>
      <c r="G1122" s="199"/>
      <c r="H1122" s="199"/>
      <c r="I1122" s="197"/>
      <c r="J1122" s="199"/>
      <c r="K1122" s="198"/>
      <c r="L1122" s="209"/>
      <c r="M1122" s="198">
        <f>ROUND(SUM(M1123:M1138),6)</f>
        <v>0</v>
      </c>
      <c r="N1122" s="198">
        <f>'02 项目基础信息（输入）'!$C$48</f>
        <v>0</v>
      </c>
      <c r="O1122" s="198">
        <f t="shared" si="128"/>
        <v>0</v>
      </c>
      <c r="P1122" s="198">
        <f>'02 项目基础信息（输入）'!$I$48</f>
        <v>0</v>
      </c>
      <c r="Q1122" s="233">
        <f t="shared" si="129"/>
        <v>0</v>
      </c>
      <c r="S1122" s="217" t="s">
        <v>1314</v>
      </c>
      <c r="U1122" s="220" t="s">
        <v>2911</v>
      </c>
    </row>
    <row r="1123" spans="1:21" ht="0" hidden="1" customHeight="1" outlineLevel="3">
      <c r="A1123" s="192" t="s">
        <v>1802</v>
      </c>
      <c r="B1123" s="192"/>
      <c r="C1123" s="197" t="s">
        <v>476</v>
      </c>
      <c r="D1123" s="198">
        <f>'02 项目基础信息（输入）'!$AF$48</f>
        <v>0</v>
      </c>
      <c r="E1123" s="199" t="s">
        <v>93</v>
      </c>
      <c r="F1123" s="197" t="s">
        <v>1803</v>
      </c>
      <c r="G1123" s="237">
        <v>0</v>
      </c>
      <c r="H1123" s="199" t="s">
        <v>123</v>
      </c>
      <c r="I1123" s="198">
        <f t="shared" ref="I1123:I1136" si="132">G1123*D1123/100</f>
        <v>0</v>
      </c>
      <c r="J1123" s="199" t="s">
        <v>93</v>
      </c>
      <c r="K1123" s="188">
        <v>0</v>
      </c>
      <c r="L1123" s="209" t="s">
        <v>675</v>
      </c>
      <c r="M1123" s="207">
        <f t="shared" ref="M1123:M1138" si="133">ROUND(K1123*I1123/10000,6)</f>
        <v>0</v>
      </c>
      <c r="N1123" s="198">
        <f>'02 项目基础信息（输入）'!$C$48</f>
        <v>0</v>
      </c>
      <c r="O1123" s="198">
        <f t="shared" si="128"/>
        <v>0</v>
      </c>
      <c r="P1123" s="198">
        <f>'02 项目基础信息（输入）'!$I$48</f>
        <v>0</v>
      </c>
      <c r="Q1123" s="233">
        <f t="shared" si="129"/>
        <v>0</v>
      </c>
      <c r="S1123" s="217"/>
      <c r="U1123" s="220" t="s">
        <v>2912</v>
      </c>
    </row>
    <row r="1124" spans="1:21" ht="0" hidden="1" customHeight="1" outlineLevel="3">
      <c r="A1124" s="192" t="s">
        <v>1805</v>
      </c>
      <c r="B1124" s="192"/>
      <c r="C1124" s="197" t="s">
        <v>476</v>
      </c>
      <c r="D1124" s="198">
        <f>'02 项目基础信息（输入）'!$AF$48</f>
        <v>0</v>
      </c>
      <c r="E1124" s="199" t="s">
        <v>93</v>
      </c>
      <c r="F1124" s="197" t="s">
        <v>1803</v>
      </c>
      <c r="G1124" s="237">
        <v>0</v>
      </c>
      <c r="H1124" s="199" t="s">
        <v>123</v>
      </c>
      <c r="I1124" s="198">
        <f t="shared" si="132"/>
        <v>0</v>
      </c>
      <c r="J1124" s="199" t="s">
        <v>93</v>
      </c>
      <c r="K1124" s="188">
        <v>0</v>
      </c>
      <c r="L1124" s="209" t="s">
        <v>675</v>
      </c>
      <c r="M1124" s="207">
        <f t="shared" si="133"/>
        <v>0</v>
      </c>
      <c r="N1124" s="198">
        <f>'02 项目基础信息（输入）'!$C$48</f>
        <v>0</v>
      </c>
      <c r="O1124" s="198">
        <f t="shared" si="128"/>
        <v>0</v>
      </c>
      <c r="P1124" s="198">
        <f>'02 项目基础信息（输入）'!$I$48</f>
        <v>0</v>
      </c>
      <c r="Q1124" s="233">
        <f t="shared" si="129"/>
        <v>0</v>
      </c>
      <c r="S1124" s="217"/>
      <c r="U1124" s="220" t="s">
        <v>2913</v>
      </c>
    </row>
    <row r="1125" spans="1:21" ht="0" hidden="1" customHeight="1" outlineLevel="3">
      <c r="A1125" s="192" t="s">
        <v>1807</v>
      </c>
      <c r="B1125" s="192"/>
      <c r="C1125" s="197" t="s">
        <v>476</v>
      </c>
      <c r="D1125" s="198">
        <f>'02 项目基础信息（输入）'!$AF$48</f>
        <v>0</v>
      </c>
      <c r="E1125" s="199" t="s">
        <v>93</v>
      </c>
      <c r="F1125" s="197" t="s">
        <v>1803</v>
      </c>
      <c r="G1125" s="237">
        <v>0</v>
      </c>
      <c r="H1125" s="199" t="s">
        <v>123</v>
      </c>
      <c r="I1125" s="198">
        <f t="shared" si="132"/>
        <v>0</v>
      </c>
      <c r="J1125" s="199" t="s">
        <v>93</v>
      </c>
      <c r="K1125" s="188">
        <v>0</v>
      </c>
      <c r="L1125" s="209" t="s">
        <v>675</v>
      </c>
      <c r="M1125" s="207">
        <f t="shared" si="133"/>
        <v>0</v>
      </c>
      <c r="N1125" s="198">
        <f>'02 项目基础信息（输入）'!$C$48</f>
        <v>0</v>
      </c>
      <c r="O1125" s="198">
        <f t="shared" si="128"/>
        <v>0</v>
      </c>
      <c r="P1125" s="198">
        <f>'02 项目基础信息（输入）'!$I$48</f>
        <v>0</v>
      </c>
      <c r="Q1125" s="233">
        <f t="shared" si="129"/>
        <v>0</v>
      </c>
      <c r="S1125" s="217"/>
      <c r="U1125" s="220" t="s">
        <v>2914</v>
      </c>
    </row>
    <row r="1126" spans="1:21" ht="0" hidden="1" customHeight="1" outlineLevel="3">
      <c r="A1126" s="192" t="s">
        <v>1809</v>
      </c>
      <c r="B1126" s="192"/>
      <c r="C1126" s="197" t="s">
        <v>476</v>
      </c>
      <c r="D1126" s="198">
        <f>'02 项目基础信息（输入）'!$AF$48</f>
        <v>0</v>
      </c>
      <c r="E1126" s="199" t="s">
        <v>93</v>
      </c>
      <c r="F1126" s="197" t="s">
        <v>1803</v>
      </c>
      <c r="G1126" s="237">
        <v>0</v>
      </c>
      <c r="H1126" s="199" t="s">
        <v>123</v>
      </c>
      <c r="I1126" s="198">
        <f t="shared" si="132"/>
        <v>0</v>
      </c>
      <c r="J1126" s="199" t="s">
        <v>93</v>
      </c>
      <c r="K1126" s="188">
        <v>0</v>
      </c>
      <c r="L1126" s="209" t="s">
        <v>675</v>
      </c>
      <c r="M1126" s="207">
        <f t="shared" si="133"/>
        <v>0</v>
      </c>
      <c r="N1126" s="198">
        <f>'02 项目基础信息（输入）'!$C$48</f>
        <v>0</v>
      </c>
      <c r="O1126" s="198">
        <f t="shared" si="128"/>
        <v>0</v>
      </c>
      <c r="P1126" s="198">
        <f>'02 项目基础信息（输入）'!$I$48</f>
        <v>0</v>
      </c>
      <c r="Q1126" s="233">
        <f t="shared" si="129"/>
        <v>0</v>
      </c>
      <c r="S1126" s="217"/>
      <c r="U1126" s="220" t="s">
        <v>2915</v>
      </c>
    </row>
    <row r="1127" spans="1:21" ht="0" hidden="1" customHeight="1" outlineLevel="3">
      <c r="A1127" s="192" t="s">
        <v>1811</v>
      </c>
      <c r="B1127" s="192"/>
      <c r="C1127" s="197" t="s">
        <v>476</v>
      </c>
      <c r="D1127" s="198">
        <f>'02 项目基础信息（输入）'!$AF$48</f>
        <v>0</v>
      </c>
      <c r="E1127" s="199" t="s">
        <v>93</v>
      </c>
      <c r="F1127" s="197" t="s">
        <v>1803</v>
      </c>
      <c r="G1127" s="237">
        <v>0</v>
      </c>
      <c r="H1127" s="199" t="s">
        <v>123</v>
      </c>
      <c r="I1127" s="198">
        <f t="shared" si="132"/>
        <v>0</v>
      </c>
      <c r="J1127" s="199" t="s">
        <v>93</v>
      </c>
      <c r="K1127" s="188">
        <v>0</v>
      </c>
      <c r="L1127" s="209" t="s">
        <v>675</v>
      </c>
      <c r="M1127" s="207">
        <f t="shared" si="133"/>
        <v>0</v>
      </c>
      <c r="N1127" s="198">
        <f>'02 项目基础信息（输入）'!$C$48</f>
        <v>0</v>
      </c>
      <c r="O1127" s="198">
        <f t="shared" si="128"/>
        <v>0</v>
      </c>
      <c r="P1127" s="198">
        <f>'02 项目基础信息（输入）'!$I$48</f>
        <v>0</v>
      </c>
      <c r="Q1127" s="233">
        <f t="shared" si="129"/>
        <v>0</v>
      </c>
      <c r="S1127" s="217"/>
      <c r="U1127" s="220" t="s">
        <v>2916</v>
      </c>
    </row>
    <row r="1128" spans="1:21" ht="0" hidden="1" customHeight="1" outlineLevel="3">
      <c r="A1128" s="192" t="s">
        <v>1813</v>
      </c>
      <c r="B1128" s="192"/>
      <c r="C1128" s="197" t="s">
        <v>476</v>
      </c>
      <c r="D1128" s="198">
        <f>'02 项目基础信息（输入）'!$AF$48</f>
        <v>0</v>
      </c>
      <c r="E1128" s="199" t="s">
        <v>93</v>
      </c>
      <c r="F1128" s="197" t="s">
        <v>1803</v>
      </c>
      <c r="G1128" s="237">
        <v>0</v>
      </c>
      <c r="H1128" s="199" t="s">
        <v>123</v>
      </c>
      <c r="I1128" s="198">
        <f t="shared" si="132"/>
        <v>0</v>
      </c>
      <c r="J1128" s="199" t="s">
        <v>93</v>
      </c>
      <c r="K1128" s="188">
        <v>0</v>
      </c>
      <c r="L1128" s="209" t="s">
        <v>675</v>
      </c>
      <c r="M1128" s="207">
        <f t="shared" si="133"/>
        <v>0</v>
      </c>
      <c r="N1128" s="198">
        <f>'02 项目基础信息（输入）'!$C$48</f>
        <v>0</v>
      </c>
      <c r="O1128" s="198">
        <f t="shared" si="128"/>
        <v>0</v>
      </c>
      <c r="P1128" s="198">
        <f>'02 项目基础信息（输入）'!$I$48</f>
        <v>0</v>
      </c>
      <c r="Q1128" s="233">
        <f t="shared" si="129"/>
        <v>0</v>
      </c>
      <c r="S1128" s="217"/>
      <c r="U1128" s="220" t="s">
        <v>2917</v>
      </c>
    </row>
    <row r="1129" spans="1:21" ht="0" hidden="1" customHeight="1" outlineLevel="3">
      <c r="A1129" s="192" t="s">
        <v>1815</v>
      </c>
      <c r="B1129" s="192"/>
      <c r="C1129" s="197" t="s">
        <v>476</v>
      </c>
      <c r="D1129" s="198">
        <f>'02 项目基础信息（输入）'!$AF$48</f>
        <v>0</v>
      </c>
      <c r="E1129" s="199" t="s">
        <v>93</v>
      </c>
      <c r="F1129" s="197" t="s">
        <v>1803</v>
      </c>
      <c r="G1129" s="237">
        <v>0</v>
      </c>
      <c r="H1129" s="199" t="s">
        <v>123</v>
      </c>
      <c r="I1129" s="198">
        <f t="shared" si="132"/>
        <v>0</v>
      </c>
      <c r="J1129" s="199" t="s">
        <v>93</v>
      </c>
      <c r="K1129" s="188">
        <v>0</v>
      </c>
      <c r="L1129" s="209" t="s">
        <v>675</v>
      </c>
      <c r="M1129" s="207">
        <f t="shared" si="133"/>
        <v>0</v>
      </c>
      <c r="N1129" s="198">
        <f>'02 项目基础信息（输入）'!$C$48</f>
        <v>0</v>
      </c>
      <c r="O1129" s="198">
        <f t="shared" si="128"/>
        <v>0</v>
      </c>
      <c r="P1129" s="198">
        <f>'02 项目基础信息（输入）'!$I$48</f>
        <v>0</v>
      </c>
      <c r="Q1129" s="233">
        <f t="shared" si="129"/>
        <v>0</v>
      </c>
      <c r="S1129" s="217"/>
      <c r="U1129" s="220" t="s">
        <v>2918</v>
      </c>
    </row>
    <row r="1130" spans="1:21" ht="0" hidden="1" customHeight="1" outlineLevel="3">
      <c r="A1130" s="192" t="s">
        <v>1817</v>
      </c>
      <c r="B1130" s="192"/>
      <c r="C1130" s="197" t="s">
        <v>476</v>
      </c>
      <c r="D1130" s="198">
        <f>'02 项目基础信息（输入）'!$AF$48</f>
        <v>0</v>
      </c>
      <c r="E1130" s="199" t="s">
        <v>93</v>
      </c>
      <c r="F1130" s="197" t="s">
        <v>1803</v>
      </c>
      <c r="G1130" s="237">
        <v>0</v>
      </c>
      <c r="H1130" s="199" t="s">
        <v>123</v>
      </c>
      <c r="I1130" s="198">
        <f t="shared" si="132"/>
        <v>0</v>
      </c>
      <c r="J1130" s="199" t="s">
        <v>93</v>
      </c>
      <c r="K1130" s="188">
        <v>0</v>
      </c>
      <c r="L1130" s="209" t="s">
        <v>675</v>
      </c>
      <c r="M1130" s="207">
        <f t="shared" si="133"/>
        <v>0</v>
      </c>
      <c r="N1130" s="198">
        <f>'02 项目基础信息（输入）'!$C$48</f>
        <v>0</v>
      </c>
      <c r="O1130" s="198">
        <f t="shared" si="128"/>
        <v>0</v>
      </c>
      <c r="P1130" s="198">
        <f>'02 项目基础信息（输入）'!$I$48</f>
        <v>0</v>
      </c>
      <c r="Q1130" s="233">
        <f t="shared" si="129"/>
        <v>0</v>
      </c>
      <c r="S1130" s="217"/>
      <c r="U1130" s="220" t="s">
        <v>2919</v>
      </c>
    </row>
    <row r="1131" spans="1:21" ht="0" hidden="1" customHeight="1" outlineLevel="3">
      <c r="A1131" s="192" t="s">
        <v>1819</v>
      </c>
      <c r="B1131" s="192"/>
      <c r="C1131" s="197" t="s">
        <v>476</v>
      </c>
      <c r="D1131" s="198">
        <f>'02 项目基础信息（输入）'!$AF$48</f>
        <v>0</v>
      </c>
      <c r="E1131" s="199" t="s">
        <v>93</v>
      </c>
      <c r="F1131" s="197" t="s">
        <v>1803</v>
      </c>
      <c r="G1131" s="237">
        <v>0</v>
      </c>
      <c r="H1131" s="199" t="s">
        <v>123</v>
      </c>
      <c r="I1131" s="198">
        <f t="shared" si="132"/>
        <v>0</v>
      </c>
      <c r="J1131" s="199" t="s">
        <v>93</v>
      </c>
      <c r="K1131" s="188">
        <v>0</v>
      </c>
      <c r="L1131" s="209" t="s">
        <v>675</v>
      </c>
      <c r="M1131" s="207">
        <f t="shared" si="133"/>
        <v>0</v>
      </c>
      <c r="N1131" s="198">
        <f>'02 项目基础信息（输入）'!$C$48</f>
        <v>0</v>
      </c>
      <c r="O1131" s="198">
        <f t="shared" si="128"/>
        <v>0</v>
      </c>
      <c r="P1131" s="198">
        <f>'02 项目基础信息（输入）'!$I$48</f>
        <v>0</v>
      </c>
      <c r="Q1131" s="233">
        <f t="shared" si="129"/>
        <v>0</v>
      </c>
      <c r="S1131" s="217"/>
      <c r="U1131" s="220" t="s">
        <v>2920</v>
      </c>
    </row>
    <row r="1132" spans="1:21" ht="0" hidden="1" customHeight="1" outlineLevel="3">
      <c r="A1132" s="192" t="s">
        <v>1821</v>
      </c>
      <c r="B1132" s="192"/>
      <c r="C1132" s="197" t="s">
        <v>476</v>
      </c>
      <c r="D1132" s="198">
        <f>'02 项目基础信息（输入）'!$AF$48</f>
        <v>0</v>
      </c>
      <c r="E1132" s="199" t="s">
        <v>93</v>
      </c>
      <c r="F1132" s="197" t="s">
        <v>1803</v>
      </c>
      <c r="G1132" s="237">
        <v>0</v>
      </c>
      <c r="H1132" s="199" t="s">
        <v>123</v>
      </c>
      <c r="I1132" s="198">
        <f t="shared" si="132"/>
        <v>0</v>
      </c>
      <c r="J1132" s="199" t="s">
        <v>93</v>
      </c>
      <c r="K1132" s="188">
        <v>0</v>
      </c>
      <c r="L1132" s="209" t="s">
        <v>675</v>
      </c>
      <c r="M1132" s="207">
        <f t="shared" si="133"/>
        <v>0</v>
      </c>
      <c r="N1132" s="198">
        <f>'02 项目基础信息（输入）'!$C$48</f>
        <v>0</v>
      </c>
      <c r="O1132" s="198">
        <f t="shared" si="128"/>
        <v>0</v>
      </c>
      <c r="P1132" s="198">
        <f>'02 项目基础信息（输入）'!$I$48</f>
        <v>0</v>
      </c>
      <c r="Q1132" s="233">
        <f t="shared" si="129"/>
        <v>0</v>
      </c>
      <c r="S1132" s="217"/>
      <c r="U1132" s="220" t="s">
        <v>2921</v>
      </c>
    </row>
    <row r="1133" spans="1:21" ht="0" hidden="1" customHeight="1" outlineLevel="3">
      <c r="A1133" s="192" t="s">
        <v>1823</v>
      </c>
      <c r="B1133" s="192"/>
      <c r="C1133" s="197" t="s">
        <v>476</v>
      </c>
      <c r="D1133" s="198">
        <f>'02 项目基础信息（输入）'!$AF$48</f>
        <v>0</v>
      </c>
      <c r="E1133" s="199" t="s">
        <v>93</v>
      </c>
      <c r="F1133" s="197" t="s">
        <v>1803</v>
      </c>
      <c r="G1133" s="237">
        <v>0</v>
      </c>
      <c r="H1133" s="199" t="s">
        <v>123</v>
      </c>
      <c r="I1133" s="198">
        <f t="shared" si="132"/>
        <v>0</v>
      </c>
      <c r="J1133" s="199" t="s">
        <v>93</v>
      </c>
      <c r="K1133" s="188">
        <v>0</v>
      </c>
      <c r="L1133" s="209" t="s">
        <v>675</v>
      </c>
      <c r="M1133" s="207">
        <f t="shared" si="133"/>
        <v>0</v>
      </c>
      <c r="N1133" s="198">
        <f>'02 项目基础信息（输入）'!$C$48</f>
        <v>0</v>
      </c>
      <c r="O1133" s="198">
        <f t="shared" si="128"/>
        <v>0</v>
      </c>
      <c r="P1133" s="198">
        <f>'02 项目基础信息（输入）'!$I$48</f>
        <v>0</v>
      </c>
      <c r="Q1133" s="233">
        <f t="shared" si="129"/>
        <v>0</v>
      </c>
      <c r="S1133" s="217"/>
      <c r="U1133" s="220" t="s">
        <v>2922</v>
      </c>
    </row>
    <row r="1134" spans="1:21" ht="0" hidden="1" customHeight="1" outlineLevel="3">
      <c r="A1134" s="192" t="s">
        <v>1825</v>
      </c>
      <c r="B1134" s="192"/>
      <c r="C1134" s="197" t="s">
        <v>476</v>
      </c>
      <c r="D1134" s="198">
        <f>'02 项目基础信息（输入）'!$AF$48</f>
        <v>0</v>
      </c>
      <c r="E1134" s="199" t="s">
        <v>93</v>
      </c>
      <c r="F1134" s="197" t="s">
        <v>1803</v>
      </c>
      <c r="G1134" s="237">
        <v>0</v>
      </c>
      <c r="H1134" s="199" t="s">
        <v>123</v>
      </c>
      <c r="I1134" s="198">
        <f t="shared" si="132"/>
        <v>0</v>
      </c>
      <c r="J1134" s="199" t="s">
        <v>93</v>
      </c>
      <c r="K1134" s="188">
        <v>0</v>
      </c>
      <c r="L1134" s="209" t="s">
        <v>675</v>
      </c>
      <c r="M1134" s="207">
        <f t="shared" si="133"/>
        <v>0</v>
      </c>
      <c r="N1134" s="198">
        <f>'02 项目基础信息（输入）'!$C$48</f>
        <v>0</v>
      </c>
      <c r="O1134" s="198">
        <f t="shared" si="128"/>
        <v>0</v>
      </c>
      <c r="P1134" s="198">
        <f>'02 项目基础信息（输入）'!$I$48</f>
        <v>0</v>
      </c>
      <c r="Q1134" s="233">
        <f t="shared" si="129"/>
        <v>0</v>
      </c>
      <c r="S1134" s="217"/>
      <c r="U1134" s="220" t="s">
        <v>2923</v>
      </c>
    </row>
    <row r="1135" spans="1:21" ht="0" hidden="1" customHeight="1" outlineLevel="3">
      <c r="A1135" s="192" t="s">
        <v>1827</v>
      </c>
      <c r="B1135" s="192"/>
      <c r="C1135" s="197" t="s">
        <v>476</v>
      </c>
      <c r="D1135" s="198">
        <f>'02 项目基础信息（输入）'!$AF$48</f>
        <v>0</v>
      </c>
      <c r="E1135" s="199" t="s">
        <v>93</v>
      </c>
      <c r="F1135" s="197" t="s">
        <v>1803</v>
      </c>
      <c r="G1135" s="237">
        <v>0</v>
      </c>
      <c r="H1135" s="199" t="s">
        <v>123</v>
      </c>
      <c r="I1135" s="198">
        <f t="shared" si="132"/>
        <v>0</v>
      </c>
      <c r="J1135" s="199" t="s">
        <v>93</v>
      </c>
      <c r="K1135" s="188">
        <v>0</v>
      </c>
      <c r="L1135" s="209" t="s">
        <v>675</v>
      </c>
      <c r="M1135" s="207">
        <f t="shared" si="133"/>
        <v>0</v>
      </c>
      <c r="N1135" s="198">
        <f>'02 项目基础信息（输入）'!$C$48</f>
        <v>0</v>
      </c>
      <c r="O1135" s="198">
        <f t="shared" si="128"/>
        <v>0</v>
      </c>
      <c r="P1135" s="198">
        <f>'02 项目基础信息（输入）'!$I$48</f>
        <v>0</v>
      </c>
      <c r="Q1135" s="233">
        <f t="shared" si="129"/>
        <v>0</v>
      </c>
      <c r="S1135" s="217"/>
      <c r="U1135" s="220" t="s">
        <v>2924</v>
      </c>
    </row>
    <row r="1136" spans="1:21" ht="0" hidden="1" customHeight="1" outlineLevel="3">
      <c r="A1136" s="192" t="s">
        <v>1829</v>
      </c>
      <c r="B1136" s="192"/>
      <c r="C1136" s="197" t="s">
        <v>476</v>
      </c>
      <c r="D1136" s="198">
        <f>'02 项目基础信息（输入）'!$AF$48</f>
        <v>0</v>
      </c>
      <c r="E1136" s="199" t="s">
        <v>93</v>
      </c>
      <c r="F1136" s="197" t="s">
        <v>1803</v>
      </c>
      <c r="G1136" s="237">
        <v>0</v>
      </c>
      <c r="H1136" s="199" t="s">
        <v>123</v>
      </c>
      <c r="I1136" s="198">
        <f t="shared" si="132"/>
        <v>0</v>
      </c>
      <c r="J1136" s="199" t="s">
        <v>93</v>
      </c>
      <c r="K1136" s="188">
        <v>0</v>
      </c>
      <c r="L1136" s="209" t="s">
        <v>675</v>
      </c>
      <c r="M1136" s="207">
        <f t="shared" si="133"/>
        <v>0</v>
      </c>
      <c r="N1136" s="198">
        <f>'02 项目基础信息（输入）'!$C$48</f>
        <v>0</v>
      </c>
      <c r="O1136" s="198">
        <f t="shared" si="128"/>
        <v>0</v>
      </c>
      <c r="P1136" s="198">
        <f>'02 项目基础信息（输入）'!$I$48</f>
        <v>0</v>
      </c>
      <c r="Q1136" s="233">
        <f t="shared" si="129"/>
        <v>0</v>
      </c>
      <c r="S1136" s="217"/>
      <c r="U1136" s="220" t="s">
        <v>2925</v>
      </c>
    </row>
    <row r="1137" spans="1:21" ht="0" hidden="1" customHeight="1" outlineLevel="3">
      <c r="A1137" s="192" t="s">
        <v>1831</v>
      </c>
      <c r="B1137" s="192"/>
      <c r="C1137" s="197" t="s">
        <v>1609</v>
      </c>
      <c r="D1137" s="198">
        <f>'02 项目基础信息（输入）'!$C$48</f>
        <v>0</v>
      </c>
      <c r="E1137" s="199" t="s">
        <v>93</v>
      </c>
      <c r="F1137" s="197" t="s">
        <v>1609</v>
      </c>
      <c r="G1137" s="199">
        <v>1</v>
      </c>
      <c r="H1137" s="199" t="s">
        <v>298</v>
      </c>
      <c r="I1137" s="198">
        <f>G1137*D1137</f>
        <v>0</v>
      </c>
      <c r="J1137" s="199" t="s">
        <v>93</v>
      </c>
      <c r="K1137" s="188">
        <v>0</v>
      </c>
      <c r="L1137" s="209" t="s">
        <v>675</v>
      </c>
      <c r="M1137" s="207">
        <f t="shared" si="133"/>
        <v>0</v>
      </c>
      <c r="N1137" s="198">
        <f>'02 项目基础信息（输入）'!$C$48</f>
        <v>0</v>
      </c>
      <c r="O1137" s="198">
        <f t="shared" si="128"/>
        <v>0</v>
      </c>
      <c r="P1137" s="198">
        <f>'02 项目基础信息（输入）'!$I$48</f>
        <v>0</v>
      </c>
      <c r="Q1137" s="233">
        <f t="shared" si="129"/>
        <v>0</v>
      </c>
      <c r="S1137" s="217"/>
      <c r="U1137" s="220" t="s">
        <v>2926</v>
      </c>
    </row>
    <row r="1138" spans="1:21" ht="0" hidden="1" customHeight="1" outlineLevel="3">
      <c r="A1138" s="192" t="s">
        <v>1833</v>
      </c>
      <c r="B1138" s="192"/>
      <c r="C1138" s="197" t="s">
        <v>1609</v>
      </c>
      <c r="D1138" s="198">
        <f>'02 项目基础信息（输入）'!$C$48</f>
        <v>0</v>
      </c>
      <c r="E1138" s="199" t="s">
        <v>93</v>
      </c>
      <c r="F1138" s="197" t="s">
        <v>1609</v>
      </c>
      <c r="G1138" s="199">
        <v>1</v>
      </c>
      <c r="H1138" s="199" t="s">
        <v>298</v>
      </c>
      <c r="I1138" s="198">
        <f>G1138*D1138</f>
        <v>0</v>
      </c>
      <c r="J1138" s="199" t="s">
        <v>93</v>
      </c>
      <c r="K1138" s="188">
        <v>0</v>
      </c>
      <c r="L1138" s="209" t="s">
        <v>675</v>
      </c>
      <c r="M1138" s="207">
        <f t="shared" si="133"/>
        <v>0</v>
      </c>
      <c r="N1138" s="198">
        <f>'02 项目基础信息（输入）'!$C$48</f>
        <v>0</v>
      </c>
      <c r="O1138" s="198">
        <f t="shared" si="128"/>
        <v>0</v>
      </c>
      <c r="P1138" s="198">
        <f>'02 项目基础信息（输入）'!$I$48</f>
        <v>0</v>
      </c>
      <c r="Q1138" s="233">
        <f t="shared" si="129"/>
        <v>0</v>
      </c>
      <c r="S1138" s="217"/>
      <c r="U1138" s="220" t="s">
        <v>2927</v>
      </c>
    </row>
    <row r="1139" spans="1:21" ht="0" hidden="1" customHeight="1" outlineLevel="2">
      <c r="A1139" s="192" t="s">
        <v>1835</v>
      </c>
      <c r="B1139" s="192"/>
      <c r="C1139" s="197" t="s">
        <v>1609</v>
      </c>
      <c r="D1139" s="198">
        <f>'02 项目基础信息（输入）'!$C$48</f>
        <v>0</v>
      </c>
      <c r="E1139" s="199" t="s">
        <v>93</v>
      </c>
      <c r="F1139" s="197"/>
      <c r="G1139" s="199"/>
      <c r="H1139" s="199"/>
      <c r="I1139" s="197"/>
      <c r="J1139" s="199"/>
      <c r="K1139" s="198"/>
      <c r="L1139" s="209"/>
      <c r="M1139" s="198">
        <f>ROUND(SUM(M1140:M1143),6)</f>
        <v>0</v>
      </c>
      <c r="N1139" s="198">
        <f>'02 项目基础信息（输入）'!$C$48</f>
        <v>0</v>
      </c>
      <c r="O1139" s="198">
        <f t="shared" si="128"/>
        <v>0</v>
      </c>
      <c r="P1139" s="198">
        <f>'02 项目基础信息（输入）'!$I$48</f>
        <v>0</v>
      </c>
      <c r="Q1139" s="233">
        <f t="shared" si="129"/>
        <v>0</v>
      </c>
      <c r="S1139" s="217" t="s">
        <v>1314</v>
      </c>
      <c r="U1139" s="220" t="s">
        <v>2928</v>
      </c>
    </row>
    <row r="1140" spans="1:21" ht="0" hidden="1" customHeight="1" outlineLevel="3">
      <c r="A1140" s="192" t="s">
        <v>2110</v>
      </c>
      <c r="B1140" s="192"/>
      <c r="C1140" s="197" t="s">
        <v>309</v>
      </c>
      <c r="D1140" s="198">
        <f>'02 项目基础信息（输入）'!$AC$48</f>
        <v>0</v>
      </c>
      <c r="E1140" s="199" t="s">
        <v>310</v>
      </c>
      <c r="F1140" s="197" t="s">
        <v>1843</v>
      </c>
      <c r="G1140" s="82">
        <v>0</v>
      </c>
      <c r="H1140" s="199" t="s">
        <v>789</v>
      </c>
      <c r="I1140" s="198">
        <f>G1140*D1140</f>
        <v>0</v>
      </c>
      <c r="J1140" s="199" t="s">
        <v>131</v>
      </c>
      <c r="K1140" s="188">
        <v>0</v>
      </c>
      <c r="L1140" s="209" t="s">
        <v>792</v>
      </c>
      <c r="M1140" s="207">
        <f>ROUND(K1140*I1140/10000,6)</f>
        <v>0</v>
      </c>
      <c r="N1140" s="198">
        <f>'02 项目基础信息（输入）'!$C$48</f>
        <v>0</v>
      </c>
      <c r="O1140" s="198">
        <f t="shared" si="128"/>
        <v>0</v>
      </c>
      <c r="P1140" s="198">
        <f>'02 项目基础信息（输入）'!$I$48</f>
        <v>0</v>
      </c>
      <c r="Q1140" s="233">
        <f t="shared" si="129"/>
        <v>0</v>
      </c>
      <c r="S1140" s="217"/>
      <c r="U1140" s="220" t="s">
        <v>2929</v>
      </c>
    </row>
    <row r="1141" spans="1:21" ht="0" hidden="1" customHeight="1" outlineLevel="3">
      <c r="A1141" s="192" t="s">
        <v>2112</v>
      </c>
      <c r="B1141" s="192"/>
      <c r="C1141" s="197" t="s">
        <v>309</v>
      </c>
      <c r="D1141" s="198">
        <f>'02 项目基础信息（输入）'!$AC$48</f>
        <v>0</v>
      </c>
      <c r="E1141" s="199" t="s">
        <v>310</v>
      </c>
      <c r="F1141" s="197" t="s">
        <v>1843</v>
      </c>
      <c r="G1141" s="82">
        <v>0</v>
      </c>
      <c r="H1141" s="199" t="s">
        <v>789</v>
      </c>
      <c r="I1141" s="198">
        <f>G1141*D1141</f>
        <v>0</v>
      </c>
      <c r="J1141" s="199" t="s">
        <v>131</v>
      </c>
      <c r="K1141" s="188">
        <v>0</v>
      </c>
      <c r="L1141" s="209" t="s">
        <v>792</v>
      </c>
      <c r="M1141" s="207">
        <f>ROUND(K1141*I1141/10000,6)</f>
        <v>0</v>
      </c>
      <c r="N1141" s="198">
        <f>'02 项目基础信息（输入）'!$C$48</f>
        <v>0</v>
      </c>
      <c r="O1141" s="198">
        <f t="shared" si="128"/>
        <v>0</v>
      </c>
      <c r="P1141" s="198">
        <f>'02 项目基础信息（输入）'!$I$48</f>
        <v>0</v>
      </c>
      <c r="Q1141" s="233">
        <f t="shared" si="129"/>
        <v>0</v>
      </c>
      <c r="S1141" s="217"/>
      <c r="U1141" s="220" t="s">
        <v>2930</v>
      </c>
    </row>
    <row r="1142" spans="1:21" ht="0" hidden="1" customHeight="1" outlineLevel="3">
      <c r="A1142" s="192" t="s">
        <v>1837</v>
      </c>
      <c r="B1142" s="192"/>
      <c r="C1142" s="197" t="s">
        <v>472</v>
      </c>
      <c r="D1142" s="198">
        <f>'02 项目基础信息（输入）'!$AA$48</f>
        <v>0</v>
      </c>
      <c r="E1142" s="199" t="s">
        <v>1838</v>
      </c>
      <c r="F1142" s="197" t="s">
        <v>1839</v>
      </c>
      <c r="G1142" s="82">
        <v>0</v>
      </c>
      <c r="H1142" s="199" t="s">
        <v>1840</v>
      </c>
      <c r="I1142" s="198">
        <f>G1142*D1142</f>
        <v>0</v>
      </c>
      <c r="J1142" s="199" t="s">
        <v>131</v>
      </c>
      <c r="K1142" s="188">
        <v>0</v>
      </c>
      <c r="L1142" s="209" t="s">
        <v>792</v>
      </c>
      <c r="M1142" s="207">
        <f>ROUND(K1142*I1142/10000,6)</f>
        <v>0</v>
      </c>
      <c r="N1142" s="198">
        <f>'02 项目基础信息（输入）'!$C$48</f>
        <v>0</v>
      </c>
      <c r="O1142" s="198">
        <f t="shared" si="128"/>
        <v>0</v>
      </c>
      <c r="P1142" s="198">
        <f>'02 项目基础信息（输入）'!$I$48</f>
        <v>0</v>
      </c>
      <c r="Q1142" s="233">
        <f t="shared" si="129"/>
        <v>0</v>
      </c>
      <c r="S1142" s="217"/>
      <c r="U1142" s="220" t="s">
        <v>2931</v>
      </c>
    </row>
    <row r="1143" spans="1:21" ht="0" hidden="1" customHeight="1" outlineLevel="3">
      <c r="A1143" s="192" t="s">
        <v>1842</v>
      </c>
      <c r="B1143" s="192"/>
      <c r="C1143" s="197" t="s">
        <v>309</v>
      </c>
      <c r="D1143" s="198">
        <f>'02 项目基础信息（输入）'!$AC$48</f>
        <v>0</v>
      </c>
      <c r="E1143" s="199" t="s">
        <v>310</v>
      </c>
      <c r="F1143" s="197" t="s">
        <v>1843</v>
      </c>
      <c r="G1143" s="82">
        <v>0</v>
      </c>
      <c r="H1143" s="199" t="s">
        <v>789</v>
      </c>
      <c r="I1143" s="198">
        <f>G1143*D1143</f>
        <v>0</v>
      </c>
      <c r="J1143" s="199" t="s">
        <v>131</v>
      </c>
      <c r="K1143" s="188">
        <v>0</v>
      </c>
      <c r="L1143" s="209" t="s">
        <v>792</v>
      </c>
      <c r="M1143" s="207">
        <f>ROUND(K1143*I1143/10000,6)</f>
        <v>0</v>
      </c>
      <c r="N1143" s="198">
        <f>'02 项目基础信息（输入）'!$C$48</f>
        <v>0</v>
      </c>
      <c r="O1143" s="198">
        <f t="shared" si="128"/>
        <v>0</v>
      </c>
      <c r="P1143" s="198">
        <f>'02 项目基础信息（输入）'!$I$48</f>
        <v>0</v>
      </c>
      <c r="Q1143" s="233">
        <f t="shared" si="129"/>
        <v>0</v>
      </c>
      <c r="S1143" s="217"/>
      <c r="U1143" s="220" t="s">
        <v>2932</v>
      </c>
    </row>
    <row r="1144" spans="1:21" ht="0" hidden="1" customHeight="1" outlineLevel="2">
      <c r="A1144" s="192" t="s">
        <v>1845</v>
      </c>
      <c r="B1144" s="192"/>
      <c r="C1144" s="197" t="s">
        <v>1609</v>
      </c>
      <c r="D1144" s="198">
        <f>'02 项目基础信息（输入）'!$C$48</f>
        <v>0</v>
      </c>
      <c r="E1144" s="199" t="s">
        <v>93</v>
      </c>
      <c r="F1144" s="197"/>
      <c r="G1144" s="199"/>
      <c r="H1144" s="199"/>
      <c r="I1144" s="197"/>
      <c r="J1144" s="199"/>
      <c r="K1144" s="198"/>
      <c r="L1144" s="209"/>
      <c r="M1144" s="198">
        <f>ROUND(M1145+M1154+M1163+M1164+M1165,6)</f>
        <v>0</v>
      </c>
      <c r="N1144" s="198">
        <f>'02 项目基础信息（输入）'!$C$48</f>
        <v>0</v>
      </c>
      <c r="O1144" s="198">
        <f t="shared" si="128"/>
        <v>0</v>
      </c>
      <c r="P1144" s="198">
        <f>'02 项目基础信息（输入）'!$I$48</f>
        <v>0</v>
      </c>
      <c r="Q1144" s="233">
        <f t="shared" si="129"/>
        <v>0</v>
      </c>
      <c r="S1144" s="217" t="s">
        <v>1314</v>
      </c>
      <c r="U1144" s="220" t="s">
        <v>2933</v>
      </c>
    </row>
    <row r="1145" spans="1:21" ht="0" hidden="1" customHeight="1" outlineLevel="3">
      <c r="A1145" s="192" t="s">
        <v>2117</v>
      </c>
      <c r="B1145" s="192"/>
      <c r="C1145" s="197"/>
      <c r="D1145" s="197">
        <v>0</v>
      </c>
      <c r="E1145" s="199"/>
      <c r="F1145" s="197"/>
      <c r="G1145" s="199"/>
      <c r="H1145" s="199"/>
      <c r="I1145" s="197">
        <v>0</v>
      </c>
      <c r="J1145" s="199"/>
      <c r="K1145" s="198"/>
      <c r="L1145" s="209"/>
      <c r="M1145" s="198">
        <f>ROUND(SUM(M1146:M1153),6)</f>
        <v>0</v>
      </c>
      <c r="N1145" s="198">
        <f>'02 项目基础信息（输入）'!$C$48</f>
        <v>0</v>
      </c>
      <c r="O1145" s="198">
        <f t="shared" si="128"/>
        <v>0</v>
      </c>
      <c r="P1145" s="198">
        <f>'02 项目基础信息（输入）'!$I$48</f>
        <v>0</v>
      </c>
      <c r="Q1145" s="233">
        <f t="shared" si="129"/>
        <v>0</v>
      </c>
      <c r="S1145" s="217"/>
      <c r="U1145" s="220" t="s">
        <v>2934</v>
      </c>
    </row>
    <row r="1146" spans="1:21" ht="0" hidden="1" customHeight="1" outlineLevel="4">
      <c r="A1146" s="192" t="s">
        <v>1849</v>
      </c>
      <c r="B1146" s="192"/>
      <c r="C1146" s="197" t="s">
        <v>1850</v>
      </c>
      <c r="D1146" s="198">
        <f>'02 项目基础信息（输入）'!$N$48</f>
        <v>0</v>
      </c>
      <c r="E1146" s="199" t="s">
        <v>411</v>
      </c>
      <c r="F1146" s="197" t="s">
        <v>460</v>
      </c>
      <c r="G1146" s="235">
        <f>'02 项目基础信息（输入）'!$O$48</f>
        <v>0</v>
      </c>
      <c r="H1146" s="199" t="s">
        <v>400</v>
      </c>
      <c r="I1146" s="198">
        <f t="shared" ref="I1146:I1153" si="134">G1146*D1146</f>
        <v>0</v>
      </c>
      <c r="J1146" s="199" t="s">
        <v>93</v>
      </c>
      <c r="K1146" s="188">
        <v>0</v>
      </c>
      <c r="L1146" s="209" t="s">
        <v>675</v>
      </c>
      <c r="M1146" s="207">
        <f t="shared" ref="M1146:M1153" si="135">ROUND(K1146*I1146/10000,6)</f>
        <v>0</v>
      </c>
      <c r="N1146" s="198">
        <f>'02 项目基础信息（输入）'!$C$48</f>
        <v>0</v>
      </c>
      <c r="O1146" s="198">
        <f t="shared" si="128"/>
        <v>0</v>
      </c>
      <c r="P1146" s="198">
        <f>'02 项目基础信息（输入）'!$I$48</f>
        <v>0</v>
      </c>
      <c r="Q1146" s="233">
        <f t="shared" si="129"/>
        <v>0</v>
      </c>
      <c r="S1146" s="217"/>
      <c r="U1146" s="220" t="s">
        <v>2935</v>
      </c>
    </row>
    <row r="1147" spans="1:21" ht="0" hidden="1" customHeight="1" outlineLevel="4">
      <c r="A1147" s="192" t="s">
        <v>1852</v>
      </c>
      <c r="B1147" s="192"/>
      <c r="C1147" s="197" t="s">
        <v>1850</v>
      </c>
      <c r="D1147" s="198">
        <f>'02 项目基础信息（输入）'!$N$48</f>
        <v>0</v>
      </c>
      <c r="E1147" s="199" t="s">
        <v>411</v>
      </c>
      <c r="F1147" s="197" t="s">
        <v>460</v>
      </c>
      <c r="G1147" s="235">
        <f>'02 项目基础信息（输入）'!$O$48</f>
        <v>0</v>
      </c>
      <c r="H1147" s="199" t="s">
        <v>400</v>
      </c>
      <c r="I1147" s="198">
        <f t="shared" si="134"/>
        <v>0</v>
      </c>
      <c r="J1147" s="199" t="s">
        <v>93</v>
      </c>
      <c r="K1147" s="188">
        <v>0</v>
      </c>
      <c r="L1147" s="209" t="s">
        <v>675</v>
      </c>
      <c r="M1147" s="207">
        <f t="shared" si="135"/>
        <v>0</v>
      </c>
      <c r="N1147" s="198">
        <f>'02 项目基础信息（输入）'!$C$48</f>
        <v>0</v>
      </c>
      <c r="O1147" s="198">
        <f t="shared" si="128"/>
        <v>0</v>
      </c>
      <c r="P1147" s="198">
        <f>'02 项目基础信息（输入）'!$I$48</f>
        <v>0</v>
      </c>
      <c r="Q1147" s="233">
        <f t="shared" si="129"/>
        <v>0</v>
      </c>
      <c r="S1147" s="217"/>
      <c r="U1147" s="220" t="s">
        <v>2936</v>
      </c>
    </row>
    <row r="1148" spans="1:21" ht="0" hidden="1" customHeight="1" outlineLevel="4">
      <c r="A1148" s="192" t="s">
        <v>1854</v>
      </c>
      <c r="B1148" s="192"/>
      <c r="C1148" s="197" t="s">
        <v>1850</v>
      </c>
      <c r="D1148" s="198">
        <f>'02 项目基础信息（输入）'!$N$48</f>
        <v>0</v>
      </c>
      <c r="E1148" s="199" t="s">
        <v>411</v>
      </c>
      <c r="F1148" s="197" t="s">
        <v>460</v>
      </c>
      <c r="G1148" s="235">
        <f>'02 项目基础信息（输入）'!$O$48</f>
        <v>0</v>
      </c>
      <c r="H1148" s="199" t="s">
        <v>400</v>
      </c>
      <c r="I1148" s="198">
        <f t="shared" si="134"/>
        <v>0</v>
      </c>
      <c r="J1148" s="199" t="s">
        <v>93</v>
      </c>
      <c r="K1148" s="188">
        <v>0</v>
      </c>
      <c r="L1148" s="209" t="s">
        <v>675</v>
      </c>
      <c r="M1148" s="207">
        <f t="shared" si="135"/>
        <v>0</v>
      </c>
      <c r="N1148" s="198">
        <f>'02 项目基础信息（输入）'!$C$48</f>
        <v>0</v>
      </c>
      <c r="O1148" s="198">
        <f t="shared" si="128"/>
        <v>0</v>
      </c>
      <c r="P1148" s="198">
        <f>'02 项目基础信息（输入）'!$I$48</f>
        <v>0</v>
      </c>
      <c r="Q1148" s="233">
        <f t="shared" si="129"/>
        <v>0</v>
      </c>
      <c r="S1148" s="217"/>
      <c r="U1148" s="220" t="s">
        <v>2937</v>
      </c>
    </row>
    <row r="1149" spans="1:21" ht="0" hidden="1" customHeight="1" outlineLevel="4">
      <c r="A1149" s="192" t="s">
        <v>1856</v>
      </c>
      <c r="B1149" s="192"/>
      <c r="C1149" s="197" t="s">
        <v>1850</v>
      </c>
      <c r="D1149" s="198">
        <f>'02 项目基础信息（输入）'!$N$48</f>
        <v>0</v>
      </c>
      <c r="E1149" s="199" t="s">
        <v>411</v>
      </c>
      <c r="F1149" s="197" t="s">
        <v>460</v>
      </c>
      <c r="G1149" s="235">
        <f>'02 项目基础信息（输入）'!$O$48</f>
        <v>0</v>
      </c>
      <c r="H1149" s="199" t="s">
        <v>400</v>
      </c>
      <c r="I1149" s="198">
        <f t="shared" si="134"/>
        <v>0</v>
      </c>
      <c r="J1149" s="199" t="s">
        <v>93</v>
      </c>
      <c r="K1149" s="188">
        <v>0</v>
      </c>
      <c r="L1149" s="209" t="s">
        <v>675</v>
      </c>
      <c r="M1149" s="207">
        <f t="shared" si="135"/>
        <v>0</v>
      </c>
      <c r="N1149" s="198">
        <f>'02 项目基础信息（输入）'!$C$48</f>
        <v>0</v>
      </c>
      <c r="O1149" s="198">
        <f t="shared" si="128"/>
        <v>0</v>
      </c>
      <c r="P1149" s="198">
        <f>'02 项目基础信息（输入）'!$I$48</f>
        <v>0</v>
      </c>
      <c r="Q1149" s="233">
        <f t="shared" si="129"/>
        <v>0</v>
      </c>
      <c r="S1149" s="217"/>
      <c r="U1149" s="220" t="s">
        <v>2938</v>
      </c>
    </row>
    <row r="1150" spans="1:21" ht="0" hidden="1" customHeight="1" outlineLevel="4">
      <c r="A1150" s="192" t="s">
        <v>1858</v>
      </c>
      <c r="B1150" s="192"/>
      <c r="C1150" s="197" t="s">
        <v>1850</v>
      </c>
      <c r="D1150" s="198">
        <f>'02 项目基础信息（输入）'!$N$48</f>
        <v>0</v>
      </c>
      <c r="E1150" s="199" t="s">
        <v>411</v>
      </c>
      <c r="F1150" s="197" t="s">
        <v>460</v>
      </c>
      <c r="G1150" s="235">
        <f>'02 项目基础信息（输入）'!$O$48</f>
        <v>0</v>
      </c>
      <c r="H1150" s="199" t="s">
        <v>400</v>
      </c>
      <c r="I1150" s="198">
        <f t="shared" si="134"/>
        <v>0</v>
      </c>
      <c r="J1150" s="199" t="s">
        <v>93</v>
      </c>
      <c r="K1150" s="188">
        <v>0</v>
      </c>
      <c r="L1150" s="209" t="s">
        <v>675</v>
      </c>
      <c r="M1150" s="207">
        <f t="shared" si="135"/>
        <v>0</v>
      </c>
      <c r="N1150" s="198">
        <f>'02 项目基础信息（输入）'!$C$48</f>
        <v>0</v>
      </c>
      <c r="O1150" s="198">
        <f t="shared" si="128"/>
        <v>0</v>
      </c>
      <c r="P1150" s="198">
        <f>'02 项目基础信息（输入）'!$I$48</f>
        <v>0</v>
      </c>
      <c r="Q1150" s="233">
        <f t="shared" si="129"/>
        <v>0</v>
      </c>
      <c r="S1150" s="217"/>
      <c r="U1150" s="220" t="s">
        <v>2939</v>
      </c>
    </row>
    <row r="1151" spans="1:21" ht="0" hidden="1" customHeight="1" outlineLevel="4">
      <c r="A1151" s="192" t="s">
        <v>1860</v>
      </c>
      <c r="B1151" s="192"/>
      <c r="C1151" s="197" t="s">
        <v>1850</v>
      </c>
      <c r="D1151" s="198">
        <f>'02 项目基础信息（输入）'!$N$48</f>
        <v>0</v>
      </c>
      <c r="E1151" s="199" t="s">
        <v>411</v>
      </c>
      <c r="F1151" s="197" t="s">
        <v>460</v>
      </c>
      <c r="G1151" s="235">
        <f>'02 项目基础信息（输入）'!$O$48</f>
        <v>0</v>
      </c>
      <c r="H1151" s="199" t="s">
        <v>400</v>
      </c>
      <c r="I1151" s="198">
        <f t="shared" si="134"/>
        <v>0</v>
      </c>
      <c r="J1151" s="199" t="s">
        <v>93</v>
      </c>
      <c r="K1151" s="188">
        <v>0</v>
      </c>
      <c r="L1151" s="209" t="s">
        <v>675</v>
      </c>
      <c r="M1151" s="207">
        <f t="shared" si="135"/>
        <v>0</v>
      </c>
      <c r="N1151" s="198">
        <f>'02 项目基础信息（输入）'!$C$48</f>
        <v>0</v>
      </c>
      <c r="O1151" s="198">
        <f t="shared" si="128"/>
        <v>0</v>
      </c>
      <c r="P1151" s="198">
        <f>'02 项目基础信息（输入）'!$I$48</f>
        <v>0</v>
      </c>
      <c r="Q1151" s="233">
        <f t="shared" si="129"/>
        <v>0</v>
      </c>
      <c r="S1151" s="217"/>
      <c r="U1151" s="220" t="s">
        <v>2940</v>
      </c>
    </row>
    <row r="1152" spans="1:21" ht="0" hidden="1" customHeight="1" outlineLevel="4">
      <c r="A1152" s="192" t="s">
        <v>1862</v>
      </c>
      <c r="B1152" s="192"/>
      <c r="C1152" s="197" t="s">
        <v>1850</v>
      </c>
      <c r="D1152" s="198">
        <f>'02 项目基础信息（输入）'!$N$48</f>
        <v>0</v>
      </c>
      <c r="E1152" s="199" t="s">
        <v>411</v>
      </c>
      <c r="F1152" s="197" t="s">
        <v>460</v>
      </c>
      <c r="G1152" s="235">
        <f>'02 项目基础信息（输入）'!$O$48</f>
        <v>0</v>
      </c>
      <c r="H1152" s="199" t="s">
        <v>400</v>
      </c>
      <c r="I1152" s="198">
        <f t="shared" si="134"/>
        <v>0</v>
      </c>
      <c r="J1152" s="199" t="s">
        <v>93</v>
      </c>
      <c r="K1152" s="188">
        <v>0</v>
      </c>
      <c r="L1152" s="209" t="s">
        <v>675</v>
      </c>
      <c r="M1152" s="207">
        <f t="shared" si="135"/>
        <v>0</v>
      </c>
      <c r="N1152" s="198">
        <f>'02 项目基础信息（输入）'!$C$48</f>
        <v>0</v>
      </c>
      <c r="O1152" s="198">
        <f t="shared" si="128"/>
        <v>0</v>
      </c>
      <c r="P1152" s="198">
        <f>'02 项目基础信息（输入）'!$I$48</f>
        <v>0</v>
      </c>
      <c r="Q1152" s="233">
        <f t="shared" si="129"/>
        <v>0</v>
      </c>
      <c r="S1152" s="217"/>
      <c r="U1152" s="220" t="s">
        <v>2941</v>
      </c>
    </row>
    <row r="1153" spans="1:21" ht="0" hidden="1" customHeight="1" outlineLevel="4">
      <c r="A1153" s="192" t="s">
        <v>1864</v>
      </c>
      <c r="B1153" s="192"/>
      <c r="C1153" s="197" t="s">
        <v>1850</v>
      </c>
      <c r="D1153" s="198">
        <f>'02 项目基础信息（输入）'!$N$48</f>
        <v>0</v>
      </c>
      <c r="E1153" s="199" t="s">
        <v>411</v>
      </c>
      <c r="F1153" s="197" t="s">
        <v>460</v>
      </c>
      <c r="G1153" s="235">
        <f>'02 项目基础信息（输入）'!$O$48</f>
        <v>0</v>
      </c>
      <c r="H1153" s="199" t="s">
        <v>400</v>
      </c>
      <c r="I1153" s="198">
        <f t="shared" si="134"/>
        <v>0</v>
      </c>
      <c r="J1153" s="199" t="s">
        <v>93</v>
      </c>
      <c r="K1153" s="188">
        <v>0</v>
      </c>
      <c r="L1153" s="209" t="s">
        <v>675</v>
      </c>
      <c r="M1153" s="207">
        <f t="shared" si="135"/>
        <v>0</v>
      </c>
      <c r="N1153" s="198">
        <f>'02 项目基础信息（输入）'!$C$48</f>
        <v>0</v>
      </c>
      <c r="O1153" s="198">
        <f t="shared" si="128"/>
        <v>0</v>
      </c>
      <c r="P1153" s="198">
        <f>'02 项目基础信息（输入）'!$I$48</f>
        <v>0</v>
      </c>
      <c r="Q1153" s="233">
        <f t="shared" si="129"/>
        <v>0</v>
      </c>
      <c r="S1153" s="217"/>
      <c r="U1153" s="220" t="s">
        <v>2942</v>
      </c>
    </row>
    <row r="1154" spans="1:21" ht="0" hidden="1" customHeight="1" outlineLevel="3">
      <c r="A1154" s="192" t="s">
        <v>2127</v>
      </c>
      <c r="B1154" s="192"/>
      <c r="C1154" s="197"/>
      <c r="D1154" s="197">
        <v>0</v>
      </c>
      <c r="E1154" s="199"/>
      <c r="F1154" s="197"/>
      <c r="G1154" s="199"/>
      <c r="H1154" s="199"/>
      <c r="I1154" s="197">
        <v>0</v>
      </c>
      <c r="J1154" s="199"/>
      <c r="K1154" s="198"/>
      <c r="L1154" s="209"/>
      <c r="M1154" s="198">
        <f>ROUND(SUM(M1155:M1162),6)</f>
        <v>0</v>
      </c>
      <c r="N1154" s="198">
        <f>'02 项目基础信息（输入）'!$C$48</f>
        <v>0</v>
      </c>
      <c r="O1154" s="198">
        <f t="shared" si="128"/>
        <v>0</v>
      </c>
      <c r="P1154" s="198">
        <f>'02 项目基础信息（输入）'!$I$48</f>
        <v>0</v>
      </c>
      <c r="Q1154" s="233">
        <f t="shared" si="129"/>
        <v>0</v>
      </c>
      <c r="S1154" s="217"/>
      <c r="U1154" s="220" t="s">
        <v>2943</v>
      </c>
    </row>
    <row r="1155" spans="1:21" ht="0" hidden="1" customHeight="1" outlineLevel="4">
      <c r="A1155" s="192" t="s">
        <v>2129</v>
      </c>
      <c r="B1155" s="192"/>
      <c r="C1155" s="197" t="s">
        <v>2130</v>
      </c>
      <c r="D1155" s="198">
        <f>'02 项目基础信息（输入）'!$K$48</f>
        <v>0</v>
      </c>
      <c r="E1155" s="199" t="s">
        <v>411</v>
      </c>
      <c r="F1155" s="197" t="s">
        <v>457</v>
      </c>
      <c r="G1155" s="235">
        <f>'02 项目基础信息（输入）'!$L$48</f>
        <v>0</v>
      </c>
      <c r="H1155" s="199" t="s">
        <v>400</v>
      </c>
      <c r="I1155" s="198">
        <f t="shared" ref="I1155:I1165" si="136">G1155*D1155</f>
        <v>0</v>
      </c>
      <c r="J1155" s="199" t="s">
        <v>93</v>
      </c>
      <c r="K1155" s="188">
        <v>0</v>
      </c>
      <c r="L1155" s="209" t="s">
        <v>675</v>
      </c>
      <c r="M1155" s="198">
        <f t="shared" ref="M1155:M1165" si="137">ROUND(K1155*I1155/10000,6)</f>
        <v>0</v>
      </c>
      <c r="N1155" s="198">
        <f>'02 项目基础信息（输入）'!$C$48</f>
        <v>0</v>
      </c>
      <c r="O1155" s="198">
        <f t="shared" ref="O1155:O1218" si="138">ROUND(IFERROR(M1155*10000/N1155,0),2)</f>
        <v>0</v>
      </c>
      <c r="P1155" s="198">
        <f>'02 项目基础信息（输入）'!$I$48</f>
        <v>0</v>
      </c>
      <c r="Q1155" s="233">
        <f t="shared" ref="Q1155:Q1218" si="139">ROUND(IFERROR(M1155*10000/P1155,0),2)</f>
        <v>0</v>
      </c>
      <c r="S1155" s="217"/>
      <c r="U1155" s="220" t="s">
        <v>2944</v>
      </c>
    </row>
    <row r="1156" spans="1:21" ht="0" hidden="1" customHeight="1" outlineLevel="4">
      <c r="A1156" s="192" t="s">
        <v>2132</v>
      </c>
      <c r="B1156" s="192"/>
      <c r="C1156" s="197" t="s">
        <v>2130</v>
      </c>
      <c r="D1156" s="198">
        <f>'02 项目基础信息（输入）'!$K$48</f>
        <v>0</v>
      </c>
      <c r="E1156" s="199" t="s">
        <v>411</v>
      </c>
      <c r="F1156" s="197" t="s">
        <v>457</v>
      </c>
      <c r="G1156" s="235">
        <f>'02 项目基础信息（输入）'!$L$48</f>
        <v>0</v>
      </c>
      <c r="H1156" s="199" t="s">
        <v>400</v>
      </c>
      <c r="I1156" s="198">
        <f t="shared" si="136"/>
        <v>0</v>
      </c>
      <c r="J1156" s="199" t="s">
        <v>93</v>
      </c>
      <c r="K1156" s="188">
        <v>0</v>
      </c>
      <c r="L1156" s="209" t="s">
        <v>675</v>
      </c>
      <c r="M1156" s="198">
        <f t="shared" si="137"/>
        <v>0</v>
      </c>
      <c r="N1156" s="198">
        <f>'02 项目基础信息（输入）'!$C$48</f>
        <v>0</v>
      </c>
      <c r="O1156" s="198">
        <f t="shared" si="138"/>
        <v>0</v>
      </c>
      <c r="P1156" s="198">
        <f>'02 项目基础信息（输入）'!$I$48</f>
        <v>0</v>
      </c>
      <c r="Q1156" s="233">
        <f t="shared" si="139"/>
        <v>0</v>
      </c>
      <c r="S1156" s="217"/>
      <c r="U1156" s="220" t="s">
        <v>2945</v>
      </c>
    </row>
    <row r="1157" spans="1:21" ht="0" hidden="1" customHeight="1" outlineLevel="4">
      <c r="A1157" s="192" t="s">
        <v>2134</v>
      </c>
      <c r="B1157" s="192"/>
      <c r="C1157" s="197" t="s">
        <v>2130</v>
      </c>
      <c r="D1157" s="198">
        <f>'02 项目基础信息（输入）'!$K$48</f>
        <v>0</v>
      </c>
      <c r="E1157" s="199" t="s">
        <v>411</v>
      </c>
      <c r="F1157" s="197" t="s">
        <v>457</v>
      </c>
      <c r="G1157" s="235">
        <f>'02 项目基础信息（输入）'!$L$48</f>
        <v>0</v>
      </c>
      <c r="H1157" s="199" t="s">
        <v>400</v>
      </c>
      <c r="I1157" s="198">
        <f t="shared" si="136"/>
        <v>0</v>
      </c>
      <c r="J1157" s="199" t="s">
        <v>93</v>
      </c>
      <c r="K1157" s="188">
        <v>0</v>
      </c>
      <c r="L1157" s="209" t="s">
        <v>675</v>
      </c>
      <c r="M1157" s="198">
        <f t="shared" si="137"/>
        <v>0</v>
      </c>
      <c r="N1157" s="198">
        <f>'02 项目基础信息（输入）'!$C$48</f>
        <v>0</v>
      </c>
      <c r="O1157" s="198">
        <f t="shared" si="138"/>
        <v>0</v>
      </c>
      <c r="P1157" s="198">
        <f>'02 项目基础信息（输入）'!$I$48</f>
        <v>0</v>
      </c>
      <c r="Q1157" s="233">
        <f t="shared" si="139"/>
        <v>0</v>
      </c>
      <c r="S1157" s="217"/>
      <c r="U1157" s="220" t="s">
        <v>2946</v>
      </c>
    </row>
    <row r="1158" spans="1:21" ht="0" hidden="1" customHeight="1" outlineLevel="4">
      <c r="A1158" s="192" t="s">
        <v>2136</v>
      </c>
      <c r="B1158" s="192"/>
      <c r="C1158" s="197" t="s">
        <v>2130</v>
      </c>
      <c r="D1158" s="198">
        <f>'02 项目基础信息（输入）'!$K$48</f>
        <v>0</v>
      </c>
      <c r="E1158" s="199" t="s">
        <v>411</v>
      </c>
      <c r="F1158" s="197" t="s">
        <v>457</v>
      </c>
      <c r="G1158" s="235">
        <f>'02 项目基础信息（输入）'!$L$48</f>
        <v>0</v>
      </c>
      <c r="H1158" s="199" t="s">
        <v>400</v>
      </c>
      <c r="I1158" s="198">
        <f t="shared" si="136"/>
        <v>0</v>
      </c>
      <c r="J1158" s="199" t="s">
        <v>93</v>
      </c>
      <c r="K1158" s="188">
        <v>0</v>
      </c>
      <c r="L1158" s="209" t="s">
        <v>675</v>
      </c>
      <c r="M1158" s="198">
        <f t="shared" si="137"/>
        <v>0</v>
      </c>
      <c r="N1158" s="198">
        <f>'02 项目基础信息（输入）'!$C$48</f>
        <v>0</v>
      </c>
      <c r="O1158" s="198">
        <f t="shared" si="138"/>
        <v>0</v>
      </c>
      <c r="P1158" s="198">
        <f>'02 项目基础信息（输入）'!$I$48</f>
        <v>0</v>
      </c>
      <c r="Q1158" s="233">
        <f t="shared" si="139"/>
        <v>0</v>
      </c>
      <c r="S1158" s="217"/>
      <c r="U1158" s="220" t="s">
        <v>2947</v>
      </c>
    </row>
    <row r="1159" spans="1:21" ht="0" hidden="1" customHeight="1" outlineLevel="4">
      <c r="A1159" s="192" t="s">
        <v>2138</v>
      </c>
      <c r="B1159" s="192"/>
      <c r="C1159" s="197" t="s">
        <v>2130</v>
      </c>
      <c r="D1159" s="198">
        <f>'02 项目基础信息（输入）'!$K$48</f>
        <v>0</v>
      </c>
      <c r="E1159" s="199" t="s">
        <v>411</v>
      </c>
      <c r="F1159" s="197" t="s">
        <v>457</v>
      </c>
      <c r="G1159" s="235">
        <f>'02 项目基础信息（输入）'!$L$48</f>
        <v>0</v>
      </c>
      <c r="H1159" s="199" t="s">
        <v>400</v>
      </c>
      <c r="I1159" s="198">
        <f t="shared" si="136"/>
        <v>0</v>
      </c>
      <c r="J1159" s="199" t="s">
        <v>93</v>
      </c>
      <c r="K1159" s="188">
        <v>0</v>
      </c>
      <c r="L1159" s="209" t="s">
        <v>675</v>
      </c>
      <c r="M1159" s="198">
        <f t="shared" si="137"/>
        <v>0</v>
      </c>
      <c r="N1159" s="198">
        <f>'02 项目基础信息（输入）'!$C$48</f>
        <v>0</v>
      </c>
      <c r="O1159" s="198">
        <f t="shared" si="138"/>
        <v>0</v>
      </c>
      <c r="P1159" s="198">
        <f>'02 项目基础信息（输入）'!$I$48</f>
        <v>0</v>
      </c>
      <c r="Q1159" s="233">
        <f t="shared" si="139"/>
        <v>0</v>
      </c>
      <c r="S1159" s="217"/>
      <c r="U1159" s="220" t="s">
        <v>2948</v>
      </c>
    </row>
    <row r="1160" spans="1:21" ht="0" hidden="1" customHeight="1" outlineLevel="4">
      <c r="A1160" s="192" t="s">
        <v>2140</v>
      </c>
      <c r="B1160" s="192"/>
      <c r="C1160" s="197" t="s">
        <v>2130</v>
      </c>
      <c r="D1160" s="198">
        <f>'02 项目基础信息（输入）'!$K$48</f>
        <v>0</v>
      </c>
      <c r="E1160" s="199" t="s">
        <v>411</v>
      </c>
      <c r="F1160" s="197" t="s">
        <v>457</v>
      </c>
      <c r="G1160" s="235">
        <f>'02 项目基础信息（输入）'!$L$48</f>
        <v>0</v>
      </c>
      <c r="H1160" s="199" t="s">
        <v>400</v>
      </c>
      <c r="I1160" s="198">
        <f t="shared" si="136"/>
        <v>0</v>
      </c>
      <c r="J1160" s="199" t="s">
        <v>93</v>
      </c>
      <c r="K1160" s="188">
        <v>0</v>
      </c>
      <c r="L1160" s="209" t="s">
        <v>675</v>
      </c>
      <c r="M1160" s="198">
        <f t="shared" si="137"/>
        <v>0</v>
      </c>
      <c r="N1160" s="198">
        <f>'02 项目基础信息（输入）'!$C$48</f>
        <v>0</v>
      </c>
      <c r="O1160" s="198">
        <f t="shared" si="138"/>
        <v>0</v>
      </c>
      <c r="P1160" s="198">
        <f>'02 项目基础信息（输入）'!$I$48</f>
        <v>0</v>
      </c>
      <c r="Q1160" s="233">
        <f t="shared" si="139"/>
        <v>0</v>
      </c>
      <c r="S1160" s="217"/>
      <c r="U1160" s="220" t="s">
        <v>2949</v>
      </c>
    </row>
    <row r="1161" spans="1:21" ht="0" hidden="1" customHeight="1" outlineLevel="4">
      <c r="A1161" s="192" t="s">
        <v>2142</v>
      </c>
      <c r="B1161" s="192"/>
      <c r="C1161" s="197" t="s">
        <v>2130</v>
      </c>
      <c r="D1161" s="198">
        <f>'02 项目基础信息（输入）'!$K$48</f>
        <v>0</v>
      </c>
      <c r="E1161" s="199" t="s">
        <v>411</v>
      </c>
      <c r="F1161" s="197" t="s">
        <v>457</v>
      </c>
      <c r="G1161" s="235">
        <f>'02 项目基础信息（输入）'!$L$48</f>
        <v>0</v>
      </c>
      <c r="H1161" s="199" t="s">
        <v>400</v>
      </c>
      <c r="I1161" s="198">
        <f t="shared" si="136"/>
        <v>0</v>
      </c>
      <c r="J1161" s="199" t="s">
        <v>93</v>
      </c>
      <c r="K1161" s="188">
        <v>0</v>
      </c>
      <c r="L1161" s="209" t="s">
        <v>675</v>
      </c>
      <c r="M1161" s="198">
        <f t="shared" si="137"/>
        <v>0</v>
      </c>
      <c r="N1161" s="198">
        <f>'02 项目基础信息（输入）'!$C$48</f>
        <v>0</v>
      </c>
      <c r="O1161" s="198">
        <f t="shared" si="138"/>
        <v>0</v>
      </c>
      <c r="P1161" s="198">
        <f>'02 项目基础信息（输入）'!$I$48</f>
        <v>0</v>
      </c>
      <c r="Q1161" s="233">
        <f t="shared" si="139"/>
        <v>0</v>
      </c>
      <c r="S1161" s="217"/>
      <c r="U1161" s="220" t="s">
        <v>2950</v>
      </c>
    </row>
    <row r="1162" spans="1:21" ht="0" hidden="1" customHeight="1" outlineLevel="4">
      <c r="A1162" s="192" t="s">
        <v>2144</v>
      </c>
      <c r="B1162" s="192"/>
      <c r="C1162" s="197" t="s">
        <v>2130</v>
      </c>
      <c r="D1162" s="198">
        <f>'02 项目基础信息（输入）'!$K$48</f>
        <v>0</v>
      </c>
      <c r="E1162" s="199" t="s">
        <v>411</v>
      </c>
      <c r="F1162" s="197" t="s">
        <v>457</v>
      </c>
      <c r="G1162" s="235">
        <f>'02 项目基础信息（输入）'!$L$48</f>
        <v>0</v>
      </c>
      <c r="H1162" s="199" t="s">
        <v>400</v>
      </c>
      <c r="I1162" s="198">
        <f t="shared" si="136"/>
        <v>0</v>
      </c>
      <c r="J1162" s="199" t="s">
        <v>93</v>
      </c>
      <c r="K1162" s="188">
        <v>0</v>
      </c>
      <c r="L1162" s="209" t="s">
        <v>675</v>
      </c>
      <c r="M1162" s="198">
        <f t="shared" si="137"/>
        <v>0</v>
      </c>
      <c r="N1162" s="198">
        <f>'02 项目基础信息（输入）'!$C$48</f>
        <v>0</v>
      </c>
      <c r="O1162" s="198">
        <f t="shared" si="138"/>
        <v>0</v>
      </c>
      <c r="P1162" s="198">
        <f>'02 项目基础信息（输入）'!$I$48</f>
        <v>0</v>
      </c>
      <c r="Q1162" s="233">
        <f t="shared" si="139"/>
        <v>0</v>
      </c>
      <c r="S1162" s="217"/>
      <c r="U1162" s="220" t="s">
        <v>2951</v>
      </c>
    </row>
    <row r="1163" spans="1:21" ht="0" hidden="1" customHeight="1" outlineLevel="3">
      <c r="A1163" s="192" t="s">
        <v>2146</v>
      </c>
      <c r="B1163" s="192"/>
      <c r="C1163" s="197" t="s">
        <v>455</v>
      </c>
      <c r="D1163" s="198">
        <f>'02 项目基础信息（输入）'!$J$48</f>
        <v>0</v>
      </c>
      <c r="E1163" s="199" t="s">
        <v>400</v>
      </c>
      <c r="F1163" s="197" t="s">
        <v>455</v>
      </c>
      <c r="G1163" s="199">
        <v>1</v>
      </c>
      <c r="H1163" s="199" t="s">
        <v>1748</v>
      </c>
      <c r="I1163" s="198">
        <f t="shared" si="136"/>
        <v>0</v>
      </c>
      <c r="J1163" s="199" t="s">
        <v>400</v>
      </c>
      <c r="K1163" s="188">
        <v>0</v>
      </c>
      <c r="L1163" s="209" t="s">
        <v>1749</v>
      </c>
      <c r="M1163" s="198">
        <f t="shared" si="137"/>
        <v>0</v>
      </c>
      <c r="N1163" s="198">
        <f>'02 项目基础信息（输入）'!$C$48</f>
        <v>0</v>
      </c>
      <c r="O1163" s="198">
        <f t="shared" si="138"/>
        <v>0</v>
      </c>
      <c r="P1163" s="198">
        <f>'02 项目基础信息（输入）'!$I$48</f>
        <v>0</v>
      </c>
      <c r="Q1163" s="233">
        <f t="shared" si="139"/>
        <v>0</v>
      </c>
      <c r="S1163" s="217"/>
      <c r="U1163" s="220" t="s">
        <v>2952</v>
      </c>
    </row>
    <row r="1164" spans="1:21" ht="0" hidden="1" customHeight="1" outlineLevel="3">
      <c r="A1164" s="192" t="s">
        <v>2148</v>
      </c>
      <c r="B1164" s="192"/>
      <c r="C1164" s="197" t="s">
        <v>309</v>
      </c>
      <c r="D1164" s="198">
        <f>'02 项目基础信息（输入）'!$AC$48</f>
        <v>0</v>
      </c>
      <c r="E1164" s="199" t="s">
        <v>310</v>
      </c>
      <c r="F1164" s="197" t="s">
        <v>2149</v>
      </c>
      <c r="G1164" s="199">
        <v>1</v>
      </c>
      <c r="H1164" s="199" t="s">
        <v>2150</v>
      </c>
      <c r="I1164" s="198">
        <f t="shared" si="136"/>
        <v>0</v>
      </c>
      <c r="J1164" s="199" t="s">
        <v>400</v>
      </c>
      <c r="K1164" s="188">
        <v>0</v>
      </c>
      <c r="L1164" s="209" t="s">
        <v>1749</v>
      </c>
      <c r="M1164" s="207">
        <f t="shared" si="137"/>
        <v>0</v>
      </c>
      <c r="N1164" s="198">
        <f>'02 项目基础信息（输入）'!$C$48</f>
        <v>0</v>
      </c>
      <c r="O1164" s="198">
        <f t="shared" si="138"/>
        <v>0</v>
      </c>
      <c r="P1164" s="198">
        <f>'02 项目基础信息（输入）'!$I$48</f>
        <v>0</v>
      </c>
      <c r="Q1164" s="233">
        <f t="shared" si="139"/>
        <v>0</v>
      </c>
      <c r="S1164" s="217"/>
      <c r="U1164" s="220" t="s">
        <v>2953</v>
      </c>
    </row>
    <row r="1165" spans="1:21" ht="0" hidden="1" customHeight="1" outlineLevel="3">
      <c r="A1165" s="192" t="s">
        <v>1868</v>
      </c>
      <c r="B1165" s="192"/>
      <c r="C1165" s="197" t="s">
        <v>1609</v>
      </c>
      <c r="D1165" s="198">
        <f>'02 项目基础信息（输入）'!$C$48</f>
        <v>0</v>
      </c>
      <c r="E1165" s="199" t="s">
        <v>93</v>
      </c>
      <c r="F1165" s="197" t="s">
        <v>1648</v>
      </c>
      <c r="G1165" s="82">
        <v>0</v>
      </c>
      <c r="H1165" s="199" t="s">
        <v>298</v>
      </c>
      <c r="I1165" s="198">
        <f t="shared" si="136"/>
        <v>0</v>
      </c>
      <c r="J1165" s="199" t="s">
        <v>93</v>
      </c>
      <c r="K1165" s="188">
        <v>0</v>
      </c>
      <c r="L1165" s="209" t="s">
        <v>675</v>
      </c>
      <c r="M1165" s="207">
        <f t="shared" si="137"/>
        <v>0</v>
      </c>
      <c r="N1165" s="198">
        <f>'02 项目基础信息（输入）'!$C$48</f>
        <v>0</v>
      </c>
      <c r="O1165" s="198">
        <f t="shared" si="138"/>
        <v>0</v>
      </c>
      <c r="P1165" s="198">
        <f>'02 项目基础信息（输入）'!$I$48</f>
        <v>0</v>
      </c>
      <c r="Q1165" s="233">
        <f t="shared" si="139"/>
        <v>0</v>
      </c>
      <c r="S1165" s="217"/>
      <c r="U1165" s="220" t="s">
        <v>2954</v>
      </c>
    </row>
    <row r="1166" spans="1:21" ht="0" hidden="1" customHeight="1" outlineLevel="2">
      <c r="A1166" s="192" t="s">
        <v>1870</v>
      </c>
      <c r="B1166" s="192"/>
      <c r="C1166" s="197" t="s">
        <v>1609</v>
      </c>
      <c r="D1166" s="198">
        <f>'02 项目基础信息（输入）'!$C$48</f>
        <v>0</v>
      </c>
      <c r="E1166" s="199" t="s">
        <v>93</v>
      </c>
      <c r="F1166" s="197"/>
      <c r="G1166" s="199"/>
      <c r="H1166" s="199"/>
      <c r="I1166" s="197"/>
      <c r="J1166" s="199"/>
      <c r="K1166" s="198"/>
      <c r="L1166" s="209"/>
      <c r="M1166" s="198">
        <f>ROUND(SUM(M1167),6)</f>
        <v>0</v>
      </c>
      <c r="N1166" s="198">
        <f>'02 项目基础信息（输入）'!$C$48</f>
        <v>0</v>
      </c>
      <c r="O1166" s="198">
        <f t="shared" si="138"/>
        <v>0</v>
      </c>
      <c r="P1166" s="198">
        <f>'02 项目基础信息（输入）'!$I$48</f>
        <v>0</v>
      </c>
      <c r="Q1166" s="233">
        <f t="shared" si="139"/>
        <v>0</v>
      </c>
      <c r="S1166" s="217" t="s">
        <v>1313</v>
      </c>
      <c r="U1166" s="220" t="s">
        <v>2955</v>
      </c>
    </row>
    <row r="1167" spans="1:21" ht="0" hidden="1" customHeight="1" outlineLevel="3">
      <c r="A1167" s="192" t="s">
        <v>1872</v>
      </c>
      <c r="B1167" s="192"/>
      <c r="C1167" s="197" t="s">
        <v>460</v>
      </c>
      <c r="D1167" s="198">
        <f>'02 项目基础信息（输入）'!$O$48</f>
        <v>0</v>
      </c>
      <c r="E1167" s="199" t="s">
        <v>400</v>
      </c>
      <c r="F1167" s="197" t="s">
        <v>460</v>
      </c>
      <c r="G1167" s="199">
        <v>1</v>
      </c>
      <c r="H1167" s="199" t="s">
        <v>1873</v>
      </c>
      <c r="I1167" s="198">
        <f>G1167*D1167</f>
        <v>0</v>
      </c>
      <c r="J1167" s="199" t="s">
        <v>1052</v>
      </c>
      <c r="K1167" s="188">
        <v>0</v>
      </c>
      <c r="L1167" s="209" t="s">
        <v>746</v>
      </c>
      <c r="M1167" s="207">
        <f>ROUND(K1167*I1167/10000,6)</f>
        <v>0</v>
      </c>
      <c r="N1167" s="198">
        <f>'02 项目基础信息（输入）'!$C$48</f>
        <v>0</v>
      </c>
      <c r="O1167" s="198">
        <f t="shared" si="138"/>
        <v>0</v>
      </c>
      <c r="P1167" s="198">
        <f>'02 项目基础信息（输入）'!$I$48</f>
        <v>0</v>
      </c>
      <c r="Q1167" s="233">
        <f t="shared" si="139"/>
        <v>0</v>
      </c>
      <c r="S1167" s="217"/>
      <c r="U1167" s="220" t="s">
        <v>2956</v>
      </c>
    </row>
    <row r="1168" spans="1:21" ht="0" hidden="1" customHeight="1" outlineLevel="2">
      <c r="A1168" s="192" t="s">
        <v>1875</v>
      </c>
      <c r="B1168" s="192"/>
      <c r="C1168" s="197" t="s">
        <v>1609</v>
      </c>
      <c r="D1168" s="198">
        <f>'02 项目基础信息（输入）'!$C$48</f>
        <v>0</v>
      </c>
      <c r="E1168" s="199" t="s">
        <v>93</v>
      </c>
      <c r="F1168" s="197"/>
      <c r="G1168" s="199"/>
      <c r="H1168" s="199"/>
      <c r="I1168" s="197"/>
      <c r="J1168" s="199"/>
      <c r="K1168" s="198"/>
      <c r="L1168" s="209"/>
      <c r="M1168" s="198">
        <f>ROUND(SUM(M1169:M1171),6)</f>
        <v>0</v>
      </c>
      <c r="N1168" s="198">
        <f>'02 项目基础信息（输入）'!$C$48</f>
        <v>0</v>
      </c>
      <c r="O1168" s="198">
        <f t="shared" si="138"/>
        <v>0</v>
      </c>
      <c r="P1168" s="198">
        <f>'02 项目基础信息（输入）'!$I$48</f>
        <v>0</v>
      </c>
      <c r="Q1168" s="233">
        <f t="shared" si="139"/>
        <v>0</v>
      </c>
      <c r="S1168" s="217" t="s">
        <v>1313</v>
      </c>
      <c r="U1168" s="220" t="s">
        <v>2957</v>
      </c>
    </row>
    <row r="1169" spans="1:21" ht="0" hidden="1" customHeight="1" outlineLevel="3">
      <c r="A1169" s="192" t="s">
        <v>1877</v>
      </c>
      <c r="B1169" s="192"/>
      <c r="C1169" s="197" t="s">
        <v>1609</v>
      </c>
      <c r="D1169" s="198">
        <f>'02 项目基础信息（输入）'!$C$48</f>
        <v>0</v>
      </c>
      <c r="E1169" s="199" t="s">
        <v>93</v>
      </c>
      <c r="F1169" s="197" t="s">
        <v>694</v>
      </c>
      <c r="G1169" s="82"/>
      <c r="H1169" s="199" t="s">
        <v>298</v>
      </c>
      <c r="I1169" s="198">
        <f>G1169*D1169</f>
        <v>0</v>
      </c>
      <c r="J1169" s="199" t="s">
        <v>93</v>
      </c>
      <c r="K1169" s="188">
        <v>0</v>
      </c>
      <c r="L1169" s="209" t="s">
        <v>675</v>
      </c>
      <c r="M1169" s="207">
        <f>ROUND(K1169*I1169/10000,6)</f>
        <v>0</v>
      </c>
      <c r="N1169" s="198">
        <f>'02 项目基础信息（输入）'!$C$48</f>
        <v>0</v>
      </c>
      <c r="O1169" s="198">
        <f t="shared" si="138"/>
        <v>0</v>
      </c>
      <c r="P1169" s="198">
        <f>'02 项目基础信息（输入）'!$I$48</f>
        <v>0</v>
      </c>
      <c r="Q1169" s="233">
        <f t="shared" si="139"/>
        <v>0</v>
      </c>
      <c r="S1169" s="217"/>
      <c r="U1169" s="220" t="s">
        <v>2958</v>
      </c>
    </row>
    <row r="1170" spans="1:21" ht="0" hidden="1" customHeight="1" outlineLevel="3">
      <c r="A1170" s="192" t="s">
        <v>1879</v>
      </c>
      <c r="B1170" s="192"/>
      <c r="C1170" s="197" t="s">
        <v>1609</v>
      </c>
      <c r="D1170" s="198">
        <f>'02 项目基础信息（输入）'!$C$48</f>
        <v>0</v>
      </c>
      <c r="E1170" s="199" t="s">
        <v>93</v>
      </c>
      <c r="F1170" s="197" t="s">
        <v>694</v>
      </c>
      <c r="G1170" s="82"/>
      <c r="H1170" s="199" t="s">
        <v>298</v>
      </c>
      <c r="I1170" s="198">
        <f>G1170*D1170</f>
        <v>0</v>
      </c>
      <c r="J1170" s="199" t="s">
        <v>93</v>
      </c>
      <c r="K1170" s="188">
        <v>0</v>
      </c>
      <c r="L1170" s="209" t="s">
        <v>675</v>
      </c>
      <c r="M1170" s="207">
        <f>ROUND(K1170*I1170/10000,6)</f>
        <v>0</v>
      </c>
      <c r="N1170" s="198">
        <f>'02 项目基础信息（输入）'!$C$48</f>
        <v>0</v>
      </c>
      <c r="O1170" s="198">
        <f t="shared" si="138"/>
        <v>0</v>
      </c>
      <c r="P1170" s="198">
        <f>'02 项目基础信息（输入）'!$I$48</f>
        <v>0</v>
      </c>
      <c r="Q1170" s="233">
        <f t="shared" si="139"/>
        <v>0</v>
      </c>
      <c r="S1170" s="217"/>
      <c r="U1170" s="220" t="s">
        <v>2959</v>
      </c>
    </row>
    <row r="1171" spans="1:21" ht="0" hidden="1" customHeight="1" outlineLevel="3">
      <c r="A1171" s="192" t="s">
        <v>1881</v>
      </c>
      <c r="B1171" s="192"/>
      <c r="C1171" s="197" t="s">
        <v>1609</v>
      </c>
      <c r="D1171" s="198">
        <f>'02 项目基础信息（输入）'!$C$48</f>
        <v>0</v>
      </c>
      <c r="E1171" s="199" t="s">
        <v>93</v>
      </c>
      <c r="F1171" s="197" t="s">
        <v>694</v>
      </c>
      <c r="G1171" s="82"/>
      <c r="H1171" s="199" t="s">
        <v>298</v>
      </c>
      <c r="I1171" s="198">
        <f>G1171*D1171</f>
        <v>0</v>
      </c>
      <c r="J1171" s="199" t="s">
        <v>93</v>
      </c>
      <c r="K1171" s="188">
        <v>0</v>
      </c>
      <c r="L1171" s="209" t="s">
        <v>675</v>
      </c>
      <c r="M1171" s="207">
        <f>ROUND(K1171*I1171/10000,6)</f>
        <v>0</v>
      </c>
      <c r="N1171" s="198">
        <f>'02 项目基础信息（输入）'!$C$48</f>
        <v>0</v>
      </c>
      <c r="O1171" s="198">
        <f t="shared" si="138"/>
        <v>0</v>
      </c>
      <c r="P1171" s="198">
        <f>'02 项目基础信息（输入）'!$I$48</f>
        <v>0</v>
      </c>
      <c r="Q1171" s="233">
        <f t="shared" si="139"/>
        <v>0</v>
      </c>
      <c r="S1171" s="217"/>
      <c r="U1171" s="220" t="s">
        <v>2960</v>
      </c>
    </row>
    <row r="1172" spans="1:21" ht="0" hidden="1" customHeight="1" outlineLevel="2">
      <c r="A1172" s="192" t="s">
        <v>2159</v>
      </c>
      <c r="B1172" s="192"/>
      <c r="C1172" s="197" t="s">
        <v>1609</v>
      </c>
      <c r="D1172" s="198">
        <f>'02 项目基础信息（输入）'!$C$48</f>
        <v>0</v>
      </c>
      <c r="E1172" s="199" t="s">
        <v>93</v>
      </c>
      <c r="F1172" s="197"/>
      <c r="G1172" s="199"/>
      <c r="H1172" s="199"/>
      <c r="I1172" s="197"/>
      <c r="J1172" s="199"/>
      <c r="K1172" s="198"/>
      <c r="L1172" s="209"/>
      <c r="M1172" s="198">
        <f>ROUND(SUM(M1173),6)</f>
        <v>0</v>
      </c>
      <c r="N1172" s="198">
        <f>'02 项目基础信息（输入）'!$C$48</f>
        <v>0</v>
      </c>
      <c r="O1172" s="198">
        <f t="shared" si="138"/>
        <v>0</v>
      </c>
      <c r="P1172" s="198">
        <f>'02 项目基础信息（输入）'!$I$48</f>
        <v>0</v>
      </c>
      <c r="Q1172" s="233">
        <f t="shared" si="139"/>
        <v>0</v>
      </c>
      <c r="S1172" s="217" t="s">
        <v>1313</v>
      </c>
      <c r="U1172" s="220" t="s">
        <v>2961</v>
      </c>
    </row>
    <row r="1173" spans="1:21" ht="0" hidden="1" customHeight="1" outlineLevel="3">
      <c r="A1173" s="192" t="s">
        <v>2161</v>
      </c>
      <c r="B1173" s="192"/>
      <c r="C1173" s="197" t="s">
        <v>1609</v>
      </c>
      <c r="D1173" s="198">
        <f>'02 项目基础信息（输入）'!$C$48</f>
        <v>0</v>
      </c>
      <c r="E1173" s="199" t="s">
        <v>93</v>
      </c>
      <c r="F1173" s="197" t="s">
        <v>1886</v>
      </c>
      <c r="G1173" s="199">
        <v>1</v>
      </c>
      <c r="H1173" s="199" t="s">
        <v>298</v>
      </c>
      <c r="I1173" s="198">
        <f>G1173*D1173</f>
        <v>0</v>
      </c>
      <c r="J1173" s="199" t="s">
        <v>93</v>
      </c>
      <c r="K1173" s="188">
        <v>0</v>
      </c>
      <c r="L1173" s="209" t="s">
        <v>675</v>
      </c>
      <c r="M1173" s="207">
        <f>ROUND(K1173*I1173/10000,6)</f>
        <v>0</v>
      </c>
      <c r="N1173" s="198">
        <f>'02 项目基础信息（输入）'!$C$48</f>
        <v>0</v>
      </c>
      <c r="O1173" s="198">
        <f t="shared" si="138"/>
        <v>0</v>
      </c>
      <c r="P1173" s="198">
        <f>'02 项目基础信息（输入）'!$I$48</f>
        <v>0</v>
      </c>
      <c r="Q1173" s="233">
        <f t="shared" si="139"/>
        <v>0</v>
      </c>
      <c r="S1173" s="217"/>
      <c r="U1173" s="220" t="s">
        <v>2962</v>
      </c>
    </row>
    <row r="1174" spans="1:21" ht="0" hidden="1" customHeight="1" outlineLevel="2">
      <c r="A1174" s="192" t="s">
        <v>1883</v>
      </c>
      <c r="B1174" s="192"/>
      <c r="C1174" s="197" t="s">
        <v>1609</v>
      </c>
      <c r="D1174" s="198">
        <f>'02 项目基础信息（输入）'!$C$48</f>
        <v>0</v>
      </c>
      <c r="E1174" s="199" t="s">
        <v>93</v>
      </c>
      <c r="F1174" s="197"/>
      <c r="G1174" s="199"/>
      <c r="H1174" s="199"/>
      <c r="I1174" s="197"/>
      <c r="J1174" s="199"/>
      <c r="K1174" s="198"/>
      <c r="L1174" s="209"/>
      <c r="M1174" s="198">
        <f>ROUND(SUM(M1175),6)</f>
        <v>0</v>
      </c>
      <c r="N1174" s="198">
        <f>'02 项目基础信息（输入）'!$C$48</f>
        <v>0</v>
      </c>
      <c r="O1174" s="198">
        <f t="shared" si="138"/>
        <v>0</v>
      </c>
      <c r="P1174" s="198">
        <f>'02 项目基础信息（输入）'!$I$48</f>
        <v>0</v>
      </c>
      <c r="Q1174" s="233">
        <f t="shared" si="139"/>
        <v>0</v>
      </c>
      <c r="S1174" s="217" t="s">
        <v>1313</v>
      </c>
      <c r="U1174" s="220" t="s">
        <v>2963</v>
      </c>
    </row>
    <row r="1175" spans="1:21" ht="0" hidden="1" customHeight="1" outlineLevel="3">
      <c r="A1175" s="192" t="s">
        <v>1885</v>
      </c>
      <c r="B1175" s="192"/>
      <c r="C1175" s="197" t="s">
        <v>1609</v>
      </c>
      <c r="D1175" s="198">
        <f>'02 项目基础信息（输入）'!$C$48</f>
        <v>0</v>
      </c>
      <c r="E1175" s="199" t="s">
        <v>93</v>
      </c>
      <c r="F1175" s="197" t="s">
        <v>1886</v>
      </c>
      <c r="G1175" s="199">
        <v>1</v>
      </c>
      <c r="H1175" s="199" t="s">
        <v>298</v>
      </c>
      <c r="I1175" s="198">
        <f>G1175*D1175</f>
        <v>0</v>
      </c>
      <c r="J1175" s="199" t="s">
        <v>93</v>
      </c>
      <c r="K1175" s="188">
        <v>0</v>
      </c>
      <c r="L1175" s="209" t="s">
        <v>675</v>
      </c>
      <c r="M1175" s="207">
        <f>ROUND(K1175*I1175/10000,6)</f>
        <v>0</v>
      </c>
      <c r="N1175" s="198">
        <f>'02 项目基础信息（输入）'!$C$48</f>
        <v>0</v>
      </c>
      <c r="O1175" s="198">
        <f t="shared" si="138"/>
        <v>0</v>
      </c>
      <c r="P1175" s="198">
        <f>'02 项目基础信息（输入）'!$I$48</f>
        <v>0</v>
      </c>
      <c r="Q1175" s="233">
        <f t="shared" si="139"/>
        <v>0</v>
      </c>
      <c r="S1175" s="217"/>
      <c r="U1175" s="220" t="s">
        <v>2964</v>
      </c>
    </row>
    <row r="1176" spans="1:21" ht="0" hidden="1" customHeight="1" outlineLevel="2">
      <c r="A1176" s="192" t="s">
        <v>1888</v>
      </c>
      <c r="B1176" s="192"/>
      <c r="C1176" s="197" t="s">
        <v>1609</v>
      </c>
      <c r="D1176" s="198">
        <f>'02 项目基础信息（输入）'!$C$48</f>
        <v>0</v>
      </c>
      <c r="E1176" s="199" t="s">
        <v>93</v>
      </c>
      <c r="F1176" s="197"/>
      <c r="G1176" s="199"/>
      <c r="H1176" s="199"/>
      <c r="I1176" s="197"/>
      <c r="J1176" s="199"/>
      <c r="K1176" s="198"/>
      <c r="L1176" s="209"/>
      <c r="M1176" s="198">
        <f>ROUND(SUM(M1177:M1181),6)</f>
        <v>0</v>
      </c>
      <c r="N1176" s="198">
        <f>'02 项目基础信息（输入）'!$C$48</f>
        <v>0</v>
      </c>
      <c r="O1176" s="198">
        <f t="shared" si="138"/>
        <v>0</v>
      </c>
      <c r="P1176" s="198">
        <f>'02 项目基础信息（输入）'!$I$48</f>
        <v>0</v>
      </c>
      <c r="Q1176" s="233">
        <f t="shared" si="139"/>
        <v>0</v>
      </c>
      <c r="S1176" s="217" t="s">
        <v>1313</v>
      </c>
      <c r="U1176" s="220" t="s">
        <v>2965</v>
      </c>
    </row>
    <row r="1177" spans="1:21" ht="0" hidden="1" customHeight="1" outlineLevel="3">
      <c r="A1177" s="192" t="s">
        <v>1890</v>
      </c>
      <c r="B1177" s="192"/>
      <c r="C1177" s="197" t="s">
        <v>1609</v>
      </c>
      <c r="D1177" s="198">
        <f>'02 项目基础信息（输入）'!$C$48</f>
        <v>0</v>
      </c>
      <c r="E1177" s="199" t="s">
        <v>93</v>
      </c>
      <c r="F1177" s="197" t="s">
        <v>1886</v>
      </c>
      <c r="G1177" s="199">
        <v>1</v>
      </c>
      <c r="H1177" s="199" t="s">
        <v>298</v>
      </c>
      <c r="I1177" s="198">
        <f>G1177*D1177</f>
        <v>0</v>
      </c>
      <c r="J1177" s="199" t="s">
        <v>93</v>
      </c>
      <c r="K1177" s="188">
        <v>0</v>
      </c>
      <c r="L1177" s="209" t="s">
        <v>675</v>
      </c>
      <c r="M1177" s="207">
        <f>ROUND(K1177*I1177/10000,6)</f>
        <v>0</v>
      </c>
      <c r="N1177" s="198">
        <f>'02 项目基础信息（输入）'!$C$48</f>
        <v>0</v>
      </c>
      <c r="O1177" s="198">
        <f t="shared" si="138"/>
        <v>0</v>
      </c>
      <c r="P1177" s="198">
        <f>'02 项目基础信息（输入）'!$I$48</f>
        <v>0</v>
      </c>
      <c r="Q1177" s="233">
        <f t="shared" si="139"/>
        <v>0</v>
      </c>
      <c r="S1177" s="217"/>
      <c r="U1177" s="220" t="s">
        <v>2966</v>
      </c>
    </row>
    <row r="1178" spans="1:21" ht="0" hidden="1" customHeight="1" outlineLevel="3">
      <c r="A1178" s="192" t="s">
        <v>1892</v>
      </c>
      <c r="B1178" s="192"/>
      <c r="C1178" s="197" t="s">
        <v>1609</v>
      </c>
      <c r="D1178" s="198">
        <f>'02 项目基础信息（输入）'!$C$48</f>
        <v>0</v>
      </c>
      <c r="E1178" s="199" t="s">
        <v>93</v>
      </c>
      <c r="F1178" s="197" t="s">
        <v>1886</v>
      </c>
      <c r="G1178" s="199">
        <v>1</v>
      </c>
      <c r="H1178" s="199" t="s">
        <v>298</v>
      </c>
      <c r="I1178" s="198">
        <f>G1178*D1178</f>
        <v>0</v>
      </c>
      <c r="J1178" s="199" t="s">
        <v>93</v>
      </c>
      <c r="K1178" s="188">
        <v>0</v>
      </c>
      <c r="L1178" s="209" t="s">
        <v>675</v>
      </c>
      <c r="M1178" s="207">
        <f>ROUND(K1178*I1178/10000,6)</f>
        <v>0</v>
      </c>
      <c r="N1178" s="198">
        <f>'02 项目基础信息（输入）'!$C$48</f>
        <v>0</v>
      </c>
      <c r="O1178" s="198">
        <f t="shared" si="138"/>
        <v>0</v>
      </c>
      <c r="P1178" s="198">
        <f>'02 项目基础信息（输入）'!$I$48</f>
        <v>0</v>
      </c>
      <c r="Q1178" s="233">
        <f t="shared" si="139"/>
        <v>0</v>
      </c>
      <c r="S1178" s="217"/>
      <c r="U1178" s="220" t="s">
        <v>2967</v>
      </c>
    </row>
    <row r="1179" spans="1:21" ht="0" hidden="1" customHeight="1" outlineLevel="3">
      <c r="A1179" s="192" t="s">
        <v>1894</v>
      </c>
      <c r="B1179" s="192"/>
      <c r="C1179" s="197" t="s">
        <v>1609</v>
      </c>
      <c r="D1179" s="198">
        <f>'02 项目基础信息（输入）'!$C$48</f>
        <v>0</v>
      </c>
      <c r="E1179" s="199" t="s">
        <v>93</v>
      </c>
      <c r="F1179" s="197" t="s">
        <v>1886</v>
      </c>
      <c r="G1179" s="199">
        <v>1</v>
      </c>
      <c r="H1179" s="199" t="s">
        <v>298</v>
      </c>
      <c r="I1179" s="198">
        <f>G1179*D1179</f>
        <v>0</v>
      </c>
      <c r="J1179" s="199" t="s">
        <v>93</v>
      </c>
      <c r="K1179" s="188">
        <v>0</v>
      </c>
      <c r="L1179" s="209" t="s">
        <v>675</v>
      </c>
      <c r="M1179" s="207">
        <f>ROUND(K1179*I1179/10000,6)</f>
        <v>0</v>
      </c>
      <c r="N1179" s="198">
        <f>'02 项目基础信息（输入）'!$C$48</f>
        <v>0</v>
      </c>
      <c r="O1179" s="198">
        <f t="shared" si="138"/>
        <v>0</v>
      </c>
      <c r="P1179" s="198">
        <f>'02 项目基础信息（输入）'!$I$48</f>
        <v>0</v>
      </c>
      <c r="Q1179" s="233">
        <f t="shared" si="139"/>
        <v>0</v>
      </c>
      <c r="S1179" s="217"/>
      <c r="U1179" s="220" t="s">
        <v>2968</v>
      </c>
    </row>
    <row r="1180" spans="1:21" ht="0" hidden="1" customHeight="1" outlineLevel="3">
      <c r="A1180" s="192" t="s">
        <v>1896</v>
      </c>
      <c r="B1180" s="192"/>
      <c r="C1180" s="197" t="s">
        <v>1609</v>
      </c>
      <c r="D1180" s="198">
        <f>'02 项目基础信息（输入）'!$C$48</f>
        <v>0</v>
      </c>
      <c r="E1180" s="199" t="s">
        <v>93</v>
      </c>
      <c r="F1180" s="197" t="s">
        <v>1886</v>
      </c>
      <c r="G1180" s="199">
        <v>1</v>
      </c>
      <c r="H1180" s="199" t="s">
        <v>298</v>
      </c>
      <c r="I1180" s="198">
        <f>G1180*D1180</f>
        <v>0</v>
      </c>
      <c r="J1180" s="199" t="s">
        <v>93</v>
      </c>
      <c r="K1180" s="188">
        <v>0</v>
      </c>
      <c r="L1180" s="209" t="s">
        <v>675</v>
      </c>
      <c r="M1180" s="207">
        <f>ROUND(K1180*I1180/10000,6)</f>
        <v>0</v>
      </c>
      <c r="N1180" s="198">
        <f>'02 项目基础信息（输入）'!$C$48</f>
        <v>0</v>
      </c>
      <c r="O1180" s="198">
        <f t="shared" si="138"/>
        <v>0</v>
      </c>
      <c r="P1180" s="198">
        <f>'02 项目基础信息（输入）'!$I$48</f>
        <v>0</v>
      </c>
      <c r="Q1180" s="233">
        <f t="shared" si="139"/>
        <v>0</v>
      </c>
      <c r="S1180" s="217"/>
      <c r="U1180" s="220" t="s">
        <v>2969</v>
      </c>
    </row>
    <row r="1181" spans="1:21" ht="0" hidden="1" customHeight="1" outlineLevel="3">
      <c r="A1181" s="192" t="s">
        <v>1898</v>
      </c>
      <c r="B1181" s="192"/>
      <c r="C1181" s="197" t="s">
        <v>1609</v>
      </c>
      <c r="D1181" s="198">
        <f>'02 项目基础信息（输入）'!$C$48</f>
        <v>0</v>
      </c>
      <c r="E1181" s="199" t="s">
        <v>93</v>
      </c>
      <c r="F1181" s="197" t="s">
        <v>1886</v>
      </c>
      <c r="G1181" s="199">
        <v>1</v>
      </c>
      <c r="H1181" s="199" t="s">
        <v>298</v>
      </c>
      <c r="I1181" s="198">
        <f>G1181*D1181</f>
        <v>0</v>
      </c>
      <c r="J1181" s="199" t="s">
        <v>93</v>
      </c>
      <c r="K1181" s="188">
        <v>0</v>
      </c>
      <c r="L1181" s="209" t="s">
        <v>675</v>
      </c>
      <c r="M1181" s="207">
        <f>ROUND(K1181*I1181/10000,6)</f>
        <v>0</v>
      </c>
      <c r="N1181" s="198">
        <f>'02 项目基础信息（输入）'!$C$48</f>
        <v>0</v>
      </c>
      <c r="O1181" s="198">
        <f t="shared" si="138"/>
        <v>0</v>
      </c>
      <c r="P1181" s="198">
        <f>'02 项目基础信息（输入）'!$I$48</f>
        <v>0</v>
      </c>
      <c r="Q1181" s="233">
        <f t="shared" si="139"/>
        <v>0</v>
      </c>
      <c r="S1181" s="217"/>
      <c r="U1181" s="220" t="s">
        <v>2970</v>
      </c>
    </row>
    <row r="1182" spans="1:21" ht="0" hidden="1" customHeight="1" outlineLevel="2">
      <c r="A1182" s="192" t="s">
        <v>1900</v>
      </c>
      <c r="B1182" s="192"/>
      <c r="C1182" s="197" t="s">
        <v>1609</v>
      </c>
      <c r="D1182" s="198">
        <f>'02 项目基础信息（输入）'!$C$48</f>
        <v>0</v>
      </c>
      <c r="E1182" s="199" t="s">
        <v>93</v>
      </c>
      <c r="F1182" s="197"/>
      <c r="G1182" s="199"/>
      <c r="H1182" s="199"/>
      <c r="I1182" s="197"/>
      <c r="J1182" s="199"/>
      <c r="K1182" s="198"/>
      <c r="L1182" s="209"/>
      <c r="M1182" s="198">
        <f>ROUND(SUM(M1183:M1188),6)</f>
        <v>0</v>
      </c>
      <c r="N1182" s="198">
        <f>'02 项目基础信息（输入）'!$C$48</f>
        <v>0</v>
      </c>
      <c r="O1182" s="198">
        <f t="shared" si="138"/>
        <v>0</v>
      </c>
      <c r="P1182" s="198">
        <f>'02 项目基础信息（输入）'!$I$48</f>
        <v>0</v>
      </c>
      <c r="Q1182" s="233">
        <f t="shared" si="139"/>
        <v>0</v>
      </c>
      <c r="S1182" s="217" t="s">
        <v>1314</v>
      </c>
      <c r="U1182" s="220" t="s">
        <v>2971</v>
      </c>
    </row>
    <row r="1183" spans="1:21" ht="0" hidden="1" customHeight="1" outlineLevel="3">
      <c r="A1183" s="192" t="s">
        <v>1902</v>
      </c>
      <c r="B1183" s="192"/>
      <c r="C1183" s="197" t="s">
        <v>309</v>
      </c>
      <c r="D1183" s="198">
        <f>'02 项目基础信息（输入）'!$AC$48</f>
        <v>0</v>
      </c>
      <c r="E1183" s="199" t="s">
        <v>310</v>
      </c>
      <c r="F1183" s="197" t="s">
        <v>309</v>
      </c>
      <c r="G1183" s="199">
        <v>1</v>
      </c>
      <c r="H1183" s="199" t="s">
        <v>1903</v>
      </c>
      <c r="I1183" s="198">
        <f t="shared" ref="I1183:I1188" si="140">G1183*D1183</f>
        <v>0</v>
      </c>
      <c r="J1183" s="199" t="s">
        <v>310</v>
      </c>
      <c r="K1183" s="188">
        <v>0</v>
      </c>
      <c r="L1183" s="209" t="s">
        <v>736</v>
      </c>
      <c r="M1183" s="207">
        <f t="shared" ref="M1183:M1188" si="141">ROUND(K1183*I1183/10000,6)</f>
        <v>0</v>
      </c>
      <c r="N1183" s="198">
        <f>'02 项目基础信息（输入）'!$C$48</f>
        <v>0</v>
      </c>
      <c r="O1183" s="198">
        <f t="shared" si="138"/>
        <v>0</v>
      </c>
      <c r="P1183" s="198">
        <f>'02 项目基础信息（输入）'!$I$48</f>
        <v>0</v>
      </c>
      <c r="Q1183" s="233">
        <f t="shared" si="139"/>
        <v>0</v>
      </c>
      <c r="S1183" s="217"/>
      <c r="U1183" s="220" t="s">
        <v>2972</v>
      </c>
    </row>
    <row r="1184" spans="1:21" ht="0" hidden="1" customHeight="1" outlineLevel="3">
      <c r="A1184" s="192" t="s">
        <v>1905</v>
      </c>
      <c r="B1184" s="192"/>
      <c r="C1184" s="197" t="s">
        <v>309</v>
      </c>
      <c r="D1184" s="198">
        <f>'02 项目基础信息（输入）'!$AC$48</f>
        <v>0</v>
      </c>
      <c r="E1184" s="199" t="s">
        <v>310</v>
      </c>
      <c r="F1184" s="197" t="s">
        <v>309</v>
      </c>
      <c r="G1184" s="199">
        <v>1</v>
      </c>
      <c r="H1184" s="199" t="s">
        <v>1903</v>
      </c>
      <c r="I1184" s="198">
        <f t="shared" si="140"/>
        <v>0</v>
      </c>
      <c r="J1184" s="199" t="s">
        <v>310</v>
      </c>
      <c r="K1184" s="188">
        <v>0</v>
      </c>
      <c r="L1184" s="209" t="s">
        <v>736</v>
      </c>
      <c r="M1184" s="207">
        <f t="shared" si="141"/>
        <v>0</v>
      </c>
      <c r="N1184" s="198">
        <f>'02 项目基础信息（输入）'!$C$48</f>
        <v>0</v>
      </c>
      <c r="O1184" s="198">
        <f t="shared" si="138"/>
        <v>0</v>
      </c>
      <c r="P1184" s="198">
        <f>'02 项目基础信息（输入）'!$I$48</f>
        <v>0</v>
      </c>
      <c r="Q1184" s="233">
        <f t="shared" si="139"/>
        <v>0</v>
      </c>
      <c r="S1184" s="217"/>
      <c r="U1184" s="220" t="s">
        <v>2973</v>
      </c>
    </row>
    <row r="1185" spans="1:21" ht="0" hidden="1" customHeight="1" outlineLevel="3">
      <c r="A1185" s="192" t="s">
        <v>1907</v>
      </c>
      <c r="B1185" s="192"/>
      <c r="C1185" s="197" t="s">
        <v>309</v>
      </c>
      <c r="D1185" s="198">
        <f>'02 项目基础信息（输入）'!$AC$48</f>
        <v>0</v>
      </c>
      <c r="E1185" s="199" t="s">
        <v>310</v>
      </c>
      <c r="F1185" s="197" t="s">
        <v>309</v>
      </c>
      <c r="G1185" s="199">
        <v>1</v>
      </c>
      <c r="H1185" s="199" t="s">
        <v>1903</v>
      </c>
      <c r="I1185" s="198">
        <f t="shared" si="140"/>
        <v>0</v>
      </c>
      <c r="J1185" s="199" t="s">
        <v>310</v>
      </c>
      <c r="K1185" s="188">
        <v>0</v>
      </c>
      <c r="L1185" s="209" t="s">
        <v>736</v>
      </c>
      <c r="M1185" s="207">
        <f t="shared" si="141"/>
        <v>0</v>
      </c>
      <c r="N1185" s="198">
        <f>'02 项目基础信息（输入）'!$C$48</f>
        <v>0</v>
      </c>
      <c r="O1185" s="198">
        <f t="shared" si="138"/>
        <v>0</v>
      </c>
      <c r="P1185" s="198">
        <f>'02 项目基础信息（输入）'!$I$48</f>
        <v>0</v>
      </c>
      <c r="Q1185" s="233">
        <f t="shared" si="139"/>
        <v>0</v>
      </c>
      <c r="S1185" s="217"/>
      <c r="U1185" s="220" t="s">
        <v>2974</v>
      </c>
    </row>
    <row r="1186" spans="1:21" ht="0" hidden="1" customHeight="1" outlineLevel="3">
      <c r="A1186" s="192" t="s">
        <v>1909</v>
      </c>
      <c r="B1186" s="192"/>
      <c r="C1186" s="197" t="s">
        <v>309</v>
      </c>
      <c r="D1186" s="198">
        <f>'02 项目基础信息（输入）'!$AC$48</f>
        <v>0</v>
      </c>
      <c r="E1186" s="199" t="s">
        <v>310</v>
      </c>
      <c r="F1186" s="197" t="s">
        <v>309</v>
      </c>
      <c r="G1186" s="199">
        <v>1</v>
      </c>
      <c r="H1186" s="199" t="s">
        <v>1903</v>
      </c>
      <c r="I1186" s="198">
        <f t="shared" si="140"/>
        <v>0</v>
      </c>
      <c r="J1186" s="199" t="s">
        <v>310</v>
      </c>
      <c r="K1186" s="188">
        <v>0</v>
      </c>
      <c r="L1186" s="209" t="s">
        <v>736</v>
      </c>
      <c r="M1186" s="207">
        <f t="shared" si="141"/>
        <v>0</v>
      </c>
      <c r="N1186" s="198">
        <f>'02 项目基础信息（输入）'!$C$48</f>
        <v>0</v>
      </c>
      <c r="O1186" s="198">
        <f t="shared" si="138"/>
        <v>0</v>
      </c>
      <c r="P1186" s="198">
        <f>'02 项目基础信息（输入）'!$I$48</f>
        <v>0</v>
      </c>
      <c r="Q1186" s="233">
        <f t="shared" si="139"/>
        <v>0</v>
      </c>
      <c r="S1186" s="217"/>
      <c r="U1186" s="220" t="s">
        <v>2975</v>
      </c>
    </row>
    <row r="1187" spans="1:21" ht="0" hidden="1" customHeight="1" outlineLevel="3">
      <c r="A1187" s="192" t="s">
        <v>1911</v>
      </c>
      <c r="B1187" s="192"/>
      <c r="C1187" s="197" t="s">
        <v>309</v>
      </c>
      <c r="D1187" s="198">
        <f>'02 项目基础信息（输入）'!$AC$48</f>
        <v>0</v>
      </c>
      <c r="E1187" s="199" t="s">
        <v>310</v>
      </c>
      <c r="F1187" s="197" t="s">
        <v>309</v>
      </c>
      <c r="G1187" s="199">
        <v>1</v>
      </c>
      <c r="H1187" s="199" t="s">
        <v>1903</v>
      </c>
      <c r="I1187" s="198">
        <f t="shared" si="140"/>
        <v>0</v>
      </c>
      <c r="J1187" s="199" t="s">
        <v>310</v>
      </c>
      <c r="K1187" s="188">
        <v>0</v>
      </c>
      <c r="L1187" s="209" t="s">
        <v>736</v>
      </c>
      <c r="M1187" s="207">
        <f t="shared" si="141"/>
        <v>0</v>
      </c>
      <c r="N1187" s="198">
        <f>'02 项目基础信息（输入）'!$C$48</f>
        <v>0</v>
      </c>
      <c r="O1187" s="198">
        <f t="shared" si="138"/>
        <v>0</v>
      </c>
      <c r="P1187" s="198">
        <f>'02 项目基础信息（输入）'!$I$48</f>
        <v>0</v>
      </c>
      <c r="Q1187" s="233">
        <f t="shared" si="139"/>
        <v>0</v>
      </c>
      <c r="S1187" s="217"/>
      <c r="U1187" s="220" t="s">
        <v>2976</v>
      </c>
    </row>
    <row r="1188" spans="1:21" ht="0" hidden="1" customHeight="1" outlineLevel="3">
      <c r="A1188" s="192" t="s">
        <v>1913</v>
      </c>
      <c r="B1188" s="192"/>
      <c r="C1188" s="197" t="s">
        <v>309</v>
      </c>
      <c r="D1188" s="198">
        <f>'02 项目基础信息（输入）'!$AC$48</f>
        <v>0</v>
      </c>
      <c r="E1188" s="199" t="s">
        <v>310</v>
      </c>
      <c r="F1188" s="197" t="s">
        <v>309</v>
      </c>
      <c r="G1188" s="199">
        <v>1</v>
      </c>
      <c r="H1188" s="199" t="s">
        <v>1903</v>
      </c>
      <c r="I1188" s="198">
        <f t="shared" si="140"/>
        <v>0</v>
      </c>
      <c r="J1188" s="199" t="s">
        <v>310</v>
      </c>
      <c r="K1188" s="188">
        <v>0</v>
      </c>
      <c r="L1188" s="209" t="s">
        <v>736</v>
      </c>
      <c r="M1188" s="207">
        <f t="shared" si="141"/>
        <v>0</v>
      </c>
      <c r="N1188" s="198">
        <f>'02 项目基础信息（输入）'!$C$48</f>
        <v>0</v>
      </c>
      <c r="O1188" s="198">
        <f t="shared" si="138"/>
        <v>0</v>
      </c>
      <c r="P1188" s="198">
        <f>'02 项目基础信息（输入）'!$I$48</f>
        <v>0</v>
      </c>
      <c r="Q1188" s="233">
        <f t="shared" si="139"/>
        <v>0</v>
      </c>
      <c r="S1188" s="217"/>
      <c r="U1188" s="220" t="s">
        <v>2977</v>
      </c>
    </row>
    <row r="1189" spans="1:21" ht="0" hidden="1" customHeight="1" outlineLevel="2">
      <c r="A1189" s="192" t="s">
        <v>2178</v>
      </c>
      <c r="B1189" s="192"/>
      <c r="C1189" s="197" t="s">
        <v>1609</v>
      </c>
      <c r="D1189" s="198">
        <f>'02 项目基础信息（输入）'!$C$48</f>
        <v>0</v>
      </c>
      <c r="E1189" s="199" t="s">
        <v>93</v>
      </c>
      <c r="F1189" s="197"/>
      <c r="G1189" s="199"/>
      <c r="H1189" s="199"/>
      <c r="I1189" s="197"/>
      <c r="J1189" s="199"/>
      <c r="K1189" s="198"/>
      <c r="L1189" s="209"/>
      <c r="M1189" s="198">
        <f>ROUND(SUM(M1190),6)</f>
        <v>0</v>
      </c>
      <c r="N1189" s="198">
        <f>'02 项目基础信息（输入）'!$C$48</f>
        <v>0</v>
      </c>
      <c r="O1189" s="198">
        <f t="shared" si="138"/>
        <v>0</v>
      </c>
      <c r="P1189" s="198">
        <f>'02 项目基础信息（输入）'!$I$48</f>
        <v>0</v>
      </c>
      <c r="Q1189" s="233">
        <f t="shared" si="139"/>
        <v>0</v>
      </c>
      <c r="S1189" s="217" t="s">
        <v>1313</v>
      </c>
      <c r="U1189" s="220" t="s">
        <v>2978</v>
      </c>
    </row>
    <row r="1190" spans="1:21" ht="0" hidden="1" customHeight="1" outlineLevel="3">
      <c r="A1190" s="192" t="s">
        <v>2180</v>
      </c>
      <c r="B1190" s="192"/>
      <c r="C1190" s="197" t="s">
        <v>309</v>
      </c>
      <c r="D1190" s="198">
        <f>'02 项目基础信息（输入）'!$AC$48</f>
        <v>0</v>
      </c>
      <c r="E1190" s="199" t="s">
        <v>310</v>
      </c>
      <c r="F1190" s="197" t="s">
        <v>309</v>
      </c>
      <c r="G1190" s="199">
        <v>1</v>
      </c>
      <c r="H1190" s="199" t="s">
        <v>1903</v>
      </c>
      <c r="I1190" s="198">
        <f>G1190*D1190</f>
        <v>0</v>
      </c>
      <c r="J1190" s="199" t="s">
        <v>310</v>
      </c>
      <c r="K1190" s="188">
        <v>0</v>
      </c>
      <c r="L1190" s="209" t="s">
        <v>736</v>
      </c>
      <c r="M1190" s="207">
        <f>ROUND(K1190*I1190/10000,6)</f>
        <v>0</v>
      </c>
      <c r="N1190" s="198">
        <f>'02 项目基础信息（输入）'!$C$48</f>
        <v>0</v>
      </c>
      <c r="O1190" s="198">
        <f t="shared" si="138"/>
        <v>0</v>
      </c>
      <c r="P1190" s="198">
        <f>'02 项目基础信息（输入）'!$I$48</f>
        <v>0</v>
      </c>
      <c r="Q1190" s="233">
        <f t="shared" si="139"/>
        <v>0</v>
      </c>
      <c r="S1190" s="217"/>
      <c r="U1190" s="220" t="s">
        <v>2979</v>
      </c>
    </row>
    <row r="1191" spans="1:21" ht="0" hidden="1" customHeight="1" outlineLevel="2">
      <c r="A1191" s="192" t="s">
        <v>2182</v>
      </c>
      <c r="B1191" s="192"/>
      <c r="C1191" s="197" t="s">
        <v>1609</v>
      </c>
      <c r="D1191" s="198">
        <f>'02 项目基础信息（输入）'!$C$48</f>
        <v>0</v>
      </c>
      <c r="E1191" s="199" t="s">
        <v>93</v>
      </c>
      <c r="F1191" s="197"/>
      <c r="G1191" s="199"/>
      <c r="H1191" s="199"/>
      <c r="I1191" s="197"/>
      <c r="J1191" s="199"/>
      <c r="K1191" s="198"/>
      <c r="L1191" s="209"/>
      <c r="M1191" s="198">
        <f>ROUND(SUM(M1192),6)</f>
        <v>0</v>
      </c>
      <c r="N1191" s="198">
        <f>'02 项目基础信息（输入）'!$C$48</f>
        <v>0</v>
      </c>
      <c r="O1191" s="198">
        <f t="shared" si="138"/>
        <v>0</v>
      </c>
      <c r="P1191" s="198">
        <f>'02 项目基础信息（输入）'!$I$48</f>
        <v>0</v>
      </c>
      <c r="Q1191" s="233">
        <f t="shared" si="139"/>
        <v>0</v>
      </c>
      <c r="S1191" s="217" t="s">
        <v>1313</v>
      </c>
      <c r="U1191" s="220" t="s">
        <v>2980</v>
      </c>
    </row>
    <row r="1192" spans="1:21" ht="0" hidden="1" customHeight="1" outlineLevel="3">
      <c r="A1192" s="192" t="s">
        <v>2184</v>
      </c>
      <c r="B1192" s="192"/>
      <c r="C1192" s="197" t="s">
        <v>309</v>
      </c>
      <c r="D1192" s="198">
        <f>'02 项目基础信息（输入）'!$AC$48</f>
        <v>0</v>
      </c>
      <c r="E1192" s="199" t="s">
        <v>310</v>
      </c>
      <c r="F1192" s="197" t="s">
        <v>309</v>
      </c>
      <c r="G1192" s="199">
        <v>1</v>
      </c>
      <c r="H1192" s="199" t="s">
        <v>1903</v>
      </c>
      <c r="I1192" s="198">
        <f>G1192*D1192</f>
        <v>0</v>
      </c>
      <c r="J1192" s="199" t="s">
        <v>310</v>
      </c>
      <c r="K1192" s="188">
        <v>0</v>
      </c>
      <c r="L1192" s="209" t="s">
        <v>736</v>
      </c>
      <c r="M1192" s="198">
        <f>ROUND(K1192*I1192/10000,6)</f>
        <v>0</v>
      </c>
      <c r="N1192" s="198">
        <f>'02 项目基础信息（输入）'!$C$48</f>
        <v>0</v>
      </c>
      <c r="O1192" s="198">
        <f t="shared" si="138"/>
        <v>0</v>
      </c>
      <c r="P1192" s="198">
        <f>'02 项目基础信息（输入）'!$I$48</f>
        <v>0</v>
      </c>
      <c r="Q1192" s="233">
        <f t="shared" si="139"/>
        <v>0</v>
      </c>
      <c r="S1192" s="217"/>
      <c r="U1192" s="220" t="s">
        <v>2981</v>
      </c>
    </row>
    <row r="1193" spans="1:21" ht="0" hidden="1" customHeight="1" outlineLevel="2">
      <c r="A1193" s="192" t="s">
        <v>1915</v>
      </c>
      <c r="B1193" s="192"/>
      <c r="C1193" s="197" t="s">
        <v>1609</v>
      </c>
      <c r="D1193" s="198">
        <f>'02 项目基础信息（输入）'!$C$48</f>
        <v>0</v>
      </c>
      <c r="E1193" s="199" t="s">
        <v>93</v>
      </c>
      <c r="F1193" s="197"/>
      <c r="G1193" s="199"/>
      <c r="H1193" s="199"/>
      <c r="I1193" s="197"/>
      <c r="J1193" s="199"/>
      <c r="K1193" s="198"/>
      <c r="L1193" s="209"/>
      <c r="M1193" s="198">
        <f>ROUND(SUM(M1194:M1196),6)</f>
        <v>0</v>
      </c>
      <c r="N1193" s="198">
        <f>'02 项目基础信息（输入）'!$C$48</f>
        <v>0</v>
      </c>
      <c r="O1193" s="198">
        <f t="shared" si="138"/>
        <v>0</v>
      </c>
      <c r="P1193" s="198">
        <f>'02 项目基础信息（输入）'!$I$48</f>
        <v>0</v>
      </c>
      <c r="Q1193" s="233">
        <f t="shared" si="139"/>
        <v>0</v>
      </c>
      <c r="S1193" s="217" t="s">
        <v>1314</v>
      </c>
      <c r="U1193" s="220" t="s">
        <v>2982</v>
      </c>
    </row>
    <row r="1194" spans="1:21" ht="0" hidden="1" customHeight="1" outlineLevel="3">
      <c r="A1194" s="192" t="s">
        <v>1917</v>
      </c>
      <c r="B1194" s="192"/>
      <c r="C1194" s="197" t="s">
        <v>455</v>
      </c>
      <c r="D1194" s="198">
        <f>'02 项目基础信息（输入）'!$J$48</f>
        <v>0</v>
      </c>
      <c r="E1194" s="199" t="s">
        <v>400</v>
      </c>
      <c r="F1194" s="197" t="s">
        <v>455</v>
      </c>
      <c r="G1194" s="199">
        <v>1</v>
      </c>
      <c r="H1194" s="199" t="s">
        <v>1918</v>
      </c>
      <c r="I1194" s="198">
        <f>G1194*D1194</f>
        <v>0</v>
      </c>
      <c r="J1194" s="199" t="s">
        <v>1082</v>
      </c>
      <c r="K1194" s="188">
        <v>0</v>
      </c>
      <c r="L1194" s="209" t="s">
        <v>1087</v>
      </c>
      <c r="M1194" s="207">
        <f>ROUND(K1194*I1194/10000,6)</f>
        <v>0</v>
      </c>
      <c r="N1194" s="198">
        <f>'02 项目基础信息（输入）'!$C$48</f>
        <v>0</v>
      </c>
      <c r="O1194" s="198">
        <f t="shared" si="138"/>
        <v>0</v>
      </c>
      <c r="P1194" s="198">
        <f>'02 项目基础信息（输入）'!$I$48</f>
        <v>0</v>
      </c>
      <c r="Q1194" s="233">
        <f t="shared" si="139"/>
        <v>0</v>
      </c>
      <c r="S1194" s="217"/>
      <c r="U1194" s="220" t="s">
        <v>2983</v>
      </c>
    </row>
    <row r="1195" spans="1:21" ht="0" hidden="1" customHeight="1" outlineLevel="3">
      <c r="A1195" s="192" t="s">
        <v>1920</v>
      </c>
      <c r="B1195" s="192"/>
      <c r="C1195" s="197" t="s">
        <v>455</v>
      </c>
      <c r="D1195" s="198">
        <f>'02 项目基础信息（输入）'!$J$48</f>
        <v>0</v>
      </c>
      <c r="E1195" s="199" t="s">
        <v>400</v>
      </c>
      <c r="F1195" s="197" t="s">
        <v>455</v>
      </c>
      <c r="G1195" s="199">
        <v>1</v>
      </c>
      <c r="H1195" s="199" t="s">
        <v>1918</v>
      </c>
      <c r="I1195" s="198">
        <f>G1195*D1195</f>
        <v>0</v>
      </c>
      <c r="J1195" s="199" t="s">
        <v>1082</v>
      </c>
      <c r="K1195" s="188">
        <v>0</v>
      </c>
      <c r="L1195" s="209" t="s">
        <v>1087</v>
      </c>
      <c r="M1195" s="207">
        <f>ROUND(K1195*I1195/10000,6)</f>
        <v>0</v>
      </c>
      <c r="N1195" s="198">
        <f>'02 项目基础信息（输入）'!$C$48</f>
        <v>0</v>
      </c>
      <c r="O1195" s="198">
        <f t="shared" si="138"/>
        <v>0</v>
      </c>
      <c r="P1195" s="198">
        <f>'02 项目基础信息（输入）'!$I$48</f>
        <v>0</v>
      </c>
      <c r="Q1195" s="233">
        <f t="shared" si="139"/>
        <v>0</v>
      </c>
      <c r="S1195" s="217"/>
      <c r="U1195" s="220" t="s">
        <v>2984</v>
      </c>
    </row>
    <row r="1196" spans="1:21" ht="0" hidden="1" customHeight="1" outlineLevel="3">
      <c r="A1196" s="192" t="s">
        <v>1922</v>
      </c>
      <c r="B1196" s="192"/>
      <c r="C1196" s="197" t="s">
        <v>455</v>
      </c>
      <c r="D1196" s="198">
        <f>'02 项目基础信息（输入）'!$J$48</f>
        <v>0</v>
      </c>
      <c r="E1196" s="199" t="s">
        <v>400</v>
      </c>
      <c r="F1196" s="197" t="s">
        <v>455</v>
      </c>
      <c r="G1196" s="199">
        <v>1</v>
      </c>
      <c r="H1196" s="199" t="s">
        <v>1918</v>
      </c>
      <c r="I1196" s="198">
        <f>G1196*D1196</f>
        <v>0</v>
      </c>
      <c r="J1196" s="199" t="s">
        <v>1082</v>
      </c>
      <c r="K1196" s="188">
        <v>0</v>
      </c>
      <c r="L1196" s="209" t="s">
        <v>1087</v>
      </c>
      <c r="M1196" s="207">
        <f>ROUND(K1196*I1196/10000,6)</f>
        <v>0</v>
      </c>
      <c r="N1196" s="198">
        <f>'02 项目基础信息（输入）'!$C$48</f>
        <v>0</v>
      </c>
      <c r="O1196" s="198">
        <f t="shared" si="138"/>
        <v>0</v>
      </c>
      <c r="P1196" s="198">
        <f>'02 项目基础信息（输入）'!$I$48</f>
        <v>0</v>
      </c>
      <c r="Q1196" s="233">
        <f t="shared" si="139"/>
        <v>0</v>
      </c>
      <c r="S1196" s="217"/>
      <c r="U1196" s="220" t="s">
        <v>2985</v>
      </c>
    </row>
    <row r="1197" spans="1:21" ht="0" hidden="1" customHeight="1" outlineLevel="2">
      <c r="A1197" s="192" t="s">
        <v>1924</v>
      </c>
      <c r="B1197" s="192"/>
      <c r="C1197" s="197" t="s">
        <v>1609</v>
      </c>
      <c r="D1197" s="198">
        <f>'02 项目基础信息（输入）'!$C$48</f>
        <v>0</v>
      </c>
      <c r="E1197" s="199" t="s">
        <v>93</v>
      </c>
      <c r="F1197" s="197"/>
      <c r="G1197" s="199"/>
      <c r="H1197" s="199"/>
      <c r="I1197" s="197"/>
      <c r="J1197" s="199"/>
      <c r="K1197" s="198"/>
      <c r="L1197" s="209"/>
      <c r="M1197" s="198">
        <f>ROUND(SUM(M1198),6)</f>
        <v>0</v>
      </c>
      <c r="N1197" s="198">
        <f>'02 项目基础信息（输入）'!$C$48</f>
        <v>0</v>
      </c>
      <c r="O1197" s="198">
        <f t="shared" si="138"/>
        <v>0</v>
      </c>
      <c r="P1197" s="198">
        <f>'02 项目基础信息（输入）'!$I$48</f>
        <v>0</v>
      </c>
      <c r="Q1197" s="233">
        <f t="shared" si="139"/>
        <v>0</v>
      </c>
      <c r="S1197" s="217" t="s">
        <v>1313</v>
      </c>
      <c r="U1197" s="220" t="s">
        <v>2986</v>
      </c>
    </row>
    <row r="1198" spans="1:21" ht="0" hidden="1" customHeight="1" outlineLevel="3">
      <c r="A1198" s="192" t="s">
        <v>1926</v>
      </c>
      <c r="B1198" s="192"/>
      <c r="C1198" s="197" t="s">
        <v>1609</v>
      </c>
      <c r="D1198" s="198">
        <f>'02 项目基础信息（输入）'!$C$48</f>
        <v>0</v>
      </c>
      <c r="E1198" s="199" t="s">
        <v>93</v>
      </c>
      <c r="F1198" s="197" t="s">
        <v>1927</v>
      </c>
      <c r="G1198" s="82">
        <v>0</v>
      </c>
      <c r="H1198" s="199" t="s">
        <v>298</v>
      </c>
      <c r="I1198" s="198">
        <f>G1198*D1198</f>
        <v>0</v>
      </c>
      <c r="J1198" s="199" t="s">
        <v>93</v>
      </c>
      <c r="K1198" s="188">
        <v>0</v>
      </c>
      <c r="L1198" s="209" t="s">
        <v>675</v>
      </c>
      <c r="M1198" s="207">
        <f>ROUND(K1198*I1198/10000,6)</f>
        <v>0</v>
      </c>
      <c r="N1198" s="198">
        <f>'02 项目基础信息（输入）'!$C$48</f>
        <v>0</v>
      </c>
      <c r="O1198" s="198">
        <f t="shared" si="138"/>
        <v>0</v>
      </c>
      <c r="P1198" s="198">
        <f>'02 项目基础信息（输入）'!$I$48</f>
        <v>0</v>
      </c>
      <c r="Q1198" s="233">
        <f t="shared" si="139"/>
        <v>0</v>
      </c>
      <c r="S1198" s="217"/>
      <c r="U1198" s="220" t="s">
        <v>2987</v>
      </c>
    </row>
    <row r="1199" spans="1:21" ht="0" hidden="1" customHeight="1" outlineLevel="2">
      <c r="A1199" s="192" t="s">
        <v>1931</v>
      </c>
      <c r="B1199" s="192"/>
      <c r="C1199" s="197" t="s">
        <v>1609</v>
      </c>
      <c r="D1199" s="198">
        <f>'02 项目基础信息（输入）'!$C$48</f>
        <v>0</v>
      </c>
      <c r="E1199" s="199" t="s">
        <v>93</v>
      </c>
      <c r="F1199" s="197"/>
      <c r="G1199" s="199"/>
      <c r="H1199" s="199"/>
      <c r="I1199" s="197"/>
      <c r="J1199" s="199"/>
      <c r="K1199" s="198"/>
      <c r="L1199" s="209"/>
      <c r="M1199" s="198">
        <f>ROUND(SUM(M1200),6)</f>
        <v>0</v>
      </c>
      <c r="N1199" s="198">
        <f>'02 项目基础信息（输入）'!$C$48</f>
        <v>0</v>
      </c>
      <c r="O1199" s="198">
        <f t="shared" si="138"/>
        <v>0</v>
      </c>
      <c r="P1199" s="198">
        <f>'02 项目基础信息（输入）'!$I$48</f>
        <v>0</v>
      </c>
      <c r="Q1199" s="233">
        <f t="shared" si="139"/>
        <v>0</v>
      </c>
      <c r="S1199" s="217" t="s">
        <v>1313</v>
      </c>
      <c r="U1199" s="220" t="s">
        <v>2988</v>
      </c>
    </row>
    <row r="1200" spans="1:21" ht="0" hidden="1" customHeight="1" outlineLevel="3">
      <c r="A1200" s="192" t="s">
        <v>1933</v>
      </c>
      <c r="B1200" s="192"/>
      <c r="C1200" s="197" t="s">
        <v>1609</v>
      </c>
      <c r="D1200" s="198">
        <f>'02 项目基础信息（输入）'!$C$48</f>
        <v>0</v>
      </c>
      <c r="E1200" s="199" t="s">
        <v>93</v>
      </c>
      <c r="F1200" s="197" t="s">
        <v>1886</v>
      </c>
      <c r="G1200" s="199">
        <v>1</v>
      </c>
      <c r="H1200" s="199" t="s">
        <v>298</v>
      </c>
      <c r="I1200" s="198">
        <f>G1200*D1200</f>
        <v>0</v>
      </c>
      <c r="J1200" s="199" t="s">
        <v>93</v>
      </c>
      <c r="K1200" s="188">
        <v>0</v>
      </c>
      <c r="L1200" s="209" t="s">
        <v>675</v>
      </c>
      <c r="M1200" s="207">
        <f>ROUND(K1200*I1200/10000,6)</f>
        <v>0</v>
      </c>
      <c r="N1200" s="198">
        <f>'02 项目基础信息（输入）'!$C$48</f>
        <v>0</v>
      </c>
      <c r="O1200" s="198">
        <f t="shared" si="138"/>
        <v>0</v>
      </c>
      <c r="P1200" s="198">
        <f>'02 项目基础信息（输入）'!$I$48</f>
        <v>0</v>
      </c>
      <c r="Q1200" s="233">
        <f t="shared" si="139"/>
        <v>0</v>
      </c>
      <c r="S1200" s="217"/>
      <c r="U1200" s="220" t="s">
        <v>2989</v>
      </c>
    </row>
    <row r="1201" spans="1:21" ht="0" hidden="1" customHeight="1" outlineLevel="2">
      <c r="A1201" s="192" t="s">
        <v>1935</v>
      </c>
      <c r="B1201" s="192"/>
      <c r="C1201" s="197" t="s">
        <v>1609</v>
      </c>
      <c r="D1201" s="198">
        <f>'02 项目基础信息（输入）'!$C$48</f>
        <v>0</v>
      </c>
      <c r="E1201" s="199" t="s">
        <v>93</v>
      </c>
      <c r="F1201" s="197"/>
      <c r="G1201" s="199"/>
      <c r="H1201" s="199"/>
      <c r="I1201" s="197"/>
      <c r="J1201" s="199"/>
      <c r="K1201" s="198"/>
      <c r="L1201" s="209"/>
      <c r="M1201" s="198">
        <f>ROUND(SUM(M1202:M1204),6)</f>
        <v>0</v>
      </c>
      <c r="N1201" s="198">
        <f>'02 项目基础信息（输入）'!$C$48</f>
        <v>0</v>
      </c>
      <c r="O1201" s="198">
        <f t="shared" si="138"/>
        <v>0</v>
      </c>
      <c r="P1201" s="198">
        <f>'02 项目基础信息（输入）'!$I$48</f>
        <v>0</v>
      </c>
      <c r="Q1201" s="233">
        <f t="shared" si="139"/>
        <v>0</v>
      </c>
      <c r="S1201" s="217" t="s">
        <v>1313</v>
      </c>
      <c r="U1201" s="220" t="s">
        <v>2990</v>
      </c>
    </row>
    <row r="1202" spans="1:21" ht="0" hidden="1" customHeight="1" outlineLevel="3">
      <c r="A1202" s="192" t="s">
        <v>2195</v>
      </c>
      <c r="B1202" s="192"/>
      <c r="C1202" s="197" t="s">
        <v>309</v>
      </c>
      <c r="D1202" s="198">
        <f>'02 项目基础信息（输入）'!$AC$48</f>
        <v>0</v>
      </c>
      <c r="E1202" s="199" t="s">
        <v>310</v>
      </c>
      <c r="F1202" s="197" t="s">
        <v>2196</v>
      </c>
      <c r="G1202" s="82">
        <v>0</v>
      </c>
      <c r="H1202" s="199" t="s">
        <v>2197</v>
      </c>
      <c r="I1202" s="198">
        <f>G1202*D1202</f>
        <v>0</v>
      </c>
      <c r="J1202" s="199" t="s">
        <v>2198</v>
      </c>
      <c r="K1202" s="188">
        <v>0</v>
      </c>
      <c r="L1202" s="209" t="s">
        <v>841</v>
      </c>
      <c r="M1202" s="207">
        <f>ROUND(K1202*I1202/10000,6)</f>
        <v>0</v>
      </c>
      <c r="N1202" s="198">
        <f>'02 项目基础信息（输入）'!$C$48</f>
        <v>0</v>
      </c>
      <c r="O1202" s="198">
        <f t="shared" si="138"/>
        <v>0</v>
      </c>
      <c r="P1202" s="198">
        <f>'02 项目基础信息（输入）'!$I$48</f>
        <v>0</v>
      </c>
      <c r="Q1202" s="233">
        <f t="shared" si="139"/>
        <v>0</v>
      </c>
      <c r="S1202" s="217"/>
      <c r="U1202" s="220" t="s">
        <v>2991</v>
      </c>
    </row>
    <row r="1203" spans="1:21" ht="0" hidden="1" customHeight="1" outlineLevel="3">
      <c r="A1203" s="192" t="s">
        <v>2200</v>
      </c>
      <c r="B1203" s="192"/>
      <c r="C1203" s="197" t="s">
        <v>309</v>
      </c>
      <c r="D1203" s="198">
        <f>'02 项目基础信息（输入）'!$AC$48</f>
        <v>0</v>
      </c>
      <c r="E1203" s="199" t="s">
        <v>310</v>
      </c>
      <c r="F1203" s="197" t="s">
        <v>2196</v>
      </c>
      <c r="G1203" s="82">
        <v>0</v>
      </c>
      <c r="H1203" s="199" t="s">
        <v>2197</v>
      </c>
      <c r="I1203" s="198">
        <f>G1203*D1203</f>
        <v>0</v>
      </c>
      <c r="J1203" s="199" t="s">
        <v>2198</v>
      </c>
      <c r="K1203" s="188">
        <v>0</v>
      </c>
      <c r="L1203" s="209" t="s">
        <v>841</v>
      </c>
      <c r="M1203" s="207">
        <f>ROUND(K1203*I1203/10000,6)</f>
        <v>0</v>
      </c>
      <c r="N1203" s="198">
        <f>'02 项目基础信息（输入）'!$C$48</f>
        <v>0</v>
      </c>
      <c r="O1203" s="198">
        <f t="shared" si="138"/>
        <v>0</v>
      </c>
      <c r="P1203" s="198">
        <f>'02 项目基础信息（输入）'!$I$48</f>
        <v>0</v>
      </c>
      <c r="Q1203" s="233">
        <f t="shared" si="139"/>
        <v>0</v>
      </c>
      <c r="S1203" s="217"/>
      <c r="U1203" s="220" t="s">
        <v>2992</v>
      </c>
    </row>
    <row r="1204" spans="1:21" ht="0" hidden="1" customHeight="1" outlineLevel="3">
      <c r="A1204" s="192" t="s">
        <v>2202</v>
      </c>
      <c r="B1204" s="192"/>
      <c r="C1204" s="197" t="s">
        <v>309</v>
      </c>
      <c r="D1204" s="198">
        <f>'02 项目基础信息（输入）'!$AC$48</f>
        <v>0</v>
      </c>
      <c r="E1204" s="199" t="s">
        <v>310</v>
      </c>
      <c r="F1204" s="197" t="s">
        <v>2196</v>
      </c>
      <c r="G1204" s="82">
        <v>0</v>
      </c>
      <c r="H1204" s="199" t="s">
        <v>2197</v>
      </c>
      <c r="I1204" s="198">
        <f>G1204*D1204</f>
        <v>0</v>
      </c>
      <c r="J1204" s="199" t="s">
        <v>2198</v>
      </c>
      <c r="K1204" s="188">
        <v>0</v>
      </c>
      <c r="L1204" s="209" t="s">
        <v>841</v>
      </c>
      <c r="M1204" s="207">
        <f>ROUND(K1204*I1204/10000,6)</f>
        <v>0</v>
      </c>
      <c r="N1204" s="198">
        <f>'02 项目基础信息（输入）'!$C$48</f>
        <v>0</v>
      </c>
      <c r="O1204" s="198">
        <f t="shared" si="138"/>
        <v>0</v>
      </c>
      <c r="P1204" s="198">
        <f>'02 项目基础信息（输入）'!$I$48</f>
        <v>0</v>
      </c>
      <c r="Q1204" s="233">
        <f t="shared" si="139"/>
        <v>0</v>
      </c>
      <c r="S1204" s="217"/>
      <c r="U1204" s="220" t="s">
        <v>2993</v>
      </c>
    </row>
    <row r="1205" spans="1:21" ht="0" hidden="1" customHeight="1" outlineLevel="2">
      <c r="A1205" s="192" t="s">
        <v>1937</v>
      </c>
      <c r="B1205" s="192"/>
      <c r="C1205" s="197" t="s">
        <v>1609</v>
      </c>
      <c r="D1205" s="198">
        <f>'02 项目基础信息（输入）'!$C$48</f>
        <v>0</v>
      </c>
      <c r="E1205" s="199" t="s">
        <v>93</v>
      </c>
      <c r="F1205" s="197"/>
      <c r="G1205" s="199"/>
      <c r="H1205" s="199"/>
      <c r="I1205" s="197"/>
      <c r="J1205" s="199"/>
      <c r="K1205" s="198"/>
      <c r="L1205" s="209"/>
      <c r="M1205" s="198">
        <f>ROUND(SUM(M1206),6)</f>
        <v>0</v>
      </c>
      <c r="N1205" s="198">
        <f>'02 项目基础信息（输入）'!$C$48</f>
        <v>0</v>
      </c>
      <c r="O1205" s="198">
        <f t="shared" si="138"/>
        <v>0</v>
      </c>
      <c r="P1205" s="198">
        <f>'02 项目基础信息（输入）'!$I$48</f>
        <v>0</v>
      </c>
      <c r="Q1205" s="233">
        <f t="shared" si="139"/>
        <v>0</v>
      </c>
      <c r="S1205" s="217" t="s">
        <v>1313</v>
      </c>
      <c r="U1205" s="220" t="s">
        <v>2994</v>
      </c>
    </row>
    <row r="1206" spans="1:21" ht="0" hidden="1" customHeight="1" outlineLevel="3">
      <c r="A1206" s="192" t="s">
        <v>2205</v>
      </c>
      <c r="B1206" s="192"/>
      <c r="C1206" s="197" t="s">
        <v>1609</v>
      </c>
      <c r="D1206" s="198">
        <f>'02 项目基础信息（输入）'!$C$48</f>
        <v>0</v>
      </c>
      <c r="E1206" s="199" t="s">
        <v>93</v>
      </c>
      <c r="F1206" s="197" t="s">
        <v>1609</v>
      </c>
      <c r="G1206" s="199">
        <v>1</v>
      </c>
      <c r="H1206" s="199" t="s">
        <v>298</v>
      </c>
      <c r="I1206" s="198">
        <f>G1206*D1206</f>
        <v>0</v>
      </c>
      <c r="J1206" s="199" t="s">
        <v>93</v>
      </c>
      <c r="K1206" s="188">
        <v>0</v>
      </c>
      <c r="L1206" s="209" t="s">
        <v>675</v>
      </c>
      <c r="M1206" s="207">
        <f>ROUND(K1206*I1206/10000,6)</f>
        <v>0</v>
      </c>
      <c r="N1206" s="198">
        <f>'02 项目基础信息（输入）'!$C$48</f>
        <v>0</v>
      </c>
      <c r="O1206" s="198">
        <f t="shared" si="138"/>
        <v>0</v>
      </c>
      <c r="P1206" s="198">
        <f>'02 项目基础信息（输入）'!$I$48</f>
        <v>0</v>
      </c>
      <c r="Q1206" s="233">
        <f t="shared" si="139"/>
        <v>0</v>
      </c>
      <c r="S1206" s="217"/>
      <c r="U1206" s="220" t="s">
        <v>2995</v>
      </c>
    </row>
    <row r="1207" spans="1:21" ht="0" hidden="1" customHeight="1" outlineLevel="2">
      <c r="A1207" s="192" t="s">
        <v>1939</v>
      </c>
      <c r="B1207" s="192"/>
      <c r="C1207" s="197" t="s">
        <v>1609</v>
      </c>
      <c r="D1207" s="198">
        <f>'02 项目基础信息（输入）'!$C$48</f>
        <v>0</v>
      </c>
      <c r="E1207" s="199" t="s">
        <v>93</v>
      </c>
      <c r="F1207" s="197"/>
      <c r="G1207" s="199"/>
      <c r="H1207" s="199"/>
      <c r="I1207" s="197"/>
      <c r="J1207" s="199"/>
      <c r="K1207" s="198"/>
      <c r="L1207" s="209"/>
      <c r="M1207" s="198">
        <f>ROUND(SUM(M1208),6)</f>
        <v>0</v>
      </c>
      <c r="N1207" s="198">
        <f>'02 项目基础信息（输入）'!$C$48</f>
        <v>0</v>
      </c>
      <c r="O1207" s="198">
        <f t="shared" si="138"/>
        <v>0</v>
      </c>
      <c r="P1207" s="198">
        <f>'02 项目基础信息（输入）'!$I$48</f>
        <v>0</v>
      </c>
      <c r="Q1207" s="233">
        <f t="shared" si="139"/>
        <v>0</v>
      </c>
      <c r="S1207" s="217" t="s">
        <v>1313</v>
      </c>
      <c r="U1207" s="220" t="s">
        <v>2996</v>
      </c>
    </row>
    <row r="1208" spans="1:21" ht="0" hidden="1" customHeight="1" outlineLevel="3">
      <c r="A1208" s="192" t="s">
        <v>2208</v>
      </c>
      <c r="B1208" s="192"/>
      <c r="C1208" s="197" t="s">
        <v>477</v>
      </c>
      <c r="D1208" s="198">
        <f>'02 项目基础信息（输入）'!$AG$48</f>
        <v>0</v>
      </c>
      <c r="E1208" s="199" t="s">
        <v>2209</v>
      </c>
      <c r="F1208" s="197" t="s">
        <v>477</v>
      </c>
      <c r="G1208" s="199">
        <v>1</v>
      </c>
      <c r="H1208" s="199" t="s">
        <v>2210</v>
      </c>
      <c r="I1208" s="198">
        <f>G1208*D1208</f>
        <v>0</v>
      </c>
      <c r="J1208" s="199" t="s">
        <v>2209</v>
      </c>
      <c r="K1208" s="188">
        <v>0</v>
      </c>
      <c r="L1208" s="209" t="s">
        <v>2211</v>
      </c>
      <c r="M1208" s="207">
        <f>ROUND(K1208*I1208/10000,6)</f>
        <v>0</v>
      </c>
      <c r="N1208" s="198">
        <f>'02 项目基础信息（输入）'!$C$48</f>
        <v>0</v>
      </c>
      <c r="O1208" s="198">
        <f t="shared" si="138"/>
        <v>0</v>
      </c>
      <c r="P1208" s="198">
        <f>'02 项目基础信息（输入）'!$I$48</f>
        <v>0</v>
      </c>
      <c r="Q1208" s="233">
        <f t="shared" si="139"/>
        <v>0</v>
      </c>
      <c r="S1208" s="217"/>
      <c r="U1208" s="220" t="s">
        <v>2997</v>
      </c>
    </row>
    <row r="1209" spans="1:21" ht="0" hidden="1" customHeight="1" outlineLevel="2">
      <c r="A1209" s="192" t="s">
        <v>1941</v>
      </c>
      <c r="B1209" s="192"/>
      <c r="C1209" s="197" t="s">
        <v>1609</v>
      </c>
      <c r="D1209" s="198">
        <f>'02 项目基础信息（输入）'!$C$48</f>
        <v>0</v>
      </c>
      <c r="E1209" s="199" t="s">
        <v>93</v>
      </c>
      <c r="F1209" s="197"/>
      <c r="G1209" s="199"/>
      <c r="H1209" s="199"/>
      <c r="I1209" s="197"/>
      <c r="J1209" s="199"/>
      <c r="K1209" s="198"/>
      <c r="L1209" s="209"/>
      <c r="M1209" s="197">
        <v>0</v>
      </c>
      <c r="N1209" s="198">
        <f>'02 项目基础信息（输入）'!$C$48</f>
        <v>0</v>
      </c>
      <c r="O1209" s="198">
        <f t="shared" si="138"/>
        <v>0</v>
      </c>
      <c r="P1209" s="198">
        <f>'02 项目基础信息（输入）'!$I$48</f>
        <v>0</v>
      </c>
      <c r="Q1209" s="233">
        <f t="shared" si="139"/>
        <v>0</v>
      </c>
      <c r="S1209" s="217" t="s">
        <v>1313</v>
      </c>
      <c r="U1209" s="220" t="s">
        <v>2998</v>
      </c>
    </row>
    <row r="1210" spans="1:21" ht="0" hidden="1" customHeight="1" outlineLevel="2">
      <c r="A1210" s="192" t="s">
        <v>1952</v>
      </c>
      <c r="B1210" s="192"/>
      <c r="C1210" s="197" t="s">
        <v>1609</v>
      </c>
      <c r="D1210" s="198">
        <f>'02 项目基础信息（输入）'!$C$48</f>
        <v>0</v>
      </c>
      <c r="E1210" s="199" t="s">
        <v>93</v>
      </c>
      <c r="F1210" s="197"/>
      <c r="G1210" s="199"/>
      <c r="H1210" s="199"/>
      <c r="I1210" s="197"/>
      <c r="J1210" s="199"/>
      <c r="K1210" s="198"/>
      <c r="L1210" s="209"/>
      <c r="M1210" s="197">
        <v>0</v>
      </c>
      <c r="N1210" s="198">
        <f>'02 项目基础信息（输入）'!$C$48</f>
        <v>0</v>
      </c>
      <c r="O1210" s="198">
        <f t="shared" si="138"/>
        <v>0</v>
      </c>
      <c r="P1210" s="198">
        <f>'02 项目基础信息（输入）'!$I$48</f>
        <v>0</v>
      </c>
      <c r="Q1210" s="233">
        <f t="shared" si="139"/>
        <v>0</v>
      </c>
      <c r="S1210" s="217" t="s">
        <v>1313</v>
      </c>
      <c r="U1210" s="220" t="s">
        <v>2999</v>
      </c>
    </row>
    <row r="1211" spans="1:21" ht="0" hidden="1" customHeight="1" outlineLevel="2">
      <c r="A1211" s="192" t="s">
        <v>1957</v>
      </c>
      <c r="B1211" s="192"/>
      <c r="C1211" s="197" t="s">
        <v>1609</v>
      </c>
      <c r="D1211" s="198">
        <f>'02 项目基础信息（输入）'!$C$48</f>
        <v>0</v>
      </c>
      <c r="E1211" s="199" t="s">
        <v>93</v>
      </c>
      <c r="F1211" s="197"/>
      <c r="G1211" s="199"/>
      <c r="H1211" s="199"/>
      <c r="I1211" s="197"/>
      <c r="J1211" s="199"/>
      <c r="K1211" s="198"/>
      <c r="L1211" s="209"/>
      <c r="M1211" s="198">
        <f>ROUND(SUM(M1212:M1215),6)</f>
        <v>0</v>
      </c>
      <c r="N1211" s="198">
        <f>'02 项目基础信息（输入）'!$C$48</f>
        <v>0</v>
      </c>
      <c r="O1211" s="198">
        <f t="shared" si="138"/>
        <v>0</v>
      </c>
      <c r="P1211" s="198">
        <f>'02 项目基础信息（输入）'!$I$48</f>
        <v>0</v>
      </c>
      <c r="Q1211" s="233">
        <f t="shared" si="139"/>
        <v>0</v>
      </c>
      <c r="S1211" s="217" t="s">
        <v>1313</v>
      </c>
      <c r="U1211" s="220" t="s">
        <v>3000</v>
      </c>
    </row>
    <row r="1212" spans="1:21" ht="0" hidden="1" customHeight="1" outlineLevel="3">
      <c r="A1212" s="192" t="s">
        <v>1959</v>
      </c>
      <c r="B1212" s="192"/>
      <c r="C1212" s="197" t="s">
        <v>1609</v>
      </c>
      <c r="D1212" s="198">
        <f>'02 项目基础信息（输入）'!$C$48</f>
        <v>0</v>
      </c>
      <c r="E1212" s="199" t="s">
        <v>93</v>
      </c>
      <c r="F1212" s="197" t="s">
        <v>1960</v>
      </c>
      <c r="G1212" s="82">
        <v>0</v>
      </c>
      <c r="H1212" s="199" t="s">
        <v>298</v>
      </c>
      <c r="I1212" s="198">
        <f>G1212*D1212</f>
        <v>0</v>
      </c>
      <c r="J1212" s="199" t="s">
        <v>93</v>
      </c>
      <c r="K1212" s="188">
        <v>0</v>
      </c>
      <c r="L1212" s="209" t="s">
        <v>675</v>
      </c>
      <c r="M1212" s="207">
        <f>ROUND(K1212*I1212/10000,6)</f>
        <v>0</v>
      </c>
      <c r="N1212" s="198">
        <f>'02 项目基础信息（输入）'!$C$48</f>
        <v>0</v>
      </c>
      <c r="O1212" s="198">
        <f t="shared" si="138"/>
        <v>0</v>
      </c>
      <c r="P1212" s="198">
        <f>'02 项目基础信息（输入）'!$I$48</f>
        <v>0</v>
      </c>
      <c r="Q1212" s="233">
        <f t="shared" si="139"/>
        <v>0</v>
      </c>
      <c r="S1212" s="217"/>
      <c r="U1212" s="220" t="s">
        <v>3001</v>
      </c>
    </row>
    <row r="1213" spans="1:21" ht="0" hidden="1" customHeight="1" outlineLevel="3">
      <c r="A1213" s="192" t="s">
        <v>1962</v>
      </c>
      <c r="B1213" s="192"/>
      <c r="C1213" s="197" t="s">
        <v>1609</v>
      </c>
      <c r="D1213" s="198">
        <f>'02 项目基础信息（输入）'!$C$48</f>
        <v>0</v>
      </c>
      <c r="E1213" s="199" t="s">
        <v>93</v>
      </c>
      <c r="F1213" s="197" t="s">
        <v>1960</v>
      </c>
      <c r="G1213" s="82">
        <v>0</v>
      </c>
      <c r="H1213" s="199" t="s">
        <v>298</v>
      </c>
      <c r="I1213" s="198">
        <f>G1213*D1213</f>
        <v>0</v>
      </c>
      <c r="J1213" s="199" t="s">
        <v>93</v>
      </c>
      <c r="K1213" s="188">
        <v>0</v>
      </c>
      <c r="L1213" s="209" t="s">
        <v>675</v>
      </c>
      <c r="M1213" s="207">
        <f>ROUND(K1213*I1213/10000,6)</f>
        <v>0</v>
      </c>
      <c r="N1213" s="198">
        <f>'02 项目基础信息（输入）'!$C$48</f>
        <v>0</v>
      </c>
      <c r="O1213" s="198">
        <f t="shared" si="138"/>
        <v>0</v>
      </c>
      <c r="P1213" s="198">
        <f>'02 项目基础信息（输入）'!$I$48</f>
        <v>0</v>
      </c>
      <c r="Q1213" s="233">
        <f t="shared" si="139"/>
        <v>0</v>
      </c>
      <c r="S1213" s="217"/>
      <c r="U1213" s="220" t="s">
        <v>3002</v>
      </c>
    </row>
    <row r="1214" spans="1:21" ht="0" hidden="1" customHeight="1" outlineLevel="3">
      <c r="A1214" s="192" t="s">
        <v>1964</v>
      </c>
      <c r="B1214" s="192"/>
      <c r="C1214" s="197" t="s">
        <v>1609</v>
      </c>
      <c r="D1214" s="198">
        <f>'02 项目基础信息（输入）'!$C$48</f>
        <v>0</v>
      </c>
      <c r="E1214" s="199" t="s">
        <v>93</v>
      </c>
      <c r="F1214" s="197" t="s">
        <v>1960</v>
      </c>
      <c r="G1214" s="82">
        <v>0</v>
      </c>
      <c r="H1214" s="199" t="s">
        <v>298</v>
      </c>
      <c r="I1214" s="198">
        <f>G1214*D1214</f>
        <v>0</v>
      </c>
      <c r="J1214" s="199" t="s">
        <v>93</v>
      </c>
      <c r="K1214" s="188">
        <v>0</v>
      </c>
      <c r="L1214" s="209" t="s">
        <v>675</v>
      </c>
      <c r="M1214" s="207">
        <f>ROUND(K1214*I1214/10000,6)</f>
        <v>0</v>
      </c>
      <c r="N1214" s="198">
        <f>'02 项目基础信息（输入）'!$C$48</f>
        <v>0</v>
      </c>
      <c r="O1214" s="198">
        <f t="shared" si="138"/>
        <v>0</v>
      </c>
      <c r="P1214" s="198">
        <f>'02 项目基础信息（输入）'!$I$48</f>
        <v>0</v>
      </c>
      <c r="Q1214" s="233">
        <f t="shared" si="139"/>
        <v>0</v>
      </c>
      <c r="S1214" s="217"/>
      <c r="U1214" s="220" t="s">
        <v>3003</v>
      </c>
    </row>
    <row r="1215" spans="1:21" ht="0" hidden="1" customHeight="1" outlineLevel="3">
      <c r="A1215" s="192" t="s">
        <v>1966</v>
      </c>
      <c r="B1215" s="192"/>
      <c r="C1215" s="197" t="s">
        <v>1609</v>
      </c>
      <c r="D1215" s="198">
        <f>'02 项目基础信息（输入）'!$C$48</f>
        <v>0</v>
      </c>
      <c r="E1215" s="199" t="s">
        <v>93</v>
      </c>
      <c r="F1215" s="197" t="s">
        <v>1960</v>
      </c>
      <c r="G1215" s="82">
        <v>0</v>
      </c>
      <c r="H1215" s="199" t="s">
        <v>298</v>
      </c>
      <c r="I1215" s="198">
        <f>G1215*D1215</f>
        <v>0</v>
      </c>
      <c r="J1215" s="199" t="s">
        <v>93</v>
      </c>
      <c r="K1215" s="188">
        <v>0</v>
      </c>
      <c r="L1215" s="209" t="s">
        <v>675</v>
      </c>
      <c r="M1215" s="207">
        <f>ROUND(K1215*I1215/10000,6)</f>
        <v>0</v>
      </c>
      <c r="N1215" s="198">
        <f>'02 项目基础信息（输入）'!$C$48</f>
        <v>0</v>
      </c>
      <c r="O1215" s="198">
        <f t="shared" si="138"/>
        <v>0</v>
      </c>
      <c r="P1215" s="198">
        <f>'02 项目基础信息（输入）'!$I$48</f>
        <v>0</v>
      </c>
      <c r="Q1215" s="233">
        <f t="shared" si="139"/>
        <v>0</v>
      </c>
      <c r="S1215" s="217"/>
      <c r="U1215" s="220" t="s">
        <v>3004</v>
      </c>
    </row>
    <row r="1216" spans="1:21" ht="0" hidden="1" customHeight="1" outlineLevel="2">
      <c r="A1216" s="192" t="s">
        <v>1968</v>
      </c>
      <c r="B1216" s="192"/>
      <c r="C1216" s="197" t="s">
        <v>1609</v>
      </c>
      <c r="D1216" s="198">
        <f>'02 项目基础信息（输入）'!$C$48</f>
        <v>0</v>
      </c>
      <c r="E1216" s="199" t="s">
        <v>93</v>
      </c>
      <c r="F1216" s="197"/>
      <c r="G1216" s="199"/>
      <c r="H1216" s="199"/>
      <c r="I1216" s="197"/>
      <c r="J1216" s="199"/>
      <c r="K1216" s="198"/>
      <c r="L1216" s="209"/>
      <c r="M1216" s="198">
        <f>ROUND(SUM(M1217),6)</f>
        <v>0</v>
      </c>
      <c r="N1216" s="198">
        <f>'02 项目基础信息（输入）'!$C$48</f>
        <v>0</v>
      </c>
      <c r="O1216" s="198">
        <f t="shared" si="138"/>
        <v>0</v>
      </c>
      <c r="P1216" s="198">
        <f>'02 项目基础信息（输入）'!$I$48</f>
        <v>0</v>
      </c>
      <c r="Q1216" s="233">
        <f t="shared" si="139"/>
        <v>0</v>
      </c>
      <c r="S1216" s="217" t="s">
        <v>1313</v>
      </c>
      <c r="U1216" s="220" t="s">
        <v>3005</v>
      </c>
    </row>
    <row r="1217" spans="1:21" ht="0" hidden="1" customHeight="1" outlineLevel="3">
      <c r="A1217" s="192" t="s">
        <v>1970</v>
      </c>
      <c r="B1217" s="192"/>
      <c r="C1217" s="197" t="s">
        <v>1609</v>
      </c>
      <c r="D1217" s="198">
        <f>'02 项目基础信息（输入）'!$C$48</f>
        <v>0</v>
      </c>
      <c r="E1217" s="199" t="s">
        <v>93</v>
      </c>
      <c r="F1217" s="197" t="s">
        <v>1609</v>
      </c>
      <c r="G1217" s="199">
        <v>1</v>
      </c>
      <c r="H1217" s="199" t="s">
        <v>298</v>
      </c>
      <c r="I1217" s="198">
        <f>G1217*D1217</f>
        <v>0</v>
      </c>
      <c r="J1217" s="199" t="s">
        <v>93</v>
      </c>
      <c r="K1217" s="188">
        <v>0</v>
      </c>
      <c r="L1217" s="209" t="s">
        <v>675</v>
      </c>
      <c r="M1217" s="207">
        <f>ROUND(K1217*I1217/10000,6)</f>
        <v>0</v>
      </c>
      <c r="N1217" s="198">
        <f>'02 项目基础信息（输入）'!$C$48</f>
        <v>0</v>
      </c>
      <c r="O1217" s="198">
        <f t="shared" si="138"/>
        <v>0</v>
      </c>
      <c r="P1217" s="198">
        <f>'02 项目基础信息（输入）'!$I$48</f>
        <v>0</v>
      </c>
      <c r="Q1217" s="233">
        <f t="shared" si="139"/>
        <v>0</v>
      </c>
      <c r="S1217" s="217"/>
      <c r="U1217" s="220" t="s">
        <v>3006</v>
      </c>
    </row>
    <row r="1218" spans="1:21" ht="0" hidden="1" customHeight="1" outlineLevel="2">
      <c r="A1218" s="192" t="s">
        <v>1972</v>
      </c>
      <c r="B1218" s="192"/>
      <c r="C1218" s="197" t="s">
        <v>1609</v>
      </c>
      <c r="D1218" s="198">
        <f>'02 项目基础信息（输入）'!$C$48</f>
        <v>0</v>
      </c>
      <c r="E1218" s="199" t="s">
        <v>93</v>
      </c>
      <c r="F1218" s="197"/>
      <c r="G1218" s="199"/>
      <c r="H1218" s="199"/>
      <c r="I1218" s="197"/>
      <c r="J1218" s="199"/>
      <c r="K1218" s="198"/>
      <c r="L1218" s="209"/>
      <c r="M1218" s="198">
        <f>ROUND(SUM(M1219),6)</f>
        <v>0</v>
      </c>
      <c r="N1218" s="198">
        <f>'02 项目基础信息（输入）'!$C$48</f>
        <v>0</v>
      </c>
      <c r="O1218" s="198">
        <f t="shared" si="138"/>
        <v>0</v>
      </c>
      <c r="P1218" s="198">
        <f>'02 项目基础信息（输入）'!$I$48</f>
        <v>0</v>
      </c>
      <c r="Q1218" s="233">
        <f t="shared" si="139"/>
        <v>0</v>
      </c>
      <c r="S1218" s="217" t="s">
        <v>1313</v>
      </c>
      <c r="U1218" s="220" t="s">
        <v>3007</v>
      </c>
    </row>
    <row r="1219" spans="1:21" ht="0" hidden="1" customHeight="1" outlineLevel="3">
      <c r="A1219" s="192" t="s">
        <v>1974</v>
      </c>
      <c r="B1219" s="192"/>
      <c r="C1219" s="197" t="s">
        <v>1609</v>
      </c>
      <c r="D1219" s="198">
        <f>'02 项目基础信息（输入）'!$C$48</f>
        <v>0</v>
      </c>
      <c r="E1219" s="199" t="s">
        <v>93</v>
      </c>
      <c r="F1219" s="197" t="s">
        <v>1609</v>
      </c>
      <c r="G1219" s="199">
        <v>1</v>
      </c>
      <c r="H1219" s="199" t="s">
        <v>298</v>
      </c>
      <c r="I1219" s="198">
        <f>G1219*D1219</f>
        <v>0</v>
      </c>
      <c r="J1219" s="199" t="s">
        <v>93</v>
      </c>
      <c r="K1219" s="188">
        <v>0</v>
      </c>
      <c r="L1219" s="209" t="s">
        <v>675</v>
      </c>
      <c r="M1219" s="207">
        <f>ROUND(K1219*I1219/10000,6)</f>
        <v>0</v>
      </c>
      <c r="N1219" s="198">
        <f>'02 项目基础信息（输入）'!$C$48</f>
        <v>0</v>
      </c>
      <c r="O1219" s="198">
        <f t="shared" ref="O1219:O1282" si="142">ROUND(IFERROR(M1219*10000/N1219,0),2)</f>
        <v>0</v>
      </c>
      <c r="P1219" s="198">
        <f>'02 项目基础信息（输入）'!$I$48</f>
        <v>0</v>
      </c>
      <c r="Q1219" s="233">
        <f t="shared" ref="Q1219:Q1282" si="143">ROUND(IFERROR(M1219*10000/P1219,0),2)</f>
        <v>0</v>
      </c>
      <c r="S1219" s="217"/>
      <c r="U1219" s="220" t="s">
        <v>3008</v>
      </c>
    </row>
    <row r="1220" spans="1:21" ht="0" hidden="1" customHeight="1" outlineLevel="1" collapsed="1">
      <c r="A1220" s="192" t="s">
        <v>512</v>
      </c>
      <c r="B1220" s="192"/>
      <c r="C1220" s="197" t="s">
        <v>1609</v>
      </c>
      <c r="D1220" s="198">
        <f>'02 项目基础信息（输入）'!$C$51</f>
        <v>0</v>
      </c>
      <c r="E1220" s="199" t="s">
        <v>93</v>
      </c>
      <c r="F1220" s="197"/>
      <c r="G1220" s="199"/>
      <c r="H1220" s="199"/>
      <c r="I1220" s="197"/>
      <c r="J1220" s="199"/>
      <c r="K1220" s="197"/>
      <c r="L1220" s="209"/>
      <c r="M1220" s="198">
        <f>ROUND(M1221+M1243+M1246+M1259+M1262+M1265+M1284+M1296+M1298+M1304+M1310+M1315+M1332+M1337+M1359+M1361+M1365+M1367+M1369+M1375+M1382+M1384+M1386+M1390+M1392+M1394+M1398+M1400+M1402+M1403+M1404+M1409+M1411,6)</f>
        <v>0</v>
      </c>
      <c r="N1220" s="198">
        <f>'02 项目基础信息（输入）'!$C$51</f>
        <v>0</v>
      </c>
      <c r="O1220" s="198">
        <f t="shared" si="142"/>
        <v>0</v>
      </c>
      <c r="P1220" s="198">
        <f>'02 项目基础信息（输入）'!$I$51</f>
        <v>0</v>
      </c>
      <c r="Q1220" s="233">
        <f t="shared" si="143"/>
        <v>0</v>
      </c>
      <c r="S1220" s="217"/>
      <c r="U1220" s="220" t="s">
        <v>3009</v>
      </c>
    </row>
    <row r="1221" spans="1:21" ht="0" hidden="1" customHeight="1" outlineLevel="2">
      <c r="A1221" s="192" t="s">
        <v>1611</v>
      </c>
      <c r="B1221" s="192"/>
      <c r="C1221" s="197" t="s">
        <v>1609</v>
      </c>
      <c r="D1221" s="198">
        <f>'02 项目基础信息（输入）'!$C$51</f>
        <v>0</v>
      </c>
      <c r="E1221" s="199" t="s">
        <v>93</v>
      </c>
      <c r="F1221" s="197"/>
      <c r="G1221" s="199"/>
      <c r="H1221" s="199"/>
      <c r="I1221" s="197"/>
      <c r="J1221" s="199"/>
      <c r="K1221" s="197"/>
      <c r="L1221" s="209"/>
      <c r="M1221" s="198">
        <f>ROUND(M1222+M1225+M1226+M1231+M1232+M1238+M1239+M1242,6)</f>
        <v>0</v>
      </c>
      <c r="N1221" s="198">
        <f>'02 项目基础信息（输入）'!$C$51</f>
        <v>0</v>
      </c>
      <c r="O1221" s="198">
        <f t="shared" si="142"/>
        <v>0</v>
      </c>
      <c r="P1221" s="198">
        <f>'02 项目基础信息（输入）'!$I$51</f>
        <v>0</v>
      </c>
      <c r="Q1221" s="233">
        <f t="shared" si="143"/>
        <v>0</v>
      </c>
      <c r="S1221" s="217" t="s">
        <v>1313</v>
      </c>
      <c r="U1221" s="220" t="s">
        <v>3010</v>
      </c>
    </row>
    <row r="1222" spans="1:21" ht="0" hidden="1" customHeight="1" outlineLevel="3">
      <c r="A1222" s="192" t="s">
        <v>1613</v>
      </c>
      <c r="B1222" s="192"/>
      <c r="C1222" s="197"/>
      <c r="D1222" s="198">
        <f>'02 项目基础信息（输入）'!$C$51</f>
        <v>0</v>
      </c>
      <c r="E1222" s="199"/>
      <c r="F1222" s="197"/>
      <c r="G1222" s="199"/>
      <c r="H1222" s="199"/>
      <c r="I1222" s="197">
        <v>0</v>
      </c>
      <c r="J1222" s="199"/>
      <c r="K1222" s="197"/>
      <c r="L1222" s="209"/>
      <c r="M1222" s="198">
        <f>ROUND(SUM(M1223:M1224),6)</f>
        <v>0</v>
      </c>
      <c r="N1222" s="198">
        <f>'02 项目基础信息（输入）'!$C$51</f>
        <v>0</v>
      </c>
      <c r="O1222" s="198">
        <f t="shared" si="142"/>
        <v>0</v>
      </c>
      <c r="P1222" s="198">
        <f>'02 项目基础信息（输入）'!$I$51</f>
        <v>0</v>
      </c>
      <c r="Q1222" s="233">
        <f t="shared" si="143"/>
        <v>0</v>
      </c>
      <c r="S1222" s="217"/>
      <c r="U1222" s="220" t="s">
        <v>3011</v>
      </c>
    </row>
    <row r="1223" spans="1:21" ht="0" hidden="1" customHeight="1" outlineLevel="4">
      <c r="A1223" s="192" t="s">
        <v>1615</v>
      </c>
      <c r="B1223" s="192"/>
      <c r="C1223" s="197" t="s">
        <v>1609</v>
      </c>
      <c r="D1223" s="198">
        <f>'02 项目基础信息（输入）'!$C$51</f>
        <v>0</v>
      </c>
      <c r="E1223" s="199" t="s">
        <v>93</v>
      </c>
      <c r="F1223" s="197" t="s">
        <v>1616</v>
      </c>
      <c r="G1223" s="82">
        <v>0</v>
      </c>
      <c r="H1223" s="199" t="s">
        <v>966</v>
      </c>
      <c r="I1223" s="198">
        <f>G1223*D1223</f>
        <v>0</v>
      </c>
      <c r="J1223" s="199" t="s">
        <v>1617</v>
      </c>
      <c r="K1223" s="188">
        <v>0</v>
      </c>
      <c r="L1223" s="209" t="s">
        <v>664</v>
      </c>
      <c r="M1223" s="198">
        <f>ROUND(K1223*I1223/10000,6)</f>
        <v>0</v>
      </c>
      <c r="N1223" s="198">
        <f>'02 项目基础信息（输入）'!$C$51</f>
        <v>0</v>
      </c>
      <c r="O1223" s="198">
        <f t="shared" si="142"/>
        <v>0</v>
      </c>
      <c r="P1223" s="198">
        <f>'02 项目基础信息（输入）'!$I$51</f>
        <v>0</v>
      </c>
      <c r="Q1223" s="233">
        <f t="shared" si="143"/>
        <v>0</v>
      </c>
      <c r="S1223" s="217"/>
      <c r="U1223" s="220" t="s">
        <v>3012</v>
      </c>
    </row>
    <row r="1224" spans="1:21" ht="0" hidden="1" customHeight="1" outlineLevel="4">
      <c r="A1224" s="192" t="s">
        <v>1619</v>
      </c>
      <c r="B1224" s="192"/>
      <c r="C1224" s="197" t="s">
        <v>1609</v>
      </c>
      <c r="D1224" s="198">
        <f>'02 项目基础信息（输入）'!$C$51</f>
        <v>0</v>
      </c>
      <c r="E1224" s="199" t="s">
        <v>93</v>
      </c>
      <c r="F1224" s="197" t="s">
        <v>1616</v>
      </c>
      <c r="G1224" s="82">
        <v>0</v>
      </c>
      <c r="H1224" s="199" t="s">
        <v>966</v>
      </c>
      <c r="I1224" s="198">
        <f>G1224*D1224</f>
        <v>0</v>
      </c>
      <c r="J1224" s="199" t="s">
        <v>1617</v>
      </c>
      <c r="K1224" s="188">
        <v>0</v>
      </c>
      <c r="L1224" s="209" t="s">
        <v>664</v>
      </c>
      <c r="M1224" s="198">
        <f>ROUND(K1224*I1224/10000,6)</f>
        <v>0</v>
      </c>
      <c r="N1224" s="198">
        <f>'02 项目基础信息（输入）'!$C$51</f>
        <v>0</v>
      </c>
      <c r="O1224" s="198">
        <f t="shared" si="142"/>
        <v>0</v>
      </c>
      <c r="P1224" s="198">
        <f>'02 项目基础信息（输入）'!$I$51</f>
        <v>0</v>
      </c>
      <c r="Q1224" s="233">
        <f t="shared" si="143"/>
        <v>0</v>
      </c>
      <c r="S1224" s="217"/>
      <c r="U1224" s="220" t="s">
        <v>3013</v>
      </c>
    </row>
    <row r="1225" spans="1:21" ht="0" hidden="1" customHeight="1" outlineLevel="3">
      <c r="A1225" s="192" t="s">
        <v>1621</v>
      </c>
      <c r="B1225" s="192"/>
      <c r="C1225" s="197" t="s">
        <v>1609</v>
      </c>
      <c r="D1225" s="198">
        <f>'02 项目基础信息（输入）'!$C$51</f>
        <v>0</v>
      </c>
      <c r="E1225" s="199" t="s">
        <v>93</v>
      </c>
      <c r="F1225" s="197" t="s">
        <v>1622</v>
      </c>
      <c r="G1225" s="82">
        <v>0</v>
      </c>
      <c r="H1225" s="199" t="s">
        <v>298</v>
      </c>
      <c r="I1225" s="198">
        <f>G1225*D1225</f>
        <v>0</v>
      </c>
      <c r="J1225" s="199" t="s">
        <v>93</v>
      </c>
      <c r="K1225" s="188">
        <v>0</v>
      </c>
      <c r="L1225" s="209" t="s">
        <v>675</v>
      </c>
      <c r="M1225" s="198">
        <f>ROUND(K1225*I1225/10000,6)</f>
        <v>0</v>
      </c>
      <c r="N1225" s="198">
        <f>'02 项目基础信息（输入）'!$C$51</f>
        <v>0</v>
      </c>
      <c r="O1225" s="198">
        <f t="shared" si="142"/>
        <v>0</v>
      </c>
      <c r="P1225" s="198">
        <f>'02 项目基础信息（输入）'!$I$51</f>
        <v>0</v>
      </c>
      <c r="Q1225" s="233">
        <f t="shared" si="143"/>
        <v>0</v>
      </c>
      <c r="S1225" s="217"/>
      <c r="U1225" s="220" t="s">
        <v>3014</v>
      </c>
    </row>
    <row r="1226" spans="1:21" ht="0" hidden="1" customHeight="1" outlineLevel="3">
      <c r="A1226" s="192" t="s">
        <v>1624</v>
      </c>
      <c r="B1226" s="192"/>
      <c r="C1226" s="197"/>
      <c r="D1226" s="198">
        <f>'02 项目基础信息（输入）'!$C$51</f>
        <v>0</v>
      </c>
      <c r="E1226" s="199"/>
      <c r="F1226" s="197"/>
      <c r="G1226" s="199"/>
      <c r="H1226" s="199"/>
      <c r="I1226" s="197">
        <v>0</v>
      </c>
      <c r="J1226" s="199"/>
      <c r="K1226" s="198"/>
      <c r="L1226" s="209"/>
      <c r="M1226" s="198">
        <f>ROUND(SUM(M1227:M1230),6)</f>
        <v>0</v>
      </c>
      <c r="N1226" s="198">
        <f>'02 项目基础信息（输入）'!$C$51</f>
        <v>0</v>
      </c>
      <c r="O1226" s="198">
        <f t="shared" si="142"/>
        <v>0</v>
      </c>
      <c r="P1226" s="198">
        <f>'02 项目基础信息（输入）'!$I$51</f>
        <v>0</v>
      </c>
      <c r="Q1226" s="233">
        <f t="shared" si="143"/>
        <v>0</v>
      </c>
      <c r="S1226" s="217"/>
      <c r="U1226" s="220" t="s">
        <v>3015</v>
      </c>
    </row>
    <row r="1227" spans="1:21" ht="0" hidden="1" customHeight="1" outlineLevel="4">
      <c r="A1227" s="192" t="s">
        <v>1626</v>
      </c>
      <c r="B1227" s="192"/>
      <c r="C1227" s="197" t="s">
        <v>1609</v>
      </c>
      <c r="D1227" s="198">
        <f>'02 项目基础信息（输入）'!$C$51</f>
        <v>0</v>
      </c>
      <c r="E1227" s="199" t="s">
        <v>93</v>
      </c>
      <c r="F1227" s="197" t="s">
        <v>1627</v>
      </c>
      <c r="G1227" s="82">
        <v>0</v>
      </c>
      <c r="H1227" s="199" t="s">
        <v>976</v>
      </c>
      <c r="I1227" s="198">
        <f>G1227*D1227</f>
        <v>0</v>
      </c>
      <c r="J1227" s="199" t="s">
        <v>1511</v>
      </c>
      <c r="K1227" s="188">
        <v>0</v>
      </c>
      <c r="L1227" s="209" t="s">
        <v>671</v>
      </c>
      <c r="M1227" s="198">
        <f>ROUND(K1227*I1227/10000,6)</f>
        <v>0</v>
      </c>
      <c r="N1227" s="198">
        <f>'02 项目基础信息（输入）'!$C$51</f>
        <v>0</v>
      </c>
      <c r="O1227" s="198">
        <f t="shared" si="142"/>
        <v>0</v>
      </c>
      <c r="P1227" s="198">
        <f>'02 项目基础信息（输入）'!$I$51</f>
        <v>0</v>
      </c>
      <c r="Q1227" s="233">
        <f t="shared" si="143"/>
        <v>0</v>
      </c>
      <c r="S1227" s="217"/>
      <c r="U1227" s="220" t="s">
        <v>3016</v>
      </c>
    </row>
    <row r="1228" spans="1:21" ht="0" hidden="1" customHeight="1" outlineLevel="4">
      <c r="A1228" s="192" t="s">
        <v>1629</v>
      </c>
      <c r="B1228" s="192"/>
      <c r="C1228" s="197" t="s">
        <v>1609</v>
      </c>
      <c r="D1228" s="198">
        <f>'02 项目基础信息（输入）'!$C$51</f>
        <v>0</v>
      </c>
      <c r="E1228" s="199" t="s">
        <v>93</v>
      </c>
      <c r="F1228" s="197" t="s">
        <v>1627</v>
      </c>
      <c r="G1228" s="82">
        <v>0</v>
      </c>
      <c r="H1228" s="199" t="s">
        <v>976</v>
      </c>
      <c r="I1228" s="198">
        <f>G1228*D1228</f>
        <v>0</v>
      </c>
      <c r="J1228" s="199" t="s">
        <v>1511</v>
      </c>
      <c r="K1228" s="188">
        <v>0</v>
      </c>
      <c r="L1228" s="209" t="s">
        <v>671</v>
      </c>
      <c r="M1228" s="198">
        <f>ROUND(K1228*I1228/10000,6)</f>
        <v>0</v>
      </c>
      <c r="N1228" s="198">
        <f>'02 项目基础信息（输入）'!$C$51</f>
        <v>0</v>
      </c>
      <c r="O1228" s="198">
        <f t="shared" si="142"/>
        <v>0</v>
      </c>
      <c r="P1228" s="198">
        <f>'02 项目基础信息（输入）'!$I$51</f>
        <v>0</v>
      </c>
      <c r="Q1228" s="233">
        <f t="shared" si="143"/>
        <v>0</v>
      </c>
      <c r="S1228" s="217"/>
      <c r="U1228" s="220" t="s">
        <v>3017</v>
      </c>
    </row>
    <row r="1229" spans="1:21" ht="0" hidden="1" customHeight="1" outlineLevel="4">
      <c r="A1229" s="192" t="s">
        <v>1631</v>
      </c>
      <c r="B1229" s="192"/>
      <c r="C1229" s="197" t="s">
        <v>1609</v>
      </c>
      <c r="D1229" s="198">
        <f>'02 项目基础信息（输入）'!$C$51</f>
        <v>0</v>
      </c>
      <c r="E1229" s="199" t="s">
        <v>93</v>
      </c>
      <c r="F1229" s="197" t="s">
        <v>1632</v>
      </c>
      <c r="G1229" s="82">
        <v>0</v>
      </c>
      <c r="H1229" s="199" t="s">
        <v>976</v>
      </c>
      <c r="I1229" s="198">
        <f>G1229*D1229</f>
        <v>0</v>
      </c>
      <c r="J1229" s="199" t="s">
        <v>93</v>
      </c>
      <c r="K1229" s="188">
        <v>0</v>
      </c>
      <c r="L1229" s="209" t="s">
        <v>675</v>
      </c>
      <c r="M1229" s="198">
        <f>ROUND(K1229*I1229/10000,6)</f>
        <v>0</v>
      </c>
      <c r="N1229" s="198">
        <f>'02 项目基础信息（输入）'!$C$51</f>
        <v>0</v>
      </c>
      <c r="O1229" s="198">
        <f t="shared" si="142"/>
        <v>0</v>
      </c>
      <c r="P1229" s="198">
        <f>'02 项目基础信息（输入）'!$I$51</f>
        <v>0</v>
      </c>
      <c r="Q1229" s="233">
        <f t="shared" si="143"/>
        <v>0</v>
      </c>
      <c r="S1229" s="217"/>
      <c r="U1229" s="220" t="s">
        <v>3018</v>
      </c>
    </row>
    <row r="1230" spans="1:21" ht="0" hidden="1" customHeight="1" outlineLevel="4">
      <c r="A1230" s="192" t="s">
        <v>1634</v>
      </c>
      <c r="B1230" s="192"/>
      <c r="C1230" s="197" t="s">
        <v>1609</v>
      </c>
      <c r="D1230" s="198">
        <f>'02 项目基础信息（输入）'!$C$51</f>
        <v>0</v>
      </c>
      <c r="E1230" s="199" t="s">
        <v>93</v>
      </c>
      <c r="F1230" s="197" t="s">
        <v>1632</v>
      </c>
      <c r="G1230" s="82">
        <v>0</v>
      </c>
      <c r="H1230" s="199" t="s">
        <v>976</v>
      </c>
      <c r="I1230" s="198">
        <f>G1230*D1230</f>
        <v>0</v>
      </c>
      <c r="J1230" s="199" t="s">
        <v>93</v>
      </c>
      <c r="K1230" s="188">
        <v>0</v>
      </c>
      <c r="L1230" s="209" t="s">
        <v>675</v>
      </c>
      <c r="M1230" s="198">
        <f>ROUND(K1230*I1230/10000,6)</f>
        <v>0</v>
      </c>
      <c r="N1230" s="198">
        <f>'02 项目基础信息（输入）'!$C$51</f>
        <v>0</v>
      </c>
      <c r="O1230" s="198">
        <f t="shared" si="142"/>
        <v>0</v>
      </c>
      <c r="P1230" s="198">
        <f>'02 项目基础信息（输入）'!$I$51</f>
        <v>0</v>
      </c>
      <c r="Q1230" s="233">
        <f t="shared" si="143"/>
        <v>0</v>
      </c>
      <c r="S1230" s="217"/>
      <c r="U1230" s="220" t="s">
        <v>3019</v>
      </c>
    </row>
    <row r="1231" spans="1:21" ht="0" hidden="1" customHeight="1" outlineLevel="3">
      <c r="A1231" s="192" t="s">
        <v>1636</v>
      </c>
      <c r="B1231" s="192"/>
      <c r="C1231" s="197" t="s">
        <v>1609</v>
      </c>
      <c r="D1231" s="198">
        <f>'02 项目基础信息（输入）'!$C$51</f>
        <v>0</v>
      </c>
      <c r="E1231" s="199" t="s">
        <v>93</v>
      </c>
      <c r="F1231" s="197" t="s">
        <v>1637</v>
      </c>
      <c r="G1231" s="82">
        <v>0</v>
      </c>
      <c r="H1231" s="199" t="s">
        <v>976</v>
      </c>
      <c r="I1231" s="198">
        <f>G1231*D1231</f>
        <v>0</v>
      </c>
      <c r="J1231" s="199" t="s">
        <v>1511</v>
      </c>
      <c r="K1231" s="188">
        <v>0</v>
      </c>
      <c r="L1231" s="209" t="s">
        <v>671</v>
      </c>
      <c r="M1231" s="198">
        <f>ROUND(K1231*I1231/10000,6)</f>
        <v>0</v>
      </c>
      <c r="N1231" s="198">
        <f>'02 项目基础信息（输入）'!$C$51</f>
        <v>0</v>
      </c>
      <c r="O1231" s="198">
        <f t="shared" si="142"/>
        <v>0</v>
      </c>
      <c r="P1231" s="198">
        <f>'02 项目基础信息（输入）'!$I$51</f>
        <v>0</v>
      </c>
      <c r="Q1231" s="233">
        <f t="shared" si="143"/>
        <v>0</v>
      </c>
      <c r="S1231" s="217"/>
      <c r="U1231" s="220" t="s">
        <v>3020</v>
      </c>
    </row>
    <row r="1232" spans="1:21" ht="0" hidden="1" customHeight="1" outlineLevel="3">
      <c r="A1232" s="192" t="s">
        <v>1640</v>
      </c>
      <c r="B1232" s="192"/>
      <c r="C1232" s="197"/>
      <c r="D1232" s="198">
        <f>'02 项目基础信息（输入）'!$C$51</f>
        <v>0</v>
      </c>
      <c r="E1232" s="199"/>
      <c r="F1232" s="197"/>
      <c r="G1232" s="199"/>
      <c r="H1232" s="199"/>
      <c r="I1232" s="197">
        <v>0</v>
      </c>
      <c r="J1232" s="199"/>
      <c r="K1232" s="197"/>
      <c r="L1232" s="209"/>
      <c r="M1232" s="198">
        <f>ROUND(SUM(M1233:M1237),6)</f>
        <v>0</v>
      </c>
      <c r="N1232" s="198">
        <f>'02 项目基础信息（输入）'!$C$51</f>
        <v>0</v>
      </c>
      <c r="O1232" s="198">
        <f t="shared" si="142"/>
        <v>0</v>
      </c>
      <c r="P1232" s="198">
        <f>'02 项目基础信息（输入）'!$I$51</f>
        <v>0</v>
      </c>
      <c r="Q1232" s="233">
        <f t="shared" si="143"/>
        <v>0</v>
      </c>
      <c r="S1232" s="217"/>
      <c r="U1232" s="220" t="s">
        <v>3021</v>
      </c>
    </row>
    <row r="1233" spans="1:21" ht="0" hidden="1" customHeight="1" outlineLevel="4">
      <c r="A1233" s="192" t="s">
        <v>1642</v>
      </c>
      <c r="B1233" s="192"/>
      <c r="C1233" s="197" t="s">
        <v>1609</v>
      </c>
      <c r="D1233" s="198">
        <f>'02 项目基础信息（输入）'!$C$51</f>
        <v>0</v>
      </c>
      <c r="E1233" s="199" t="s">
        <v>93</v>
      </c>
      <c r="F1233" s="197" t="s">
        <v>1609</v>
      </c>
      <c r="G1233" s="199">
        <v>1</v>
      </c>
      <c r="H1233" s="199" t="s">
        <v>298</v>
      </c>
      <c r="I1233" s="198">
        <f t="shared" ref="I1233:I1238" si="144">G1233*D1233</f>
        <v>0</v>
      </c>
      <c r="J1233" s="199" t="s">
        <v>93</v>
      </c>
      <c r="K1233" s="188">
        <v>0</v>
      </c>
      <c r="L1233" s="209" t="s">
        <v>675</v>
      </c>
      <c r="M1233" s="198">
        <f t="shared" ref="M1233:M1238" si="145">ROUND(K1233*I1233/10000,6)</f>
        <v>0</v>
      </c>
      <c r="N1233" s="198">
        <f>'02 项目基础信息（输入）'!$C$51</f>
        <v>0</v>
      </c>
      <c r="O1233" s="198">
        <f t="shared" si="142"/>
        <v>0</v>
      </c>
      <c r="P1233" s="198">
        <f>'02 项目基础信息（输入）'!$I$51</f>
        <v>0</v>
      </c>
      <c r="Q1233" s="233">
        <f t="shared" si="143"/>
        <v>0</v>
      </c>
      <c r="S1233" s="217"/>
      <c r="U1233" s="220" t="s">
        <v>3022</v>
      </c>
    </row>
    <row r="1234" spans="1:21" ht="0" hidden="1" customHeight="1" outlineLevel="4">
      <c r="A1234" s="192" t="s">
        <v>1645</v>
      </c>
      <c r="B1234" s="192"/>
      <c r="C1234" s="197" t="s">
        <v>1609</v>
      </c>
      <c r="D1234" s="198">
        <f>'02 项目基础信息（输入）'!$C$51</f>
        <v>0</v>
      </c>
      <c r="E1234" s="199" t="s">
        <v>93</v>
      </c>
      <c r="F1234" s="197" t="s">
        <v>1609</v>
      </c>
      <c r="G1234" s="199">
        <v>1</v>
      </c>
      <c r="H1234" s="199" t="s">
        <v>298</v>
      </c>
      <c r="I1234" s="198">
        <f t="shared" si="144"/>
        <v>0</v>
      </c>
      <c r="J1234" s="199" t="s">
        <v>93</v>
      </c>
      <c r="K1234" s="188">
        <v>0</v>
      </c>
      <c r="L1234" s="209" t="s">
        <v>675</v>
      </c>
      <c r="M1234" s="198">
        <f t="shared" si="145"/>
        <v>0</v>
      </c>
      <c r="N1234" s="198">
        <f>'02 项目基础信息（输入）'!$C$51</f>
        <v>0</v>
      </c>
      <c r="O1234" s="198">
        <f t="shared" si="142"/>
        <v>0</v>
      </c>
      <c r="P1234" s="198">
        <f>'02 项目基础信息（输入）'!$I$51</f>
        <v>0</v>
      </c>
      <c r="Q1234" s="233">
        <f t="shared" si="143"/>
        <v>0</v>
      </c>
      <c r="S1234" s="217"/>
      <c r="U1234" s="220" t="s">
        <v>3023</v>
      </c>
    </row>
    <row r="1235" spans="1:21" ht="0" hidden="1" customHeight="1" outlineLevel="4">
      <c r="A1235" s="192" t="s">
        <v>1647</v>
      </c>
      <c r="B1235" s="192"/>
      <c r="C1235" s="197" t="s">
        <v>1609</v>
      </c>
      <c r="D1235" s="198">
        <f>'02 项目基础信息（输入）'!$C$51</f>
        <v>0</v>
      </c>
      <c r="E1235" s="199" t="s">
        <v>93</v>
      </c>
      <c r="F1235" s="197" t="s">
        <v>1648</v>
      </c>
      <c r="G1235" s="82">
        <v>0</v>
      </c>
      <c r="H1235" s="199" t="s">
        <v>298</v>
      </c>
      <c r="I1235" s="198">
        <f t="shared" si="144"/>
        <v>0</v>
      </c>
      <c r="J1235" s="199" t="s">
        <v>93</v>
      </c>
      <c r="K1235" s="188">
        <v>0</v>
      </c>
      <c r="L1235" s="209" t="s">
        <v>675</v>
      </c>
      <c r="M1235" s="198">
        <f t="shared" si="145"/>
        <v>0</v>
      </c>
      <c r="N1235" s="198">
        <f>'02 项目基础信息（输入）'!$C$51</f>
        <v>0</v>
      </c>
      <c r="O1235" s="198">
        <f t="shared" si="142"/>
        <v>0</v>
      </c>
      <c r="P1235" s="198">
        <f>'02 项目基础信息（输入）'!$I$51</f>
        <v>0</v>
      </c>
      <c r="Q1235" s="233">
        <f t="shared" si="143"/>
        <v>0</v>
      </c>
      <c r="S1235" s="217"/>
      <c r="U1235" s="220" t="s">
        <v>3024</v>
      </c>
    </row>
    <row r="1236" spans="1:21" ht="0" hidden="1" customHeight="1" outlineLevel="4">
      <c r="A1236" s="192" t="s">
        <v>1993</v>
      </c>
      <c r="B1236" s="192"/>
      <c r="C1236" s="197" t="s">
        <v>1609</v>
      </c>
      <c r="D1236" s="198">
        <f>'02 项目基础信息（输入）'!$C$51</f>
        <v>0</v>
      </c>
      <c r="E1236" s="199" t="s">
        <v>93</v>
      </c>
      <c r="F1236" s="197" t="s">
        <v>1648</v>
      </c>
      <c r="G1236" s="82">
        <v>0</v>
      </c>
      <c r="H1236" s="199" t="s">
        <v>298</v>
      </c>
      <c r="I1236" s="198">
        <f t="shared" si="144"/>
        <v>0</v>
      </c>
      <c r="J1236" s="199" t="s">
        <v>93</v>
      </c>
      <c r="K1236" s="188">
        <v>0</v>
      </c>
      <c r="L1236" s="209" t="s">
        <v>675</v>
      </c>
      <c r="M1236" s="198">
        <f t="shared" si="145"/>
        <v>0</v>
      </c>
      <c r="N1236" s="198">
        <f>'02 项目基础信息（输入）'!$C$51</f>
        <v>0</v>
      </c>
      <c r="O1236" s="198">
        <f t="shared" si="142"/>
        <v>0</v>
      </c>
      <c r="P1236" s="198">
        <f>'02 项目基础信息（输入）'!$I$51</f>
        <v>0</v>
      </c>
      <c r="Q1236" s="233">
        <f t="shared" si="143"/>
        <v>0</v>
      </c>
      <c r="S1236" s="217"/>
      <c r="U1236" s="220" t="s">
        <v>3025</v>
      </c>
    </row>
    <row r="1237" spans="1:21" ht="0" hidden="1" customHeight="1" outlineLevel="4">
      <c r="A1237" s="192" t="s">
        <v>1650</v>
      </c>
      <c r="B1237" s="192"/>
      <c r="C1237" s="197" t="s">
        <v>1609</v>
      </c>
      <c r="D1237" s="198">
        <f>'02 项目基础信息（输入）'!$C$51</f>
        <v>0</v>
      </c>
      <c r="E1237" s="199" t="s">
        <v>93</v>
      </c>
      <c r="F1237" s="197" t="s">
        <v>1648</v>
      </c>
      <c r="G1237" s="82">
        <v>0</v>
      </c>
      <c r="H1237" s="199" t="s">
        <v>298</v>
      </c>
      <c r="I1237" s="198">
        <f t="shared" si="144"/>
        <v>0</v>
      </c>
      <c r="J1237" s="199" t="s">
        <v>93</v>
      </c>
      <c r="K1237" s="188">
        <v>0</v>
      </c>
      <c r="L1237" s="209" t="s">
        <v>675</v>
      </c>
      <c r="M1237" s="198">
        <f t="shared" si="145"/>
        <v>0</v>
      </c>
      <c r="N1237" s="198">
        <f>'02 项目基础信息（输入）'!$C$51</f>
        <v>0</v>
      </c>
      <c r="O1237" s="198">
        <f t="shared" si="142"/>
        <v>0</v>
      </c>
      <c r="P1237" s="198">
        <f>'02 项目基础信息（输入）'!$I$51</f>
        <v>0</v>
      </c>
      <c r="Q1237" s="233">
        <f t="shared" si="143"/>
        <v>0</v>
      </c>
      <c r="S1237" s="217"/>
      <c r="U1237" s="220" t="s">
        <v>3026</v>
      </c>
    </row>
    <row r="1238" spans="1:21" ht="0" hidden="1" customHeight="1" outlineLevel="3">
      <c r="A1238" s="192" t="s">
        <v>1652</v>
      </c>
      <c r="B1238" s="192"/>
      <c r="C1238" s="197" t="s">
        <v>1609</v>
      </c>
      <c r="D1238" s="198">
        <f>'02 项目基础信息（输入）'!$C$51</f>
        <v>0</v>
      </c>
      <c r="E1238" s="199" t="s">
        <v>93</v>
      </c>
      <c r="F1238" s="197" t="s">
        <v>1648</v>
      </c>
      <c r="G1238" s="82">
        <v>0</v>
      </c>
      <c r="H1238" s="199" t="s">
        <v>298</v>
      </c>
      <c r="I1238" s="198">
        <f t="shared" si="144"/>
        <v>0</v>
      </c>
      <c r="J1238" s="199" t="s">
        <v>93</v>
      </c>
      <c r="K1238" s="188">
        <v>0</v>
      </c>
      <c r="L1238" s="209" t="s">
        <v>675</v>
      </c>
      <c r="M1238" s="198">
        <f t="shared" si="145"/>
        <v>0</v>
      </c>
      <c r="N1238" s="198">
        <f>'02 项目基础信息（输入）'!$C$51</f>
        <v>0</v>
      </c>
      <c r="O1238" s="198">
        <f t="shared" si="142"/>
        <v>0</v>
      </c>
      <c r="P1238" s="198">
        <f>'02 项目基础信息（输入）'!$I$51</f>
        <v>0</v>
      </c>
      <c r="Q1238" s="233">
        <f t="shared" si="143"/>
        <v>0</v>
      </c>
      <c r="S1238" s="217"/>
      <c r="U1238" s="220" t="s">
        <v>3027</v>
      </c>
    </row>
    <row r="1239" spans="1:21" ht="0" hidden="1" customHeight="1" outlineLevel="3">
      <c r="A1239" s="192" t="s">
        <v>1654</v>
      </c>
      <c r="B1239" s="192"/>
      <c r="C1239" s="197"/>
      <c r="D1239" s="198">
        <f>'02 项目基础信息（输入）'!$C$51</f>
        <v>0</v>
      </c>
      <c r="E1239" s="199"/>
      <c r="F1239" s="197"/>
      <c r="G1239" s="199"/>
      <c r="H1239" s="199"/>
      <c r="I1239" s="197">
        <v>0</v>
      </c>
      <c r="J1239" s="199"/>
      <c r="K1239" s="197"/>
      <c r="L1239" s="209"/>
      <c r="M1239" s="198">
        <f>ROUND(SUM(M1240:M1241),6)</f>
        <v>0</v>
      </c>
      <c r="N1239" s="198">
        <f>'02 项目基础信息（输入）'!$C$51</f>
        <v>0</v>
      </c>
      <c r="O1239" s="198">
        <f t="shared" si="142"/>
        <v>0</v>
      </c>
      <c r="P1239" s="198">
        <f>'02 项目基础信息（输入）'!$I$51</f>
        <v>0</v>
      </c>
      <c r="Q1239" s="233">
        <f t="shared" si="143"/>
        <v>0</v>
      </c>
      <c r="S1239" s="217"/>
      <c r="U1239" s="220" t="s">
        <v>3028</v>
      </c>
    </row>
    <row r="1240" spans="1:21" ht="0" hidden="1" customHeight="1" outlineLevel="4">
      <c r="A1240" s="192" t="s">
        <v>1656</v>
      </c>
      <c r="B1240" s="192"/>
      <c r="C1240" s="197" t="s">
        <v>1609</v>
      </c>
      <c r="D1240" s="198">
        <f>'02 项目基础信息（输入）'!$C$51</f>
        <v>0</v>
      </c>
      <c r="E1240" s="199" t="s">
        <v>93</v>
      </c>
      <c r="F1240" s="197" t="s">
        <v>1657</v>
      </c>
      <c r="G1240" s="82">
        <v>0</v>
      </c>
      <c r="H1240" s="199" t="s">
        <v>1998</v>
      </c>
      <c r="I1240" s="198">
        <f>G1240*D1240</f>
        <v>0</v>
      </c>
      <c r="J1240" s="199" t="s">
        <v>93</v>
      </c>
      <c r="K1240" s="188">
        <v>0</v>
      </c>
      <c r="L1240" s="209" t="s">
        <v>675</v>
      </c>
      <c r="M1240" s="198">
        <f>ROUND(K1240*I1240/10000,6)</f>
        <v>0</v>
      </c>
      <c r="N1240" s="198">
        <f>'02 项目基础信息（输入）'!$C$51</f>
        <v>0</v>
      </c>
      <c r="O1240" s="198">
        <f t="shared" si="142"/>
        <v>0</v>
      </c>
      <c r="P1240" s="198">
        <f>'02 项目基础信息（输入）'!$I$51</f>
        <v>0</v>
      </c>
      <c r="Q1240" s="233">
        <f t="shared" si="143"/>
        <v>0</v>
      </c>
      <c r="S1240" s="217"/>
      <c r="U1240" s="220" t="s">
        <v>3029</v>
      </c>
    </row>
    <row r="1241" spans="1:21" ht="0" hidden="1" customHeight="1" outlineLevel="4">
      <c r="A1241" s="192" t="s">
        <v>1661</v>
      </c>
      <c r="B1241" s="192"/>
      <c r="C1241" s="197" t="s">
        <v>1609</v>
      </c>
      <c r="D1241" s="198">
        <f>'02 项目基础信息（输入）'!$C$51</f>
        <v>0</v>
      </c>
      <c r="E1241" s="199" t="s">
        <v>93</v>
      </c>
      <c r="F1241" s="197" t="s">
        <v>1609</v>
      </c>
      <c r="G1241" s="199">
        <v>1</v>
      </c>
      <c r="H1241" s="199" t="s">
        <v>298</v>
      </c>
      <c r="I1241" s="198">
        <f>G1241*D1241</f>
        <v>0</v>
      </c>
      <c r="J1241" s="199" t="s">
        <v>93</v>
      </c>
      <c r="K1241" s="188">
        <v>0</v>
      </c>
      <c r="L1241" s="209" t="s">
        <v>675</v>
      </c>
      <c r="M1241" s="198">
        <f>ROUND(K1241*I1241/10000,6)</f>
        <v>0</v>
      </c>
      <c r="N1241" s="198">
        <f>'02 项目基础信息（输入）'!$C$51</f>
        <v>0</v>
      </c>
      <c r="O1241" s="198">
        <f t="shared" si="142"/>
        <v>0</v>
      </c>
      <c r="P1241" s="198">
        <f>'02 项目基础信息（输入）'!$I$51</f>
        <v>0</v>
      </c>
      <c r="Q1241" s="233">
        <f t="shared" si="143"/>
        <v>0</v>
      </c>
      <c r="S1241" s="217"/>
      <c r="U1241" s="220" t="s">
        <v>3030</v>
      </c>
    </row>
    <row r="1242" spans="1:21" ht="0" hidden="1" customHeight="1" outlineLevel="3">
      <c r="A1242" s="192" t="s">
        <v>1664</v>
      </c>
      <c r="B1242" s="192"/>
      <c r="C1242" s="197" t="s">
        <v>1665</v>
      </c>
      <c r="D1242" s="198">
        <f>SUM(M1222+M1225+M1226+M1231+M1232+M1238+M1239)*10000</f>
        <v>0</v>
      </c>
      <c r="E1242" s="199" t="s">
        <v>1666</v>
      </c>
      <c r="F1242" s="197" t="s">
        <v>1667</v>
      </c>
      <c r="G1242" s="226">
        <f>IFERROR(I1242/D1242*100,0)</f>
        <v>0</v>
      </c>
      <c r="H1242" s="195" t="s">
        <v>123</v>
      </c>
      <c r="I1242" s="194">
        <f>K1242*N1242</f>
        <v>0</v>
      </c>
      <c r="J1242" s="195" t="s">
        <v>1666</v>
      </c>
      <c r="K1242" s="188">
        <v>0</v>
      </c>
      <c r="L1242" s="230" t="s">
        <v>1669</v>
      </c>
      <c r="M1242" s="231">
        <f>ROUND(I1242/10000,6)</f>
        <v>0</v>
      </c>
      <c r="N1242" s="198">
        <f>'02 项目基础信息（输入）'!$C$51</f>
        <v>0</v>
      </c>
      <c r="O1242" s="198">
        <f t="shared" si="142"/>
        <v>0</v>
      </c>
      <c r="P1242" s="198">
        <f>'02 项目基础信息（输入）'!$I$51</f>
        <v>0</v>
      </c>
      <c r="Q1242" s="233">
        <f t="shared" si="143"/>
        <v>0</v>
      </c>
      <c r="S1242" s="217"/>
      <c r="U1242" s="220" t="s">
        <v>3031</v>
      </c>
    </row>
    <row r="1243" spans="1:21" ht="0" hidden="1" customHeight="1" outlineLevel="2">
      <c r="A1243" s="192" t="s">
        <v>1671</v>
      </c>
      <c r="B1243" s="192"/>
      <c r="C1243" s="197" t="s">
        <v>1609</v>
      </c>
      <c r="D1243" s="198">
        <f>'02 项目基础信息（输入）'!$C$51</f>
        <v>0</v>
      </c>
      <c r="E1243" s="199" t="s">
        <v>93</v>
      </c>
      <c r="F1243" s="197"/>
      <c r="G1243" s="199"/>
      <c r="H1243" s="199"/>
      <c r="I1243" s="197"/>
      <c r="J1243" s="199"/>
      <c r="K1243" s="197"/>
      <c r="L1243" s="209"/>
      <c r="M1243" s="198">
        <f>ROUND(SUM(M1244:M1245),6)</f>
        <v>0</v>
      </c>
      <c r="N1243" s="198">
        <f>'02 项目基础信息（输入）'!$C$51</f>
        <v>0</v>
      </c>
      <c r="O1243" s="198">
        <f t="shared" si="142"/>
        <v>0</v>
      </c>
      <c r="P1243" s="198">
        <f>'02 项目基础信息（输入）'!$I$51</f>
        <v>0</v>
      </c>
      <c r="Q1243" s="233">
        <f t="shared" si="143"/>
        <v>0</v>
      </c>
      <c r="S1243" s="217" t="s">
        <v>1313</v>
      </c>
      <c r="U1243" s="220" t="s">
        <v>3032</v>
      </c>
    </row>
    <row r="1244" spans="1:21" ht="0" hidden="1" customHeight="1" outlineLevel="3">
      <c r="A1244" s="192" t="s">
        <v>1673</v>
      </c>
      <c r="B1244" s="192"/>
      <c r="C1244" s="197" t="s">
        <v>1609</v>
      </c>
      <c r="D1244" s="198">
        <f>'02 项目基础信息（输入）'!$C$51</f>
        <v>0</v>
      </c>
      <c r="E1244" s="199" t="s">
        <v>93</v>
      </c>
      <c r="F1244" s="197" t="s">
        <v>705</v>
      </c>
      <c r="G1244" s="199">
        <v>0</v>
      </c>
      <c r="H1244" s="199" t="s">
        <v>298</v>
      </c>
      <c r="I1244" s="198">
        <f>G1244*D1244</f>
        <v>0</v>
      </c>
      <c r="J1244" s="199" t="s">
        <v>93</v>
      </c>
      <c r="K1244" s="207">
        <v>0</v>
      </c>
      <c r="L1244" s="209" t="s">
        <v>675</v>
      </c>
      <c r="M1244" s="207">
        <f>ROUND(K1244*I1244/10000,6)</f>
        <v>0</v>
      </c>
      <c r="N1244" s="198">
        <f>'02 项目基础信息（输入）'!$C$51</f>
        <v>0</v>
      </c>
      <c r="O1244" s="198">
        <f t="shared" si="142"/>
        <v>0</v>
      </c>
      <c r="P1244" s="198">
        <f>'02 项目基础信息（输入）'!$I$51</f>
        <v>0</v>
      </c>
      <c r="Q1244" s="233">
        <f t="shared" si="143"/>
        <v>0</v>
      </c>
      <c r="S1244" s="217"/>
      <c r="U1244" s="220" t="s">
        <v>3033</v>
      </c>
    </row>
    <row r="1245" spans="1:21" ht="0" hidden="1" customHeight="1" outlineLevel="3">
      <c r="A1245" s="192" t="s">
        <v>1676</v>
      </c>
      <c r="B1245" s="192"/>
      <c r="C1245" s="197" t="s">
        <v>1609</v>
      </c>
      <c r="D1245" s="198">
        <f>'02 项目基础信息（输入）'!$C$51</f>
        <v>0</v>
      </c>
      <c r="E1245" s="199" t="s">
        <v>93</v>
      </c>
      <c r="F1245" s="197" t="s">
        <v>705</v>
      </c>
      <c r="G1245" s="199">
        <v>0</v>
      </c>
      <c r="H1245" s="199" t="s">
        <v>298</v>
      </c>
      <c r="I1245" s="198">
        <f>G1245*D1245</f>
        <v>0</v>
      </c>
      <c r="J1245" s="199" t="s">
        <v>93</v>
      </c>
      <c r="K1245" s="207">
        <v>0</v>
      </c>
      <c r="L1245" s="209" t="s">
        <v>675</v>
      </c>
      <c r="M1245" s="207">
        <f>ROUND(K1245*I1245/10000,6)</f>
        <v>0</v>
      </c>
      <c r="N1245" s="198">
        <f>'02 项目基础信息（输入）'!$C$51</f>
        <v>0</v>
      </c>
      <c r="O1245" s="198">
        <f t="shared" si="142"/>
        <v>0</v>
      </c>
      <c r="P1245" s="198">
        <f>'02 项目基础信息（输入）'!$I$51</f>
        <v>0</v>
      </c>
      <c r="Q1245" s="233">
        <f t="shared" si="143"/>
        <v>0</v>
      </c>
      <c r="S1245" s="217"/>
      <c r="U1245" s="220" t="s">
        <v>3034</v>
      </c>
    </row>
    <row r="1246" spans="1:21" ht="0" hidden="1" customHeight="1" outlineLevel="2">
      <c r="A1246" s="192" t="s">
        <v>1679</v>
      </c>
      <c r="B1246" s="192"/>
      <c r="C1246" s="197" t="s">
        <v>1609</v>
      </c>
      <c r="D1246" s="198">
        <f>'02 项目基础信息（输入）'!$C$51</f>
        <v>0</v>
      </c>
      <c r="E1246" s="199" t="s">
        <v>93</v>
      </c>
      <c r="F1246" s="197"/>
      <c r="G1246" s="199"/>
      <c r="H1246" s="199"/>
      <c r="I1246" s="197"/>
      <c r="J1246" s="199"/>
      <c r="K1246" s="197"/>
      <c r="L1246" s="209"/>
      <c r="M1246" s="198">
        <f>ROUND(SUM(M1247:M1258),6)</f>
        <v>0</v>
      </c>
      <c r="N1246" s="198">
        <f>'02 项目基础信息（输入）'!$C$51</f>
        <v>0</v>
      </c>
      <c r="O1246" s="198">
        <f t="shared" si="142"/>
        <v>0</v>
      </c>
      <c r="P1246" s="198">
        <f>'02 项目基础信息（输入）'!$I$51</f>
        <v>0</v>
      </c>
      <c r="Q1246" s="233">
        <f t="shared" si="143"/>
        <v>0</v>
      </c>
      <c r="S1246" s="217" t="s">
        <v>1313</v>
      </c>
      <c r="U1246" s="220" t="s">
        <v>3035</v>
      </c>
    </row>
    <row r="1247" spans="1:21" ht="0" hidden="1" customHeight="1" outlineLevel="3">
      <c r="A1247" s="192" t="s">
        <v>1681</v>
      </c>
      <c r="B1247" s="192"/>
      <c r="C1247" s="197" t="s">
        <v>1609</v>
      </c>
      <c r="D1247" s="198">
        <f>'02 项目基础信息（输入）'!$C$51</f>
        <v>0</v>
      </c>
      <c r="E1247" s="199" t="s">
        <v>93</v>
      </c>
      <c r="F1247" s="197" t="s">
        <v>1682</v>
      </c>
      <c r="G1247" s="82">
        <v>0</v>
      </c>
      <c r="H1247" s="199" t="s">
        <v>298</v>
      </c>
      <c r="I1247" s="198">
        <f t="shared" ref="I1247:I1258" si="146">G1247*D1247</f>
        <v>0</v>
      </c>
      <c r="J1247" s="199" t="s">
        <v>93</v>
      </c>
      <c r="K1247" s="188">
        <v>0</v>
      </c>
      <c r="L1247" s="209" t="s">
        <v>675</v>
      </c>
      <c r="M1247" s="207">
        <f t="shared" ref="M1247:M1258" si="147">ROUND(K1247*I1247/10000,6)</f>
        <v>0</v>
      </c>
      <c r="N1247" s="198">
        <f>'02 项目基础信息（输入）'!$C$51</f>
        <v>0</v>
      </c>
      <c r="O1247" s="198">
        <f t="shared" si="142"/>
        <v>0</v>
      </c>
      <c r="P1247" s="198">
        <f>'02 项目基础信息（输入）'!$I$51</f>
        <v>0</v>
      </c>
      <c r="Q1247" s="233">
        <f t="shared" si="143"/>
        <v>0</v>
      </c>
      <c r="S1247" s="217"/>
      <c r="U1247" s="220" t="s">
        <v>3036</v>
      </c>
    </row>
    <row r="1248" spans="1:21" ht="0" hidden="1" customHeight="1" outlineLevel="3">
      <c r="A1248" s="192" t="s">
        <v>1684</v>
      </c>
      <c r="B1248" s="192"/>
      <c r="C1248" s="197" t="s">
        <v>1609</v>
      </c>
      <c r="D1248" s="198">
        <f>'02 项目基础信息（输入）'!$C$51</f>
        <v>0</v>
      </c>
      <c r="E1248" s="199" t="s">
        <v>93</v>
      </c>
      <c r="F1248" s="197" t="s">
        <v>1682</v>
      </c>
      <c r="G1248" s="82">
        <v>0</v>
      </c>
      <c r="H1248" s="199" t="s">
        <v>298</v>
      </c>
      <c r="I1248" s="198">
        <f t="shared" si="146"/>
        <v>0</v>
      </c>
      <c r="J1248" s="199" t="s">
        <v>93</v>
      </c>
      <c r="K1248" s="188">
        <v>0</v>
      </c>
      <c r="L1248" s="209" t="s">
        <v>675</v>
      </c>
      <c r="M1248" s="207">
        <f t="shared" si="147"/>
        <v>0</v>
      </c>
      <c r="N1248" s="198">
        <f>'02 项目基础信息（输入）'!$C$51</f>
        <v>0</v>
      </c>
      <c r="O1248" s="198">
        <f t="shared" si="142"/>
        <v>0</v>
      </c>
      <c r="P1248" s="198">
        <f>'02 项目基础信息（输入）'!$I$51</f>
        <v>0</v>
      </c>
      <c r="Q1248" s="233">
        <f t="shared" si="143"/>
        <v>0</v>
      </c>
      <c r="S1248" s="217"/>
      <c r="U1248" s="220" t="s">
        <v>3037</v>
      </c>
    </row>
    <row r="1249" spans="1:21" ht="0" hidden="1" customHeight="1" outlineLevel="3">
      <c r="A1249" s="192" t="s">
        <v>2008</v>
      </c>
      <c r="B1249" s="192"/>
      <c r="C1249" s="197" t="s">
        <v>1609</v>
      </c>
      <c r="D1249" s="198">
        <f>'02 项目基础信息（输入）'!$C$51</f>
        <v>0</v>
      </c>
      <c r="E1249" s="199" t="s">
        <v>93</v>
      </c>
      <c r="F1249" s="197" t="s">
        <v>1682</v>
      </c>
      <c r="G1249" s="82">
        <v>0</v>
      </c>
      <c r="H1249" s="199" t="s">
        <v>298</v>
      </c>
      <c r="I1249" s="198">
        <f t="shared" si="146"/>
        <v>0</v>
      </c>
      <c r="J1249" s="199" t="s">
        <v>93</v>
      </c>
      <c r="K1249" s="188">
        <v>0</v>
      </c>
      <c r="L1249" s="209" t="s">
        <v>675</v>
      </c>
      <c r="M1249" s="207">
        <f t="shared" si="147"/>
        <v>0</v>
      </c>
      <c r="N1249" s="198">
        <f>'02 项目基础信息（输入）'!$C$51</f>
        <v>0</v>
      </c>
      <c r="O1249" s="198">
        <f t="shared" si="142"/>
        <v>0</v>
      </c>
      <c r="P1249" s="198">
        <f>'02 项目基础信息（输入）'!$I$51</f>
        <v>0</v>
      </c>
      <c r="Q1249" s="233">
        <f t="shared" si="143"/>
        <v>0</v>
      </c>
      <c r="S1249" s="217"/>
      <c r="U1249" s="220" t="s">
        <v>3038</v>
      </c>
    </row>
    <row r="1250" spans="1:21" ht="0" hidden="1" customHeight="1" outlineLevel="3">
      <c r="A1250" s="192" t="s">
        <v>2010</v>
      </c>
      <c r="B1250" s="192"/>
      <c r="C1250" s="197" t="s">
        <v>1609</v>
      </c>
      <c r="D1250" s="198">
        <f>'02 项目基础信息（输入）'!$C$51</f>
        <v>0</v>
      </c>
      <c r="E1250" s="199" t="s">
        <v>93</v>
      </c>
      <c r="F1250" s="197" t="s">
        <v>1682</v>
      </c>
      <c r="G1250" s="82">
        <v>0</v>
      </c>
      <c r="H1250" s="199" t="s">
        <v>298</v>
      </c>
      <c r="I1250" s="198">
        <f t="shared" si="146"/>
        <v>0</v>
      </c>
      <c r="J1250" s="199" t="s">
        <v>93</v>
      </c>
      <c r="K1250" s="188">
        <v>0</v>
      </c>
      <c r="L1250" s="209" t="s">
        <v>675</v>
      </c>
      <c r="M1250" s="207">
        <f t="shared" si="147"/>
        <v>0</v>
      </c>
      <c r="N1250" s="198">
        <f>'02 项目基础信息（输入）'!$C$51</f>
        <v>0</v>
      </c>
      <c r="O1250" s="198">
        <f t="shared" si="142"/>
        <v>0</v>
      </c>
      <c r="P1250" s="198">
        <f>'02 项目基础信息（输入）'!$I$51</f>
        <v>0</v>
      </c>
      <c r="Q1250" s="233">
        <f t="shared" si="143"/>
        <v>0</v>
      </c>
      <c r="S1250" s="217"/>
      <c r="U1250" s="220" t="s">
        <v>3039</v>
      </c>
    </row>
    <row r="1251" spans="1:21" ht="0" hidden="1" customHeight="1" outlineLevel="3">
      <c r="A1251" s="192" t="s">
        <v>2012</v>
      </c>
      <c r="B1251" s="192"/>
      <c r="C1251" s="197" t="s">
        <v>474</v>
      </c>
      <c r="D1251" s="198">
        <f>'02 项目基础信息（输入）'!$AD$51</f>
        <v>0</v>
      </c>
      <c r="E1251" s="199" t="s">
        <v>400</v>
      </c>
      <c r="F1251" s="197" t="s">
        <v>1682</v>
      </c>
      <c r="G1251" s="82">
        <v>0</v>
      </c>
      <c r="H1251" s="199" t="s">
        <v>411</v>
      </c>
      <c r="I1251" s="198">
        <f t="shared" si="146"/>
        <v>0</v>
      </c>
      <c r="J1251" s="199" t="s">
        <v>93</v>
      </c>
      <c r="K1251" s="188">
        <v>0</v>
      </c>
      <c r="L1251" s="209" t="s">
        <v>675</v>
      </c>
      <c r="M1251" s="207">
        <f t="shared" si="147"/>
        <v>0</v>
      </c>
      <c r="N1251" s="198">
        <f>'02 项目基础信息（输入）'!$C$51</f>
        <v>0</v>
      </c>
      <c r="O1251" s="198">
        <f t="shared" si="142"/>
        <v>0</v>
      </c>
      <c r="P1251" s="198">
        <f>'02 项目基础信息（输入）'!$I$51</f>
        <v>0</v>
      </c>
      <c r="Q1251" s="233">
        <f t="shared" si="143"/>
        <v>0</v>
      </c>
      <c r="S1251" s="217"/>
      <c r="U1251" s="220" t="s">
        <v>3040</v>
      </c>
    </row>
    <row r="1252" spans="1:21" ht="0" hidden="1" customHeight="1" outlineLevel="3">
      <c r="A1252" s="192" t="s">
        <v>2014</v>
      </c>
      <c r="B1252" s="192"/>
      <c r="C1252" s="197" t="s">
        <v>474</v>
      </c>
      <c r="D1252" s="198">
        <f>'02 项目基础信息（输入）'!$AD$51</f>
        <v>0</v>
      </c>
      <c r="E1252" s="199" t="s">
        <v>400</v>
      </c>
      <c r="F1252" s="197" t="s">
        <v>1682</v>
      </c>
      <c r="G1252" s="82">
        <v>0</v>
      </c>
      <c r="H1252" s="199" t="s">
        <v>411</v>
      </c>
      <c r="I1252" s="198">
        <f t="shared" si="146"/>
        <v>0</v>
      </c>
      <c r="J1252" s="199" t="s">
        <v>93</v>
      </c>
      <c r="K1252" s="188">
        <v>0</v>
      </c>
      <c r="L1252" s="209" t="s">
        <v>675</v>
      </c>
      <c r="M1252" s="207">
        <f t="shared" si="147"/>
        <v>0</v>
      </c>
      <c r="N1252" s="198">
        <f>'02 项目基础信息（输入）'!$C$51</f>
        <v>0</v>
      </c>
      <c r="O1252" s="198">
        <f t="shared" si="142"/>
        <v>0</v>
      </c>
      <c r="P1252" s="198">
        <f>'02 项目基础信息（输入）'!$I$51</f>
        <v>0</v>
      </c>
      <c r="Q1252" s="233">
        <f t="shared" si="143"/>
        <v>0</v>
      </c>
      <c r="S1252" s="217"/>
      <c r="U1252" s="220" t="s">
        <v>3041</v>
      </c>
    </row>
    <row r="1253" spans="1:21" ht="0" hidden="1" customHeight="1" outlineLevel="3">
      <c r="A1253" s="192" t="s">
        <v>2016</v>
      </c>
      <c r="B1253" s="192"/>
      <c r="C1253" s="197" t="s">
        <v>1609</v>
      </c>
      <c r="D1253" s="198">
        <f>'02 项目基础信息（输入）'!$C$51</f>
        <v>0</v>
      </c>
      <c r="E1253" s="199" t="s">
        <v>93</v>
      </c>
      <c r="F1253" s="197" t="s">
        <v>1682</v>
      </c>
      <c r="G1253" s="82">
        <v>0</v>
      </c>
      <c r="H1253" s="199" t="s">
        <v>411</v>
      </c>
      <c r="I1253" s="198">
        <f t="shared" si="146"/>
        <v>0</v>
      </c>
      <c r="J1253" s="199" t="s">
        <v>93</v>
      </c>
      <c r="K1253" s="188">
        <v>0</v>
      </c>
      <c r="L1253" s="209" t="s">
        <v>675</v>
      </c>
      <c r="M1253" s="207">
        <f t="shared" si="147"/>
        <v>0</v>
      </c>
      <c r="N1253" s="198">
        <f>'02 项目基础信息（输入）'!$C$51</f>
        <v>0</v>
      </c>
      <c r="O1253" s="198">
        <f t="shared" si="142"/>
        <v>0</v>
      </c>
      <c r="P1253" s="198">
        <f>'02 项目基础信息（输入）'!$I$51</f>
        <v>0</v>
      </c>
      <c r="Q1253" s="233">
        <f t="shared" si="143"/>
        <v>0</v>
      </c>
      <c r="S1253" s="217"/>
      <c r="U1253" s="220" t="s">
        <v>3042</v>
      </c>
    </row>
    <row r="1254" spans="1:21" ht="0" hidden="1" customHeight="1" outlineLevel="3">
      <c r="A1254" s="192" t="s">
        <v>2018</v>
      </c>
      <c r="B1254" s="192"/>
      <c r="C1254" s="197" t="s">
        <v>1609</v>
      </c>
      <c r="D1254" s="198">
        <f>'02 项目基础信息（输入）'!$C$51</f>
        <v>0</v>
      </c>
      <c r="E1254" s="199" t="s">
        <v>93</v>
      </c>
      <c r="F1254" s="197" t="s">
        <v>1682</v>
      </c>
      <c r="G1254" s="82">
        <v>0</v>
      </c>
      <c r="H1254" s="199" t="s">
        <v>298</v>
      </c>
      <c r="I1254" s="198">
        <f t="shared" si="146"/>
        <v>0</v>
      </c>
      <c r="J1254" s="199" t="s">
        <v>93</v>
      </c>
      <c r="K1254" s="188">
        <v>0</v>
      </c>
      <c r="L1254" s="209" t="s">
        <v>675</v>
      </c>
      <c r="M1254" s="207">
        <f t="shared" si="147"/>
        <v>0</v>
      </c>
      <c r="N1254" s="198">
        <f>'02 项目基础信息（输入）'!$C$51</f>
        <v>0</v>
      </c>
      <c r="O1254" s="198">
        <f t="shared" si="142"/>
        <v>0</v>
      </c>
      <c r="P1254" s="198">
        <f>'02 项目基础信息（输入）'!$I$51</f>
        <v>0</v>
      </c>
      <c r="Q1254" s="233">
        <f t="shared" si="143"/>
        <v>0</v>
      </c>
      <c r="S1254" s="217"/>
      <c r="U1254" s="220" t="s">
        <v>3043</v>
      </c>
    </row>
    <row r="1255" spans="1:21" ht="0" hidden="1" customHeight="1" outlineLevel="3">
      <c r="A1255" s="192" t="s">
        <v>2020</v>
      </c>
      <c r="B1255" s="192"/>
      <c r="C1255" s="197" t="s">
        <v>1609</v>
      </c>
      <c r="D1255" s="198">
        <f>'02 项目基础信息（输入）'!$C$51</f>
        <v>0</v>
      </c>
      <c r="E1255" s="199" t="s">
        <v>93</v>
      </c>
      <c r="F1255" s="197" t="s">
        <v>1682</v>
      </c>
      <c r="G1255" s="82">
        <v>0</v>
      </c>
      <c r="H1255" s="199" t="s">
        <v>298</v>
      </c>
      <c r="I1255" s="198">
        <f t="shared" si="146"/>
        <v>0</v>
      </c>
      <c r="J1255" s="199" t="s">
        <v>93</v>
      </c>
      <c r="K1255" s="188">
        <v>0</v>
      </c>
      <c r="L1255" s="209" t="s">
        <v>675</v>
      </c>
      <c r="M1255" s="207">
        <f t="shared" si="147"/>
        <v>0</v>
      </c>
      <c r="N1255" s="198">
        <f>'02 项目基础信息（输入）'!$C$51</f>
        <v>0</v>
      </c>
      <c r="O1255" s="198">
        <f t="shared" si="142"/>
        <v>0</v>
      </c>
      <c r="P1255" s="198">
        <f>'02 项目基础信息（输入）'!$I$51</f>
        <v>0</v>
      </c>
      <c r="Q1255" s="233">
        <f t="shared" si="143"/>
        <v>0</v>
      </c>
      <c r="S1255" s="217"/>
      <c r="U1255" s="220" t="s">
        <v>3044</v>
      </c>
    </row>
    <row r="1256" spans="1:21" ht="0" hidden="1" customHeight="1" outlineLevel="3">
      <c r="A1256" s="192" t="s">
        <v>2022</v>
      </c>
      <c r="B1256" s="192"/>
      <c r="C1256" s="197" t="s">
        <v>1609</v>
      </c>
      <c r="D1256" s="198">
        <f>'02 项目基础信息（输入）'!$C$51</f>
        <v>0</v>
      </c>
      <c r="E1256" s="199" t="s">
        <v>93</v>
      </c>
      <c r="F1256" s="197" t="s">
        <v>1682</v>
      </c>
      <c r="G1256" s="82">
        <v>0</v>
      </c>
      <c r="H1256" s="199" t="s">
        <v>298</v>
      </c>
      <c r="I1256" s="198">
        <f t="shared" si="146"/>
        <v>0</v>
      </c>
      <c r="J1256" s="199" t="s">
        <v>93</v>
      </c>
      <c r="K1256" s="188">
        <v>0</v>
      </c>
      <c r="L1256" s="209" t="s">
        <v>675</v>
      </c>
      <c r="M1256" s="207">
        <f t="shared" si="147"/>
        <v>0</v>
      </c>
      <c r="N1256" s="198">
        <f>'02 项目基础信息（输入）'!$C$51</f>
        <v>0</v>
      </c>
      <c r="O1256" s="198">
        <f t="shared" si="142"/>
        <v>0</v>
      </c>
      <c r="P1256" s="198">
        <f>'02 项目基础信息（输入）'!$I$51</f>
        <v>0</v>
      </c>
      <c r="Q1256" s="233">
        <f t="shared" si="143"/>
        <v>0</v>
      </c>
      <c r="S1256" s="217"/>
      <c r="U1256" s="220" t="s">
        <v>3045</v>
      </c>
    </row>
    <row r="1257" spans="1:21" ht="0" hidden="1" customHeight="1" outlineLevel="3">
      <c r="A1257" s="192" t="s">
        <v>1694</v>
      </c>
      <c r="B1257" s="192"/>
      <c r="C1257" s="197" t="s">
        <v>1609</v>
      </c>
      <c r="D1257" s="198">
        <f>'02 项目基础信息（输入）'!$C$51</f>
        <v>0</v>
      </c>
      <c r="E1257" s="199" t="s">
        <v>93</v>
      </c>
      <c r="F1257" s="197" t="s">
        <v>1682</v>
      </c>
      <c r="G1257" s="82">
        <v>0</v>
      </c>
      <c r="H1257" s="199" t="s">
        <v>298</v>
      </c>
      <c r="I1257" s="198">
        <f t="shared" si="146"/>
        <v>0</v>
      </c>
      <c r="J1257" s="199" t="s">
        <v>93</v>
      </c>
      <c r="K1257" s="188">
        <v>0</v>
      </c>
      <c r="L1257" s="209" t="s">
        <v>675</v>
      </c>
      <c r="M1257" s="207">
        <f t="shared" si="147"/>
        <v>0</v>
      </c>
      <c r="N1257" s="198">
        <f>'02 项目基础信息（输入）'!$C$51</f>
        <v>0</v>
      </c>
      <c r="O1257" s="198">
        <f t="shared" si="142"/>
        <v>0</v>
      </c>
      <c r="P1257" s="198">
        <f>'02 项目基础信息（输入）'!$I$51</f>
        <v>0</v>
      </c>
      <c r="Q1257" s="233">
        <f t="shared" si="143"/>
        <v>0</v>
      </c>
      <c r="S1257" s="217"/>
      <c r="U1257" s="220" t="s">
        <v>3046</v>
      </c>
    </row>
    <row r="1258" spans="1:21" ht="0" hidden="1" customHeight="1" outlineLevel="3">
      <c r="A1258" s="192" t="s">
        <v>1696</v>
      </c>
      <c r="B1258" s="192"/>
      <c r="C1258" s="197" t="s">
        <v>1609</v>
      </c>
      <c r="D1258" s="198">
        <f>'02 项目基础信息（输入）'!$C$51</f>
        <v>0</v>
      </c>
      <c r="E1258" s="199" t="s">
        <v>93</v>
      </c>
      <c r="F1258" s="197" t="s">
        <v>1682</v>
      </c>
      <c r="G1258" s="82">
        <v>0</v>
      </c>
      <c r="H1258" s="199" t="s">
        <v>298</v>
      </c>
      <c r="I1258" s="198">
        <f t="shared" si="146"/>
        <v>0</v>
      </c>
      <c r="J1258" s="199" t="s">
        <v>93</v>
      </c>
      <c r="K1258" s="188">
        <v>0</v>
      </c>
      <c r="L1258" s="209" t="s">
        <v>675</v>
      </c>
      <c r="M1258" s="207">
        <f t="shared" si="147"/>
        <v>0</v>
      </c>
      <c r="N1258" s="198">
        <f>'02 项目基础信息（输入）'!$C$51</f>
        <v>0</v>
      </c>
      <c r="O1258" s="198">
        <f t="shared" si="142"/>
        <v>0</v>
      </c>
      <c r="P1258" s="198">
        <f>'02 项目基础信息（输入）'!$I$51</f>
        <v>0</v>
      </c>
      <c r="Q1258" s="233">
        <f t="shared" si="143"/>
        <v>0</v>
      </c>
      <c r="S1258" s="217"/>
      <c r="U1258" s="220" t="s">
        <v>3047</v>
      </c>
    </row>
    <row r="1259" spans="1:21" ht="0" hidden="1" customHeight="1" outlineLevel="2">
      <c r="A1259" s="192" t="s">
        <v>1698</v>
      </c>
      <c r="B1259" s="192"/>
      <c r="C1259" s="197" t="s">
        <v>1609</v>
      </c>
      <c r="D1259" s="198">
        <f>'02 项目基础信息（输入）'!$C$51</f>
        <v>0</v>
      </c>
      <c r="E1259" s="199" t="s">
        <v>93</v>
      </c>
      <c r="F1259" s="197"/>
      <c r="G1259" s="199"/>
      <c r="H1259" s="199"/>
      <c r="I1259" s="197"/>
      <c r="J1259" s="199"/>
      <c r="K1259" s="198"/>
      <c r="L1259" s="209"/>
      <c r="M1259" s="198">
        <f>ROUND(SUM(M1260:M1261),6)</f>
        <v>0</v>
      </c>
      <c r="N1259" s="198">
        <f>'02 项目基础信息（输入）'!$C$51</f>
        <v>0</v>
      </c>
      <c r="O1259" s="198">
        <f t="shared" si="142"/>
        <v>0</v>
      </c>
      <c r="P1259" s="198">
        <f>'02 项目基础信息（输入）'!$I$51</f>
        <v>0</v>
      </c>
      <c r="Q1259" s="233">
        <f t="shared" si="143"/>
        <v>0</v>
      </c>
      <c r="S1259" s="217" t="s">
        <v>1313</v>
      </c>
      <c r="U1259" s="220" t="s">
        <v>3048</v>
      </c>
    </row>
    <row r="1260" spans="1:21" ht="0" hidden="1" customHeight="1" outlineLevel="3">
      <c r="A1260" s="192" t="s">
        <v>1700</v>
      </c>
      <c r="B1260" s="192"/>
      <c r="C1260" s="197" t="s">
        <v>1609</v>
      </c>
      <c r="D1260" s="198">
        <f>'02 项目基础信息（输入）'!$C$51</f>
        <v>0</v>
      </c>
      <c r="E1260" s="199" t="s">
        <v>93</v>
      </c>
      <c r="F1260" s="197" t="s">
        <v>1701</v>
      </c>
      <c r="G1260" s="82">
        <v>0</v>
      </c>
      <c r="H1260" s="199" t="s">
        <v>298</v>
      </c>
      <c r="I1260" s="198">
        <f>G1260*D1260</f>
        <v>0</v>
      </c>
      <c r="J1260" s="199" t="s">
        <v>93</v>
      </c>
      <c r="K1260" s="188">
        <v>0</v>
      </c>
      <c r="L1260" s="209" t="s">
        <v>675</v>
      </c>
      <c r="M1260" s="207">
        <f>ROUND(K1260*I1260/10000,6)</f>
        <v>0</v>
      </c>
      <c r="N1260" s="198">
        <f>'02 项目基础信息（输入）'!$C$51</f>
        <v>0</v>
      </c>
      <c r="O1260" s="198">
        <f t="shared" si="142"/>
        <v>0</v>
      </c>
      <c r="P1260" s="198">
        <f>'02 项目基础信息（输入）'!$I$51</f>
        <v>0</v>
      </c>
      <c r="Q1260" s="233">
        <f t="shared" si="143"/>
        <v>0</v>
      </c>
      <c r="S1260" s="217"/>
      <c r="U1260" s="220" t="s">
        <v>3049</v>
      </c>
    </row>
    <row r="1261" spans="1:21" ht="0" hidden="1" customHeight="1" outlineLevel="3">
      <c r="A1261" s="192" t="s">
        <v>1703</v>
      </c>
      <c r="B1261" s="192"/>
      <c r="C1261" s="197" t="s">
        <v>1609</v>
      </c>
      <c r="D1261" s="198">
        <f>'02 项目基础信息（输入）'!$C$51</f>
        <v>0</v>
      </c>
      <c r="E1261" s="199" t="s">
        <v>93</v>
      </c>
      <c r="F1261" s="197" t="s">
        <v>1704</v>
      </c>
      <c r="G1261" s="82">
        <v>0</v>
      </c>
      <c r="H1261" s="199" t="s">
        <v>298</v>
      </c>
      <c r="I1261" s="198">
        <f>G1261*D1261</f>
        <v>0</v>
      </c>
      <c r="J1261" s="199" t="s">
        <v>93</v>
      </c>
      <c r="K1261" s="188">
        <v>0</v>
      </c>
      <c r="L1261" s="209" t="s">
        <v>675</v>
      </c>
      <c r="M1261" s="207">
        <f>ROUND(K1261*I1261/10000,6)</f>
        <v>0</v>
      </c>
      <c r="N1261" s="198">
        <f>'02 项目基础信息（输入）'!$C$51</f>
        <v>0</v>
      </c>
      <c r="O1261" s="198">
        <f t="shared" si="142"/>
        <v>0</v>
      </c>
      <c r="P1261" s="198">
        <f>'02 项目基础信息（输入）'!$I$51</f>
        <v>0</v>
      </c>
      <c r="Q1261" s="233">
        <f t="shared" si="143"/>
        <v>0</v>
      </c>
      <c r="S1261" s="217"/>
      <c r="U1261" s="220" t="s">
        <v>3050</v>
      </c>
    </row>
    <row r="1262" spans="1:21" ht="0" hidden="1" customHeight="1" outlineLevel="2">
      <c r="A1262" s="192" t="s">
        <v>1706</v>
      </c>
      <c r="B1262" s="192"/>
      <c r="C1262" s="197" t="s">
        <v>1609</v>
      </c>
      <c r="D1262" s="198">
        <f>'02 项目基础信息（输入）'!$C$51</f>
        <v>0</v>
      </c>
      <c r="E1262" s="199" t="s">
        <v>93</v>
      </c>
      <c r="F1262" s="197"/>
      <c r="G1262" s="199"/>
      <c r="H1262" s="199"/>
      <c r="I1262" s="197"/>
      <c r="J1262" s="199"/>
      <c r="K1262" s="198"/>
      <c r="L1262" s="209"/>
      <c r="M1262" s="198">
        <f>ROUND(SUM(M1263:M1264),6)</f>
        <v>0</v>
      </c>
      <c r="N1262" s="198">
        <f>'02 项目基础信息（输入）'!$C$51</f>
        <v>0</v>
      </c>
      <c r="O1262" s="198">
        <f t="shared" si="142"/>
        <v>0</v>
      </c>
      <c r="P1262" s="198">
        <f>'02 项目基础信息（输入）'!$I$51</f>
        <v>0</v>
      </c>
      <c r="Q1262" s="233">
        <f t="shared" si="143"/>
        <v>0</v>
      </c>
      <c r="S1262" s="217" t="s">
        <v>1313</v>
      </c>
      <c r="U1262" s="220" t="s">
        <v>3051</v>
      </c>
    </row>
    <row r="1263" spans="1:21" ht="0" hidden="1" customHeight="1" outlineLevel="3">
      <c r="A1263" s="192" t="s">
        <v>1708</v>
      </c>
      <c r="B1263" s="192"/>
      <c r="C1263" s="197" t="s">
        <v>1609</v>
      </c>
      <c r="D1263" s="198">
        <f>'02 项目基础信息（输入）'!$C$51</f>
        <v>0</v>
      </c>
      <c r="E1263" s="199" t="s">
        <v>93</v>
      </c>
      <c r="F1263" s="197" t="s">
        <v>1648</v>
      </c>
      <c r="G1263" s="82">
        <v>0</v>
      </c>
      <c r="H1263" s="199" t="s">
        <v>298</v>
      </c>
      <c r="I1263" s="198">
        <f>G1263*D1263</f>
        <v>0</v>
      </c>
      <c r="J1263" s="199" t="s">
        <v>93</v>
      </c>
      <c r="K1263" s="188">
        <v>0</v>
      </c>
      <c r="L1263" s="209" t="s">
        <v>675</v>
      </c>
      <c r="M1263" s="207">
        <f>ROUND(K1263*I1263/10000,6)</f>
        <v>0</v>
      </c>
      <c r="N1263" s="198">
        <f>'02 项目基础信息（输入）'!$C$51</f>
        <v>0</v>
      </c>
      <c r="O1263" s="198">
        <f t="shared" si="142"/>
        <v>0</v>
      </c>
      <c r="P1263" s="198">
        <f>'02 项目基础信息（输入）'!$I$51</f>
        <v>0</v>
      </c>
      <c r="Q1263" s="233">
        <f t="shared" si="143"/>
        <v>0</v>
      </c>
      <c r="S1263" s="217"/>
      <c r="U1263" s="220" t="s">
        <v>3052</v>
      </c>
    </row>
    <row r="1264" spans="1:21" ht="0" hidden="1" customHeight="1" outlineLevel="3">
      <c r="A1264" s="192" t="s">
        <v>1710</v>
      </c>
      <c r="B1264" s="192"/>
      <c r="C1264" s="197" t="s">
        <v>1609</v>
      </c>
      <c r="D1264" s="198">
        <f>'02 项目基础信息（输入）'!$C$51</f>
        <v>0</v>
      </c>
      <c r="E1264" s="199" t="s">
        <v>93</v>
      </c>
      <c r="F1264" s="197" t="s">
        <v>1648</v>
      </c>
      <c r="G1264" s="82">
        <v>0</v>
      </c>
      <c r="H1264" s="199" t="s">
        <v>298</v>
      </c>
      <c r="I1264" s="198">
        <f>G1264*D1264</f>
        <v>0</v>
      </c>
      <c r="J1264" s="199" t="s">
        <v>93</v>
      </c>
      <c r="K1264" s="188">
        <v>0</v>
      </c>
      <c r="L1264" s="209" t="s">
        <v>675</v>
      </c>
      <c r="M1264" s="207">
        <f>ROUND(K1264*I1264/10000,6)</f>
        <v>0</v>
      </c>
      <c r="N1264" s="198">
        <f>'02 项目基础信息（输入）'!$C$51</f>
        <v>0</v>
      </c>
      <c r="O1264" s="198">
        <f t="shared" si="142"/>
        <v>0</v>
      </c>
      <c r="P1264" s="198">
        <f>'02 项目基础信息（输入）'!$I$51</f>
        <v>0</v>
      </c>
      <c r="Q1264" s="233">
        <f t="shared" si="143"/>
        <v>0</v>
      </c>
      <c r="S1264" s="217"/>
      <c r="U1264" s="220" t="s">
        <v>3053</v>
      </c>
    </row>
    <row r="1265" spans="1:21" ht="0" hidden="1" customHeight="1" outlineLevel="2">
      <c r="A1265" s="192" t="s">
        <v>1712</v>
      </c>
      <c r="B1265" s="192"/>
      <c r="C1265" s="197" t="s">
        <v>1609</v>
      </c>
      <c r="D1265" s="198">
        <f>'02 项目基础信息（输入）'!$C$51</f>
        <v>0</v>
      </c>
      <c r="E1265" s="199" t="s">
        <v>93</v>
      </c>
      <c r="F1265" s="197"/>
      <c r="G1265" s="199"/>
      <c r="H1265" s="199"/>
      <c r="I1265" s="197"/>
      <c r="J1265" s="199"/>
      <c r="K1265" s="198"/>
      <c r="L1265" s="209"/>
      <c r="M1265" s="198">
        <f>ROUND(SUM(M1266:M1283),6)</f>
        <v>0</v>
      </c>
      <c r="N1265" s="198">
        <f>'02 项目基础信息（输入）'!$C$51</f>
        <v>0</v>
      </c>
      <c r="O1265" s="198">
        <f t="shared" si="142"/>
        <v>0</v>
      </c>
      <c r="P1265" s="198">
        <f>'02 项目基础信息（输入）'!$I$51</f>
        <v>0</v>
      </c>
      <c r="Q1265" s="233">
        <f t="shared" si="143"/>
        <v>0</v>
      </c>
      <c r="S1265" s="217" t="s">
        <v>1313</v>
      </c>
      <c r="U1265" s="220" t="s">
        <v>3054</v>
      </c>
    </row>
    <row r="1266" spans="1:21" ht="0" hidden="1" customHeight="1" outlineLevel="3">
      <c r="A1266" s="192" t="s">
        <v>1714</v>
      </c>
      <c r="B1266" s="192"/>
      <c r="C1266" s="197" t="s">
        <v>1609</v>
      </c>
      <c r="D1266" s="198">
        <f>'02 项目基础信息（输入）'!$C$51</f>
        <v>0</v>
      </c>
      <c r="E1266" s="199" t="s">
        <v>93</v>
      </c>
      <c r="F1266" s="197" t="s">
        <v>1609</v>
      </c>
      <c r="G1266" s="199">
        <v>1</v>
      </c>
      <c r="H1266" s="199" t="s">
        <v>298</v>
      </c>
      <c r="I1266" s="198">
        <f t="shared" ref="I1266:I1283" si="148">G1266*D1266</f>
        <v>0</v>
      </c>
      <c r="J1266" s="199" t="s">
        <v>93</v>
      </c>
      <c r="K1266" s="188">
        <v>0</v>
      </c>
      <c r="L1266" s="209" t="s">
        <v>675</v>
      </c>
      <c r="M1266" s="207">
        <f t="shared" ref="M1266:M1283" si="149">ROUND(K1266*I1266/10000,6)</f>
        <v>0</v>
      </c>
      <c r="N1266" s="198">
        <f>'02 项目基础信息（输入）'!$C$51</f>
        <v>0</v>
      </c>
      <c r="O1266" s="198">
        <f t="shared" si="142"/>
        <v>0</v>
      </c>
      <c r="P1266" s="198">
        <f>'02 项目基础信息（输入）'!$I$51</f>
        <v>0</v>
      </c>
      <c r="Q1266" s="233">
        <f t="shared" si="143"/>
        <v>0</v>
      </c>
      <c r="S1266" s="217"/>
      <c r="U1266" s="220" t="s">
        <v>3055</v>
      </c>
    </row>
    <row r="1267" spans="1:21" ht="0" hidden="1" customHeight="1" outlineLevel="3">
      <c r="A1267" s="192" t="s">
        <v>1717</v>
      </c>
      <c r="B1267" s="192"/>
      <c r="C1267" s="197" t="s">
        <v>1609</v>
      </c>
      <c r="D1267" s="198">
        <f>'02 项目基础信息（输入）'!$C$51</f>
        <v>0</v>
      </c>
      <c r="E1267" s="199" t="s">
        <v>93</v>
      </c>
      <c r="F1267" s="197" t="s">
        <v>1609</v>
      </c>
      <c r="G1267" s="199">
        <v>1</v>
      </c>
      <c r="H1267" s="199" t="s">
        <v>298</v>
      </c>
      <c r="I1267" s="198">
        <f t="shared" si="148"/>
        <v>0</v>
      </c>
      <c r="J1267" s="199" t="s">
        <v>93</v>
      </c>
      <c r="K1267" s="188">
        <v>0</v>
      </c>
      <c r="L1267" s="209" t="s">
        <v>675</v>
      </c>
      <c r="M1267" s="207">
        <f t="shared" si="149"/>
        <v>0</v>
      </c>
      <c r="N1267" s="198">
        <f>'02 项目基础信息（输入）'!$C$51</f>
        <v>0</v>
      </c>
      <c r="O1267" s="198">
        <f t="shared" si="142"/>
        <v>0</v>
      </c>
      <c r="P1267" s="198">
        <f>'02 项目基础信息（输入）'!$I$51</f>
        <v>0</v>
      </c>
      <c r="Q1267" s="233">
        <f t="shared" si="143"/>
        <v>0</v>
      </c>
      <c r="S1267" s="217"/>
      <c r="U1267" s="220" t="s">
        <v>3056</v>
      </c>
    </row>
    <row r="1268" spans="1:21" ht="0" hidden="1" customHeight="1" outlineLevel="3">
      <c r="A1268" s="192" t="s">
        <v>1719</v>
      </c>
      <c r="B1268" s="192"/>
      <c r="C1268" s="197" t="s">
        <v>1609</v>
      </c>
      <c r="D1268" s="198">
        <f>'02 项目基础信息（输入）'!$C$51</f>
        <v>0</v>
      </c>
      <c r="E1268" s="199" t="s">
        <v>93</v>
      </c>
      <c r="F1268" s="197" t="s">
        <v>1609</v>
      </c>
      <c r="G1268" s="199">
        <v>1</v>
      </c>
      <c r="H1268" s="199" t="s">
        <v>298</v>
      </c>
      <c r="I1268" s="198">
        <f t="shared" si="148"/>
        <v>0</v>
      </c>
      <c r="J1268" s="199" t="s">
        <v>93</v>
      </c>
      <c r="K1268" s="188">
        <v>0</v>
      </c>
      <c r="L1268" s="209" t="s">
        <v>675</v>
      </c>
      <c r="M1268" s="207">
        <f t="shared" si="149"/>
        <v>0</v>
      </c>
      <c r="N1268" s="198">
        <f>'02 项目基础信息（输入）'!$C$51</f>
        <v>0</v>
      </c>
      <c r="O1268" s="198">
        <f t="shared" si="142"/>
        <v>0</v>
      </c>
      <c r="P1268" s="198">
        <f>'02 项目基础信息（输入）'!$I$51</f>
        <v>0</v>
      </c>
      <c r="Q1268" s="233">
        <f t="shared" si="143"/>
        <v>0</v>
      </c>
      <c r="S1268" s="217"/>
      <c r="U1268" s="220" t="s">
        <v>3057</v>
      </c>
    </row>
    <row r="1269" spans="1:21" ht="0" hidden="1" customHeight="1" outlineLevel="3">
      <c r="A1269" s="192" t="s">
        <v>1721</v>
      </c>
      <c r="B1269" s="192"/>
      <c r="C1269" s="197" t="s">
        <v>1609</v>
      </c>
      <c r="D1269" s="198">
        <f>'02 项目基础信息（输入）'!$C$51</f>
        <v>0</v>
      </c>
      <c r="E1269" s="199" t="s">
        <v>93</v>
      </c>
      <c r="F1269" s="197" t="s">
        <v>1609</v>
      </c>
      <c r="G1269" s="199">
        <v>1</v>
      </c>
      <c r="H1269" s="199" t="s">
        <v>298</v>
      </c>
      <c r="I1269" s="198">
        <f t="shared" si="148"/>
        <v>0</v>
      </c>
      <c r="J1269" s="199" t="s">
        <v>93</v>
      </c>
      <c r="K1269" s="188">
        <v>0</v>
      </c>
      <c r="L1269" s="209" t="s">
        <v>675</v>
      </c>
      <c r="M1269" s="207">
        <f t="shared" si="149"/>
        <v>0</v>
      </c>
      <c r="N1269" s="198">
        <f>'02 项目基础信息（输入）'!$C$51</f>
        <v>0</v>
      </c>
      <c r="O1269" s="198">
        <f t="shared" si="142"/>
        <v>0</v>
      </c>
      <c r="P1269" s="198">
        <f>'02 项目基础信息（输入）'!$I$51</f>
        <v>0</v>
      </c>
      <c r="Q1269" s="233">
        <f t="shared" si="143"/>
        <v>0</v>
      </c>
      <c r="S1269" s="217"/>
      <c r="U1269" s="220" t="s">
        <v>3058</v>
      </c>
    </row>
    <row r="1270" spans="1:21" ht="0" hidden="1" customHeight="1" outlineLevel="3">
      <c r="A1270" s="192" t="s">
        <v>1723</v>
      </c>
      <c r="B1270" s="192"/>
      <c r="C1270" s="197" t="s">
        <v>1609</v>
      </c>
      <c r="D1270" s="198">
        <f>'02 项目基础信息（输入）'!$C$51</f>
        <v>0</v>
      </c>
      <c r="E1270" s="199" t="s">
        <v>93</v>
      </c>
      <c r="F1270" s="197" t="s">
        <v>1609</v>
      </c>
      <c r="G1270" s="199">
        <v>1</v>
      </c>
      <c r="H1270" s="199" t="s">
        <v>298</v>
      </c>
      <c r="I1270" s="198">
        <f t="shared" si="148"/>
        <v>0</v>
      </c>
      <c r="J1270" s="199" t="s">
        <v>93</v>
      </c>
      <c r="K1270" s="188">
        <v>0</v>
      </c>
      <c r="L1270" s="209" t="s">
        <v>675</v>
      </c>
      <c r="M1270" s="207">
        <f t="shared" si="149"/>
        <v>0</v>
      </c>
      <c r="N1270" s="198">
        <f>'02 项目基础信息（输入）'!$C$51</f>
        <v>0</v>
      </c>
      <c r="O1270" s="198">
        <f t="shared" si="142"/>
        <v>0</v>
      </c>
      <c r="P1270" s="198">
        <f>'02 项目基础信息（输入）'!$I$51</f>
        <v>0</v>
      </c>
      <c r="Q1270" s="233">
        <f t="shared" si="143"/>
        <v>0</v>
      </c>
      <c r="S1270" s="217"/>
      <c r="U1270" s="220" t="s">
        <v>3059</v>
      </c>
    </row>
    <row r="1271" spans="1:21" ht="0" hidden="1" customHeight="1" outlineLevel="3">
      <c r="A1271" s="192" t="s">
        <v>1725</v>
      </c>
      <c r="B1271" s="192"/>
      <c r="C1271" s="197" t="s">
        <v>1609</v>
      </c>
      <c r="D1271" s="198">
        <f>'02 项目基础信息（输入）'!$C$51</f>
        <v>0</v>
      </c>
      <c r="E1271" s="199" t="s">
        <v>93</v>
      </c>
      <c r="F1271" s="197" t="s">
        <v>1609</v>
      </c>
      <c r="G1271" s="199">
        <v>1</v>
      </c>
      <c r="H1271" s="199" t="s">
        <v>298</v>
      </c>
      <c r="I1271" s="198">
        <f t="shared" si="148"/>
        <v>0</v>
      </c>
      <c r="J1271" s="199" t="s">
        <v>93</v>
      </c>
      <c r="K1271" s="188">
        <v>0</v>
      </c>
      <c r="L1271" s="209" t="s">
        <v>675</v>
      </c>
      <c r="M1271" s="207">
        <f t="shared" si="149"/>
        <v>0</v>
      </c>
      <c r="N1271" s="198">
        <f>'02 项目基础信息（输入）'!$C$51</f>
        <v>0</v>
      </c>
      <c r="O1271" s="198">
        <f t="shared" si="142"/>
        <v>0</v>
      </c>
      <c r="P1271" s="198">
        <f>'02 项目基础信息（输入）'!$I$51</f>
        <v>0</v>
      </c>
      <c r="Q1271" s="233">
        <f t="shared" si="143"/>
        <v>0</v>
      </c>
      <c r="S1271" s="217"/>
      <c r="U1271" s="220" t="s">
        <v>3060</v>
      </c>
    </row>
    <row r="1272" spans="1:21" ht="0" hidden="1" customHeight="1" outlineLevel="3">
      <c r="A1272" s="192" t="s">
        <v>1727</v>
      </c>
      <c r="B1272" s="192"/>
      <c r="C1272" s="197" t="s">
        <v>1609</v>
      </c>
      <c r="D1272" s="198">
        <f>'02 项目基础信息（输入）'!$C$51</f>
        <v>0</v>
      </c>
      <c r="E1272" s="199" t="s">
        <v>93</v>
      </c>
      <c r="F1272" s="197" t="s">
        <v>1609</v>
      </c>
      <c r="G1272" s="199">
        <v>1</v>
      </c>
      <c r="H1272" s="199" t="s">
        <v>298</v>
      </c>
      <c r="I1272" s="198">
        <f t="shared" si="148"/>
        <v>0</v>
      </c>
      <c r="J1272" s="199" t="s">
        <v>93</v>
      </c>
      <c r="K1272" s="188">
        <v>0</v>
      </c>
      <c r="L1272" s="209" t="s">
        <v>675</v>
      </c>
      <c r="M1272" s="207">
        <f t="shared" si="149"/>
        <v>0</v>
      </c>
      <c r="N1272" s="198">
        <f>'02 项目基础信息（输入）'!$C$51</f>
        <v>0</v>
      </c>
      <c r="O1272" s="198">
        <f t="shared" si="142"/>
        <v>0</v>
      </c>
      <c r="P1272" s="198">
        <f>'02 项目基础信息（输入）'!$I$51</f>
        <v>0</v>
      </c>
      <c r="Q1272" s="233">
        <f t="shared" si="143"/>
        <v>0</v>
      </c>
      <c r="S1272" s="217"/>
      <c r="U1272" s="220" t="s">
        <v>3061</v>
      </c>
    </row>
    <row r="1273" spans="1:21" ht="0" hidden="1" customHeight="1" outlineLevel="3">
      <c r="A1273" s="192" t="s">
        <v>1729</v>
      </c>
      <c r="B1273" s="192"/>
      <c r="C1273" s="197" t="s">
        <v>1609</v>
      </c>
      <c r="D1273" s="198">
        <f>'02 项目基础信息（输入）'!$C$51</f>
        <v>0</v>
      </c>
      <c r="E1273" s="199" t="s">
        <v>93</v>
      </c>
      <c r="F1273" s="197" t="s">
        <v>1609</v>
      </c>
      <c r="G1273" s="199">
        <v>1</v>
      </c>
      <c r="H1273" s="199" t="s">
        <v>298</v>
      </c>
      <c r="I1273" s="198">
        <f t="shared" si="148"/>
        <v>0</v>
      </c>
      <c r="J1273" s="199" t="s">
        <v>93</v>
      </c>
      <c r="K1273" s="188">
        <v>0</v>
      </c>
      <c r="L1273" s="209" t="s">
        <v>675</v>
      </c>
      <c r="M1273" s="207">
        <f t="shared" si="149"/>
        <v>0</v>
      </c>
      <c r="N1273" s="198">
        <f>'02 项目基础信息（输入）'!$C$51</f>
        <v>0</v>
      </c>
      <c r="O1273" s="198">
        <f t="shared" si="142"/>
        <v>0</v>
      </c>
      <c r="P1273" s="198">
        <f>'02 项目基础信息（输入）'!$I$51</f>
        <v>0</v>
      </c>
      <c r="Q1273" s="233">
        <f t="shared" si="143"/>
        <v>0</v>
      </c>
      <c r="S1273" s="217"/>
      <c r="U1273" s="220" t="s">
        <v>3062</v>
      </c>
    </row>
    <row r="1274" spans="1:21" ht="0" hidden="1" customHeight="1" outlineLevel="3">
      <c r="A1274" s="192" t="s">
        <v>1731</v>
      </c>
      <c r="B1274" s="192"/>
      <c r="C1274" s="197" t="s">
        <v>1609</v>
      </c>
      <c r="D1274" s="198">
        <f>'02 项目基础信息（输入）'!$C$51</f>
        <v>0</v>
      </c>
      <c r="E1274" s="199" t="s">
        <v>93</v>
      </c>
      <c r="F1274" s="197" t="s">
        <v>1609</v>
      </c>
      <c r="G1274" s="199">
        <v>1</v>
      </c>
      <c r="H1274" s="199" t="s">
        <v>298</v>
      </c>
      <c r="I1274" s="198">
        <f t="shared" si="148"/>
        <v>0</v>
      </c>
      <c r="J1274" s="199" t="s">
        <v>93</v>
      </c>
      <c r="K1274" s="188">
        <v>0</v>
      </c>
      <c r="L1274" s="209" t="s">
        <v>675</v>
      </c>
      <c r="M1274" s="207">
        <f t="shared" si="149"/>
        <v>0</v>
      </c>
      <c r="N1274" s="198">
        <f>'02 项目基础信息（输入）'!$C$51</f>
        <v>0</v>
      </c>
      <c r="O1274" s="198">
        <f t="shared" si="142"/>
        <v>0</v>
      </c>
      <c r="P1274" s="198">
        <f>'02 项目基础信息（输入）'!$I$51</f>
        <v>0</v>
      </c>
      <c r="Q1274" s="233">
        <f t="shared" si="143"/>
        <v>0</v>
      </c>
      <c r="S1274" s="217"/>
      <c r="U1274" s="220" t="s">
        <v>3063</v>
      </c>
    </row>
    <row r="1275" spans="1:21" ht="0" hidden="1" customHeight="1" outlineLevel="3">
      <c r="A1275" s="192" t="s">
        <v>1733</v>
      </c>
      <c r="B1275" s="192"/>
      <c r="C1275" s="197" t="s">
        <v>1609</v>
      </c>
      <c r="D1275" s="198">
        <f>'02 项目基础信息（输入）'!$C$51</f>
        <v>0</v>
      </c>
      <c r="E1275" s="199" t="s">
        <v>93</v>
      </c>
      <c r="F1275" s="197" t="s">
        <v>1609</v>
      </c>
      <c r="G1275" s="199">
        <v>1</v>
      </c>
      <c r="H1275" s="199" t="s">
        <v>298</v>
      </c>
      <c r="I1275" s="198">
        <f t="shared" si="148"/>
        <v>0</v>
      </c>
      <c r="J1275" s="199" t="s">
        <v>93</v>
      </c>
      <c r="K1275" s="188">
        <v>0</v>
      </c>
      <c r="L1275" s="209" t="s">
        <v>675</v>
      </c>
      <c r="M1275" s="207">
        <f t="shared" si="149"/>
        <v>0</v>
      </c>
      <c r="N1275" s="198">
        <f>'02 项目基础信息（输入）'!$C$51</f>
        <v>0</v>
      </c>
      <c r="O1275" s="198">
        <f t="shared" si="142"/>
        <v>0</v>
      </c>
      <c r="P1275" s="198">
        <f>'02 项目基础信息（输入）'!$I$51</f>
        <v>0</v>
      </c>
      <c r="Q1275" s="233">
        <f t="shared" si="143"/>
        <v>0</v>
      </c>
      <c r="S1275" s="217"/>
      <c r="U1275" s="220" t="s">
        <v>3064</v>
      </c>
    </row>
    <row r="1276" spans="1:21" ht="0" hidden="1" customHeight="1" outlineLevel="3">
      <c r="A1276" s="192" t="s">
        <v>1735</v>
      </c>
      <c r="B1276" s="192"/>
      <c r="C1276" s="197" t="s">
        <v>1609</v>
      </c>
      <c r="D1276" s="198">
        <f>'02 项目基础信息（输入）'!$C$51</f>
        <v>0</v>
      </c>
      <c r="E1276" s="199" t="s">
        <v>93</v>
      </c>
      <c r="F1276" s="197" t="s">
        <v>1609</v>
      </c>
      <c r="G1276" s="199">
        <v>1</v>
      </c>
      <c r="H1276" s="199" t="s">
        <v>298</v>
      </c>
      <c r="I1276" s="198">
        <f t="shared" si="148"/>
        <v>0</v>
      </c>
      <c r="J1276" s="199" t="s">
        <v>93</v>
      </c>
      <c r="K1276" s="188">
        <v>0</v>
      </c>
      <c r="L1276" s="209" t="s">
        <v>675</v>
      </c>
      <c r="M1276" s="207">
        <f t="shared" si="149"/>
        <v>0</v>
      </c>
      <c r="N1276" s="198">
        <f>'02 项目基础信息（输入）'!$C$51</f>
        <v>0</v>
      </c>
      <c r="O1276" s="198">
        <f t="shared" si="142"/>
        <v>0</v>
      </c>
      <c r="P1276" s="198">
        <f>'02 项目基础信息（输入）'!$I$51</f>
        <v>0</v>
      </c>
      <c r="Q1276" s="233">
        <f t="shared" si="143"/>
        <v>0</v>
      </c>
      <c r="S1276" s="217"/>
      <c r="U1276" s="220" t="s">
        <v>3065</v>
      </c>
    </row>
    <row r="1277" spans="1:21" ht="0" hidden="1" customHeight="1" outlineLevel="3">
      <c r="A1277" s="192" t="s">
        <v>1737</v>
      </c>
      <c r="B1277" s="192"/>
      <c r="C1277" s="197" t="s">
        <v>1609</v>
      </c>
      <c r="D1277" s="198">
        <f>'02 项目基础信息（输入）'!$C$51</f>
        <v>0</v>
      </c>
      <c r="E1277" s="199" t="s">
        <v>93</v>
      </c>
      <c r="F1277" s="197" t="s">
        <v>1609</v>
      </c>
      <c r="G1277" s="199">
        <v>1</v>
      </c>
      <c r="H1277" s="199" t="s">
        <v>298</v>
      </c>
      <c r="I1277" s="198">
        <f t="shared" si="148"/>
        <v>0</v>
      </c>
      <c r="J1277" s="199" t="s">
        <v>93</v>
      </c>
      <c r="K1277" s="188">
        <v>0</v>
      </c>
      <c r="L1277" s="209" t="s">
        <v>675</v>
      </c>
      <c r="M1277" s="207">
        <f t="shared" si="149"/>
        <v>0</v>
      </c>
      <c r="N1277" s="198">
        <f>'02 项目基础信息（输入）'!$C$51</f>
        <v>0</v>
      </c>
      <c r="O1277" s="198">
        <f t="shared" si="142"/>
        <v>0</v>
      </c>
      <c r="P1277" s="198">
        <f>'02 项目基础信息（输入）'!$I$51</f>
        <v>0</v>
      </c>
      <c r="Q1277" s="233">
        <f t="shared" si="143"/>
        <v>0</v>
      </c>
      <c r="S1277" s="217"/>
      <c r="U1277" s="220" t="s">
        <v>3066</v>
      </c>
    </row>
    <row r="1278" spans="1:21" ht="0" hidden="1" customHeight="1" outlineLevel="3">
      <c r="A1278" s="192" t="s">
        <v>1739</v>
      </c>
      <c r="B1278" s="192"/>
      <c r="C1278" s="197" t="s">
        <v>1609</v>
      </c>
      <c r="D1278" s="198">
        <f>'02 项目基础信息（输入）'!$C$51</f>
        <v>0</v>
      </c>
      <c r="E1278" s="199" t="s">
        <v>93</v>
      </c>
      <c r="F1278" s="197" t="s">
        <v>1609</v>
      </c>
      <c r="G1278" s="199">
        <v>1</v>
      </c>
      <c r="H1278" s="199" t="s">
        <v>298</v>
      </c>
      <c r="I1278" s="198">
        <f t="shared" si="148"/>
        <v>0</v>
      </c>
      <c r="J1278" s="199" t="s">
        <v>93</v>
      </c>
      <c r="K1278" s="188">
        <v>0</v>
      </c>
      <c r="L1278" s="209" t="s">
        <v>675</v>
      </c>
      <c r="M1278" s="207">
        <f t="shared" si="149"/>
        <v>0</v>
      </c>
      <c r="N1278" s="198">
        <f>'02 项目基础信息（输入）'!$C$51</f>
        <v>0</v>
      </c>
      <c r="O1278" s="198">
        <f t="shared" si="142"/>
        <v>0</v>
      </c>
      <c r="P1278" s="198">
        <f>'02 项目基础信息（输入）'!$I$51</f>
        <v>0</v>
      </c>
      <c r="Q1278" s="233">
        <f t="shared" si="143"/>
        <v>0</v>
      </c>
      <c r="S1278" s="217"/>
      <c r="U1278" s="220" t="s">
        <v>3067</v>
      </c>
    </row>
    <row r="1279" spans="1:21" ht="0" hidden="1" customHeight="1" outlineLevel="3">
      <c r="A1279" s="192" t="s">
        <v>1741</v>
      </c>
      <c r="B1279" s="192"/>
      <c r="C1279" s="197" t="s">
        <v>1609</v>
      </c>
      <c r="D1279" s="198">
        <f>'02 项目基础信息（输入）'!$C$51</f>
        <v>0</v>
      </c>
      <c r="E1279" s="199" t="s">
        <v>93</v>
      </c>
      <c r="F1279" s="197" t="s">
        <v>1609</v>
      </c>
      <c r="G1279" s="199">
        <v>1</v>
      </c>
      <c r="H1279" s="199" t="s">
        <v>298</v>
      </c>
      <c r="I1279" s="198">
        <f t="shared" si="148"/>
        <v>0</v>
      </c>
      <c r="J1279" s="199" t="s">
        <v>93</v>
      </c>
      <c r="K1279" s="188">
        <v>0</v>
      </c>
      <c r="L1279" s="209" t="s">
        <v>675</v>
      </c>
      <c r="M1279" s="207">
        <f t="shared" si="149"/>
        <v>0</v>
      </c>
      <c r="N1279" s="198">
        <f>'02 项目基础信息（输入）'!$C$51</f>
        <v>0</v>
      </c>
      <c r="O1279" s="198">
        <f t="shared" si="142"/>
        <v>0</v>
      </c>
      <c r="P1279" s="198">
        <f>'02 项目基础信息（输入）'!$I$51</f>
        <v>0</v>
      </c>
      <c r="Q1279" s="233">
        <f t="shared" si="143"/>
        <v>0</v>
      </c>
      <c r="S1279" s="217"/>
      <c r="U1279" s="220" t="s">
        <v>3068</v>
      </c>
    </row>
    <row r="1280" spans="1:21" ht="0" hidden="1" customHeight="1" outlineLevel="3">
      <c r="A1280" s="192" t="s">
        <v>1743</v>
      </c>
      <c r="B1280" s="192"/>
      <c r="C1280" s="197" t="s">
        <v>1609</v>
      </c>
      <c r="D1280" s="198">
        <f>'02 项目基础信息（输入）'!$C$51</f>
        <v>0</v>
      </c>
      <c r="E1280" s="199" t="s">
        <v>93</v>
      </c>
      <c r="F1280" s="197" t="s">
        <v>1609</v>
      </c>
      <c r="G1280" s="199">
        <v>1</v>
      </c>
      <c r="H1280" s="199" t="s">
        <v>298</v>
      </c>
      <c r="I1280" s="198">
        <f t="shared" si="148"/>
        <v>0</v>
      </c>
      <c r="J1280" s="199" t="s">
        <v>93</v>
      </c>
      <c r="K1280" s="188">
        <v>0</v>
      </c>
      <c r="L1280" s="209" t="s">
        <v>675</v>
      </c>
      <c r="M1280" s="207">
        <f t="shared" si="149"/>
        <v>0</v>
      </c>
      <c r="N1280" s="198">
        <f>'02 项目基础信息（输入）'!$C$51</f>
        <v>0</v>
      </c>
      <c r="O1280" s="198">
        <f t="shared" si="142"/>
        <v>0</v>
      </c>
      <c r="P1280" s="198">
        <f>'02 项目基础信息（输入）'!$I$51</f>
        <v>0</v>
      </c>
      <c r="Q1280" s="233">
        <f t="shared" si="143"/>
        <v>0</v>
      </c>
      <c r="S1280" s="217"/>
      <c r="U1280" s="220" t="s">
        <v>3069</v>
      </c>
    </row>
    <row r="1281" spans="1:21" ht="0" hidden="1" customHeight="1" outlineLevel="3">
      <c r="A1281" s="192" t="s">
        <v>1745</v>
      </c>
      <c r="B1281" s="192"/>
      <c r="C1281" s="197" t="s">
        <v>1609</v>
      </c>
      <c r="D1281" s="198">
        <f>'02 项目基础信息（输入）'!$C$51</f>
        <v>0</v>
      </c>
      <c r="E1281" s="199" t="s">
        <v>93</v>
      </c>
      <c r="F1281" s="197" t="s">
        <v>1609</v>
      </c>
      <c r="G1281" s="199">
        <v>1</v>
      </c>
      <c r="H1281" s="199" t="s">
        <v>298</v>
      </c>
      <c r="I1281" s="198">
        <f t="shared" si="148"/>
        <v>0</v>
      </c>
      <c r="J1281" s="199" t="s">
        <v>93</v>
      </c>
      <c r="K1281" s="188">
        <v>0</v>
      </c>
      <c r="L1281" s="209" t="s">
        <v>675</v>
      </c>
      <c r="M1281" s="207">
        <f t="shared" si="149"/>
        <v>0</v>
      </c>
      <c r="N1281" s="198">
        <f>'02 项目基础信息（输入）'!$C$51</f>
        <v>0</v>
      </c>
      <c r="O1281" s="198">
        <f t="shared" si="142"/>
        <v>0</v>
      </c>
      <c r="P1281" s="198">
        <f>'02 项目基础信息（输入）'!$I$51</f>
        <v>0</v>
      </c>
      <c r="Q1281" s="233">
        <f t="shared" si="143"/>
        <v>0</v>
      </c>
      <c r="S1281" s="217"/>
      <c r="U1281" s="220" t="s">
        <v>3070</v>
      </c>
    </row>
    <row r="1282" spans="1:21" ht="0" hidden="1" customHeight="1" outlineLevel="3">
      <c r="A1282" s="192" t="s">
        <v>1747</v>
      </c>
      <c r="B1282" s="192"/>
      <c r="C1282" s="197" t="s">
        <v>416</v>
      </c>
      <c r="D1282" s="198">
        <f>'02 项目基础信息（输入）'!$AJ$51</f>
        <v>0</v>
      </c>
      <c r="E1282" s="199" t="s">
        <v>417</v>
      </c>
      <c r="F1282" s="197" t="s">
        <v>416</v>
      </c>
      <c r="G1282" s="199">
        <v>1</v>
      </c>
      <c r="H1282" s="199" t="s">
        <v>1748</v>
      </c>
      <c r="I1282" s="198">
        <f t="shared" si="148"/>
        <v>0</v>
      </c>
      <c r="J1282" s="199" t="s">
        <v>400</v>
      </c>
      <c r="K1282" s="188">
        <v>0</v>
      </c>
      <c r="L1282" s="209" t="s">
        <v>1749</v>
      </c>
      <c r="M1282" s="207">
        <f t="shared" si="149"/>
        <v>0</v>
      </c>
      <c r="N1282" s="198">
        <f>'02 项目基础信息（输入）'!$C$51</f>
        <v>0</v>
      </c>
      <c r="O1282" s="198">
        <f t="shared" si="142"/>
        <v>0</v>
      </c>
      <c r="P1282" s="198">
        <f>'02 项目基础信息（输入）'!$I$51</f>
        <v>0</v>
      </c>
      <c r="Q1282" s="233">
        <f t="shared" si="143"/>
        <v>0</v>
      </c>
      <c r="S1282" s="217"/>
      <c r="U1282" s="220" t="s">
        <v>3071</v>
      </c>
    </row>
    <row r="1283" spans="1:21" ht="0" hidden="1" customHeight="1" outlineLevel="3">
      <c r="A1283" s="192" t="s">
        <v>1751</v>
      </c>
      <c r="B1283" s="192"/>
      <c r="C1283" s="197" t="s">
        <v>1609</v>
      </c>
      <c r="D1283" s="198">
        <f>'02 项目基础信息（输入）'!$C$51</f>
        <v>0</v>
      </c>
      <c r="E1283" s="199" t="s">
        <v>93</v>
      </c>
      <c r="F1283" s="197" t="s">
        <v>1609</v>
      </c>
      <c r="G1283" s="199">
        <v>1</v>
      </c>
      <c r="H1283" s="199" t="s">
        <v>298</v>
      </c>
      <c r="I1283" s="198">
        <f t="shared" si="148"/>
        <v>0</v>
      </c>
      <c r="J1283" s="199" t="s">
        <v>93</v>
      </c>
      <c r="K1283" s="188">
        <v>0</v>
      </c>
      <c r="L1283" s="209" t="s">
        <v>675</v>
      </c>
      <c r="M1283" s="207">
        <f t="shared" si="149"/>
        <v>0</v>
      </c>
      <c r="N1283" s="198">
        <f>'02 项目基础信息（输入）'!$C$51</f>
        <v>0</v>
      </c>
      <c r="O1283" s="198">
        <f t="shared" ref="O1283:O1346" si="150">ROUND(IFERROR(M1283*10000/N1283,0),2)</f>
        <v>0</v>
      </c>
      <c r="P1283" s="198">
        <f>'02 项目基础信息（输入）'!$I$51</f>
        <v>0</v>
      </c>
      <c r="Q1283" s="233">
        <f t="shared" ref="Q1283:Q1346" si="151">ROUND(IFERROR(M1283*10000/P1283,0),2)</f>
        <v>0</v>
      </c>
      <c r="S1283" s="217"/>
      <c r="U1283" s="220" t="s">
        <v>3072</v>
      </c>
    </row>
    <row r="1284" spans="1:21" ht="0" hidden="1" customHeight="1" outlineLevel="2">
      <c r="A1284" s="192" t="s">
        <v>1753</v>
      </c>
      <c r="B1284" s="192"/>
      <c r="C1284" s="197" t="s">
        <v>1609</v>
      </c>
      <c r="D1284" s="198">
        <f>'02 项目基础信息（输入）'!$C$51</f>
        <v>0</v>
      </c>
      <c r="E1284" s="199" t="s">
        <v>93</v>
      </c>
      <c r="F1284" s="197"/>
      <c r="G1284" s="199"/>
      <c r="H1284" s="199"/>
      <c r="I1284" s="197"/>
      <c r="J1284" s="199"/>
      <c r="K1284" s="198"/>
      <c r="L1284" s="209"/>
      <c r="M1284" s="198">
        <f>ROUND(SUM(M1285:M1295),6)</f>
        <v>0</v>
      </c>
      <c r="N1284" s="198">
        <f>'02 项目基础信息（输入）'!$C$51</f>
        <v>0</v>
      </c>
      <c r="O1284" s="198">
        <f t="shared" si="150"/>
        <v>0</v>
      </c>
      <c r="P1284" s="198">
        <f>'02 项目基础信息（输入）'!$I$51</f>
        <v>0</v>
      </c>
      <c r="Q1284" s="233">
        <f t="shared" si="151"/>
        <v>0</v>
      </c>
      <c r="S1284" s="217" t="s">
        <v>1313</v>
      </c>
      <c r="U1284" s="220" t="s">
        <v>3073</v>
      </c>
    </row>
    <row r="1285" spans="1:21" ht="0" hidden="1" customHeight="1" outlineLevel="3">
      <c r="A1285" s="192" t="s">
        <v>1755</v>
      </c>
      <c r="B1285" s="192"/>
      <c r="C1285" s="197" t="s">
        <v>1609</v>
      </c>
      <c r="D1285" s="198">
        <f>'02 项目基础信息（输入）'!$C$51</f>
        <v>0</v>
      </c>
      <c r="E1285" s="199" t="s">
        <v>93</v>
      </c>
      <c r="F1285" s="197" t="s">
        <v>1609</v>
      </c>
      <c r="G1285" s="199">
        <v>1</v>
      </c>
      <c r="H1285" s="199" t="s">
        <v>298</v>
      </c>
      <c r="I1285" s="198">
        <f t="shared" ref="I1285:I1295" si="152">G1285*D1285</f>
        <v>0</v>
      </c>
      <c r="J1285" s="199" t="s">
        <v>93</v>
      </c>
      <c r="K1285" s="188">
        <v>0</v>
      </c>
      <c r="L1285" s="209" t="s">
        <v>675</v>
      </c>
      <c r="M1285" s="207">
        <f t="shared" ref="M1285:M1295" si="153">ROUND(K1285*I1285/10000,6)</f>
        <v>0</v>
      </c>
      <c r="N1285" s="198">
        <f>'02 项目基础信息（输入）'!$C$51</f>
        <v>0</v>
      </c>
      <c r="O1285" s="198">
        <f t="shared" si="150"/>
        <v>0</v>
      </c>
      <c r="P1285" s="198">
        <f>'02 项目基础信息（输入）'!$I$51</f>
        <v>0</v>
      </c>
      <c r="Q1285" s="233">
        <f t="shared" si="151"/>
        <v>0</v>
      </c>
      <c r="S1285" s="217"/>
      <c r="U1285" s="220" t="s">
        <v>3074</v>
      </c>
    </row>
    <row r="1286" spans="1:21" ht="0" hidden="1" customHeight="1" outlineLevel="3">
      <c r="A1286" s="192" t="s">
        <v>1757</v>
      </c>
      <c r="B1286" s="192"/>
      <c r="C1286" s="197" t="s">
        <v>1609</v>
      </c>
      <c r="D1286" s="198">
        <f>'02 项目基础信息（输入）'!$C$51</f>
        <v>0</v>
      </c>
      <c r="E1286" s="199" t="s">
        <v>93</v>
      </c>
      <c r="F1286" s="197" t="s">
        <v>1609</v>
      </c>
      <c r="G1286" s="199">
        <v>1</v>
      </c>
      <c r="H1286" s="199" t="s">
        <v>298</v>
      </c>
      <c r="I1286" s="198">
        <f t="shared" si="152"/>
        <v>0</v>
      </c>
      <c r="J1286" s="199" t="s">
        <v>93</v>
      </c>
      <c r="K1286" s="188">
        <v>0</v>
      </c>
      <c r="L1286" s="209" t="s">
        <v>675</v>
      </c>
      <c r="M1286" s="207">
        <f t="shared" si="153"/>
        <v>0</v>
      </c>
      <c r="N1286" s="198">
        <f>'02 项目基础信息（输入）'!$C$51</f>
        <v>0</v>
      </c>
      <c r="O1286" s="198">
        <f t="shared" si="150"/>
        <v>0</v>
      </c>
      <c r="P1286" s="198">
        <f>'02 项目基础信息（输入）'!$I$51</f>
        <v>0</v>
      </c>
      <c r="Q1286" s="233">
        <f t="shared" si="151"/>
        <v>0</v>
      </c>
      <c r="S1286" s="217"/>
      <c r="U1286" s="220" t="s">
        <v>3075</v>
      </c>
    </row>
    <row r="1287" spans="1:21" ht="0" hidden="1" customHeight="1" outlineLevel="3">
      <c r="A1287" s="192" t="s">
        <v>1759</v>
      </c>
      <c r="B1287" s="192"/>
      <c r="C1287" s="197" t="s">
        <v>1609</v>
      </c>
      <c r="D1287" s="198">
        <f>'02 项目基础信息（输入）'!$C$51</f>
        <v>0</v>
      </c>
      <c r="E1287" s="199" t="s">
        <v>93</v>
      </c>
      <c r="F1287" s="197" t="s">
        <v>1609</v>
      </c>
      <c r="G1287" s="199">
        <v>1</v>
      </c>
      <c r="H1287" s="199" t="s">
        <v>298</v>
      </c>
      <c r="I1287" s="198">
        <f t="shared" si="152"/>
        <v>0</v>
      </c>
      <c r="J1287" s="199" t="s">
        <v>93</v>
      </c>
      <c r="K1287" s="188">
        <v>0</v>
      </c>
      <c r="L1287" s="209" t="s">
        <v>675</v>
      </c>
      <c r="M1287" s="207">
        <f t="shared" si="153"/>
        <v>0</v>
      </c>
      <c r="N1287" s="198">
        <f>'02 项目基础信息（输入）'!$C$51</f>
        <v>0</v>
      </c>
      <c r="O1287" s="198">
        <f t="shared" si="150"/>
        <v>0</v>
      </c>
      <c r="P1287" s="198">
        <f>'02 项目基础信息（输入）'!$I$51</f>
        <v>0</v>
      </c>
      <c r="Q1287" s="233">
        <f t="shared" si="151"/>
        <v>0</v>
      </c>
      <c r="S1287" s="217"/>
      <c r="U1287" s="220" t="s">
        <v>3076</v>
      </c>
    </row>
    <row r="1288" spans="1:21" ht="0" hidden="1" customHeight="1" outlineLevel="3">
      <c r="A1288" s="192" t="s">
        <v>1761</v>
      </c>
      <c r="B1288" s="192"/>
      <c r="C1288" s="197" t="s">
        <v>1609</v>
      </c>
      <c r="D1288" s="198">
        <f>'02 项目基础信息（输入）'!$C$51</f>
        <v>0</v>
      </c>
      <c r="E1288" s="199" t="s">
        <v>93</v>
      </c>
      <c r="F1288" s="197" t="s">
        <v>1609</v>
      </c>
      <c r="G1288" s="199">
        <v>1</v>
      </c>
      <c r="H1288" s="199" t="s">
        <v>298</v>
      </c>
      <c r="I1288" s="198">
        <f t="shared" si="152"/>
        <v>0</v>
      </c>
      <c r="J1288" s="199" t="s">
        <v>93</v>
      </c>
      <c r="K1288" s="188">
        <v>0</v>
      </c>
      <c r="L1288" s="209" t="s">
        <v>675</v>
      </c>
      <c r="M1288" s="207">
        <f t="shared" si="153"/>
        <v>0</v>
      </c>
      <c r="N1288" s="198">
        <f>'02 项目基础信息（输入）'!$C$51</f>
        <v>0</v>
      </c>
      <c r="O1288" s="198">
        <f t="shared" si="150"/>
        <v>0</v>
      </c>
      <c r="P1288" s="198">
        <f>'02 项目基础信息（输入）'!$I$51</f>
        <v>0</v>
      </c>
      <c r="Q1288" s="233">
        <f t="shared" si="151"/>
        <v>0</v>
      </c>
      <c r="S1288" s="217"/>
      <c r="U1288" s="220" t="s">
        <v>3077</v>
      </c>
    </row>
    <row r="1289" spans="1:21" ht="0" hidden="1" customHeight="1" outlineLevel="3">
      <c r="A1289" s="192" t="s">
        <v>1763</v>
      </c>
      <c r="B1289" s="192"/>
      <c r="C1289" s="197" t="s">
        <v>1609</v>
      </c>
      <c r="D1289" s="198">
        <f>'02 项目基础信息（输入）'!$C$51</f>
        <v>0</v>
      </c>
      <c r="E1289" s="199" t="s">
        <v>93</v>
      </c>
      <c r="F1289" s="197" t="s">
        <v>1609</v>
      </c>
      <c r="G1289" s="199">
        <v>1</v>
      </c>
      <c r="H1289" s="199" t="s">
        <v>298</v>
      </c>
      <c r="I1289" s="198">
        <f t="shared" si="152"/>
        <v>0</v>
      </c>
      <c r="J1289" s="199" t="s">
        <v>93</v>
      </c>
      <c r="K1289" s="188">
        <v>0</v>
      </c>
      <c r="L1289" s="209" t="s">
        <v>675</v>
      </c>
      <c r="M1289" s="207">
        <f t="shared" si="153"/>
        <v>0</v>
      </c>
      <c r="N1289" s="198">
        <f>'02 项目基础信息（输入）'!$C$51</f>
        <v>0</v>
      </c>
      <c r="O1289" s="198">
        <f t="shared" si="150"/>
        <v>0</v>
      </c>
      <c r="P1289" s="198">
        <f>'02 项目基础信息（输入）'!$I$51</f>
        <v>0</v>
      </c>
      <c r="Q1289" s="233">
        <f t="shared" si="151"/>
        <v>0</v>
      </c>
      <c r="S1289" s="217"/>
      <c r="U1289" s="220" t="s">
        <v>3078</v>
      </c>
    </row>
    <row r="1290" spans="1:21" ht="0" hidden="1" customHeight="1" outlineLevel="3">
      <c r="A1290" s="192" t="s">
        <v>1765</v>
      </c>
      <c r="B1290" s="192"/>
      <c r="C1290" s="197" t="s">
        <v>1609</v>
      </c>
      <c r="D1290" s="198">
        <f>'02 项目基础信息（输入）'!$C$51</f>
        <v>0</v>
      </c>
      <c r="E1290" s="199" t="s">
        <v>93</v>
      </c>
      <c r="F1290" s="197" t="s">
        <v>1609</v>
      </c>
      <c r="G1290" s="199">
        <v>1</v>
      </c>
      <c r="H1290" s="199" t="s">
        <v>298</v>
      </c>
      <c r="I1290" s="198">
        <f t="shared" si="152"/>
        <v>0</v>
      </c>
      <c r="J1290" s="199" t="s">
        <v>93</v>
      </c>
      <c r="K1290" s="188">
        <v>0</v>
      </c>
      <c r="L1290" s="209" t="s">
        <v>675</v>
      </c>
      <c r="M1290" s="207">
        <f t="shared" si="153"/>
        <v>0</v>
      </c>
      <c r="N1290" s="198">
        <f>'02 项目基础信息（输入）'!$C$51</f>
        <v>0</v>
      </c>
      <c r="O1290" s="198">
        <f t="shared" si="150"/>
        <v>0</v>
      </c>
      <c r="P1290" s="198">
        <f>'02 项目基础信息（输入）'!$I$51</f>
        <v>0</v>
      </c>
      <c r="Q1290" s="233">
        <f t="shared" si="151"/>
        <v>0</v>
      </c>
      <c r="S1290" s="217"/>
      <c r="U1290" s="220" t="s">
        <v>3079</v>
      </c>
    </row>
    <row r="1291" spans="1:21" ht="0" hidden="1" customHeight="1" outlineLevel="3">
      <c r="A1291" s="192" t="s">
        <v>1767</v>
      </c>
      <c r="B1291" s="192"/>
      <c r="C1291" s="197" t="s">
        <v>1609</v>
      </c>
      <c r="D1291" s="198">
        <f>'02 项目基础信息（输入）'!$C$51</f>
        <v>0</v>
      </c>
      <c r="E1291" s="199" t="s">
        <v>93</v>
      </c>
      <c r="F1291" s="197" t="s">
        <v>1609</v>
      </c>
      <c r="G1291" s="199">
        <v>1</v>
      </c>
      <c r="H1291" s="199" t="s">
        <v>298</v>
      </c>
      <c r="I1291" s="198">
        <f t="shared" si="152"/>
        <v>0</v>
      </c>
      <c r="J1291" s="199" t="s">
        <v>93</v>
      </c>
      <c r="K1291" s="188">
        <v>0</v>
      </c>
      <c r="L1291" s="209" t="s">
        <v>675</v>
      </c>
      <c r="M1291" s="207">
        <f t="shared" si="153"/>
        <v>0</v>
      </c>
      <c r="N1291" s="198">
        <f>'02 项目基础信息（输入）'!$C$51</f>
        <v>0</v>
      </c>
      <c r="O1291" s="198">
        <f t="shared" si="150"/>
        <v>0</v>
      </c>
      <c r="P1291" s="198">
        <f>'02 项目基础信息（输入）'!$I$51</f>
        <v>0</v>
      </c>
      <c r="Q1291" s="233">
        <f t="shared" si="151"/>
        <v>0</v>
      </c>
      <c r="S1291" s="217"/>
      <c r="U1291" s="220" t="s">
        <v>3080</v>
      </c>
    </row>
    <row r="1292" spans="1:21" ht="0" hidden="1" customHeight="1" outlineLevel="3">
      <c r="A1292" s="192" t="s">
        <v>1769</v>
      </c>
      <c r="B1292" s="192"/>
      <c r="C1292" s="197" t="s">
        <v>1609</v>
      </c>
      <c r="D1292" s="198">
        <f>'02 项目基础信息（输入）'!$C$51</f>
        <v>0</v>
      </c>
      <c r="E1292" s="199" t="s">
        <v>93</v>
      </c>
      <c r="F1292" s="197" t="s">
        <v>1609</v>
      </c>
      <c r="G1292" s="199">
        <v>1</v>
      </c>
      <c r="H1292" s="199" t="s">
        <v>298</v>
      </c>
      <c r="I1292" s="198">
        <f t="shared" si="152"/>
        <v>0</v>
      </c>
      <c r="J1292" s="199" t="s">
        <v>93</v>
      </c>
      <c r="K1292" s="188">
        <v>0</v>
      </c>
      <c r="L1292" s="209" t="s">
        <v>675</v>
      </c>
      <c r="M1292" s="207">
        <f t="shared" si="153"/>
        <v>0</v>
      </c>
      <c r="N1292" s="198">
        <f>'02 项目基础信息（输入）'!$C$51</f>
        <v>0</v>
      </c>
      <c r="O1292" s="198">
        <f t="shared" si="150"/>
        <v>0</v>
      </c>
      <c r="P1292" s="198">
        <f>'02 项目基础信息（输入）'!$I$51</f>
        <v>0</v>
      </c>
      <c r="Q1292" s="233">
        <f t="shared" si="151"/>
        <v>0</v>
      </c>
      <c r="S1292" s="217"/>
      <c r="U1292" s="220" t="s">
        <v>3081</v>
      </c>
    </row>
    <row r="1293" spans="1:21" ht="0" hidden="1" customHeight="1" outlineLevel="3">
      <c r="A1293" s="192" t="s">
        <v>1771</v>
      </c>
      <c r="B1293" s="192"/>
      <c r="C1293" s="197" t="s">
        <v>1609</v>
      </c>
      <c r="D1293" s="198">
        <f>'02 项目基础信息（输入）'!$C$51</f>
        <v>0</v>
      </c>
      <c r="E1293" s="199" t="s">
        <v>93</v>
      </c>
      <c r="F1293" s="197" t="s">
        <v>1609</v>
      </c>
      <c r="G1293" s="199">
        <v>1</v>
      </c>
      <c r="H1293" s="199" t="s">
        <v>298</v>
      </c>
      <c r="I1293" s="198">
        <f t="shared" si="152"/>
        <v>0</v>
      </c>
      <c r="J1293" s="199" t="s">
        <v>93</v>
      </c>
      <c r="K1293" s="188">
        <v>0</v>
      </c>
      <c r="L1293" s="209" t="s">
        <v>675</v>
      </c>
      <c r="M1293" s="207">
        <f t="shared" si="153"/>
        <v>0</v>
      </c>
      <c r="N1293" s="198">
        <f>'02 项目基础信息（输入）'!$C$51</f>
        <v>0</v>
      </c>
      <c r="O1293" s="198">
        <f t="shared" si="150"/>
        <v>0</v>
      </c>
      <c r="P1293" s="198">
        <f>'02 项目基础信息（输入）'!$I$51</f>
        <v>0</v>
      </c>
      <c r="Q1293" s="233">
        <f t="shared" si="151"/>
        <v>0</v>
      </c>
      <c r="S1293" s="217"/>
      <c r="U1293" s="220" t="s">
        <v>3082</v>
      </c>
    </row>
    <row r="1294" spans="1:21" ht="0" hidden="1" customHeight="1" outlineLevel="3">
      <c r="A1294" s="192" t="s">
        <v>1773</v>
      </c>
      <c r="B1294" s="192"/>
      <c r="C1294" s="197" t="s">
        <v>1609</v>
      </c>
      <c r="D1294" s="198">
        <f>'02 项目基础信息（输入）'!$C$51</f>
        <v>0</v>
      </c>
      <c r="E1294" s="199" t="s">
        <v>93</v>
      </c>
      <c r="F1294" s="197" t="s">
        <v>1609</v>
      </c>
      <c r="G1294" s="199">
        <v>1</v>
      </c>
      <c r="H1294" s="199" t="s">
        <v>298</v>
      </c>
      <c r="I1294" s="198">
        <f t="shared" si="152"/>
        <v>0</v>
      </c>
      <c r="J1294" s="199" t="s">
        <v>93</v>
      </c>
      <c r="K1294" s="188">
        <v>0</v>
      </c>
      <c r="L1294" s="209" t="s">
        <v>675</v>
      </c>
      <c r="M1294" s="207">
        <f t="shared" si="153"/>
        <v>0</v>
      </c>
      <c r="N1294" s="198">
        <f>'02 项目基础信息（输入）'!$C$51</f>
        <v>0</v>
      </c>
      <c r="O1294" s="198">
        <f t="shared" si="150"/>
        <v>0</v>
      </c>
      <c r="P1294" s="198">
        <f>'02 项目基础信息（输入）'!$I$51</f>
        <v>0</v>
      </c>
      <c r="Q1294" s="233">
        <f t="shared" si="151"/>
        <v>0</v>
      </c>
      <c r="S1294" s="217"/>
      <c r="U1294" s="220" t="s">
        <v>3083</v>
      </c>
    </row>
    <row r="1295" spans="1:21" ht="0" hidden="1" customHeight="1" outlineLevel="3">
      <c r="A1295" s="192" t="s">
        <v>1775</v>
      </c>
      <c r="B1295" s="192"/>
      <c r="C1295" s="197" t="s">
        <v>1609</v>
      </c>
      <c r="D1295" s="198">
        <f>'02 项目基础信息（输入）'!$C$51</f>
        <v>0</v>
      </c>
      <c r="E1295" s="199" t="s">
        <v>93</v>
      </c>
      <c r="F1295" s="197" t="s">
        <v>1609</v>
      </c>
      <c r="G1295" s="199">
        <v>1</v>
      </c>
      <c r="H1295" s="199" t="s">
        <v>298</v>
      </c>
      <c r="I1295" s="198">
        <f t="shared" si="152"/>
        <v>0</v>
      </c>
      <c r="J1295" s="199" t="s">
        <v>93</v>
      </c>
      <c r="K1295" s="188">
        <v>0</v>
      </c>
      <c r="L1295" s="209" t="s">
        <v>675</v>
      </c>
      <c r="M1295" s="207">
        <f t="shared" si="153"/>
        <v>0</v>
      </c>
      <c r="N1295" s="198">
        <f>'02 项目基础信息（输入）'!$C$51</f>
        <v>0</v>
      </c>
      <c r="O1295" s="198">
        <f t="shared" si="150"/>
        <v>0</v>
      </c>
      <c r="P1295" s="198">
        <f>'02 项目基础信息（输入）'!$I$51</f>
        <v>0</v>
      </c>
      <c r="Q1295" s="233">
        <f t="shared" si="151"/>
        <v>0</v>
      </c>
      <c r="S1295" s="217"/>
      <c r="U1295" s="220" t="s">
        <v>3084</v>
      </c>
    </row>
    <row r="1296" spans="1:21" ht="0" hidden="1" customHeight="1" outlineLevel="2">
      <c r="A1296" s="192" t="s">
        <v>1777</v>
      </c>
      <c r="B1296" s="192"/>
      <c r="C1296" s="197" t="s">
        <v>1609</v>
      </c>
      <c r="D1296" s="198">
        <f>'02 项目基础信息（输入）'!$C$51</f>
        <v>0</v>
      </c>
      <c r="E1296" s="199" t="s">
        <v>93</v>
      </c>
      <c r="F1296" s="197"/>
      <c r="G1296" s="199"/>
      <c r="H1296" s="199"/>
      <c r="I1296" s="197"/>
      <c r="J1296" s="199"/>
      <c r="K1296" s="198"/>
      <c r="L1296" s="209"/>
      <c r="M1296" s="198">
        <f>ROUND(SUM(M1297),6)</f>
        <v>0</v>
      </c>
      <c r="N1296" s="198">
        <f>'02 项目基础信息（输入）'!$C$51</f>
        <v>0</v>
      </c>
      <c r="O1296" s="198">
        <f t="shared" si="150"/>
        <v>0</v>
      </c>
      <c r="P1296" s="198">
        <f>'02 项目基础信息（输入）'!$I$51</f>
        <v>0</v>
      </c>
      <c r="Q1296" s="233">
        <f t="shared" si="151"/>
        <v>0</v>
      </c>
      <c r="S1296" s="217" t="s">
        <v>1313</v>
      </c>
      <c r="U1296" s="220" t="s">
        <v>3085</v>
      </c>
    </row>
    <row r="1297" spans="1:21" ht="0" hidden="1" customHeight="1" outlineLevel="3">
      <c r="A1297" s="192" t="s">
        <v>1779</v>
      </c>
      <c r="B1297" s="192"/>
      <c r="C1297" s="197" t="s">
        <v>1609</v>
      </c>
      <c r="D1297" s="198">
        <f>'02 项目基础信息（输入）'!$C$51</f>
        <v>0</v>
      </c>
      <c r="E1297" s="199" t="s">
        <v>93</v>
      </c>
      <c r="F1297" s="197" t="s">
        <v>984</v>
      </c>
      <c r="G1297" s="82">
        <v>0</v>
      </c>
      <c r="H1297" s="199" t="s">
        <v>966</v>
      </c>
      <c r="I1297" s="198">
        <f>G1297*D1297</f>
        <v>0</v>
      </c>
      <c r="J1297" s="199" t="s">
        <v>1617</v>
      </c>
      <c r="K1297" s="188">
        <v>0</v>
      </c>
      <c r="L1297" s="209" t="s">
        <v>664</v>
      </c>
      <c r="M1297" s="207">
        <f>ROUND(K1297*I1297/10000,6)</f>
        <v>0</v>
      </c>
      <c r="N1297" s="198">
        <f>'02 项目基础信息（输入）'!$C$51</f>
        <v>0</v>
      </c>
      <c r="O1297" s="198">
        <f t="shared" si="150"/>
        <v>0</v>
      </c>
      <c r="P1297" s="198">
        <f>'02 项目基础信息（输入）'!$I$51</f>
        <v>0</v>
      </c>
      <c r="Q1297" s="233">
        <f t="shared" si="151"/>
        <v>0</v>
      </c>
      <c r="S1297" s="217"/>
      <c r="U1297" s="220" t="s">
        <v>3086</v>
      </c>
    </row>
    <row r="1298" spans="1:21" ht="0" hidden="1" customHeight="1" outlineLevel="2">
      <c r="A1298" s="192" t="s">
        <v>1781</v>
      </c>
      <c r="B1298" s="192"/>
      <c r="C1298" s="197" t="s">
        <v>1609</v>
      </c>
      <c r="D1298" s="198">
        <f>'02 项目基础信息（输入）'!$C$51</f>
        <v>0</v>
      </c>
      <c r="E1298" s="199" t="s">
        <v>93</v>
      </c>
      <c r="F1298" s="197"/>
      <c r="G1298" s="199"/>
      <c r="H1298" s="199"/>
      <c r="I1298" s="197"/>
      <c r="J1298" s="199"/>
      <c r="K1298" s="198"/>
      <c r="L1298" s="209"/>
      <c r="M1298" s="198">
        <f>ROUND(SUM(M1299:M1303),6)</f>
        <v>0</v>
      </c>
      <c r="N1298" s="198">
        <f>'02 项目基础信息（输入）'!$C$51</f>
        <v>0</v>
      </c>
      <c r="O1298" s="198">
        <f t="shared" si="150"/>
        <v>0</v>
      </c>
      <c r="P1298" s="198">
        <f>'02 项目基础信息（输入）'!$I$51</f>
        <v>0</v>
      </c>
      <c r="Q1298" s="233">
        <f t="shared" si="151"/>
        <v>0</v>
      </c>
      <c r="S1298" s="217" t="s">
        <v>1314</v>
      </c>
      <c r="U1298" s="220" t="s">
        <v>3087</v>
      </c>
    </row>
    <row r="1299" spans="1:21" ht="0" hidden="1" customHeight="1" outlineLevel="3">
      <c r="A1299" s="192" t="s">
        <v>2066</v>
      </c>
      <c r="B1299" s="192"/>
      <c r="C1299" s="197" t="s">
        <v>309</v>
      </c>
      <c r="D1299" s="198">
        <f>'02 项目基础信息（输入）'!$AC$51</f>
        <v>0</v>
      </c>
      <c r="E1299" s="199" t="s">
        <v>310</v>
      </c>
      <c r="F1299" s="197" t="s">
        <v>2067</v>
      </c>
      <c r="G1299" s="199">
        <v>1</v>
      </c>
      <c r="H1299" s="199" t="s">
        <v>2067</v>
      </c>
      <c r="I1299" s="198">
        <f>G1299*D1299</f>
        <v>0</v>
      </c>
      <c r="J1299" s="199" t="s">
        <v>1946</v>
      </c>
      <c r="K1299" s="188">
        <v>0</v>
      </c>
      <c r="L1299" s="209" t="s">
        <v>1948</v>
      </c>
      <c r="M1299" s="207">
        <f>ROUND(K1299*I1299/10000,6)</f>
        <v>0</v>
      </c>
      <c r="N1299" s="198">
        <f>'02 项目基础信息（输入）'!$C$51</f>
        <v>0</v>
      </c>
      <c r="O1299" s="198">
        <f t="shared" si="150"/>
        <v>0</v>
      </c>
      <c r="P1299" s="198">
        <f>'02 项目基础信息（输入）'!$I$51</f>
        <v>0</v>
      </c>
      <c r="Q1299" s="233">
        <f t="shared" si="151"/>
        <v>0</v>
      </c>
      <c r="S1299" s="217"/>
      <c r="U1299" s="220" t="s">
        <v>3088</v>
      </c>
    </row>
    <row r="1300" spans="1:21" ht="0" hidden="1" customHeight="1" outlineLevel="3">
      <c r="A1300" s="192" t="s">
        <v>2069</v>
      </c>
      <c r="B1300" s="192"/>
      <c r="C1300" s="197" t="s">
        <v>309</v>
      </c>
      <c r="D1300" s="198">
        <f>'02 项目基础信息（输入）'!$AC$51</f>
        <v>0</v>
      </c>
      <c r="E1300" s="199" t="s">
        <v>310</v>
      </c>
      <c r="F1300" s="197" t="s">
        <v>2067</v>
      </c>
      <c r="G1300" s="199">
        <v>1</v>
      </c>
      <c r="H1300" s="199" t="s">
        <v>2067</v>
      </c>
      <c r="I1300" s="198">
        <f>G1300*D1300</f>
        <v>0</v>
      </c>
      <c r="J1300" s="199" t="s">
        <v>1946</v>
      </c>
      <c r="K1300" s="188">
        <v>0</v>
      </c>
      <c r="L1300" s="209" t="s">
        <v>1948</v>
      </c>
      <c r="M1300" s="207">
        <f>ROUND(K1300*I1300/10000,6)</f>
        <v>0</v>
      </c>
      <c r="N1300" s="198">
        <f>'02 项目基础信息（输入）'!$C$51</f>
        <v>0</v>
      </c>
      <c r="O1300" s="198">
        <f t="shared" si="150"/>
        <v>0</v>
      </c>
      <c r="P1300" s="198">
        <f>'02 项目基础信息（输入）'!$I$51</f>
        <v>0</v>
      </c>
      <c r="Q1300" s="233">
        <f t="shared" si="151"/>
        <v>0</v>
      </c>
      <c r="S1300" s="217"/>
      <c r="U1300" s="220" t="s">
        <v>3089</v>
      </c>
    </row>
    <row r="1301" spans="1:21" ht="0" hidden="1" customHeight="1" outlineLevel="3">
      <c r="A1301" s="192" t="s">
        <v>2071</v>
      </c>
      <c r="B1301" s="192"/>
      <c r="C1301" s="197" t="s">
        <v>309</v>
      </c>
      <c r="D1301" s="198">
        <f>'02 项目基础信息（输入）'!$AC$51</f>
        <v>0</v>
      </c>
      <c r="E1301" s="199" t="s">
        <v>310</v>
      </c>
      <c r="F1301" s="197" t="s">
        <v>2067</v>
      </c>
      <c r="G1301" s="199">
        <v>1</v>
      </c>
      <c r="H1301" s="199" t="s">
        <v>2067</v>
      </c>
      <c r="I1301" s="198">
        <f>G1301*D1301</f>
        <v>0</v>
      </c>
      <c r="J1301" s="199" t="s">
        <v>1946</v>
      </c>
      <c r="K1301" s="188">
        <v>0</v>
      </c>
      <c r="L1301" s="209" t="s">
        <v>1948</v>
      </c>
      <c r="M1301" s="207">
        <f>ROUND(K1301*I1301/10000,6)</f>
        <v>0</v>
      </c>
      <c r="N1301" s="198">
        <f>'02 项目基础信息（输入）'!$C$51</f>
        <v>0</v>
      </c>
      <c r="O1301" s="198">
        <f t="shared" si="150"/>
        <v>0</v>
      </c>
      <c r="P1301" s="198">
        <f>'02 项目基础信息（输入）'!$I$51</f>
        <v>0</v>
      </c>
      <c r="Q1301" s="233">
        <f t="shared" si="151"/>
        <v>0</v>
      </c>
      <c r="S1301" s="217"/>
      <c r="U1301" s="220" t="s">
        <v>3090</v>
      </c>
    </row>
    <row r="1302" spans="1:21" ht="0" hidden="1" customHeight="1" outlineLevel="3">
      <c r="A1302" s="192" t="s">
        <v>2073</v>
      </c>
      <c r="B1302" s="192"/>
      <c r="C1302" s="197" t="s">
        <v>309</v>
      </c>
      <c r="D1302" s="198">
        <f>'02 项目基础信息（输入）'!$AC$51</f>
        <v>0</v>
      </c>
      <c r="E1302" s="199" t="s">
        <v>310</v>
      </c>
      <c r="F1302" s="197" t="s">
        <v>2067</v>
      </c>
      <c r="G1302" s="199">
        <v>1</v>
      </c>
      <c r="H1302" s="199" t="s">
        <v>1946</v>
      </c>
      <c r="I1302" s="198">
        <f>G1302*D1302</f>
        <v>0</v>
      </c>
      <c r="J1302" s="199" t="s">
        <v>1946</v>
      </c>
      <c r="K1302" s="188">
        <v>0</v>
      </c>
      <c r="L1302" s="209" t="s">
        <v>1948</v>
      </c>
      <c r="M1302" s="207">
        <f>ROUND(K1302*I1302/10000,6)</f>
        <v>0</v>
      </c>
      <c r="N1302" s="198">
        <f>'02 项目基础信息（输入）'!$C$51</f>
        <v>0</v>
      </c>
      <c r="O1302" s="198">
        <f t="shared" si="150"/>
        <v>0</v>
      </c>
      <c r="P1302" s="198">
        <f>'02 项目基础信息（输入）'!$I$51</f>
        <v>0</v>
      </c>
      <c r="Q1302" s="233">
        <f t="shared" si="151"/>
        <v>0</v>
      </c>
      <c r="S1302" s="217"/>
      <c r="U1302" s="220" t="s">
        <v>3091</v>
      </c>
    </row>
    <row r="1303" spans="1:21" ht="0" hidden="1" customHeight="1" outlineLevel="3">
      <c r="A1303" s="192" t="s">
        <v>1783</v>
      </c>
      <c r="B1303" s="192"/>
      <c r="C1303" s="197" t="s">
        <v>309</v>
      </c>
      <c r="D1303" s="198">
        <f>'02 项目基础信息（输入）'!$AC$51</f>
        <v>0</v>
      </c>
      <c r="E1303" s="199" t="s">
        <v>310</v>
      </c>
      <c r="F1303" s="197" t="s">
        <v>1784</v>
      </c>
      <c r="G1303" s="199">
        <v>1</v>
      </c>
      <c r="H1303" s="199" t="s">
        <v>1784</v>
      </c>
      <c r="I1303" s="198">
        <f>G1303*D1303</f>
        <v>0</v>
      </c>
      <c r="J1303" s="199" t="s">
        <v>1600</v>
      </c>
      <c r="K1303" s="188">
        <v>0</v>
      </c>
      <c r="L1303" s="209" t="s">
        <v>1601</v>
      </c>
      <c r="M1303" s="207">
        <f>ROUND(K1303*I1303/10000,6)</f>
        <v>0</v>
      </c>
      <c r="N1303" s="198">
        <f>'02 项目基础信息（输入）'!$C$51</f>
        <v>0</v>
      </c>
      <c r="O1303" s="198">
        <f t="shared" si="150"/>
        <v>0</v>
      </c>
      <c r="P1303" s="198">
        <f>'02 项目基础信息（输入）'!$I$51</f>
        <v>0</v>
      </c>
      <c r="Q1303" s="233">
        <f t="shared" si="151"/>
        <v>0</v>
      </c>
      <c r="S1303" s="217"/>
      <c r="U1303" s="220" t="s">
        <v>3092</v>
      </c>
    </row>
    <row r="1304" spans="1:21" ht="0" hidden="1" customHeight="1" outlineLevel="2">
      <c r="A1304" s="192" t="s">
        <v>1786</v>
      </c>
      <c r="B1304" s="192"/>
      <c r="C1304" s="197" t="s">
        <v>1609</v>
      </c>
      <c r="D1304" s="198">
        <f>'02 项目基础信息（输入）'!$C$51</f>
        <v>0</v>
      </c>
      <c r="E1304" s="199" t="s">
        <v>93</v>
      </c>
      <c r="F1304" s="197"/>
      <c r="G1304" s="199"/>
      <c r="H1304" s="199"/>
      <c r="I1304" s="197"/>
      <c r="J1304" s="199"/>
      <c r="K1304" s="198"/>
      <c r="L1304" s="209"/>
      <c r="M1304" s="198">
        <f>ROUND(SUM(M1305:M1309),6)</f>
        <v>0</v>
      </c>
      <c r="N1304" s="198">
        <f>'02 项目基础信息（输入）'!$C$51</f>
        <v>0</v>
      </c>
      <c r="O1304" s="198">
        <f t="shared" si="150"/>
        <v>0</v>
      </c>
      <c r="P1304" s="198">
        <f>'02 项目基础信息（输入）'!$I$51</f>
        <v>0</v>
      </c>
      <c r="Q1304" s="233">
        <f t="shared" si="151"/>
        <v>0</v>
      </c>
      <c r="S1304" s="217" t="s">
        <v>1314</v>
      </c>
      <c r="U1304" s="220" t="s">
        <v>3093</v>
      </c>
    </row>
    <row r="1305" spans="1:21" ht="0" hidden="1" customHeight="1" outlineLevel="3">
      <c r="A1305" s="192" t="s">
        <v>2077</v>
      </c>
      <c r="B1305" s="192"/>
      <c r="C1305" s="197" t="s">
        <v>1609</v>
      </c>
      <c r="D1305" s="198">
        <f>'02 项目基础信息（输入）'!$C$51</f>
        <v>0</v>
      </c>
      <c r="E1305" s="199" t="s">
        <v>93</v>
      </c>
      <c r="F1305" s="197" t="s">
        <v>754</v>
      </c>
      <c r="G1305" s="82">
        <v>0</v>
      </c>
      <c r="H1305" s="199" t="s">
        <v>298</v>
      </c>
      <c r="I1305" s="198">
        <f>G1305*D1305</f>
        <v>0</v>
      </c>
      <c r="J1305" s="199" t="s">
        <v>93</v>
      </c>
      <c r="K1305" s="188">
        <v>0</v>
      </c>
      <c r="L1305" s="209" t="s">
        <v>675</v>
      </c>
      <c r="M1305" s="207">
        <f>ROUND(K1305*I1305/10000,6)</f>
        <v>0</v>
      </c>
      <c r="N1305" s="198">
        <f>'02 项目基础信息（输入）'!$C$51</f>
        <v>0</v>
      </c>
      <c r="O1305" s="198">
        <f t="shared" si="150"/>
        <v>0</v>
      </c>
      <c r="P1305" s="198">
        <f>'02 项目基础信息（输入）'!$I$51</f>
        <v>0</v>
      </c>
      <c r="Q1305" s="233">
        <f t="shared" si="151"/>
        <v>0</v>
      </c>
      <c r="S1305" s="217"/>
      <c r="U1305" s="220" t="s">
        <v>3094</v>
      </c>
    </row>
    <row r="1306" spans="1:21" ht="0" hidden="1" customHeight="1" outlineLevel="3">
      <c r="A1306" s="192" t="s">
        <v>2079</v>
      </c>
      <c r="B1306" s="192"/>
      <c r="C1306" s="197" t="s">
        <v>1609</v>
      </c>
      <c r="D1306" s="198">
        <f>'02 项目基础信息（输入）'!$C$51</f>
        <v>0</v>
      </c>
      <c r="E1306" s="199" t="s">
        <v>93</v>
      </c>
      <c r="F1306" s="197" t="s">
        <v>754</v>
      </c>
      <c r="G1306" s="82">
        <v>0</v>
      </c>
      <c r="H1306" s="199" t="s">
        <v>298</v>
      </c>
      <c r="I1306" s="198">
        <f>G1306*D1306</f>
        <v>0</v>
      </c>
      <c r="J1306" s="199" t="s">
        <v>93</v>
      </c>
      <c r="K1306" s="188">
        <v>0</v>
      </c>
      <c r="L1306" s="209" t="s">
        <v>675</v>
      </c>
      <c r="M1306" s="207">
        <f>ROUND(K1306*I1306/10000,6)</f>
        <v>0</v>
      </c>
      <c r="N1306" s="198">
        <f>'02 项目基础信息（输入）'!$C$51</f>
        <v>0</v>
      </c>
      <c r="O1306" s="198">
        <f t="shared" si="150"/>
        <v>0</v>
      </c>
      <c r="P1306" s="198">
        <f>'02 项目基础信息（输入）'!$I$51</f>
        <v>0</v>
      </c>
      <c r="Q1306" s="233">
        <f t="shared" si="151"/>
        <v>0</v>
      </c>
      <c r="S1306" s="217"/>
      <c r="U1306" s="220" t="s">
        <v>3095</v>
      </c>
    </row>
    <row r="1307" spans="1:21" ht="0" hidden="1" customHeight="1" outlineLevel="3">
      <c r="A1307" s="192" t="s">
        <v>2081</v>
      </c>
      <c r="B1307" s="192"/>
      <c r="C1307" s="197" t="s">
        <v>1609</v>
      </c>
      <c r="D1307" s="198">
        <f>'02 项目基础信息（输入）'!$C$51</f>
        <v>0</v>
      </c>
      <c r="E1307" s="199" t="s">
        <v>93</v>
      </c>
      <c r="F1307" s="197" t="s">
        <v>754</v>
      </c>
      <c r="G1307" s="82">
        <v>0</v>
      </c>
      <c r="H1307" s="199" t="s">
        <v>298</v>
      </c>
      <c r="I1307" s="198">
        <f>G1307*D1307</f>
        <v>0</v>
      </c>
      <c r="J1307" s="199" t="s">
        <v>93</v>
      </c>
      <c r="K1307" s="188">
        <v>0</v>
      </c>
      <c r="L1307" s="209" t="s">
        <v>675</v>
      </c>
      <c r="M1307" s="207">
        <f>ROUND(K1307*I1307/10000,6)</f>
        <v>0</v>
      </c>
      <c r="N1307" s="198">
        <f>'02 项目基础信息（输入）'!$C$51</f>
        <v>0</v>
      </c>
      <c r="O1307" s="198">
        <f t="shared" si="150"/>
        <v>0</v>
      </c>
      <c r="P1307" s="198">
        <f>'02 项目基础信息（输入）'!$I$51</f>
        <v>0</v>
      </c>
      <c r="Q1307" s="233">
        <f t="shared" si="151"/>
        <v>0</v>
      </c>
      <c r="S1307" s="217"/>
      <c r="U1307" s="220" t="s">
        <v>3096</v>
      </c>
    </row>
    <row r="1308" spans="1:21" ht="0" hidden="1" customHeight="1" outlineLevel="3">
      <c r="A1308" s="192" t="s">
        <v>2083</v>
      </c>
      <c r="B1308" s="192"/>
      <c r="C1308" s="197" t="s">
        <v>1609</v>
      </c>
      <c r="D1308" s="198">
        <f>'02 项目基础信息（输入）'!$C$51</f>
        <v>0</v>
      </c>
      <c r="E1308" s="199" t="s">
        <v>93</v>
      </c>
      <c r="F1308" s="197" t="s">
        <v>2084</v>
      </c>
      <c r="G1308" s="82">
        <v>0</v>
      </c>
      <c r="H1308" s="199" t="s">
        <v>298</v>
      </c>
      <c r="I1308" s="198">
        <f>G1308*D1308</f>
        <v>0</v>
      </c>
      <c r="J1308" s="199" t="s">
        <v>93</v>
      </c>
      <c r="K1308" s="188">
        <v>0</v>
      </c>
      <c r="L1308" s="209" t="s">
        <v>675</v>
      </c>
      <c r="M1308" s="207">
        <f>ROUND(K1308*I1308/10000,6)</f>
        <v>0</v>
      </c>
      <c r="N1308" s="198">
        <f>'02 项目基础信息（输入）'!$C$51</f>
        <v>0</v>
      </c>
      <c r="O1308" s="198">
        <f t="shared" si="150"/>
        <v>0</v>
      </c>
      <c r="P1308" s="198">
        <f>'02 项目基础信息（输入）'!$I$51</f>
        <v>0</v>
      </c>
      <c r="Q1308" s="233">
        <f t="shared" si="151"/>
        <v>0</v>
      </c>
      <c r="S1308" s="217"/>
      <c r="U1308" s="220" t="s">
        <v>3097</v>
      </c>
    </row>
    <row r="1309" spans="1:21" ht="0" hidden="1" customHeight="1" outlineLevel="3">
      <c r="A1309" s="192" t="s">
        <v>1788</v>
      </c>
      <c r="B1309" s="192"/>
      <c r="C1309" s="197" t="s">
        <v>1609</v>
      </c>
      <c r="D1309" s="198">
        <f>'02 项目基础信息（输入）'!$C$51</f>
        <v>0</v>
      </c>
      <c r="E1309" s="199" t="s">
        <v>93</v>
      </c>
      <c r="F1309" s="197" t="s">
        <v>1609</v>
      </c>
      <c r="G1309" s="199">
        <v>1</v>
      </c>
      <c r="H1309" s="199" t="s">
        <v>298</v>
      </c>
      <c r="I1309" s="198">
        <f>G1309*D1309</f>
        <v>0</v>
      </c>
      <c r="J1309" s="199" t="s">
        <v>93</v>
      </c>
      <c r="K1309" s="188">
        <v>0</v>
      </c>
      <c r="L1309" s="209" t="s">
        <v>675</v>
      </c>
      <c r="M1309" s="207">
        <f>ROUND(K1309*I1309/10000,6)</f>
        <v>0</v>
      </c>
      <c r="N1309" s="198">
        <f>'02 项目基础信息（输入）'!$C$51</f>
        <v>0</v>
      </c>
      <c r="O1309" s="198">
        <f t="shared" si="150"/>
        <v>0</v>
      </c>
      <c r="P1309" s="198">
        <f>'02 项目基础信息（输入）'!$I$51</f>
        <v>0</v>
      </c>
      <c r="Q1309" s="233">
        <f t="shared" si="151"/>
        <v>0</v>
      </c>
      <c r="S1309" s="217"/>
      <c r="U1309" s="220" t="s">
        <v>3098</v>
      </c>
    </row>
    <row r="1310" spans="1:21" ht="0" hidden="1" customHeight="1" outlineLevel="2">
      <c r="A1310" s="192" t="s">
        <v>1790</v>
      </c>
      <c r="B1310" s="192"/>
      <c r="C1310" s="197" t="s">
        <v>1609</v>
      </c>
      <c r="D1310" s="198">
        <f>'02 项目基础信息（输入）'!$C$51</f>
        <v>0</v>
      </c>
      <c r="E1310" s="199" t="s">
        <v>93</v>
      </c>
      <c r="F1310" s="197"/>
      <c r="G1310" s="199"/>
      <c r="H1310" s="199"/>
      <c r="I1310" s="197"/>
      <c r="J1310" s="199"/>
      <c r="K1310" s="198"/>
      <c r="L1310" s="209"/>
      <c r="M1310" s="198">
        <f>ROUND(SUM(M1311:M1314),6)</f>
        <v>0</v>
      </c>
      <c r="N1310" s="198">
        <f>'02 项目基础信息（输入）'!$C$51</f>
        <v>0</v>
      </c>
      <c r="O1310" s="198">
        <f t="shared" si="150"/>
        <v>0</v>
      </c>
      <c r="P1310" s="198">
        <f>'02 项目基础信息（输入）'!$I$51</f>
        <v>0</v>
      </c>
      <c r="Q1310" s="233">
        <f t="shared" si="151"/>
        <v>0</v>
      </c>
      <c r="S1310" s="217" t="s">
        <v>1313</v>
      </c>
      <c r="U1310" s="220" t="s">
        <v>3099</v>
      </c>
    </row>
    <row r="1311" spans="1:21" ht="0" hidden="1" customHeight="1" outlineLevel="3">
      <c r="A1311" s="192" t="s">
        <v>1792</v>
      </c>
      <c r="B1311" s="192"/>
      <c r="C1311" s="197" t="s">
        <v>1609</v>
      </c>
      <c r="D1311" s="198">
        <f>'02 项目基础信息（输入）'!$C$51</f>
        <v>0</v>
      </c>
      <c r="E1311" s="199" t="s">
        <v>93</v>
      </c>
      <c r="F1311" s="197" t="s">
        <v>727</v>
      </c>
      <c r="G1311" s="82">
        <v>0</v>
      </c>
      <c r="H1311" s="199" t="s">
        <v>298</v>
      </c>
      <c r="I1311" s="198">
        <f>G1311*D1311</f>
        <v>0</v>
      </c>
      <c r="J1311" s="199" t="s">
        <v>93</v>
      </c>
      <c r="K1311" s="188">
        <v>0</v>
      </c>
      <c r="L1311" s="209" t="s">
        <v>675</v>
      </c>
      <c r="M1311" s="207">
        <f>ROUND(K1311*I1311/10000,6)</f>
        <v>0</v>
      </c>
      <c r="N1311" s="198">
        <f>'02 项目基础信息（输入）'!$C$51</f>
        <v>0</v>
      </c>
      <c r="O1311" s="198">
        <f t="shared" si="150"/>
        <v>0</v>
      </c>
      <c r="P1311" s="198">
        <f>'02 项目基础信息（输入）'!$I$51</f>
        <v>0</v>
      </c>
      <c r="Q1311" s="233">
        <f t="shared" si="151"/>
        <v>0</v>
      </c>
      <c r="S1311" s="217"/>
      <c r="U1311" s="220" t="s">
        <v>3100</v>
      </c>
    </row>
    <row r="1312" spans="1:21" ht="0" hidden="1" customHeight="1" outlineLevel="3">
      <c r="A1312" s="192" t="s">
        <v>1794</v>
      </c>
      <c r="B1312" s="192"/>
      <c r="C1312" s="197" t="s">
        <v>1609</v>
      </c>
      <c r="D1312" s="198">
        <f>'02 项目基础信息（输入）'!$C$51</f>
        <v>0</v>
      </c>
      <c r="E1312" s="199" t="s">
        <v>93</v>
      </c>
      <c r="F1312" s="197" t="s">
        <v>727</v>
      </c>
      <c r="G1312" s="82">
        <v>0</v>
      </c>
      <c r="H1312" s="199" t="s">
        <v>298</v>
      </c>
      <c r="I1312" s="198">
        <f>G1312*D1312</f>
        <v>0</v>
      </c>
      <c r="J1312" s="199" t="s">
        <v>93</v>
      </c>
      <c r="K1312" s="188">
        <v>0</v>
      </c>
      <c r="L1312" s="209" t="s">
        <v>675</v>
      </c>
      <c r="M1312" s="207">
        <f>ROUND(K1312*I1312/10000,6)</f>
        <v>0</v>
      </c>
      <c r="N1312" s="198">
        <f>'02 项目基础信息（输入）'!$C$51</f>
        <v>0</v>
      </c>
      <c r="O1312" s="198">
        <f t="shared" si="150"/>
        <v>0</v>
      </c>
      <c r="P1312" s="198">
        <f>'02 项目基础信息（输入）'!$I$51</f>
        <v>0</v>
      </c>
      <c r="Q1312" s="233">
        <f t="shared" si="151"/>
        <v>0</v>
      </c>
      <c r="S1312" s="217"/>
      <c r="U1312" s="220" t="s">
        <v>3101</v>
      </c>
    </row>
    <row r="1313" spans="1:21" ht="0" hidden="1" customHeight="1" outlineLevel="3">
      <c r="A1313" s="192" t="s">
        <v>1796</v>
      </c>
      <c r="B1313" s="192"/>
      <c r="C1313" s="197" t="s">
        <v>1609</v>
      </c>
      <c r="D1313" s="198">
        <f>'02 项目基础信息（输入）'!$C$51</f>
        <v>0</v>
      </c>
      <c r="E1313" s="199" t="s">
        <v>93</v>
      </c>
      <c r="F1313" s="197" t="s">
        <v>727</v>
      </c>
      <c r="G1313" s="82">
        <v>0</v>
      </c>
      <c r="H1313" s="199" t="s">
        <v>298</v>
      </c>
      <c r="I1313" s="198">
        <f>G1313*D1313</f>
        <v>0</v>
      </c>
      <c r="J1313" s="199" t="s">
        <v>93</v>
      </c>
      <c r="K1313" s="188">
        <v>0</v>
      </c>
      <c r="L1313" s="209" t="s">
        <v>675</v>
      </c>
      <c r="M1313" s="207">
        <f>ROUND(K1313*I1313/10000,6)</f>
        <v>0</v>
      </c>
      <c r="N1313" s="198">
        <f>'02 项目基础信息（输入）'!$C$51</f>
        <v>0</v>
      </c>
      <c r="O1313" s="198">
        <f t="shared" si="150"/>
        <v>0</v>
      </c>
      <c r="P1313" s="198">
        <f>'02 项目基础信息（输入）'!$I$51</f>
        <v>0</v>
      </c>
      <c r="Q1313" s="233">
        <f t="shared" si="151"/>
        <v>0</v>
      </c>
      <c r="S1313" s="217"/>
      <c r="U1313" s="220" t="s">
        <v>3102</v>
      </c>
    </row>
    <row r="1314" spans="1:21" ht="0" hidden="1" customHeight="1" outlineLevel="3">
      <c r="A1314" s="192" t="s">
        <v>1798</v>
      </c>
      <c r="B1314" s="192"/>
      <c r="C1314" s="197" t="s">
        <v>1609</v>
      </c>
      <c r="D1314" s="198">
        <f>'02 项目基础信息（输入）'!$C$51</f>
        <v>0</v>
      </c>
      <c r="E1314" s="199" t="s">
        <v>93</v>
      </c>
      <c r="F1314" s="197" t="s">
        <v>727</v>
      </c>
      <c r="G1314" s="82">
        <v>0</v>
      </c>
      <c r="H1314" s="199" t="s">
        <v>298</v>
      </c>
      <c r="I1314" s="198">
        <f>G1314*D1314</f>
        <v>0</v>
      </c>
      <c r="J1314" s="199" t="s">
        <v>93</v>
      </c>
      <c r="K1314" s="188">
        <v>0</v>
      </c>
      <c r="L1314" s="209" t="s">
        <v>675</v>
      </c>
      <c r="M1314" s="207">
        <f>ROUND(K1314*I1314/10000,6)</f>
        <v>0</v>
      </c>
      <c r="N1314" s="198">
        <f>'02 项目基础信息（输入）'!$C$51</f>
        <v>0</v>
      </c>
      <c r="O1314" s="198">
        <f t="shared" si="150"/>
        <v>0</v>
      </c>
      <c r="P1314" s="198">
        <f>'02 项目基础信息（输入）'!$I$51</f>
        <v>0</v>
      </c>
      <c r="Q1314" s="233">
        <f t="shared" si="151"/>
        <v>0</v>
      </c>
      <c r="S1314" s="217"/>
      <c r="U1314" s="220" t="s">
        <v>3103</v>
      </c>
    </row>
    <row r="1315" spans="1:21" ht="0" hidden="1" customHeight="1" outlineLevel="2">
      <c r="A1315" s="192" t="s">
        <v>1800</v>
      </c>
      <c r="B1315" s="192"/>
      <c r="C1315" s="197" t="s">
        <v>1609</v>
      </c>
      <c r="D1315" s="198">
        <f>'02 项目基础信息（输入）'!$C$51</f>
        <v>0</v>
      </c>
      <c r="E1315" s="199" t="s">
        <v>93</v>
      </c>
      <c r="F1315" s="197"/>
      <c r="G1315" s="199"/>
      <c r="H1315" s="199"/>
      <c r="I1315" s="197"/>
      <c r="J1315" s="199"/>
      <c r="K1315" s="198"/>
      <c r="L1315" s="209"/>
      <c r="M1315" s="198">
        <f>ROUND(SUM(M1316:M1331),6)</f>
        <v>0</v>
      </c>
      <c r="N1315" s="198">
        <f>'02 项目基础信息（输入）'!$C$51</f>
        <v>0</v>
      </c>
      <c r="O1315" s="198">
        <f t="shared" si="150"/>
        <v>0</v>
      </c>
      <c r="P1315" s="198">
        <f>'02 项目基础信息（输入）'!$I$51</f>
        <v>0</v>
      </c>
      <c r="Q1315" s="233">
        <f t="shared" si="151"/>
        <v>0</v>
      </c>
      <c r="S1315" s="217" t="s">
        <v>1314</v>
      </c>
      <c r="U1315" s="220" t="s">
        <v>3104</v>
      </c>
    </row>
    <row r="1316" spans="1:21" ht="0" hidden="1" customHeight="1" outlineLevel="3">
      <c r="A1316" s="192" t="s">
        <v>1802</v>
      </c>
      <c r="B1316" s="192"/>
      <c r="C1316" s="197" t="s">
        <v>476</v>
      </c>
      <c r="D1316" s="198">
        <f>'02 项目基础信息（输入）'!$AF$51</f>
        <v>0</v>
      </c>
      <c r="E1316" s="199" t="s">
        <v>93</v>
      </c>
      <c r="F1316" s="197" t="s">
        <v>1803</v>
      </c>
      <c r="G1316" s="237">
        <v>0</v>
      </c>
      <c r="H1316" s="199" t="s">
        <v>123</v>
      </c>
      <c r="I1316" s="198">
        <f t="shared" ref="I1316:I1329" si="154">G1316*D1316/100</f>
        <v>0</v>
      </c>
      <c r="J1316" s="199" t="s">
        <v>93</v>
      </c>
      <c r="K1316" s="188">
        <v>0</v>
      </c>
      <c r="L1316" s="209" t="s">
        <v>675</v>
      </c>
      <c r="M1316" s="207">
        <f t="shared" ref="M1316:M1331" si="155">ROUND(K1316*I1316/10000,6)</f>
        <v>0</v>
      </c>
      <c r="N1316" s="198">
        <f>'02 项目基础信息（输入）'!$C$51</f>
        <v>0</v>
      </c>
      <c r="O1316" s="198">
        <f t="shared" si="150"/>
        <v>0</v>
      </c>
      <c r="P1316" s="198">
        <f>'02 项目基础信息（输入）'!$I$51</f>
        <v>0</v>
      </c>
      <c r="Q1316" s="233">
        <f t="shared" si="151"/>
        <v>0</v>
      </c>
      <c r="S1316" s="217"/>
      <c r="U1316" s="220" t="s">
        <v>3105</v>
      </c>
    </row>
    <row r="1317" spans="1:21" ht="0" hidden="1" customHeight="1" outlineLevel="3">
      <c r="A1317" s="192" t="s">
        <v>1805</v>
      </c>
      <c r="B1317" s="192"/>
      <c r="C1317" s="197" t="s">
        <v>476</v>
      </c>
      <c r="D1317" s="198">
        <f>'02 项目基础信息（输入）'!$AF$51</f>
        <v>0</v>
      </c>
      <c r="E1317" s="199" t="s">
        <v>93</v>
      </c>
      <c r="F1317" s="197" t="s">
        <v>1803</v>
      </c>
      <c r="G1317" s="237">
        <v>0</v>
      </c>
      <c r="H1317" s="199" t="s">
        <v>123</v>
      </c>
      <c r="I1317" s="198">
        <f t="shared" si="154"/>
        <v>0</v>
      </c>
      <c r="J1317" s="199" t="s">
        <v>93</v>
      </c>
      <c r="K1317" s="188">
        <v>0</v>
      </c>
      <c r="L1317" s="209" t="s">
        <v>675</v>
      </c>
      <c r="M1317" s="207">
        <f t="shared" si="155"/>
        <v>0</v>
      </c>
      <c r="N1317" s="198">
        <f>'02 项目基础信息（输入）'!$C$51</f>
        <v>0</v>
      </c>
      <c r="O1317" s="198">
        <f t="shared" si="150"/>
        <v>0</v>
      </c>
      <c r="P1317" s="198">
        <f>'02 项目基础信息（输入）'!$I$51</f>
        <v>0</v>
      </c>
      <c r="Q1317" s="233">
        <f t="shared" si="151"/>
        <v>0</v>
      </c>
      <c r="S1317" s="217"/>
      <c r="U1317" s="220" t="s">
        <v>3106</v>
      </c>
    </row>
    <row r="1318" spans="1:21" ht="0" hidden="1" customHeight="1" outlineLevel="3">
      <c r="A1318" s="192" t="s">
        <v>1807</v>
      </c>
      <c r="B1318" s="192"/>
      <c r="C1318" s="197" t="s">
        <v>476</v>
      </c>
      <c r="D1318" s="198">
        <f>'02 项目基础信息（输入）'!$AF$51</f>
        <v>0</v>
      </c>
      <c r="E1318" s="199" t="s">
        <v>93</v>
      </c>
      <c r="F1318" s="197" t="s">
        <v>1803</v>
      </c>
      <c r="G1318" s="237">
        <v>0</v>
      </c>
      <c r="H1318" s="199" t="s">
        <v>123</v>
      </c>
      <c r="I1318" s="198">
        <f t="shared" si="154"/>
        <v>0</v>
      </c>
      <c r="J1318" s="199" t="s">
        <v>93</v>
      </c>
      <c r="K1318" s="188">
        <v>0</v>
      </c>
      <c r="L1318" s="209" t="s">
        <v>675</v>
      </c>
      <c r="M1318" s="207">
        <f t="shared" si="155"/>
        <v>0</v>
      </c>
      <c r="N1318" s="198">
        <f>'02 项目基础信息（输入）'!$C$51</f>
        <v>0</v>
      </c>
      <c r="O1318" s="198">
        <f t="shared" si="150"/>
        <v>0</v>
      </c>
      <c r="P1318" s="198">
        <f>'02 项目基础信息（输入）'!$I$51</f>
        <v>0</v>
      </c>
      <c r="Q1318" s="233">
        <f t="shared" si="151"/>
        <v>0</v>
      </c>
      <c r="S1318" s="217"/>
      <c r="U1318" s="220" t="s">
        <v>3107</v>
      </c>
    </row>
    <row r="1319" spans="1:21" ht="0" hidden="1" customHeight="1" outlineLevel="3">
      <c r="A1319" s="192" t="s">
        <v>1809</v>
      </c>
      <c r="B1319" s="192"/>
      <c r="C1319" s="197" t="s">
        <v>476</v>
      </c>
      <c r="D1319" s="198">
        <f>'02 项目基础信息（输入）'!$AF$51</f>
        <v>0</v>
      </c>
      <c r="E1319" s="199" t="s">
        <v>93</v>
      </c>
      <c r="F1319" s="197" t="s">
        <v>1803</v>
      </c>
      <c r="G1319" s="237">
        <v>0</v>
      </c>
      <c r="H1319" s="199" t="s">
        <v>123</v>
      </c>
      <c r="I1319" s="198">
        <f t="shared" si="154"/>
        <v>0</v>
      </c>
      <c r="J1319" s="199" t="s">
        <v>93</v>
      </c>
      <c r="K1319" s="188">
        <v>0</v>
      </c>
      <c r="L1319" s="209" t="s">
        <v>675</v>
      </c>
      <c r="M1319" s="207">
        <f t="shared" si="155"/>
        <v>0</v>
      </c>
      <c r="N1319" s="198">
        <f>'02 项目基础信息（输入）'!$C$51</f>
        <v>0</v>
      </c>
      <c r="O1319" s="198">
        <f t="shared" si="150"/>
        <v>0</v>
      </c>
      <c r="P1319" s="198">
        <f>'02 项目基础信息（输入）'!$I$51</f>
        <v>0</v>
      </c>
      <c r="Q1319" s="233">
        <f t="shared" si="151"/>
        <v>0</v>
      </c>
      <c r="S1319" s="217"/>
      <c r="U1319" s="220" t="s">
        <v>3108</v>
      </c>
    </row>
    <row r="1320" spans="1:21" ht="0" hidden="1" customHeight="1" outlineLevel="3">
      <c r="A1320" s="192" t="s">
        <v>1811</v>
      </c>
      <c r="B1320" s="192"/>
      <c r="C1320" s="197" t="s">
        <v>476</v>
      </c>
      <c r="D1320" s="198">
        <f>'02 项目基础信息（输入）'!$AF$51</f>
        <v>0</v>
      </c>
      <c r="E1320" s="199" t="s">
        <v>93</v>
      </c>
      <c r="F1320" s="197" t="s">
        <v>1803</v>
      </c>
      <c r="G1320" s="237">
        <v>0</v>
      </c>
      <c r="H1320" s="199" t="s">
        <v>123</v>
      </c>
      <c r="I1320" s="198">
        <f t="shared" si="154"/>
        <v>0</v>
      </c>
      <c r="J1320" s="199" t="s">
        <v>93</v>
      </c>
      <c r="K1320" s="188">
        <v>0</v>
      </c>
      <c r="L1320" s="209" t="s">
        <v>675</v>
      </c>
      <c r="M1320" s="207">
        <f t="shared" si="155"/>
        <v>0</v>
      </c>
      <c r="N1320" s="198">
        <f>'02 项目基础信息（输入）'!$C$51</f>
        <v>0</v>
      </c>
      <c r="O1320" s="198">
        <f t="shared" si="150"/>
        <v>0</v>
      </c>
      <c r="P1320" s="198">
        <f>'02 项目基础信息（输入）'!$I$51</f>
        <v>0</v>
      </c>
      <c r="Q1320" s="233">
        <f t="shared" si="151"/>
        <v>0</v>
      </c>
      <c r="S1320" s="217"/>
      <c r="U1320" s="220" t="s">
        <v>3109</v>
      </c>
    </row>
    <row r="1321" spans="1:21" ht="0" hidden="1" customHeight="1" outlineLevel="3">
      <c r="A1321" s="192" t="s">
        <v>1813</v>
      </c>
      <c r="B1321" s="192"/>
      <c r="C1321" s="197" t="s">
        <v>476</v>
      </c>
      <c r="D1321" s="198">
        <f>'02 项目基础信息（输入）'!$AF$51</f>
        <v>0</v>
      </c>
      <c r="E1321" s="199" t="s">
        <v>93</v>
      </c>
      <c r="F1321" s="197" t="s">
        <v>1803</v>
      </c>
      <c r="G1321" s="237">
        <v>0</v>
      </c>
      <c r="H1321" s="199" t="s">
        <v>123</v>
      </c>
      <c r="I1321" s="198">
        <f t="shared" si="154"/>
        <v>0</v>
      </c>
      <c r="J1321" s="199" t="s">
        <v>93</v>
      </c>
      <c r="K1321" s="188">
        <v>0</v>
      </c>
      <c r="L1321" s="209" t="s">
        <v>675</v>
      </c>
      <c r="M1321" s="207">
        <f t="shared" si="155"/>
        <v>0</v>
      </c>
      <c r="N1321" s="198">
        <f>'02 项目基础信息（输入）'!$C$51</f>
        <v>0</v>
      </c>
      <c r="O1321" s="198">
        <f t="shared" si="150"/>
        <v>0</v>
      </c>
      <c r="P1321" s="198">
        <f>'02 项目基础信息（输入）'!$I$51</f>
        <v>0</v>
      </c>
      <c r="Q1321" s="233">
        <f t="shared" si="151"/>
        <v>0</v>
      </c>
      <c r="S1321" s="217"/>
      <c r="U1321" s="220" t="s">
        <v>3110</v>
      </c>
    </row>
    <row r="1322" spans="1:21" ht="0" hidden="1" customHeight="1" outlineLevel="3">
      <c r="A1322" s="192" t="s">
        <v>1815</v>
      </c>
      <c r="B1322" s="192"/>
      <c r="C1322" s="197" t="s">
        <v>476</v>
      </c>
      <c r="D1322" s="198">
        <f>'02 项目基础信息（输入）'!$AF$51</f>
        <v>0</v>
      </c>
      <c r="E1322" s="199" t="s">
        <v>93</v>
      </c>
      <c r="F1322" s="197" t="s">
        <v>1803</v>
      </c>
      <c r="G1322" s="237">
        <v>0</v>
      </c>
      <c r="H1322" s="199" t="s">
        <v>123</v>
      </c>
      <c r="I1322" s="198">
        <f t="shared" si="154"/>
        <v>0</v>
      </c>
      <c r="J1322" s="199" t="s">
        <v>93</v>
      </c>
      <c r="K1322" s="188">
        <v>0</v>
      </c>
      <c r="L1322" s="209" t="s">
        <v>675</v>
      </c>
      <c r="M1322" s="207">
        <f t="shared" si="155"/>
        <v>0</v>
      </c>
      <c r="N1322" s="198">
        <f>'02 项目基础信息（输入）'!$C$51</f>
        <v>0</v>
      </c>
      <c r="O1322" s="198">
        <f t="shared" si="150"/>
        <v>0</v>
      </c>
      <c r="P1322" s="198">
        <f>'02 项目基础信息（输入）'!$I$51</f>
        <v>0</v>
      </c>
      <c r="Q1322" s="233">
        <f t="shared" si="151"/>
        <v>0</v>
      </c>
      <c r="S1322" s="217"/>
      <c r="U1322" s="220" t="s">
        <v>3111</v>
      </c>
    </row>
    <row r="1323" spans="1:21" ht="0" hidden="1" customHeight="1" outlineLevel="3">
      <c r="A1323" s="192" t="s">
        <v>1817</v>
      </c>
      <c r="B1323" s="192"/>
      <c r="C1323" s="197" t="s">
        <v>476</v>
      </c>
      <c r="D1323" s="198">
        <f>'02 项目基础信息（输入）'!$AF$51</f>
        <v>0</v>
      </c>
      <c r="E1323" s="199" t="s">
        <v>93</v>
      </c>
      <c r="F1323" s="197" t="s">
        <v>1803</v>
      </c>
      <c r="G1323" s="237">
        <v>0</v>
      </c>
      <c r="H1323" s="199" t="s">
        <v>123</v>
      </c>
      <c r="I1323" s="198">
        <f t="shared" si="154"/>
        <v>0</v>
      </c>
      <c r="J1323" s="199" t="s">
        <v>93</v>
      </c>
      <c r="K1323" s="188">
        <v>0</v>
      </c>
      <c r="L1323" s="209" t="s">
        <v>675</v>
      </c>
      <c r="M1323" s="207">
        <f t="shared" si="155"/>
        <v>0</v>
      </c>
      <c r="N1323" s="198">
        <f>'02 项目基础信息（输入）'!$C$51</f>
        <v>0</v>
      </c>
      <c r="O1323" s="198">
        <f t="shared" si="150"/>
        <v>0</v>
      </c>
      <c r="P1323" s="198">
        <f>'02 项目基础信息（输入）'!$I$51</f>
        <v>0</v>
      </c>
      <c r="Q1323" s="233">
        <f t="shared" si="151"/>
        <v>0</v>
      </c>
      <c r="S1323" s="217"/>
      <c r="U1323" s="220" t="s">
        <v>3112</v>
      </c>
    </row>
    <row r="1324" spans="1:21" ht="0" hidden="1" customHeight="1" outlineLevel="3">
      <c r="A1324" s="192" t="s">
        <v>1819</v>
      </c>
      <c r="B1324" s="192"/>
      <c r="C1324" s="197" t="s">
        <v>476</v>
      </c>
      <c r="D1324" s="198">
        <f>'02 项目基础信息（输入）'!$AF$51</f>
        <v>0</v>
      </c>
      <c r="E1324" s="199" t="s">
        <v>93</v>
      </c>
      <c r="F1324" s="197" t="s">
        <v>1803</v>
      </c>
      <c r="G1324" s="237">
        <v>0</v>
      </c>
      <c r="H1324" s="199" t="s">
        <v>123</v>
      </c>
      <c r="I1324" s="198">
        <f t="shared" si="154"/>
        <v>0</v>
      </c>
      <c r="J1324" s="199" t="s">
        <v>93</v>
      </c>
      <c r="K1324" s="188">
        <v>0</v>
      </c>
      <c r="L1324" s="209" t="s">
        <v>675</v>
      </c>
      <c r="M1324" s="207">
        <f t="shared" si="155"/>
        <v>0</v>
      </c>
      <c r="N1324" s="198">
        <f>'02 项目基础信息（输入）'!$C$51</f>
        <v>0</v>
      </c>
      <c r="O1324" s="198">
        <f t="shared" si="150"/>
        <v>0</v>
      </c>
      <c r="P1324" s="198">
        <f>'02 项目基础信息（输入）'!$I$51</f>
        <v>0</v>
      </c>
      <c r="Q1324" s="233">
        <f t="shared" si="151"/>
        <v>0</v>
      </c>
      <c r="S1324" s="217"/>
      <c r="U1324" s="220" t="s">
        <v>3113</v>
      </c>
    </row>
    <row r="1325" spans="1:21" ht="0" hidden="1" customHeight="1" outlineLevel="3">
      <c r="A1325" s="192" t="s">
        <v>1821</v>
      </c>
      <c r="B1325" s="192"/>
      <c r="C1325" s="197" t="s">
        <v>476</v>
      </c>
      <c r="D1325" s="198">
        <f>'02 项目基础信息（输入）'!$AF$51</f>
        <v>0</v>
      </c>
      <c r="E1325" s="199" t="s">
        <v>93</v>
      </c>
      <c r="F1325" s="197" t="s">
        <v>1803</v>
      </c>
      <c r="G1325" s="237">
        <v>0</v>
      </c>
      <c r="H1325" s="199" t="s">
        <v>123</v>
      </c>
      <c r="I1325" s="198">
        <f t="shared" si="154"/>
        <v>0</v>
      </c>
      <c r="J1325" s="199" t="s">
        <v>93</v>
      </c>
      <c r="K1325" s="188">
        <v>0</v>
      </c>
      <c r="L1325" s="209" t="s">
        <v>675</v>
      </c>
      <c r="M1325" s="207">
        <f t="shared" si="155"/>
        <v>0</v>
      </c>
      <c r="N1325" s="198">
        <f>'02 项目基础信息（输入）'!$C$51</f>
        <v>0</v>
      </c>
      <c r="O1325" s="198">
        <f t="shared" si="150"/>
        <v>0</v>
      </c>
      <c r="P1325" s="198">
        <f>'02 项目基础信息（输入）'!$I$51</f>
        <v>0</v>
      </c>
      <c r="Q1325" s="233">
        <f t="shared" si="151"/>
        <v>0</v>
      </c>
      <c r="S1325" s="217"/>
      <c r="U1325" s="220" t="s">
        <v>3114</v>
      </c>
    </row>
    <row r="1326" spans="1:21" ht="0" hidden="1" customHeight="1" outlineLevel="3">
      <c r="A1326" s="192" t="s">
        <v>1823</v>
      </c>
      <c r="B1326" s="192"/>
      <c r="C1326" s="197" t="s">
        <v>476</v>
      </c>
      <c r="D1326" s="198">
        <f>'02 项目基础信息（输入）'!$AF$51</f>
        <v>0</v>
      </c>
      <c r="E1326" s="199" t="s">
        <v>93</v>
      </c>
      <c r="F1326" s="197" t="s">
        <v>1803</v>
      </c>
      <c r="G1326" s="237">
        <v>0</v>
      </c>
      <c r="H1326" s="199" t="s">
        <v>123</v>
      </c>
      <c r="I1326" s="198">
        <f t="shared" si="154"/>
        <v>0</v>
      </c>
      <c r="J1326" s="199" t="s">
        <v>93</v>
      </c>
      <c r="K1326" s="188">
        <v>0</v>
      </c>
      <c r="L1326" s="209" t="s">
        <v>675</v>
      </c>
      <c r="M1326" s="207">
        <f t="shared" si="155"/>
        <v>0</v>
      </c>
      <c r="N1326" s="198">
        <f>'02 项目基础信息（输入）'!$C$51</f>
        <v>0</v>
      </c>
      <c r="O1326" s="198">
        <f t="shared" si="150"/>
        <v>0</v>
      </c>
      <c r="P1326" s="198">
        <f>'02 项目基础信息（输入）'!$I$51</f>
        <v>0</v>
      </c>
      <c r="Q1326" s="233">
        <f t="shared" si="151"/>
        <v>0</v>
      </c>
      <c r="S1326" s="217"/>
      <c r="U1326" s="220" t="s">
        <v>3115</v>
      </c>
    </row>
    <row r="1327" spans="1:21" ht="0" hidden="1" customHeight="1" outlineLevel="3">
      <c r="A1327" s="192" t="s">
        <v>1825</v>
      </c>
      <c r="B1327" s="192"/>
      <c r="C1327" s="197" t="s">
        <v>476</v>
      </c>
      <c r="D1327" s="198">
        <f>'02 项目基础信息（输入）'!$AF$51</f>
        <v>0</v>
      </c>
      <c r="E1327" s="199" t="s">
        <v>93</v>
      </c>
      <c r="F1327" s="197" t="s">
        <v>1803</v>
      </c>
      <c r="G1327" s="237">
        <v>0</v>
      </c>
      <c r="H1327" s="199" t="s">
        <v>123</v>
      </c>
      <c r="I1327" s="198">
        <f t="shared" si="154"/>
        <v>0</v>
      </c>
      <c r="J1327" s="199" t="s">
        <v>93</v>
      </c>
      <c r="K1327" s="188">
        <v>0</v>
      </c>
      <c r="L1327" s="209" t="s">
        <v>675</v>
      </c>
      <c r="M1327" s="207">
        <f t="shared" si="155"/>
        <v>0</v>
      </c>
      <c r="N1327" s="198">
        <f>'02 项目基础信息（输入）'!$C$51</f>
        <v>0</v>
      </c>
      <c r="O1327" s="198">
        <f t="shared" si="150"/>
        <v>0</v>
      </c>
      <c r="P1327" s="198">
        <f>'02 项目基础信息（输入）'!$I$51</f>
        <v>0</v>
      </c>
      <c r="Q1327" s="233">
        <f t="shared" si="151"/>
        <v>0</v>
      </c>
      <c r="S1327" s="217"/>
      <c r="U1327" s="220" t="s">
        <v>3116</v>
      </c>
    </row>
    <row r="1328" spans="1:21" ht="0" hidden="1" customHeight="1" outlineLevel="3">
      <c r="A1328" s="192" t="s">
        <v>1827</v>
      </c>
      <c r="B1328" s="192"/>
      <c r="C1328" s="197" t="s">
        <v>476</v>
      </c>
      <c r="D1328" s="198">
        <f>'02 项目基础信息（输入）'!$AF$51</f>
        <v>0</v>
      </c>
      <c r="E1328" s="199" t="s">
        <v>93</v>
      </c>
      <c r="F1328" s="197" t="s">
        <v>1803</v>
      </c>
      <c r="G1328" s="237">
        <v>0</v>
      </c>
      <c r="H1328" s="199" t="s">
        <v>123</v>
      </c>
      <c r="I1328" s="198">
        <f t="shared" si="154"/>
        <v>0</v>
      </c>
      <c r="J1328" s="199" t="s">
        <v>93</v>
      </c>
      <c r="K1328" s="188">
        <v>0</v>
      </c>
      <c r="L1328" s="209" t="s">
        <v>675</v>
      </c>
      <c r="M1328" s="207">
        <f t="shared" si="155"/>
        <v>0</v>
      </c>
      <c r="N1328" s="198">
        <f>'02 项目基础信息（输入）'!$C$51</f>
        <v>0</v>
      </c>
      <c r="O1328" s="198">
        <f t="shared" si="150"/>
        <v>0</v>
      </c>
      <c r="P1328" s="198">
        <f>'02 项目基础信息（输入）'!$I$51</f>
        <v>0</v>
      </c>
      <c r="Q1328" s="233">
        <f t="shared" si="151"/>
        <v>0</v>
      </c>
      <c r="S1328" s="217"/>
      <c r="U1328" s="220" t="s">
        <v>3117</v>
      </c>
    </row>
    <row r="1329" spans="1:21" ht="0" hidden="1" customHeight="1" outlineLevel="3">
      <c r="A1329" s="192" t="s">
        <v>1829</v>
      </c>
      <c r="B1329" s="192"/>
      <c r="C1329" s="197" t="s">
        <v>476</v>
      </c>
      <c r="D1329" s="198">
        <f>'02 项目基础信息（输入）'!$AF$51</f>
        <v>0</v>
      </c>
      <c r="E1329" s="199" t="s">
        <v>93</v>
      </c>
      <c r="F1329" s="197" t="s">
        <v>1803</v>
      </c>
      <c r="G1329" s="237">
        <v>0</v>
      </c>
      <c r="H1329" s="199" t="s">
        <v>123</v>
      </c>
      <c r="I1329" s="198">
        <f t="shared" si="154"/>
        <v>0</v>
      </c>
      <c r="J1329" s="199" t="s">
        <v>93</v>
      </c>
      <c r="K1329" s="188">
        <v>0</v>
      </c>
      <c r="L1329" s="209" t="s">
        <v>675</v>
      </c>
      <c r="M1329" s="207">
        <f t="shared" si="155"/>
        <v>0</v>
      </c>
      <c r="N1329" s="198">
        <f>'02 项目基础信息（输入）'!$C$51</f>
        <v>0</v>
      </c>
      <c r="O1329" s="198">
        <f t="shared" si="150"/>
        <v>0</v>
      </c>
      <c r="P1329" s="198">
        <f>'02 项目基础信息（输入）'!$I$51</f>
        <v>0</v>
      </c>
      <c r="Q1329" s="233">
        <f t="shared" si="151"/>
        <v>0</v>
      </c>
      <c r="S1329" s="217"/>
      <c r="U1329" s="220" t="s">
        <v>3118</v>
      </c>
    </row>
    <row r="1330" spans="1:21" ht="0" hidden="1" customHeight="1" outlineLevel="3">
      <c r="A1330" s="192" t="s">
        <v>1831</v>
      </c>
      <c r="B1330" s="192"/>
      <c r="C1330" s="197" t="s">
        <v>1609</v>
      </c>
      <c r="D1330" s="198">
        <f>'02 项目基础信息（输入）'!$C$51</f>
        <v>0</v>
      </c>
      <c r="E1330" s="199" t="s">
        <v>93</v>
      </c>
      <c r="F1330" s="197" t="s">
        <v>1609</v>
      </c>
      <c r="G1330" s="199">
        <v>1</v>
      </c>
      <c r="H1330" s="199" t="s">
        <v>298</v>
      </c>
      <c r="I1330" s="198">
        <f>G1330*D1330</f>
        <v>0</v>
      </c>
      <c r="J1330" s="199" t="s">
        <v>93</v>
      </c>
      <c r="K1330" s="188">
        <v>0</v>
      </c>
      <c r="L1330" s="209" t="s">
        <v>675</v>
      </c>
      <c r="M1330" s="207">
        <f t="shared" si="155"/>
        <v>0</v>
      </c>
      <c r="N1330" s="198">
        <f>'02 项目基础信息（输入）'!$C$51</f>
        <v>0</v>
      </c>
      <c r="O1330" s="198">
        <f t="shared" si="150"/>
        <v>0</v>
      </c>
      <c r="P1330" s="198">
        <f>'02 项目基础信息（输入）'!$I$51</f>
        <v>0</v>
      </c>
      <c r="Q1330" s="233">
        <f t="shared" si="151"/>
        <v>0</v>
      </c>
      <c r="S1330" s="217"/>
      <c r="U1330" s="220" t="s">
        <v>3119</v>
      </c>
    </row>
    <row r="1331" spans="1:21" ht="0" hidden="1" customHeight="1" outlineLevel="3">
      <c r="A1331" s="192" t="s">
        <v>1833</v>
      </c>
      <c r="B1331" s="192"/>
      <c r="C1331" s="197" t="s">
        <v>1609</v>
      </c>
      <c r="D1331" s="198">
        <f>'02 项目基础信息（输入）'!$C$51</f>
        <v>0</v>
      </c>
      <c r="E1331" s="199" t="s">
        <v>93</v>
      </c>
      <c r="F1331" s="197" t="s">
        <v>1609</v>
      </c>
      <c r="G1331" s="199">
        <v>1</v>
      </c>
      <c r="H1331" s="199" t="s">
        <v>298</v>
      </c>
      <c r="I1331" s="198">
        <f>G1331*D1331</f>
        <v>0</v>
      </c>
      <c r="J1331" s="199" t="s">
        <v>93</v>
      </c>
      <c r="K1331" s="188">
        <v>0</v>
      </c>
      <c r="L1331" s="209" t="s">
        <v>675</v>
      </c>
      <c r="M1331" s="207">
        <f t="shared" si="155"/>
        <v>0</v>
      </c>
      <c r="N1331" s="198">
        <f>'02 项目基础信息（输入）'!$C$51</f>
        <v>0</v>
      </c>
      <c r="O1331" s="198">
        <f t="shared" si="150"/>
        <v>0</v>
      </c>
      <c r="P1331" s="198">
        <f>'02 项目基础信息（输入）'!$I$51</f>
        <v>0</v>
      </c>
      <c r="Q1331" s="233">
        <f t="shared" si="151"/>
        <v>0</v>
      </c>
      <c r="S1331" s="217"/>
      <c r="U1331" s="220" t="s">
        <v>3120</v>
      </c>
    </row>
    <row r="1332" spans="1:21" ht="0" hidden="1" customHeight="1" outlineLevel="2">
      <c r="A1332" s="192" t="s">
        <v>1835</v>
      </c>
      <c r="B1332" s="192"/>
      <c r="C1332" s="197" t="s">
        <v>1609</v>
      </c>
      <c r="D1332" s="198">
        <f>'02 项目基础信息（输入）'!$C$51</f>
        <v>0</v>
      </c>
      <c r="E1332" s="199" t="s">
        <v>93</v>
      </c>
      <c r="F1332" s="197"/>
      <c r="G1332" s="199"/>
      <c r="H1332" s="199"/>
      <c r="I1332" s="197"/>
      <c r="J1332" s="199"/>
      <c r="K1332" s="198"/>
      <c r="L1332" s="209"/>
      <c r="M1332" s="198">
        <f>ROUND(SUM(M1333:M1336),6)</f>
        <v>0</v>
      </c>
      <c r="N1332" s="198">
        <f>'02 项目基础信息（输入）'!$C$51</f>
        <v>0</v>
      </c>
      <c r="O1332" s="198">
        <f t="shared" si="150"/>
        <v>0</v>
      </c>
      <c r="P1332" s="198">
        <f>'02 项目基础信息（输入）'!$I$51</f>
        <v>0</v>
      </c>
      <c r="Q1332" s="233">
        <f t="shared" si="151"/>
        <v>0</v>
      </c>
      <c r="S1332" s="217" t="s">
        <v>1314</v>
      </c>
      <c r="U1332" s="220" t="s">
        <v>3121</v>
      </c>
    </row>
    <row r="1333" spans="1:21" ht="0" hidden="1" customHeight="1" outlineLevel="3">
      <c r="A1333" s="192" t="s">
        <v>2110</v>
      </c>
      <c r="B1333" s="192"/>
      <c r="C1333" s="197" t="s">
        <v>309</v>
      </c>
      <c r="D1333" s="198">
        <f>'02 项目基础信息（输入）'!$AC$51</f>
        <v>0</v>
      </c>
      <c r="E1333" s="199" t="s">
        <v>310</v>
      </c>
      <c r="F1333" s="197" t="s">
        <v>1843</v>
      </c>
      <c r="G1333" s="82">
        <v>0</v>
      </c>
      <c r="H1333" s="199" t="s">
        <v>789</v>
      </c>
      <c r="I1333" s="198">
        <f>G1333*D1333</f>
        <v>0</v>
      </c>
      <c r="J1333" s="199" t="s">
        <v>131</v>
      </c>
      <c r="K1333" s="188">
        <v>0</v>
      </c>
      <c r="L1333" s="209" t="s">
        <v>792</v>
      </c>
      <c r="M1333" s="207">
        <f>ROUND(K1333*I1333/10000,6)</f>
        <v>0</v>
      </c>
      <c r="N1333" s="198">
        <f>'02 项目基础信息（输入）'!$C$51</f>
        <v>0</v>
      </c>
      <c r="O1333" s="198">
        <f t="shared" si="150"/>
        <v>0</v>
      </c>
      <c r="P1333" s="198">
        <f>'02 项目基础信息（输入）'!$I$51</f>
        <v>0</v>
      </c>
      <c r="Q1333" s="233">
        <f t="shared" si="151"/>
        <v>0</v>
      </c>
      <c r="S1333" s="217"/>
      <c r="U1333" s="220" t="s">
        <v>3122</v>
      </c>
    </row>
    <row r="1334" spans="1:21" ht="0" hidden="1" customHeight="1" outlineLevel="3">
      <c r="A1334" s="192" t="s">
        <v>2112</v>
      </c>
      <c r="B1334" s="192"/>
      <c r="C1334" s="197" t="s">
        <v>309</v>
      </c>
      <c r="D1334" s="198">
        <f>'02 项目基础信息（输入）'!$AC$51</f>
        <v>0</v>
      </c>
      <c r="E1334" s="199" t="s">
        <v>310</v>
      </c>
      <c r="F1334" s="197" t="s">
        <v>1843</v>
      </c>
      <c r="G1334" s="82">
        <v>0</v>
      </c>
      <c r="H1334" s="199" t="s">
        <v>789</v>
      </c>
      <c r="I1334" s="198">
        <f>G1334*D1334</f>
        <v>0</v>
      </c>
      <c r="J1334" s="199" t="s">
        <v>131</v>
      </c>
      <c r="K1334" s="188">
        <v>0</v>
      </c>
      <c r="L1334" s="209" t="s">
        <v>792</v>
      </c>
      <c r="M1334" s="207">
        <f>ROUND(K1334*I1334/10000,6)</f>
        <v>0</v>
      </c>
      <c r="N1334" s="198">
        <f>'02 项目基础信息（输入）'!$C$51</f>
        <v>0</v>
      </c>
      <c r="O1334" s="198">
        <f t="shared" si="150"/>
        <v>0</v>
      </c>
      <c r="P1334" s="198">
        <f>'02 项目基础信息（输入）'!$I$51</f>
        <v>0</v>
      </c>
      <c r="Q1334" s="233">
        <f t="shared" si="151"/>
        <v>0</v>
      </c>
      <c r="S1334" s="217"/>
      <c r="U1334" s="220" t="s">
        <v>3123</v>
      </c>
    </row>
    <row r="1335" spans="1:21" ht="0" hidden="1" customHeight="1" outlineLevel="3">
      <c r="A1335" s="192" t="s">
        <v>1837</v>
      </c>
      <c r="B1335" s="192"/>
      <c r="C1335" s="197" t="s">
        <v>472</v>
      </c>
      <c r="D1335" s="198">
        <f>'02 项目基础信息（输入）'!$AA$51</f>
        <v>0</v>
      </c>
      <c r="E1335" s="199" t="s">
        <v>1838</v>
      </c>
      <c r="F1335" s="197" t="s">
        <v>1839</v>
      </c>
      <c r="G1335" s="82">
        <v>0</v>
      </c>
      <c r="H1335" s="199" t="s">
        <v>1840</v>
      </c>
      <c r="I1335" s="198">
        <f>G1335*D1335</f>
        <v>0</v>
      </c>
      <c r="J1335" s="199" t="s">
        <v>131</v>
      </c>
      <c r="K1335" s="188">
        <v>0</v>
      </c>
      <c r="L1335" s="209" t="s">
        <v>792</v>
      </c>
      <c r="M1335" s="207">
        <f>ROUND(K1335*I1335/10000,6)</f>
        <v>0</v>
      </c>
      <c r="N1335" s="198">
        <f>'02 项目基础信息（输入）'!$C$51</f>
        <v>0</v>
      </c>
      <c r="O1335" s="198">
        <f t="shared" si="150"/>
        <v>0</v>
      </c>
      <c r="P1335" s="198">
        <f>'02 项目基础信息（输入）'!$I$51</f>
        <v>0</v>
      </c>
      <c r="Q1335" s="233">
        <f t="shared" si="151"/>
        <v>0</v>
      </c>
      <c r="S1335" s="217"/>
      <c r="U1335" s="220" t="s">
        <v>3124</v>
      </c>
    </row>
    <row r="1336" spans="1:21" ht="0" hidden="1" customHeight="1" outlineLevel="3">
      <c r="A1336" s="192" t="s">
        <v>1842</v>
      </c>
      <c r="B1336" s="192"/>
      <c r="C1336" s="197" t="s">
        <v>309</v>
      </c>
      <c r="D1336" s="198">
        <f>'02 项目基础信息（输入）'!$AC$51</f>
        <v>0</v>
      </c>
      <c r="E1336" s="199" t="s">
        <v>310</v>
      </c>
      <c r="F1336" s="197" t="s">
        <v>1843</v>
      </c>
      <c r="G1336" s="82">
        <v>0</v>
      </c>
      <c r="H1336" s="199" t="s">
        <v>789</v>
      </c>
      <c r="I1336" s="198">
        <f>G1336*D1336</f>
        <v>0</v>
      </c>
      <c r="J1336" s="199" t="s">
        <v>131</v>
      </c>
      <c r="K1336" s="188">
        <v>0</v>
      </c>
      <c r="L1336" s="209" t="s">
        <v>792</v>
      </c>
      <c r="M1336" s="207">
        <f>ROUND(K1336*I1336/10000,6)</f>
        <v>0</v>
      </c>
      <c r="N1336" s="198">
        <f>'02 项目基础信息（输入）'!$C$51</f>
        <v>0</v>
      </c>
      <c r="O1336" s="198">
        <f t="shared" si="150"/>
        <v>0</v>
      </c>
      <c r="P1336" s="198">
        <f>'02 项目基础信息（输入）'!$I$51</f>
        <v>0</v>
      </c>
      <c r="Q1336" s="233">
        <f t="shared" si="151"/>
        <v>0</v>
      </c>
      <c r="S1336" s="217"/>
      <c r="U1336" s="220" t="s">
        <v>3125</v>
      </c>
    </row>
    <row r="1337" spans="1:21" ht="0" hidden="1" customHeight="1" outlineLevel="2">
      <c r="A1337" s="192" t="s">
        <v>1845</v>
      </c>
      <c r="B1337" s="192"/>
      <c r="C1337" s="197" t="s">
        <v>1609</v>
      </c>
      <c r="D1337" s="198">
        <f>'02 项目基础信息（输入）'!$C$51</f>
        <v>0</v>
      </c>
      <c r="E1337" s="199" t="s">
        <v>93</v>
      </c>
      <c r="F1337" s="197"/>
      <c r="G1337" s="199"/>
      <c r="H1337" s="199"/>
      <c r="I1337" s="197"/>
      <c r="J1337" s="199"/>
      <c r="K1337" s="198"/>
      <c r="L1337" s="209"/>
      <c r="M1337" s="198">
        <f>ROUND(M1338+M1347+M1356+M1357+M1358,6)</f>
        <v>0</v>
      </c>
      <c r="N1337" s="198">
        <f>'02 项目基础信息（输入）'!$C$51</f>
        <v>0</v>
      </c>
      <c r="O1337" s="198">
        <f t="shared" si="150"/>
        <v>0</v>
      </c>
      <c r="P1337" s="198">
        <f>'02 项目基础信息（输入）'!$I$51</f>
        <v>0</v>
      </c>
      <c r="Q1337" s="233">
        <f t="shared" si="151"/>
        <v>0</v>
      </c>
      <c r="S1337" s="217" t="s">
        <v>1314</v>
      </c>
      <c r="U1337" s="220" t="s">
        <v>3126</v>
      </c>
    </row>
    <row r="1338" spans="1:21" ht="0" hidden="1" customHeight="1" outlineLevel="3">
      <c r="A1338" s="192" t="s">
        <v>2117</v>
      </c>
      <c r="B1338" s="192"/>
      <c r="C1338" s="197"/>
      <c r="D1338" s="197">
        <v>0</v>
      </c>
      <c r="E1338" s="199"/>
      <c r="F1338" s="197"/>
      <c r="G1338" s="199"/>
      <c r="H1338" s="199"/>
      <c r="I1338" s="197">
        <v>0</v>
      </c>
      <c r="J1338" s="199"/>
      <c r="K1338" s="198"/>
      <c r="L1338" s="209"/>
      <c r="M1338" s="198">
        <f>ROUND(SUM(M1339:M1346),6)</f>
        <v>0</v>
      </c>
      <c r="N1338" s="198">
        <f>'02 项目基础信息（输入）'!$C$51</f>
        <v>0</v>
      </c>
      <c r="O1338" s="198">
        <f t="shared" si="150"/>
        <v>0</v>
      </c>
      <c r="P1338" s="198">
        <f>'02 项目基础信息（输入）'!$I$51</f>
        <v>0</v>
      </c>
      <c r="Q1338" s="233">
        <f t="shared" si="151"/>
        <v>0</v>
      </c>
      <c r="S1338" s="217"/>
      <c r="U1338" s="220" t="s">
        <v>3127</v>
      </c>
    </row>
    <row r="1339" spans="1:21" ht="0" hidden="1" customHeight="1" outlineLevel="4">
      <c r="A1339" s="192" t="s">
        <v>1849</v>
      </c>
      <c r="B1339" s="192"/>
      <c r="C1339" s="197" t="s">
        <v>1850</v>
      </c>
      <c r="D1339" s="198">
        <f>'02 项目基础信息（输入）'!$N$51</f>
        <v>0</v>
      </c>
      <c r="E1339" s="199" t="s">
        <v>411</v>
      </c>
      <c r="F1339" s="197" t="s">
        <v>460</v>
      </c>
      <c r="G1339" s="235">
        <f>'02 项目基础信息（输入）'!$O$51</f>
        <v>0</v>
      </c>
      <c r="H1339" s="199" t="s">
        <v>400</v>
      </c>
      <c r="I1339" s="198">
        <f t="shared" ref="I1339:I1346" si="156">G1339*D1339</f>
        <v>0</v>
      </c>
      <c r="J1339" s="199" t="s">
        <v>93</v>
      </c>
      <c r="K1339" s="188">
        <v>0</v>
      </c>
      <c r="L1339" s="209" t="s">
        <v>675</v>
      </c>
      <c r="M1339" s="207">
        <f t="shared" ref="M1339:M1346" si="157">ROUND(K1339*I1339/10000,6)</f>
        <v>0</v>
      </c>
      <c r="N1339" s="198">
        <f>'02 项目基础信息（输入）'!$C$51</f>
        <v>0</v>
      </c>
      <c r="O1339" s="198">
        <f t="shared" si="150"/>
        <v>0</v>
      </c>
      <c r="P1339" s="198">
        <f>'02 项目基础信息（输入）'!$I$51</f>
        <v>0</v>
      </c>
      <c r="Q1339" s="233">
        <f t="shared" si="151"/>
        <v>0</v>
      </c>
      <c r="S1339" s="217"/>
      <c r="U1339" s="220" t="s">
        <v>3128</v>
      </c>
    </row>
    <row r="1340" spans="1:21" ht="0" hidden="1" customHeight="1" outlineLevel="4">
      <c r="A1340" s="192" t="s">
        <v>1852</v>
      </c>
      <c r="B1340" s="192"/>
      <c r="C1340" s="197" t="s">
        <v>1850</v>
      </c>
      <c r="D1340" s="198">
        <f>'02 项目基础信息（输入）'!$N$51</f>
        <v>0</v>
      </c>
      <c r="E1340" s="199" t="s">
        <v>411</v>
      </c>
      <c r="F1340" s="197" t="s">
        <v>460</v>
      </c>
      <c r="G1340" s="235">
        <f>'02 项目基础信息（输入）'!$O$51</f>
        <v>0</v>
      </c>
      <c r="H1340" s="199" t="s">
        <v>400</v>
      </c>
      <c r="I1340" s="198">
        <f t="shared" si="156"/>
        <v>0</v>
      </c>
      <c r="J1340" s="199" t="s">
        <v>93</v>
      </c>
      <c r="K1340" s="188">
        <v>0</v>
      </c>
      <c r="L1340" s="209" t="s">
        <v>675</v>
      </c>
      <c r="M1340" s="207">
        <f t="shared" si="157"/>
        <v>0</v>
      </c>
      <c r="N1340" s="198">
        <f>'02 项目基础信息（输入）'!$C$51</f>
        <v>0</v>
      </c>
      <c r="O1340" s="198">
        <f t="shared" si="150"/>
        <v>0</v>
      </c>
      <c r="P1340" s="198">
        <f>'02 项目基础信息（输入）'!$I$51</f>
        <v>0</v>
      </c>
      <c r="Q1340" s="233">
        <f t="shared" si="151"/>
        <v>0</v>
      </c>
      <c r="S1340" s="217"/>
      <c r="U1340" s="220" t="s">
        <v>3129</v>
      </c>
    </row>
    <row r="1341" spans="1:21" ht="0" hidden="1" customHeight="1" outlineLevel="4">
      <c r="A1341" s="192" t="s">
        <v>1854</v>
      </c>
      <c r="B1341" s="192"/>
      <c r="C1341" s="197" t="s">
        <v>1850</v>
      </c>
      <c r="D1341" s="198">
        <f>'02 项目基础信息（输入）'!$N$51</f>
        <v>0</v>
      </c>
      <c r="E1341" s="199" t="s">
        <v>411</v>
      </c>
      <c r="F1341" s="197" t="s">
        <v>460</v>
      </c>
      <c r="G1341" s="235">
        <f>'02 项目基础信息（输入）'!$O$51</f>
        <v>0</v>
      </c>
      <c r="H1341" s="199" t="s">
        <v>400</v>
      </c>
      <c r="I1341" s="198">
        <f t="shared" si="156"/>
        <v>0</v>
      </c>
      <c r="J1341" s="199" t="s">
        <v>93</v>
      </c>
      <c r="K1341" s="188">
        <v>0</v>
      </c>
      <c r="L1341" s="209" t="s">
        <v>675</v>
      </c>
      <c r="M1341" s="207">
        <f t="shared" si="157"/>
        <v>0</v>
      </c>
      <c r="N1341" s="198">
        <f>'02 项目基础信息（输入）'!$C$51</f>
        <v>0</v>
      </c>
      <c r="O1341" s="198">
        <f t="shared" si="150"/>
        <v>0</v>
      </c>
      <c r="P1341" s="198">
        <f>'02 项目基础信息（输入）'!$I$51</f>
        <v>0</v>
      </c>
      <c r="Q1341" s="233">
        <f t="shared" si="151"/>
        <v>0</v>
      </c>
      <c r="S1341" s="217"/>
      <c r="U1341" s="220" t="s">
        <v>3130</v>
      </c>
    </row>
    <row r="1342" spans="1:21" ht="0" hidden="1" customHeight="1" outlineLevel="4">
      <c r="A1342" s="192" t="s">
        <v>1856</v>
      </c>
      <c r="B1342" s="192"/>
      <c r="C1342" s="197" t="s">
        <v>1850</v>
      </c>
      <c r="D1342" s="198">
        <f>'02 项目基础信息（输入）'!$N$51</f>
        <v>0</v>
      </c>
      <c r="E1342" s="199" t="s">
        <v>411</v>
      </c>
      <c r="F1342" s="197" t="s">
        <v>460</v>
      </c>
      <c r="G1342" s="235">
        <f>'02 项目基础信息（输入）'!$O$51</f>
        <v>0</v>
      </c>
      <c r="H1342" s="199" t="s">
        <v>400</v>
      </c>
      <c r="I1342" s="198">
        <f t="shared" si="156"/>
        <v>0</v>
      </c>
      <c r="J1342" s="199" t="s">
        <v>93</v>
      </c>
      <c r="K1342" s="188">
        <v>0</v>
      </c>
      <c r="L1342" s="209" t="s">
        <v>675</v>
      </c>
      <c r="M1342" s="207">
        <f t="shared" si="157"/>
        <v>0</v>
      </c>
      <c r="N1342" s="198">
        <f>'02 项目基础信息（输入）'!$C$51</f>
        <v>0</v>
      </c>
      <c r="O1342" s="198">
        <f t="shared" si="150"/>
        <v>0</v>
      </c>
      <c r="P1342" s="198">
        <f>'02 项目基础信息（输入）'!$I$51</f>
        <v>0</v>
      </c>
      <c r="Q1342" s="233">
        <f t="shared" si="151"/>
        <v>0</v>
      </c>
      <c r="S1342" s="217"/>
      <c r="U1342" s="220" t="s">
        <v>3131</v>
      </c>
    </row>
    <row r="1343" spans="1:21" ht="0" hidden="1" customHeight="1" outlineLevel="4">
      <c r="A1343" s="192" t="s">
        <v>1858</v>
      </c>
      <c r="B1343" s="192"/>
      <c r="C1343" s="197" t="s">
        <v>1850</v>
      </c>
      <c r="D1343" s="198">
        <f>'02 项目基础信息（输入）'!$N$51</f>
        <v>0</v>
      </c>
      <c r="E1343" s="199" t="s">
        <v>411</v>
      </c>
      <c r="F1343" s="197" t="s">
        <v>460</v>
      </c>
      <c r="G1343" s="235">
        <f>'02 项目基础信息（输入）'!$O$51</f>
        <v>0</v>
      </c>
      <c r="H1343" s="199" t="s">
        <v>400</v>
      </c>
      <c r="I1343" s="198">
        <f t="shared" si="156"/>
        <v>0</v>
      </c>
      <c r="J1343" s="199" t="s">
        <v>93</v>
      </c>
      <c r="K1343" s="188">
        <v>0</v>
      </c>
      <c r="L1343" s="209" t="s">
        <v>675</v>
      </c>
      <c r="M1343" s="207">
        <f t="shared" si="157"/>
        <v>0</v>
      </c>
      <c r="N1343" s="198">
        <f>'02 项目基础信息（输入）'!$C$51</f>
        <v>0</v>
      </c>
      <c r="O1343" s="198">
        <f t="shared" si="150"/>
        <v>0</v>
      </c>
      <c r="P1343" s="198">
        <f>'02 项目基础信息（输入）'!$I$51</f>
        <v>0</v>
      </c>
      <c r="Q1343" s="233">
        <f t="shared" si="151"/>
        <v>0</v>
      </c>
      <c r="S1343" s="217"/>
      <c r="U1343" s="220" t="s">
        <v>3132</v>
      </c>
    </row>
    <row r="1344" spans="1:21" ht="0" hidden="1" customHeight="1" outlineLevel="4">
      <c r="A1344" s="192" t="s">
        <v>1860</v>
      </c>
      <c r="B1344" s="192"/>
      <c r="C1344" s="197" t="s">
        <v>1850</v>
      </c>
      <c r="D1344" s="198">
        <f>'02 项目基础信息（输入）'!$N$51</f>
        <v>0</v>
      </c>
      <c r="E1344" s="199" t="s">
        <v>411</v>
      </c>
      <c r="F1344" s="197" t="s">
        <v>460</v>
      </c>
      <c r="G1344" s="235">
        <f>'02 项目基础信息（输入）'!$O$51</f>
        <v>0</v>
      </c>
      <c r="H1344" s="199" t="s">
        <v>400</v>
      </c>
      <c r="I1344" s="198">
        <f t="shared" si="156"/>
        <v>0</v>
      </c>
      <c r="J1344" s="199" t="s">
        <v>93</v>
      </c>
      <c r="K1344" s="188">
        <v>0</v>
      </c>
      <c r="L1344" s="209" t="s">
        <v>675</v>
      </c>
      <c r="M1344" s="207">
        <f t="shared" si="157"/>
        <v>0</v>
      </c>
      <c r="N1344" s="198">
        <f>'02 项目基础信息（输入）'!$C$51</f>
        <v>0</v>
      </c>
      <c r="O1344" s="198">
        <f t="shared" si="150"/>
        <v>0</v>
      </c>
      <c r="P1344" s="198">
        <f>'02 项目基础信息（输入）'!$I$51</f>
        <v>0</v>
      </c>
      <c r="Q1344" s="233">
        <f t="shared" si="151"/>
        <v>0</v>
      </c>
      <c r="S1344" s="217"/>
      <c r="U1344" s="220" t="s">
        <v>3133</v>
      </c>
    </row>
    <row r="1345" spans="1:21" ht="0" hidden="1" customHeight="1" outlineLevel="4">
      <c r="A1345" s="192" t="s">
        <v>1862</v>
      </c>
      <c r="B1345" s="192"/>
      <c r="C1345" s="197" t="s">
        <v>1850</v>
      </c>
      <c r="D1345" s="198">
        <f>'02 项目基础信息（输入）'!$N$51</f>
        <v>0</v>
      </c>
      <c r="E1345" s="199" t="s">
        <v>411</v>
      </c>
      <c r="F1345" s="197" t="s">
        <v>460</v>
      </c>
      <c r="G1345" s="235">
        <f>'02 项目基础信息（输入）'!$O$51</f>
        <v>0</v>
      </c>
      <c r="H1345" s="199" t="s">
        <v>400</v>
      </c>
      <c r="I1345" s="198">
        <f t="shared" si="156"/>
        <v>0</v>
      </c>
      <c r="J1345" s="199" t="s">
        <v>93</v>
      </c>
      <c r="K1345" s="188">
        <v>0</v>
      </c>
      <c r="L1345" s="209" t="s">
        <v>675</v>
      </c>
      <c r="M1345" s="207">
        <f t="shared" si="157"/>
        <v>0</v>
      </c>
      <c r="N1345" s="198">
        <f>'02 项目基础信息（输入）'!$C$51</f>
        <v>0</v>
      </c>
      <c r="O1345" s="198">
        <f t="shared" si="150"/>
        <v>0</v>
      </c>
      <c r="P1345" s="198">
        <f>'02 项目基础信息（输入）'!$I$51</f>
        <v>0</v>
      </c>
      <c r="Q1345" s="233">
        <f t="shared" si="151"/>
        <v>0</v>
      </c>
      <c r="S1345" s="217"/>
      <c r="U1345" s="220" t="s">
        <v>3134</v>
      </c>
    </row>
    <row r="1346" spans="1:21" ht="0" hidden="1" customHeight="1" outlineLevel="4">
      <c r="A1346" s="192" t="s">
        <v>1864</v>
      </c>
      <c r="B1346" s="192"/>
      <c r="C1346" s="197" t="s">
        <v>1850</v>
      </c>
      <c r="D1346" s="198">
        <f>'02 项目基础信息（输入）'!$N$51</f>
        <v>0</v>
      </c>
      <c r="E1346" s="199" t="s">
        <v>411</v>
      </c>
      <c r="F1346" s="197" t="s">
        <v>460</v>
      </c>
      <c r="G1346" s="235">
        <f>'02 项目基础信息（输入）'!$O$51</f>
        <v>0</v>
      </c>
      <c r="H1346" s="199" t="s">
        <v>400</v>
      </c>
      <c r="I1346" s="198">
        <f t="shared" si="156"/>
        <v>0</v>
      </c>
      <c r="J1346" s="199" t="s">
        <v>93</v>
      </c>
      <c r="K1346" s="188">
        <v>0</v>
      </c>
      <c r="L1346" s="209" t="s">
        <v>675</v>
      </c>
      <c r="M1346" s="207">
        <f t="shared" si="157"/>
        <v>0</v>
      </c>
      <c r="N1346" s="198">
        <f>'02 项目基础信息（输入）'!$C$51</f>
        <v>0</v>
      </c>
      <c r="O1346" s="198">
        <f t="shared" si="150"/>
        <v>0</v>
      </c>
      <c r="P1346" s="198">
        <f>'02 项目基础信息（输入）'!$I$51</f>
        <v>0</v>
      </c>
      <c r="Q1346" s="233">
        <f t="shared" si="151"/>
        <v>0</v>
      </c>
      <c r="S1346" s="217"/>
      <c r="U1346" s="220" t="s">
        <v>3135</v>
      </c>
    </row>
    <row r="1347" spans="1:21" ht="0" hidden="1" customHeight="1" outlineLevel="3">
      <c r="A1347" s="192" t="s">
        <v>2127</v>
      </c>
      <c r="B1347" s="192"/>
      <c r="C1347" s="197"/>
      <c r="D1347" s="197">
        <v>0</v>
      </c>
      <c r="E1347" s="199"/>
      <c r="F1347" s="197"/>
      <c r="G1347" s="199"/>
      <c r="H1347" s="199"/>
      <c r="I1347" s="197">
        <v>0</v>
      </c>
      <c r="J1347" s="199"/>
      <c r="K1347" s="198"/>
      <c r="L1347" s="209"/>
      <c r="M1347" s="198">
        <f>ROUND(SUM(M1348:M1355),6)</f>
        <v>0</v>
      </c>
      <c r="N1347" s="198">
        <f>'02 项目基础信息（输入）'!$C$51</f>
        <v>0</v>
      </c>
      <c r="O1347" s="198">
        <f t="shared" ref="O1347:O1410" si="158">ROUND(IFERROR(M1347*10000/N1347,0),2)</f>
        <v>0</v>
      </c>
      <c r="P1347" s="198">
        <f>'02 项目基础信息（输入）'!$I$51</f>
        <v>0</v>
      </c>
      <c r="Q1347" s="233">
        <f t="shared" ref="Q1347:Q1410" si="159">ROUND(IFERROR(M1347*10000/P1347,0),2)</f>
        <v>0</v>
      </c>
      <c r="S1347" s="217"/>
      <c r="U1347" s="220" t="s">
        <v>3136</v>
      </c>
    </row>
    <row r="1348" spans="1:21" ht="0" hidden="1" customHeight="1" outlineLevel="4">
      <c r="A1348" s="192" t="s">
        <v>2129</v>
      </c>
      <c r="B1348" s="192"/>
      <c r="C1348" s="197" t="s">
        <v>2130</v>
      </c>
      <c r="D1348" s="198">
        <f>'02 项目基础信息（输入）'!$K$51</f>
        <v>0</v>
      </c>
      <c r="E1348" s="199" t="s">
        <v>411</v>
      </c>
      <c r="F1348" s="197" t="s">
        <v>457</v>
      </c>
      <c r="G1348" s="235">
        <f>'02 项目基础信息（输入）'!$L$51</f>
        <v>0</v>
      </c>
      <c r="H1348" s="199" t="s">
        <v>400</v>
      </c>
      <c r="I1348" s="198">
        <f t="shared" ref="I1348:I1358" si="160">G1348*D1348</f>
        <v>0</v>
      </c>
      <c r="J1348" s="199" t="s">
        <v>93</v>
      </c>
      <c r="K1348" s="188">
        <v>0</v>
      </c>
      <c r="L1348" s="209" t="s">
        <v>675</v>
      </c>
      <c r="M1348" s="198">
        <f t="shared" ref="M1348:M1358" si="161">ROUND(K1348*I1348/10000,6)</f>
        <v>0</v>
      </c>
      <c r="N1348" s="198">
        <f>'02 项目基础信息（输入）'!$C$51</f>
        <v>0</v>
      </c>
      <c r="O1348" s="198">
        <f t="shared" si="158"/>
        <v>0</v>
      </c>
      <c r="P1348" s="198">
        <f>'02 项目基础信息（输入）'!$I$51</f>
        <v>0</v>
      </c>
      <c r="Q1348" s="233">
        <f t="shared" si="159"/>
        <v>0</v>
      </c>
      <c r="S1348" s="217"/>
      <c r="U1348" s="220" t="s">
        <v>3137</v>
      </c>
    </row>
    <row r="1349" spans="1:21" ht="0" hidden="1" customHeight="1" outlineLevel="4">
      <c r="A1349" s="192" t="s">
        <v>2132</v>
      </c>
      <c r="B1349" s="192"/>
      <c r="C1349" s="197" t="s">
        <v>2130</v>
      </c>
      <c r="D1349" s="198">
        <f>'02 项目基础信息（输入）'!$K$51</f>
        <v>0</v>
      </c>
      <c r="E1349" s="199" t="s">
        <v>411</v>
      </c>
      <c r="F1349" s="197" t="s">
        <v>457</v>
      </c>
      <c r="G1349" s="235">
        <f>'02 项目基础信息（输入）'!$L$51</f>
        <v>0</v>
      </c>
      <c r="H1349" s="199" t="s">
        <v>400</v>
      </c>
      <c r="I1349" s="198">
        <f t="shared" si="160"/>
        <v>0</v>
      </c>
      <c r="J1349" s="199" t="s">
        <v>93</v>
      </c>
      <c r="K1349" s="188">
        <v>0</v>
      </c>
      <c r="L1349" s="209" t="s">
        <v>675</v>
      </c>
      <c r="M1349" s="198">
        <f t="shared" si="161"/>
        <v>0</v>
      </c>
      <c r="N1349" s="198">
        <f>'02 项目基础信息（输入）'!$C$51</f>
        <v>0</v>
      </c>
      <c r="O1349" s="198">
        <f t="shared" si="158"/>
        <v>0</v>
      </c>
      <c r="P1349" s="198">
        <f>'02 项目基础信息（输入）'!$I$51</f>
        <v>0</v>
      </c>
      <c r="Q1349" s="233">
        <f t="shared" si="159"/>
        <v>0</v>
      </c>
      <c r="S1349" s="217"/>
      <c r="U1349" s="220" t="s">
        <v>3138</v>
      </c>
    </row>
    <row r="1350" spans="1:21" ht="0" hidden="1" customHeight="1" outlineLevel="4">
      <c r="A1350" s="192" t="s">
        <v>2134</v>
      </c>
      <c r="B1350" s="192"/>
      <c r="C1350" s="197" t="s">
        <v>2130</v>
      </c>
      <c r="D1350" s="198">
        <f>'02 项目基础信息（输入）'!$K$51</f>
        <v>0</v>
      </c>
      <c r="E1350" s="199" t="s">
        <v>411</v>
      </c>
      <c r="F1350" s="197" t="s">
        <v>457</v>
      </c>
      <c r="G1350" s="235">
        <f>'02 项目基础信息（输入）'!$L$51</f>
        <v>0</v>
      </c>
      <c r="H1350" s="199" t="s">
        <v>400</v>
      </c>
      <c r="I1350" s="198">
        <f t="shared" si="160"/>
        <v>0</v>
      </c>
      <c r="J1350" s="199" t="s">
        <v>93</v>
      </c>
      <c r="K1350" s="188">
        <v>0</v>
      </c>
      <c r="L1350" s="209" t="s">
        <v>675</v>
      </c>
      <c r="M1350" s="198">
        <f t="shared" si="161"/>
        <v>0</v>
      </c>
      <c r="N1350" s="198">
        <f>'02 项目基础信息（输入）'!$C$51</f>
        <v>0</v>
      </c>
      <c r="O1350" s="198">
        <f t="shared" si="158"/>
        <v>0</v>
      </c>
      <c r="P1350" s="198">
        <f>'02 项目基础信息（输入）'!$I$51</f>
        <v>0</v>
      </c>
      <c r="Q1350" s="233">
        <f t="shared" si="159"/>
        <v>0</v>
      </c>
      <c r="S1350" s="217"/>
      <c r="U1350" s="220" t="s">
        <v>3139</v>
      </c>
    </row>
    <row r="1351" spans="1:21" ht="0" hidden="1" customHeight="1" outlineLevel="4">
      <c r="A1351" s="192" t="s">
        <v>2136</v>
      </c>
      <c r="B1351" s="192"/>
      <c r="C1351" s="197" t="s">
        <v>2130</v>
      </c>
      <c r="D1351" s="198">
        <f>'02 项目基础信息（输入）'!$K$51</f>
        <v>0</v>
      </c>
      <c r="E1351" s="199" t="s">
        <v>411</v>
      </c>
      <c r="F1351" s="197" t="s">
        <v>457</v>
      </c>
      <c r="G1351" s="235">
        <f>'02 项目基础信息（输入）'!$L$51</f>
        <v>0</v>
      </c>
      <c r="H1351" s="199" t="s">
        <v>400</v>
      </c>
      <c r="I1351" s="198">
        <f t="shared" si="160"/>
        <v>0</v>
      </c>
      <c r="J1351" s="199" t="s">
        <v>93</v>
      </c>
      <c r="K1351" s="188">
        <v>0</v>
      </c>
      <c r="L1351" s="209" t="s">
        <v>675</v>
      </c>
      <c r="M1351" s="198">
        <f t="shared" si="161"/>
        <v>0</v>
      </c>
      <c r="N1351" s="198">
        <f>'02 项目基础信息（输入）'!$C$51</f>
        <v>0</v>
      </c>
      <c r="O1351" s="198">
        <f t="shared" si="158"/>
        <v>0</v>
      </c>
      <c r="P1351" s="198">
        <f>'02 项目基础信息（输入）'!$I$51</f>
        <v>0</v>
      </c>
      <c r="Q1351" s="233">
        <f t="shared" si="159"/>
        <v>0</v>
      </c>
      <c r="S1351" s="217"/>
      <c r="U1351" s="220" t="s">
        <v>3140</v>
      </c>
    </row>
    <row r="1352" spans="1:21" ht="0" hidden="1" customHeight="1" outlineLevel="4">
      <c r="A1352" s="192" t="s">
        <v>2138</v>
      </c>
      <c r="B1352" s="192"/>
      <c r="C1352" s="197" t="s">
        <v>2130</v>
      </c>
      <c r="D1352" s="198">
        <f>'02 项目基础信息（输入）'!$K$51</f>
        <v>0</v>
      </c>
      <c r="E1352" s="199" t="s">
        <v>411</v>
      </c>
      <c r="F1352" s="197" t="s">
        <v>457</v>
      </c>
      <c r="G1352" s="235">
        <f>'02 项目基础信息（输入）'!$L$51</f>
        <v>0</v>
      </c>
      <c r="H1352" s="199" t="s">
        <v>400</v>
      </c>
      <c r="I1352" s="198">
        <f t="shared" si="160"/>
        <v>0</v>
      </c>
      <c r="J1352" s="199" t="s">
        <v>93</v>
      </c>
      <c r="K1352" s="188">
        <v>0</v>
      </c>
      <c r="L1352" s="209" t="s">
        <v>675</v>
      </c>
      <c r="M1352" s="198">
        <f t="shared" si="161"/>
        <v>0</v>
      </c>
      <c r="N1352" s="198">
        <f>'02 项目基础信息（输入）'!$C$51</f>
        <v>0</v>
      </c>
      <c r="O1352" s="198">
        <f t="shared" si="158"/>
        <v>0</v>
      </c>
      <c r="P1352" s="198">
        <f>'02 项目基础信息（输入）'!$I$51</f>
        <v>0</v>
      </c>
      <c r="Q1352" s="233">
        <f t="shared" si="159"/>
        <v>0</v>
      </c>
      <c r="S1352" s="217"/>
      <c r="U1352" s="220" t="s">
        <v>3141</v>
      </c>
    </row>
    <row r="1353" spans="1:21" ht="0" hidden="1" customHeight="1" outlineLevel="4">
      <c r="A1353" s="192" t="s">
        <v>2140</v>
      </c>
      <c r="B1353" s="192"/>
      <c r="C1353" s="197" t="s">
        <v>2130</v>
      </c>
      <c r="D1353" s="198">
        <f>'02 项目基础信息（输入）'!$K$51</f>
        <v>0</v>
      </c>
      <c r="E1353" s="199" t="s">
        <v>411</v>
      </c>
      <c r="F1353" s="197" t="s">
        <v>457</v>
      </c>
      <c r="G1353" s="235">
        <f>'02 项目基础信息（输入）'!$L$51</f>
        <v>0</v>
      </c>
      <c r="H1353" s="199" t="s">
        <v>400</v>
      </c>
      <c r="I1353" s="198">
        <f t="shared" si="160"/>
        <v>0</v>
      </c>
      <c r="J1353" s="199" t="s">
        <v>93</v>
      </c>
      <c r="K1353" s="188">
        <v>0</v>
      </c>
      <c r="L1353" s="209" t="s">
        <v>675</v>
      </c>
      <c r="M1353" s="198">
        <f t="shared" si="161"/>
        <v>0</v>
      </c>
      <c r="N1353" s="198">
        <f>'02 项目基础信息（输入）'!$C$51</f>
        <v>0</v>
      </c>
      <c r="O1353" s="198">
        <f t="shared" si="158"/>
        <v>0</v>
      </c>
      <c r="P1353" s="198">
        <f>'02 项目基础信息（输入）'!$I$51</f>
        <v>0</v>
      </c>
      <c r="Q1353" s="233">
        <f t="shared" si="159"/>
        <v>0</v>
      </c>
      <c r="S1353" s="217"/>
      <c r="U1353" s="220" t="s">
        <v>3142</v>
      </c>
    </row>
    <row r="1354" spans="1:21" ht="0" hidden="1" customHeight="1" outlineLevel="4">
      <c r="A1354" s="192" t="s">
        <v>2142</v>
      </c>
      <c r="B1354" s="192"/>
      <c r="C1354" s="197" t="s">
        <v>2130</v>
      </c>
      <c r="D1354" s="198">
        <f>'02 项目基础信息（输入）'!$K$51</f>
        <v>0</v>
      </c>
      <c r="E1354" s="199" t="s">
        <v>411</v>
      </c>
      <c r="F1354" s="197" t="s">
        <v>457</v>
      </c>
      <c r="G1354" s="235">
        <f>'02 项目基础信息（输入）'!$L$51</f>
        <v>0</v>
      </c>
      <c r="H1354" s="199" t="s">
        <v>400</v>
      </c>
      <c r="I1354" s="198">
        <f t="shared" si="160"/>
        <v>0</v>
      </c>
      <c r="J1354" s="199" t="s">
        <v>93</v>
      </c>
      <c r="K1354" s="188">
        <v>0</v>
      </c>
      <c r="L1354" s="209" t="s">
        <v>675</v>
      </c>
      <c r="M1354" s="198">
        <f t="shared" si="161"/>
        <v>0</v>
      </c>
      <c r="N1354" s="198">
        <f>'02 项目基础信息（输入）'!$C$51</f>
        <v>0</v>
      </c>
      <c r="O1354" s="198">
        <f t="shared" si="158"/>
        <v>0</v>
      </c>
      <c r="P1354" s="198">
        <f>'02 项目基础信息（输入）'!$I$51</f>
        <v>0</v>
      </c>
      <c r="Q1354" s="233">
        <f t="shared" si="159"/>
        <v>0</v>
      </c>
      <c r="S1354" s="217"/>
      <c r="U1354" s="220" t="s">
        <v>3143</v>
      </c>
    </row>
    <row r="1355" spans="1:21" ht="0" hidden="1" customHeight="1" outlineLevel="4">
      <c r="A1355" s="192" t="s">
        <v>2144</v>
      </c>
      <c r="B1355" s="192"/>
      <c r="C1355" s="197" t="s">
        <v>2130</v>
      </c>
      <c r="D1355" s="198">
        <f>'02 项目基础信息（输入）'!$K$51</f>
        <v>0</v>
      </c>
      <c r="E1355" s="199" t="s">
        <v>411</v>
      </c>
      <c r="F1355" s="197" t="s">
        <v>457</v>
      </c>
      <c r="G1355" s="235">
        <f>'02 项目基础信息（输入）'!$L$51</f>
        <v>0</v>
      </c>
      <c r="H1355" s="199" t="s">
        <v>400</v>
      </c>
      <c r="I1355" s="198">
        <f t="shared" si="160"/>
        <v>0</v>
      </c>
      <c r="J1355" s="199" t="s">
        <v>93</v>
      </c>
      <c r="K1355" s="188">
        <v>0</v>
      </c>
      <c r="L1355" s="209" t="s">
        <v>675</v>
      </c>
      <c r="M1355" s="198">
        <f t="shared" si="161"/>
        <v>0</v>
      </c>
      <c r="N1355" s="198">
        <f>'02 项目基础信息（输入）'!$C$51</f>
        <v>0</v>
      </c>
      <c r="O1355" s="198">
        <f t="shared" si="158"/>
        <v>0</v>
      </c>
      <c r="P1355" s="198">
        <f>'02 项目基础信息（输入）'!$I$51</f>
        <v>0</v>
      </c>
      <c r="Q1355" s="233">
        <f t="shared" si="159"/>
        <v>0</v>
      </c>
      <c r="S1355" s="217"/>
      <c r="U1355" s="220" t="s">
        <v>3144</v>
      </c>
    </row>
    <row r="1356" spans="1:21" ht="0" hidden="1" customHeight="1" outlineLevel="3">
      <c r="A1356" s="192" t="s">
        <v>2146</v>
      </c>
      <c r="B1356" s="192"/>
      <c r="C1356" s="197" t="s">
        <v>455</v>
      </c>
      <c r="D1356" s="198">
        <f>'02 项目基础信息（输入）'!$J$51</f>
        <v>0</v>
      </c>
      <c r="E1356" s="199" t="s">
        <v>400</v>
      </c>
      <c r="F1356" s="197" t="s">
        <v>455</v>
      </c>
      <c r="G1356" s="199">
        <v>1</v>
      </c>
      <c r="H1356" s="199" t="s">
        <v>1748</v>
      </c>
      <c r="I1356" s="198">
        <f t="shared" si="160"/>
        <v>0</v>
      </c>
      <c r="J1356" s="199" t="s">
        <v>400</v>
      </c>
      <c r="K1356" s="188">
        <v>0</v>
      </c>
      <c r="L1356" s="209" t="s">
        <v>1749</v>
      </c>
      <c r="M1356" s="198">
        <f t="shared" si="161"/>
        <v>0</v>
      </c>
      <c r="N1356" s="198">
        <f>'02 项目基础信息（输入）'!$C$51</f>
        <v>0</v>
      </c>
      <c r="O1356" s="198">
        <f t="shared" si="158"/>
        <v>0</v>
      </c>
      <c r="P1356" s="198">
        <f>'02 项目基础信息（输入）'!$I$51</f>
        <v>0</v>
      </c>
      <c r="Q1356" s="233">
        <f t="shared" si="159"/>
        <v>0</v>
      </c>
      <c r="S1356" s="217"/>
      <c r="U1356" s="220" t="s">
        <v>3145</v>
      </c>
    </row>
    <row r="1357" spans="1:21" ht="0" hidden="1" customHeight="1" outlineLevel="3">
      <c r="A1357" s="192" t="s">
        <v>2148</v>
      </c>
      <c r="B1357" s="192"/>
      <c r="C1357" s="197" t="s">
        <v>309</v>
      </c>
      <c r="D1357" s="198">
        <f>'02 项目基础信息（输入）'!$AC$51</f>
        <v>0</v>
      </c>
      <c r="E1357" s="199" t="s">
        <v>310</v>
      </c>
      <c r="F1357" s="197" t="s">
        <v>2149</v>
      </c>
      <c r="G1357" s="199">
        <v>1</v>
      </c>
      <c r="H1357" s="199" t="s">
        <v>2150</v>
      </c>
      <c r="I1357" s="198">
        <f t="shared" si="160"/>
        <v>0</v>
      </c>
      <c r="J1357" s="199" t="s">
        <v>400</v>
      </c>
      <c r="K1357" s="188">
        <v>0</v>
      </c>
      <c r="L1357" s="209" t="s">
        <v>1749</v>
      </c>
      <c r="M1357" s="207">
        <f t="shared" si="161"/>
        <v>0</v>
      </c>
      <c r="N1357" s="198">
        <f>'02 项目基础信息（输入）'!$C$51</f>
        <v>0</v>
      </c>
      <c r="O1357" s="198">
        <f t="shared" si="158"/>
        <v>0</v>
      </c>
      <c r="P1357" s="198">
        <f>'02 项目基础信息（输入）'!$I$51</f>
        <v>0</v>
      </c>
      <c r="Q1357" s="233">
        <f t="shared" si="159"/>
        <v>0</v>
      </c>
      <c r="S1357" s="217"/>
      <c r="U1357" s="220" t="s">
        <v>3146</v>
      </c>
    </row>
    <row r="1358" spans="1:21" ht="0" hidden="1" customHeight="1" outlineLevel="3">
      <c r="A1358" s="192" t="s">
        <v>1868</v>
      </c>
      <c r="B1358" s="192"/>
      <c r="C1358" s="197" t="s">
        <v>1609</v>
      </c>
      <c r="D1358" s="198">
        <f>'02 项目基础信息（输入）'!$C$51</f>
        <v>0</v>
      </c>
      <c r="E1358" s="199" t="s">
        <v>93</v>
      </c>
      <c r="F1358" s="197" t="s">
        <v>1648</v>
      </c>
      <c r="G1358" s="82">
        <v>0</v>
      </c>
      <c r="H1358" s="199" t="s">
        <v>298</v>
      </c>
      <c r="I1358" s="198">
        <f t="shared" si="160"/>
        <v>0</v>
      </c>
      <c r="J1358" s="199" t="s">
        <v>93</v>
      </c>
      <c r="K1358" s="188">
        <v>0</v>
      </c>
      <c r="L1358" s="209" t="s">
        <v>675</v>
      </c>
      <c r="M1358" s="207">
        <f t="shared" si="161"/>
        <v>0</v>
      </c>
      <c r="N1358" s="198">
        <f>'02 项目基础信息（输入）'!$C$51</f>
        <v>0</v>
      </c>
      <c r="O1358" s="198">
        <f t="shared" si="158"/>
        <v>0</v>
      </c>
      <c r="P1358" s="198">
        <f>'02 项目基础信息（输入）'!$I$51</f>
        <v>0</v>
      </c>
      <c r="Q1358" s="233">
        <f t="shared" si="159"/>
        <v>0</v>
      </c>
      <c r="S1358" s="217"/>
      <c r="U1358" s="220" t="s">
        <v>3147</v>
      </c>
    </row>
    <row r="1359" spans="1:21" ht="0" hidden="1" customHeight="1" outlineLevel="2">
      <c r="A1359" s="192" t="s">
        <v>1870</v>
      </c>
      <c r="B1359" s="192"/>
      <c r="C1359" s="197" t="s">
        <v>1609</v>
      </c>
      <c r="D1359" s="198">
        <f>'02 项目基础信息（输入）'!$C$51</f>
        <v>0</v>
      </c>
      <c r="E1359" s="199" t="s">
        <v>93</v>
      </c>
      <c r="F1359" s="197"/>
      <c r="G1359" s="199"/>
      <c r="H1359" s="199"/>
      <c r="I1359" s="197"/>
      <c r="J1359" s="199"/>
      <c r="K1359" s="198"/>
      <c r="L1359" s="209"/>
      <c r="M1359" s="198">
        <f>ROUND(SUM(M1360),6)</f>
        <v>0</v>
      </c>
      <c r="N1359" s="198">
        <f>'02 项目基础信息（输入）'!$C$51</f>
        <v>0</v>
      </c>
      <c r="O1359" s="198">
        <f t="shared" si="158"/>
        <v>0</v>
      </c>
      <c r="P1359" s="198">
        <f>'02 项目基础信息（输入）'!$I$51</f>
        <v>0</v>
      </c>
      <c r="Q1359" s="233">
        <f t="shared" si="159"/>
        <v>0</v>
      </c>
      <c r="S1359" s="217" t="s">
        <v>1313</v>
      </c>
      <c r="U1359" s="220" t="s">
        <v>3148</v>
      </c>
    </row>
    <row r="1360" spans="1:21" ht="0" hidden="1" customHeight="1" outlineLevel="3">
      <c r="A1360" s="192" t="s">
        <v>1872</v>
      </c>
      <c r="B1360" s="192"/>
      <c r="C1360" s="197" t="s">
        <v>460</v>
      </c>
      <c r="D1360" s="198">
        <f>'02 项目基础信息（输入）'!$O$51</f>
        <v>0</v>
      </c>
      <c r="E1360" s="199" t="s">
        <v>400</v>
      </c>
      <c r="F1360" s="197" t="s">
        <v>460</v>
      </c>
      <c r="G1360" s="199">
        <v>1</v>
      </c>
      <c r="H1360" s="199" t="s">
        <v>1873</v>
      </c>
      <c r="I1360" s="198">
        <f>G1360*D1360</f>
        <v>0</v>
      </c>
      <c r="J1360" s="199" t="s">
        <v>1052</v>
      </c>
      <c r="K1360" s="188">
        <v>0</v>
      </c>
      <c r="L1360" s="209" t="s">
        <v>746</v>
      </c>
      <c r="M1360" s="207">
        <f>ROUND(K1360*I1360/10000,6)</f>
        <v>0</v>
      </c>
      <c r="N1360" s="198">
        <f>'02 项目基础信息（输入）'!$C$51</f>
        <v>0</v>
      </c>
      <c r="O1360" s="198">
        <f t="shared" si="158"/>
        <v>0</v>
      </c>
      <c r="P1360" s="198">
        <f>'02 项目基础信息（输入）'!$I$51</f>
        <v>0</v>
      </c>
      <c r="Q1360" s="233">
        <f t="shared" si="159"/>
        <v>0</v>
      </c>
      <c r="S1360" s="217"/>
      <c r="U1360" s="220" t="s">
        <v>3149</v>
      </c>
    </row>
    <row r="1361" spans="1:21" ht="0" hidden="1" customHeight="1" outlineLevel="2">
      <c r="A1361" s="192" t="s">
        <v>1875</v>
      </c>
      <c r="B1361" s="192"/>
      <c r="C1361" s="197" t="s">
        <v>1609</v>
      </c>
      <c r="D1361" s="198">
        <f>'02 项目基础信息（输入）'!$C$51</f>
        <v>0</v>
      </c>
      <c r="E1361" s="199" t="s">
        <v>93</v>
      </c>
      <c r="F1361" s="197"/>
      <c r="G1361" s="199"/>
      <c r="H1361" s="199"/>
      <c r="I1361" s="197"/>
      <c r="J1361" s="199"/>
      <c r="K1361" s="198"/>
      <c r="L1361" s="209"/>
      <c r="M1361" s="198">
        <f>ROUND(SUM(M1362:M1364),6)</f>
        <v>0</v>
      </c>
      <c r="N1361" s="198">
        <f>'02 项目基础信息（输入）'!$C$51</f>
        <v>0</v>
      </c>
      <c r="O1361" s="198">
        <f t="shared" si="158"/>
        <v>0</v>
      </c>
      <c r="P1361" s="198">
        <f>'02 项目基础信息（输入）'!$I$51</f>
        <v>0</v>
      </c>
      <c r="Q1361" s="233">
        <f t="shared" si="159"/>
        <v>0</v>
      </c>
      <c r="S1361" s="217" t="s">
        <v>1313</v>
      </c>
      <c r="U1361" s="220" t="s">
        <v>3150</v>
      </c>
    </row>
    <row r="1362" spans="1:21" ht="0" hidden="1" customHeight="1" outlineLevel="3">
      <c r="A1362" s="192" t="s">
        <v>1877</v>
      </c>
      <c r="B1362" s="192"/>
      <c r="C1362" s="197" t="s">
        <v>1609</v>
      </c>
      <c r="D1362" s="198">
        <f>'02 项目基础信息（输入）'!$C$51</f>
        <v>0</v>
      </c>
      <c r="E1362" s="199" t="s">
        <v>93</v>
      </c>
      <c r="F1362" s="197" t="s">
        <v>694</v>
      </c>
      <c r="G1362" s="82"/>
      <c r="H1362" s="199" t="s">
        <v>298</v>
      </c>
      <c r="I1362" s="198">
        <f>G1362*D1362</f>
        <v>0</v>
      </c>
      <c r="J1362" s="199" t="s">
        <v>93</v>
      </c>
      <c r="K1362" s="188">
        <v>0</v>
      </c>
      <c r="L1362" s="209" t="s">
        <v>675</v>
      </c>
      <c r="M1362" s="207">
        <f>ROUND(K1362*I1362/10000,6)</f>
        <v>0</v>
      </c>
      <c r="N1362" s="198">
        <f>'02 项目基础信息（输入）'!$C$51</f>
        <v>0</v>
      </c>
      <c r="O1362" s="198">
        <f t="shared" si="158"/>
        <v>0</v>
      </c>
      <c r="P1362" s="198">
        <f>'02 项目基础信息（输入）'!$I$51</f>
        <v>0</v>
      </c>
      <c r="Q1362" s="233">
        <f t="shared" si="159"/>
        <v>0</v>
      </c>
      <c r="S1362" s="217"/>
      <c r="U1362" s="220" t="s">
        <v>3151</v>
      </c>
    </row>
    <row r="1363" spans="1:21" ht="0" hidden="1" customHeight="1" outlineLevel="3">
      <c r="A1363" s="192" t="s">
        <v>1879</v>
      </c>
      <c r="B1363" s="192"/>
      <c r="C1363" s="197" t="s">
        <v>1609</v>
      </c>
      <c r="D1363" s="198">
        <f>'02 项目基础信息（输入）'!$C$51</f>
        <v>0</v>
      </c>
      <c r="E1363" s="199" t="s">
        <v>93</v>
      </c>
      <c r="F1363" s="197" t="s">
        <v>694</v>
      </c>
      <c r="G1363" s="82"/>
      <c r="H1363" s="199" t="s">
        <v>298</v>
      </c>
      <c r="I1363" s="198">
        <f>G1363*D1363</f>
        <v>0</v>
      </c>
      <c r="J1363" s="199" t="s">
        <v>93</v>
      </c>
      <c r="K1363" s="188">
        <v>0</v>
      </c>
      <c r="L1363" s="209" t="s">
        <v>675</v>
      </c>
      <c r="M1363" s="207">
        <f>ROUND(K1363*I1363/10000,6)</f>
        <v>0</v>
      </c>
      <c r="N1363" s="198">
        <f>'02 项目基础信息（输入）'!$C$51</f>
        <v>0</v>
      </c>
      <c r="O1363" s="198">
        <f t="shared" si="158"/>
        <v>0</v>
      </c>
      <c r="P1363" s="198">
        <f>'02 项目基础信息（输入）'!$I$51</f>
        <v>0</v>
      </c>
      <c r="Q1363" s="233">
        <f t="shared" si="159"/>
        <v>0</v>
      </c>
      <c r="S1363" s="217"/>
      <c r="U1363" s="220" t="s">
        <v>3152</v>
      </c>
    </row>
    <row r="1364" spans="1:21" ht="0" hidden="1" customHeight="1" outlineLevel="3">
      <c r="A1364" s="192" t="s">
        <v>1881</v>
      </c>
      <c r="B1364" s="192"/>
      <c r="C1364" s="197" t="s">
        <v>1609</v>
      </c>
      <c r="D1364" s="198">
        <f>'02 项目基础信息（输入）'!$C$51</f>
        <v>0</v>
      </c>
      <c r="E1364" s="199" t="s">
        <v>93</v>
      </c>
      <c r="F1364" s="197" t="s">
        <v>694</v>
      </c>
      <c r="G1364" s="82"/>
      <c r="H1364" s="199" t="s">
        <v>298</v>
      </c>
      <c r="I1364" s="198">
        <f>G1364*D1364</f>
        <v>0</v>
      </c>
      <c r="J1364" s="199" t="s">
        <v>93</v>
      </c>
      <c r="K1364" s="188">
        <v>0</v>
      </c>
      <c r="L1364" s="209" t="s">
        <v>675</v>
      </c>
      <c r="M1364" s="207">
        <f>ROUND(K1364*I1364/10000,6)</f>
        <v>0</v>
      </c>
      <c r="N1364" s="198">
        <f>'02 项目基础信息（输入）'!$C$51</f>
        <v>0</v>
      </c>
      <c r="O1364" s="198">
        <f t="shared" si="158"/>
        <v>0</v>
      </c>
      <c r="P1364" s="198">
        <f>'02 项目基础信息（输入）'!$I$51</f>
        <v>0</v>
      </c>
      <c r="Q1364" s="233">
        <f t="shared" si="159"/>
        <v>0</v>
      </c>
      <c r="S1364" s="217"/>
      <c r="U1364" s="220" t="s">
        <v>3153</v>
      </c>
    </row>
    <row r="1365" spans="1:21" ht="0" hidden="1" customHeight="1" outlineLevel="2">
      <c r="A1365" s="192" t="s">
        <v>2159</v>
      </c>
      <c r="B1365" s="192"/>
      <c r="C1365" s="197" t="s">
        <v>1609</v>
      </c>
      <c r="D1365" s="198">
        <f>'02 项目基础信息（输入）'!$C$51</f>
        <v>0</v>
      </c>
      <c r="E1365" s="199" t="s">
        <v>93</v>
      </c>
      <c r="F1365" s="197"/>
      <c r="G1365" s="199"/>
      <c r="H1365" s="199"/>
      <c r="I1365" s="197"/>
      <c r="J1365" s="199"/>
      <c r="K1365" s="198"/>
      <c r="L1365" s="209"/>
      <c r="M1365" s="198">
        <f>ROUND(SUM(M1366),6)</f>
        <v>0</v>
      </c>
      <c r="N1365" s="198">
        <f>'02 项目基础信息（输入）'!$C$51</f>
        <v>0</v>
      </c>
      <c r="O1365" s="198">
        <f t="shared" si="158"/>
        <v>0</v>
      </c>
      <c r="P1365" s="198">
        <f>'02 项目基础信息（输入）'!$I$51</f>
        <v>0</v>
      </c>
      <c r="Q1365" s="233">
        <f t="shared" si="159"/>
        <v>0</v>
      </c>
      <c r="S1365" s="217" t="s">
        <v>1313</v>
      </c>
      <c r="U1365" s="220" t="s">
        <v>3154</v>
      </c>
    </row>
    <row r="1366" spans="1:21" ht="0" hidden="1" customHeight="1" outlineLevel="3">
      <c r="A1366" s="192" t="s">
        <v>2161</v>
      </c>
      <c r="B1366" s="192"/>
      <c r="C1366" s="197" t="s">
        <v>1609</v>
      </c>
      <c r="D1366" s="198">
        <f>'02 项目基础信息（输入）'!$C$51</f>
        <v>0</v>
      </c>
      <c r="E1366" s="199" t="s">
        <v>93</v>
      </c>
      <c r="F1366" s="197" t="s">
        <v>1886</v>
      </c>
      <c r="G1366" s="199">
        <v>1</v>
      </c>
      <c r="H1366" s="199" t="s">
        <v>298</v>
      </c>
      <c r="I1366" s="198">
        <f>G1366*D1366</f>
        <v>0</v>
      </c>
      <c r="J1366" s="199" t="s">
        <v>93</v>
      </c>
      <c r="K1366" s="188">
        <v>0</v>
      </c>
      <c r="L1366" s="209" t="s">
        <v>675</v>
      </c>
      <c r="M1366" s="207">
        <f>ROUND(K1366*I1366/10000,6)</f>
        <v>0</v>
      </c>
      <c r="N1366" s="198">
        <f>'02 项目基础信息（输入）'!$C$51</f>
        <v>0</v>
      </c>
      <c r="O1366" s="198">
        <f t="shared" si="158"/>
        <v>0</v>
      </c>
      <c r="P1366" s="198">
        <f>'02 项目基础信息（输入）'!$I$51</f>
        <v>0</v>
      </c>
      <c r="Q1366" s="233">
        <f t="shared" si="159"/>
        <v>0</v>
      </c>
      <c r="S1366" s="217"/>
      <c r="U1366" s="220" t="s">
        <v>3155</v>
      </c>
    </row>
    <row r="1367" spans="1:21" ht="0" hidden="1" customHeight="1" outlineLevel="2">
      <c r="A1367" s="192" t="s">
        <v>1883</v>
      </c>
      <c r="B1367" s="192"/>
      <c r="C1367" s="197" t="s">
        <v>1609</v>
      </c>
      <c r="D1367" s="198">
        <f>'02 项目基础信息（输入）'!$C$51</f>
        <v>0</v>
      </c>
      <c r="E1367" s="199" t="s">
        <v>93</v>
      </c>
      <c r="F1367" s="197"/>
      <c r="G1367" s="199"/>
      <c r="H1367" s="199"/>
      <c r="I1367" s="197"/>
      <c r="J1367" s="199"/>
      <c r="K1367" s="198"/>
      <c r="L1367" s="209"/>
      <c r="M1367" s="198">
        <f>ROUND(SUM(M1368),6)</f>
        <v>0</v>
      </c>
      <c r="N1367" s="198">
        <f>'02 项目基础信息（输入）'!$C$51</f>
        <v>0</v>
      </c>
      <c r="O1367" s="198">
        <f t="shared" si="158"/>
        <v>0</v>
      </c>
      <c r="P1367" s="198">
        <f>'02 项目基础信息（输入）'!$I$51</f>
        <v>0</v>
      </c>
      <c r="Q1367" s="233">
        <f t="shared" si="159"/>
        <v>0</v>
      </c>
      <c r="S1367" s="217" t="s">
        <v>1313</v>
      </c>
      <c r="U1367" s="220" t="s">
        <v>3156</v>
      </c>
    </row>
    <row r="1368" spans="1:21" ht="0" hidden="1" customHeight="1" outlineLevel="3">
      <c r="A1368" s="192" t="s">
        <v>1885</v>
      </c>
      <c r="B1368" s="192"/>
      <c r="C1368" s="197" t="s">
        <v>1609</v>
      </c>
      <c r="D1368" s="198">
        <f>'02 项目基础信息（输入）'!$C$51</f>
        <v>0</v>
      </c>
      <c r="E1368" s="199" t="s">
        <v>93</v>
      </c>
      <c r="F1368" s="197" t="s">
        <v>1886</v>
      </c>
      <c r="G1368" s="199">
        <v>1</v>
      </c>
      <c r="H1368" s="199" t="s">
        <v>298</v>
      </c>
      <c r="I1368" s="198">
        <f>G1368*D1368</f>
        <v>0</v>
      </c>
      <c r="J1368" s="199" t="s">
        <v>93</v>
      </c>
      <c r="K1368" s="188">
        <v>0</v>
      </c>
      <c r="L1368" s="209" t="s">
        <v>675</v>
      </c>
      <c r="M1368" s="207">
        <f>ROUND(K1368*I1368/10000,6)</f>
        <v>0</v>
      </c>
      <c r="N1368" s="198">
        <f>'02 项目基础信息（输入）'!$C$51</f>
        <v>0</v>
      </c>
      <c r="O1368" s="198">
        <f t="shared" si="158"/>
        <v>0</v>
      </c>
      <c r="P1368" s="198">
        <f>'02 项目基础信息（输入）'!$I$51</f>
        <v>0</v>
      </c>
      <c r="Q1368" s="233">
        <f t="shared" si="159"/>
        <v>0</v>
      </c>
      <c r="S1368" s="217"/>
      <c r="U1368" s="220" t="s">
        <v>3157</v>
      </c>
    </row>
    <row r="1369" spans="1:21" ht="0" hidden="1" customHeight="1" outlineLevel="2">
      <c r="A1369" s="192" t="s">
        <v>1888</v>
      </c>
      <c r="B1369" s="192"/>
      <c r="C1369" s="197" t="s">
        <v>1609</v>
      </c>
      <c r="D1369" s="198">
        <f>'02 项目基础信息（输入）'!$C$51</f>
        <v>0</v>
      </c>
      <c r="E1369" s="199" t="s">
        <v>93</v>
      </c>
      <c r="F1369" s="197"/>
      <c r="G1369" s="199"/>
      <c r="H1369" s="199"/>
      <c r="I1369" s="197"/>
      <c r="J1369" s="199"/>
      <c r="K1369" s="198"/>
      <c r="L1369" s="209"/>
      <c r="M1369" s="198">
        <f>ROUND(SUM(M1370:M1374),6)</f>
        <v>0</v>
      </c>
      <c r="N1369" s="198">
        <f>'02 项目基础信息（输入）'!$C$51</f>
        <v>0</v>
      </c>
      <c r="O1369" s="198">
        <f t="shared" si="158"/>
        <v>0</v>
      </c>
      <c r="P1369" s="198">
        <f>'02 项目基础信息（输入）'!$I$51</f>
        <v>0</v>
      </c>
      <c r="Q1369" s="233">
        <f t="shared" si="159"/>
        <v>0</v>
      </c>
      <c r="S1369" s="217" t="s">
        <v>1313</v>
      </c>
      <c r="U1369" s="220" t="s">
        <v>3158</v>
      </c>
    </row>
    <row r="1370" spans="1:21" ht="0" hidden="1" customHeight="1" outlineLevel="3">
      <c r="A1370" s="192" t="s">
        <v>1890</v>
      </c>
      <c r="B1370" s="192"/>
      <c r="C1370" s="197" t="s">
        <v>1609</v>
      </c>
      <c r="D1370" s="198">
        <f>'02 项目基础信息（输入）'!$C$51</f>
        <v>0</v>
      </c>
      <c r="E1370" s="199" t="s">
        <v>93</v>
      </c>
      <c r="F1370" s="197" t="s">
        <v>1886</v>
      </c>
      <c r="G1370" s="199">
        <v>1</v>
      </c>
      <c r="H1370" s="199" t="s">
        <v>298</v>
      </c>
      <c r="I1370" s="198">
        <f>G1370*D1370</f>
        <v>0</v>
      </c>
      <c r="J1370" s="199" t="s">
        <v>93</v>
      </c>
      <c r="K1370" s="188">
        <v>0</v>
      </c>
      <c r="L1370" s="209" t="s">
        <v>675</v>
      </c>
      <c r="M1370" s="207">
        <f>ROUND(K1370*I1370/10000,6)</f>
        <v>0</v>
      </c>
      <c r="N1370" s="198">
        <f>'02 项目基础信息（输入）'!$C$51</f>
        <v>0</v>
      </c>
      <c r="O1370" s="198">
        <f t="shared" si="158"/>
        <v>0</v>
      </c>
      <c r="P1370" s="198">
        <f>'02 项目基础信息（输入）'!$I$51</f>
        <v>0</v>
      </c>
      <c r="Q1370" s="233">
        <f t="shared" si="159"/>
        <v>0</v>
      </c>
      <c r="S1370" s="217"/>
      <c r="U1370" s="220" t="s">
        <v>3159</v>
      </c>
    </row>
    <row r="1371" spans="1:21" ht="0" hidden="1" customHeight="1" outlineLevel="3">
      <c r="A1371" s="192" t="s">
        <v>1892</v>
      </c>
      <c r="B1371" s="192"/>
      <c r="C1371" s="197" t="s">
        <v>1609</v>
      </c>
      <c r="D1371" s="198">
        <f>'02 项目基础信息（输入）'!$C$51</f>
        <v>0</v>
      </c>
      <c r="E1371" s="199" t="s">
        <v>93</v>
      </c>
      <c r="F1371" s="197" t="s">
        <v>1886</v>
      </c>
      <c r="G1371" s="199">
        <v>1</v>
      </c>
      <c r="H1371" s="199" t="s">
        <v>298</v>
      </c>
      <c r="I1371" s="198">
        <f>G1371*D1371</f>
        <v>0</v>
      </c>
      <c r="J1371" s="199" t="s">
        <v>93</v>
      </c>
      <c r="K1371" s="188">
        <v>0</v>
      </c>
      <c r="L1371" s="209" t="s">
        <v>675</v>
      </c>
      <c r="M1371" s="207">
        <f>ROUND(K1371*I1371/10000,6)</f>
        <v>0</v>
      </c>
      <c r="N1371" s="198">
        <f>'02 项目基础信息（输入）'!$C$51</f>
        <v>0</v>
      </c>
      <c r="O1371" s="198">
        <f t="shared" si="158"/>
        <v>0</v>
      </c>
      <c r="P1371" s="198">
        <f>'02 项目基础信息（输入）'!$I$51</f>
        <v>0</v>
      </c>
      <c r="Q1371" s="233">
        <f t="shared" si="159"/>
        <v>0</v>
      </c>
      <c r="S1371" s="217"/>
      <c r="U1371" s="220" t="s">
        <v>3160</v>
      </c>
    </row>
    <row r="1372" spans="1:21" ht="0" hidden="1" customHeight="1" outlineLevel="3">
      <c r="A1372" s="192" t="s">
        <v>1894</v>
      </c>
      <c r="B1372" s="192"/>
      <c r="C1372" s="197" t="s">
        <v>1609</v>
      </c>
      <c r="D1372" s="198">
        <f>'02 项目基础信息（输入）'!$C$51</f>
        <v>0</v>
      </c>
      <c r="E1372" s="199" t="s">
        <v>93</v>
      </c>
      <c r="F1372" s="197" t="s">
        <v>1886</v>
      </c>
      <c r="G1372" s="199">
        <v>1</v>
      </c>
      <c r="H1372" s="199" t="s">
        <v>298</v>
      </c>
      <c r="I1372" s="198">
        <f>G1372*D1372</f>
        <v>0</v>
      </c>
      <c r="J1372" s="199" t="s">
        <v>93</v>
      </c>
      <c r="K1372" s="188">
        <v>0</v>
      </c>
      <c r="L1372" s="209" t="s">
        <v>675</v>
      </c>
      <c r="M1372" s="207">
        <f>ROUND(K1372*I1372/10000,6)</f>
        <v>0</v>
      </c>
      <c r="N1372" s="198">
        <f>'02 项目基础信息（输入）'!$C$51</f>
        <v>0</v>
      </c>
      <c r="O1372" s="198">
        <f t="shared" si="158"/>
        <v>0</v>
      </c>
      <c r="P1372" s="198">
        <f>'02 项目基础信息（输入）'!$I$51</f>
        <v>0</v>
      </c>
      <c r="Q1372" s="233">
        <f t="shared" si="159"/>
        <v>0</v>
      </c>
      <c r="S1372" s="217"/>
      <c r="U1372" s="220" t="s">
        <v>3161</v>
      </c>
    </row>
    <row r="1373" spans="1:21" ht="0" hidden="1" customHeight="1" outlineLevel="3">
      <c r="A1373" s="192" t="s">
        <v>1896</v>
      </c>
      <c r="B1373" s="192"/>
      <c r="C1373" s="197" t="s">
        <v>1609</v>
      </c>
      <c r="D1373" s="198">
        <f>'02 项目基础信息（输入）'!$C$51</f>
        <v>0</v>
      </c>
      <c r="E1373" s="199" t="s">
        <v>93</v>
      </c>
      <c r="F1373" s="197" t="s">
        <v>1886</v>
      </c>
      <c r="G1373" s="199">
        <v>1</v>
      </c>
      <c r="H1373" s="199" t="s">
        <v>298</v>
      </c>
      <c r="I1373" s="198">
        <f>G1373*D1373</f>
        <v>0</v>
      </c>
      <c r="J1373" s="199" t="s">
        <v>93</v>
      </c>
      <c r="K1373" s="188">
        <v>0</v>
      </c>
      <c r="L1373" s="209" t="s">
        <v>675</v>
      </c>
      <c r="M1373" s="207">
        <f>ROUND(K1373*I1373/10000,6)</f>
        <v>0</v>
      </c>
      <c r="N1373" s="198">
        <f>'02 项目基础信息（输入）'!$C$51</f>
        <v>0</v>
      </c>
      <c r="O1373" s="198">
        <f t="shared" si="158"/>
        <v>0</v>
      </c>
      <c r="P1373" s="198">
        <f>'02 项目基础信息（输入）'!$I$51</f>
        <v>0</v>
      </c>
      <c r="Q1373" s="233">
        <f t="shared" si="159"/>
        <v>0</v>
      </c>
      <c r="S1373" s="217"/>
      <c r="U1373" s="220" t="s">
        <v>3162</v>
      </c>
    </row>
    <row r="1374" spans="1:21" ht="0" hidden="1" customHeight="1" outlineLevel="3">
      <c r="A1374" s="192" t="s">
        <v>1898</v>
      </c>
      <c r="B1374" s="192"/>
      <c r="C1374" s="197" t="s">
        <v>1609</v>
      </c>
      <c r="D1374" s="198">
        <f>'02 项目基础信息（输入）'!$C$51</f>
        <v>0</v>
      </c>
      <c r="E1374" s="199" t="s">
        <v>93</v>
      </c>
      <c r="F1374" s="197" t="s">
        <v>1886</v>
      </c>
      <c r="G1374" s="199">
        <v>1</v>
      </c>
      <c r="H1374" s="199" t="s">
        <v>298</v>
      </c>
      <c r="I1374" s="198">
        <f>G1374*D1374</f>
        <v>0</v>
      </c>
      <c r="J1374" s="199" t="s">
        <v>93</v>
      </c>
      <c r="K1374" s="188">
        <v>0</v>
      </c>
      <c r="L1374" s="209" t="s">
        <v>675</v>
      </c>
      <c r="M1374" s="207">
        <f>ROUND(K1374*I1374/10000,6)</f>
        <v>0</v>
      </c>
      <c r="N1374" s="198">
        <f>'02 项目基础信息（输入）'!$C$51</f>
        <v>0</v>
      </c>
      <c r="O1374" s="198">
        <f t="shared" si="158"/>
        <v>0</v>
      </c>
      <c r="P1374" s="198">
        <f>'02 项目基础信息（输入）'!$I$51</f>
        <v>0</v>
      </c>
      <c r="Q1374" s="233">
        <f t="shared" si="159"/>
        <v>0</v>
      </c>
      <c r="S1374" s="217"/>
      <c r="U1374" s="220" t="s">
        <v>3163</v>
      </c>
    </row>
    <row r="1375" spans="1:21" ht="0" hidden="1" customHeight="1" outlineLevel="2">
      <c r="A1375" s="192" t="s">
        <v>1900</v>
      </c>
      <c r="B1375" s="192"/>
      <c r="C1375" s="197" t="s">
        <v>1609</v>
      </c>
      <c r="D1375" s="198">
        <f>'02 项目基础信息（输入）'!$C$51</f>
        <v>0</v>
      </c>
      <c r="E1375" s="199" t="s">
        <v>93</v>
      </c>
      <c r="F1375" s="197"/>
      <c r="G1375" s="199"/>
      <c r="H1375" s="199"/>
      <c r="I1375" s="197"/>
      <c r="J1375" s="199"/>
      <c r="K1375" s="198"/>
      <c r="L1375" s="209"/>
      <c r="M1375" s="198">
        <f>ROUND(SUM(M1376:M1381),6)</f>
        <v>0</v>
      </c>
      <c r="N1375" s="198">
        <f>'02 项目基础信息（输入）'!$C$51</f>
        <v>0</v>
      </c>
      <c r="O1375" s="198">
        <f t="shared" si="158"/>
        <v>0</v>
      </c>
      <c r="P1375" s="198">
        <f>'02 项目基础信息（输入）'!$I$51</f>
        <v>0</v>
      </c>
      <c r="Q1375" s="233">
        <f t="shared" si="159"/>
        <v>0</v>
      </c>
      <c r="S1375" s="217" t="s">
        <v>1314</v>
      </c>
      <c r="U1375" s="220" t="s">
        <v>3164</v>
      </c>
    </row>
    <row r="1376" spans="1:21" ht="0" hidden="1" customHeight="1" outlineLevel="3">
      <c r="A1376" s="192" t="s">
        <v>1902</v>
      </c>
      <c r="B1376" s="192"/>
      <c r="C1376" s="197" t="s">
        <v>309</v>
      </c>
      <c r="D1376" s="198">
        <f>'02 项目基础信息（输入）'!$AC$51</f>
        <v>0</v>
      </c>
      <c r="E1376" s="199" t="s">
        <v>310</v>
      </c>
      <c r="F1376" s="197" t="s">
        <v>309</v>
      </c>
      <c r="G1376" s="199">
        <v>1</v>
      </c>
      <c r="H1376" s="199" t="s">
        <v>1903</v>
      </c>
      <c r="I1376" s="198">
        <f t="shared" ref="I1376:I1381" si="162">G1376*D1376</f>
        <v>0</v>
      </c>
      <c r="J1376" s="199" t="s">
        <v>310</v>
      </c>
      <c r="K1376" s="188">
        <v>0</v>
      </c>
      <c r="L1376" s="209" t="s">
        <v>736</v>
      </c>
      <c r="M1376" s="207">
        <f t="shared" ref="M1376:M1381" si="163">ROUND(K1376*I1376/10000,6)</f>
        <v>0</v>
      </c>
      <c r="N1376" s="198">
        <f>'02 项目基础信息（输入）'!$C$51</f>
        <v>0</v>
      </c>
      <c r="O1376" s="198">
        <f t="shared" si="158"/>
        <v>0</v>
      </c>
      <c r="P1376" s="198">
        <f>'02 项目基础信息（输入）'!$I$51</f>
        <v>0</v>
      </c>
      <c r="Q1376" s="233">
        <f t="shared" si="159"/>
        <v>0</v>
      </c>
      <c r="S1376" s="217"/>
      <c r="U1376" s="220" t="s">
        <v>3165</v>
      </c>
    </row>
    <row r="1377" spans="1:21" ht="0" hidden="1" customHeight="1" outlineLevel="3">
      <c r="A1377" s="192" t="s">
        <v>1905</v>
      </c>
      <c r="B1377" s="192"/>
      <c r="C1377" s="197" t="s">
        <v>309</v>
      </c>
      <c r="D1377" s="198">
        <f>'02 项目基础信息（输入）'!$AC$51</f>
        <v>0</v>
      </c>
      <c r="E1377" s="199" t="s">
        <v>310</v>
      </c>
      <c r="F1377" s="197" t="s">
        <v>309</v>
      </c>
      <c r="G1377" s="199">
        <v>1</v>
      </c>
      <c r="H1377" s="199" t="s">
        <v>1903</v>
      </c>
      <c r="I1377" s="198">
        <f t="shared" si="162"/>
        <v>0</v>
      </c>
      <c r="J1377" s="199" t="s">
        <v>310</v>
      </c>
      <c r="K1377" s="188">
        <v>0</v>
      </c>
      <c r="L1377" s="209" t="s">
        <v>736</v>
      </c>
      <c r="M1377" s="207">
        <f t="shared" si="163"/>
        <v>0</v>
      </c>
      <c r="N1377" s="198">
        <f>'02 项目基础信息（输入）'!$C$51</f>
        <v>0</v>
      </c>
      <c r="O1377" s="198">
        <f t="shared" si="158"/>
        <v>0</v>
      </c>
      <c r="P1377" s="198">
        <f>'02 项目基础信息（输入）'!$I$51</f>
        <v>0</v>
      </c>
      <c r="Q1377" s="233">
        <f t="shared" si="159"/>
        <v>0</v>
      </c>
      <c r="S1377" s="217"/>
      <c r="U1377" s="220" t="s">
        <v>3166</v>
      </c>
    </row>
    <row r="1378" spans="1:21" ht="0" hidden="1" customHeight="1" outlineLevel="3">
      <c r="A1378" s="192" t="s">
        <v>1907</v>
      </c>
      <c r="B1378" s="192"/>
      <c r="C1378" s="197" t="s">
        <v>309</v>
      </c>
      <c r="D1378" s="198">
        <f>'02 项目基础信息（输入）'!$AC$51</f>
        <v>0</v>
      </c>
      <c r="E1378" s="199" t="s">
        <v>310</v>
      </c>
      <c r="F1378" s="197" t="s">
        <v>309</v>
      </c>
      <c r="G1378" s="199">
        <v>1</v>
      </c>
      <c r="H1378" s="199" t="s">
        <v>1903</v>
      </c>
      <c r="I1378" s="198">
        <f t="shared" si="162"/>
        <v>0</v>
      </c>
      <c r="J1378" s="199" t="s">
        <v>310</v>
      </c>
      <c r="K1378" s="188">
        <v>0</v>
      </c>
      <c r="L1378" s="209" t="s">
        <v>736</v>
      </c>
      <c r="M1378" s="207">
        <f t="shared" si="163"/>
        <v>0</v>
      </c>
      <c r="N1378" s="198">
        <f>'02 项目基础信息（输入）'!$C$51</f>
        <v>0</v>
      </c>
      <c r="O1378" s="198">
        <f t="shared" si="158"/>
        <v>0</v>
      </c>
      <c r="P1378" s="198">
        <f>'02 项目基础信息（输入）'!$I$51</f>
        <v>0</v>
      </c>
      <c r="Q1378" s="233">
        <f t="shared" si="159"/>
        <v>0</v>
      </c>
      <c r="S1378" s="217"/>
      <c r="U1378" s="220" t="s">
        <v>3167</v>
      </c>
    </row>
    <row r="1379" spans="1:21" ht="0" hidden="1" customHeight="1" outlineLevel="3">
      <c r="A1379" s="192" t="s">
        <v>1909</v>
      </c>
      <c r="B1379" s="192"/>
      <c r="C1379" s="197" t="s">
        <v>309</v>
      </c>
      <c r="D1379" s="198">
        <f>'02 项目基础信息（输入）'!$AC$51</f>
        <v>0</v>
      </c>
      <c r="E1379" s="199" t="s">
        <v>310</v>
      </c>
      <c r="F1379" s="197" t="s">
        <v>309</v>
      </c>
      <c r="G1379" s="199">
        <v>1</v>
      </c>
      <c r="H1379" s="199" t="s">
        <v>1903</v>
      </c>
      <c r="I1379" s="198">
        <f t="shared" si="162"/>
        <v>0</v>
      </c>
      <c r="J1379" s="199" t="s">
        <v>310</v>
      </c>
      <c r="K1379" s="188">
        <v>0</v>
      </c>
      <c r="L1379" s="209" t="s">
        <v>736</v>
      </c>
      <c r="M1379" s="207">
        <f t="shared" si="163"/>
        <v>0</v>
      </c>
      <c r="N1379" s="198">
        <f>'02 项目基础信息（输入）'!$C$51</f>
        <v>0</v>
      </c>
      <c r="O1379" s="198">
        <f t="shared" si="158"/>
        <v>0</v>
      </c>
      <c r="P1379" s="198">
        <f>'02 项目基础信息（输入）'!$I$51</f>
        <v>0</v>
      </c>
      <c r="Q1379" s="233">
        <f t="shared" si="159"/>
        <v>0</v>
      </c>
      <c r="S1379" s="217"/>
      <c r="U1379" s="220" t="s">
        <v>3168</v>
      </c>
    </row>
    <row r="1380" spans="1:21" ht="0" hidden="1" customHeight="1" outlineLevel="3">
      <c r="A1380" s="192" t="s">
        <v>1911</v>
      </c>
      <c r="B1380" s="192"/>
      <c r="C1380" s="197" t="s">
        <v>309</v>
      </c>
      <c r="D1380" s="198">
        <f>'02 项目基础信息（输入）'!$AC$51</f>
        <v>0</v>
      </c>
      <c r="E1380" s="199" t="s">
        <v>310</v>
      </c>
      <c r="F1380" s="197" t="s">
        <v>309</v>
      </c>
      <c r="G1380" s="199">
        <v>1</v>
      </c>
      <c r="H1380" s="199" t="s">
        <v>1903</v>
      </c>
      <c r="I1380" s="198">
        <f t="shared" si="162"/>
        <v>0</v>
      </c>
      <c r="J1380" s="199" t="s">
        <v>310</v>
      </c>
      <c r="K1380" s="188">
        <v>0</v>
      </c>
      <c r="L1380" s="209" t="s">
        <v>736</v>
      </c>
      <c r="M1380" s="207">
        <f t="shared" si="163"/>
        <v>0</v>
      </c>
      <c r="N1380" s="198">
        <f>'02 项目基础信息（输入）'!$C$51</f>
        <v>0</v>
      </c>
      <c r="O1380" s="198">
        <f t="shared" si="158"/>
        <v>0</v>
      </c>
      <c r="P1380" s="198">
        <f>'02 项目基础信息（输入）'!$I$51</f>
        <v>0</v>
      </c>
      <c r="Q1380" s="233">
        <f t="shared" si="159"/>
        <v>0</v>
      </c>
      <c r="S1380" s="217"/>
      <c r="U1380" s="220" t="s">
        <v>3169</v>
      </c>
    </row>
    <row r="1381" spans="1:21" ht="0" hidden="1" customHeight="1" outlineLevel="3">
      <c r="A1381" s="192" t="s">
        <v>1913</v>
      </c>
      <c r="B1381" s="192"/>
      <c r="C1381" s="197" t="s">
        <v>309</v>
      </c>
      <c r="D1381" s="198">
        <f>'02 项目基础信息（输入）'!$AC$51</f>
        <v>0</v>
      </c>
      <c r="E1381" s="199" t="s">
        <v>310</v>
      </c>
      <c r="F1381" s="197" t="s">
        <v>309</v>
      </c>
      <c r="G1381" s="199">
        <v>1</v>
      </c>
      <c r="H1381" s="199" t="s">
        <v>1903</v>
      </c>
      <c r="I1381" s="198">
        <f t="shared" si="162"/>
        <v>0</v>
      </c>
      <c r="J1381" s="199" t="s">
        <v>310</v>
      </c>
      <c r="K1381" s="188">
        <v>0</v>
      </c>
      <c r="L1381" s="209" t="s">
        <v>736</v>
      </c>
      <c r="M1381" s="207">
        <f t="shared" si="163"/>
        <v>0</v>
      </c>
      <c r="N1381" s="198">
        <f>'02 项目基础信息（输入）'!$C$51</f>
        <v>0</v>
      </c>
      <c r="O1381" s="198">
        <f t="shared" si="158"/>
        <v>0</v>
      </c>
      <c r="P1381" s="198">
        <f>'02 项目基础信息（输入）'!$I$51</f>
        <v>0</v>
      </c>
      <c r="Q1381" s="233">
        <f t="shared" si="159"/>
        <v>0</v>
      </c>
      <c r="S1381" s="217"/>
      <c r="U1381" s="220" t="s">
        <v>3170</v>
      </c>
    </row>
    <row r="1382" spans="1:21" ht="0" hidden="1" customHeight="1" outlineLevel="2">
      <c r="A1382" s="192" t="s">
        <v>2178</v>
      </c>
      <c r="B1382" s="192"/>
      <c r="C1382" s="197" t="s">
        <v>1609</v>
      </c>
      <c r="D1382" s="198">
        <f>'02 项目基础信息（输入）'!$C$51</f>
        <v>0</v>
      </c>
      <c r="E1382" s="199" t="s">
        <v>93</v>
      </c>
      <c r="F1382" s="197"/>
      <c r="G1382" s="199"/>
      <c r="H1382" s="199"/>
      <c r="I1382" s="197"/>
      <c r="J1382" s="199"/>
      <c r="K1382" s="198"/>
      <c r="L1382" s="209"/>
      <c r="M1382" s="198">
        <f>ROUND(SUM(M1383),6)</f>
        <v>0</v>
      </c>
      <c r="N1382" s="198">
        <f>'02 项目基础信息（输入）'!$C$51</f>
        <v>0</v>
      </c>
      <c r="O1382" s="198">
        <f t="shared" si="158"/>
        <v>0</v>
      </c>
      <c r="P1382" s="198">
        <f>'02 项目基础信息（输入）'!$I$51</f>
        <v>0</v>
      </c>
      <c r="Q1382" s="233">
        <f t="shared" si="159"/>
        <v>0</v>
      </c>
      <c r="S1382" s="217" t="s">
        <v>1313</v>
      </c>
      <c r="U1382" s="220" t="s">
        <v>3171</v>
      </c>
    </row>
    <row r="1383" spans="1:21" ht="0" hidden="1" customHeight="1" outlineLevel="3">
      <c r="A1383" s="192" t="s">
        <v>2180</v>
      </c>
      <c r="B1383" s="192"/>
      <c r="C1383" s="197" t="s">
        <v>309</v>
      </c>
      <c r="D1383" s="198">
        <f>'02 项目基础信息（输入）'!$AC$51</f>
        <v>0</v>
      </c>
      <c r="E1383" s="199" t="s">
        <v>310</v>
      </c>
      <c r="F1383" s="197" t="s">
        <v>309</v>
      </c>
      <c r="G1383" s="199">
        <v>1</v>
      </c>
      <c r="H1383" s="199" t="s">
        <v>1903</v>
      </c>
      <c r="I1383" s="198">
        <f>G1383*D1383</f>
        <v>0</v>
      </c>
      <c r="J1383" s="199" t="s">
        <v>310</v>
      </c>
      <c r="K1383" s="188">
        <v>0</v>
      </c>
      <c r="L1383" s="209" t="s">
        <v>736</v>
      </c>
      <c r="M1383" s="207">
        <f>ROUND(K1383*I1383/10000,6)</f>
        <v>0</v>
      </c>
      <c r="N1383" s="198">
        <f>'02 项目基础信息（输入）'!$C$51</f>
        <v>0</v>
      </c>
      <c r="O1383" s="198">
        <f t="shared" si="158"/>
        <v>0</v>
      </c>
      <c r="P1383" s="198">
        <f>'02 项目基础信息（输入）'!$I$51</f>
        <v>0</v>
      </c>
      <c r="Q1383" s="233">
        <f t="shared" si="159"/>
        <v>0</v>
      </c>
      <c r="S1383" s="217"/>
      <c r="U1383" s="220" t="s">
        <v>3172</v>
      </c>
    </row>
    <row r="1384" spans="1:21" ht="0" hidden="1" customHeight="1" outlineLevel="2">
      <c r="A1384" s="192" t="s">
        <v>2182</v>
      </c>
      <c r="B1384" s="192"/>
      <c r="C1384" s="197" t="s">
        <v>1609</v>
      </c>
      <c r="D1384" s="198">
        <f>'02 项目基础信息（输入）'!$C$51</f>
        <v>0</v>
      </c>
      <c r="E1384" s="199" t="s">
        <v>93</v>
      </c>
      <c r="F1384" s="197"/>
      <c r="G1384" s="199"/>
      <c r="H1384" s="199"/>
      <c r="I1384" s="197"/>
      <c r="J1384" s="199"/>
      <c r="K1384" s="198"/>
      <c r="L1384" s="209"/>
      <c r="M1384" s="198">
        <f>ROUND(SUM(M1385),6)</f>
        <v>0</v>
      </c>
      <c r="N1384" s="198">
        <f>'02 项目基础信息（输入）'!$C$51</f>
        <v>0</v>
      </c>
      <c r="O1384" s="198">
        <f t="shared" si="158"/>
        <v>0</v>
      </c>
      <c r="P1384" s="198">
        <f>'02 项目基础信息（输入）'!$I$51</f>
        <v>0</v>
      </c>
      <c r="Q1384" s="233">
        <f t="shared" si="159"/>
        <v>0</v>
      </c>
      <c r="S1384" s="217" t="s">
        <v>1313</v>
      </c>
      <c r="U1384" s="220" t="s">
        <v>3173</v>
      </c>
    </row>
    <row r="1385" spans="1:21" ht="0" hidden="1" customHeight="1" outlineLevel="3">
      <c r="A1385" s="192" t="s">
        <v>2184</v>
      </c>
      <c r="B1385" s="192"/>
      <c r="C1385" s="197" t="s">
        <v>309</v>
      </c>
      <c r="D1385" s="198">
        <f>'02 项目基础信息（输入）'!$AC$51</f>
        <v>0</v>
      </c>
      <c r="E1385" s="199" t="s">
        <v>310</v>
      </c>
      <c r="F1385" s="197" t="s">
        <v>309</v>
      </c>
      <c r="G1385" s="199">
        <v>1</v>
      </c>
      <c r="H1385" s="199" t="s">
        <v>1903</v>
      </c>
      <c r="I1385" s="198">
        <f>G1385*D1385</f>
        <v>0</v>
      </c>
      <c r="J1385" s="199" t="s">
        <v>310</v>
      </c>
      <c r="K1385" s="188">
        <v>0</v>
      </c>
      <c r="L1385" s="209" t="s">
        <v>736</v>
      </c>
      <c r="M1385" s="198">
        <f>ROUND(K1385*I1385/10000,6)</f>
        <v>0</v>
      </c>
      <c r="N1385" s="198">
        <f>'02 项目基础信息（输入）'!$C$51</f>
        <v>0</v>
      </c>
      <c r="O1385" s="198">
        <f t="shared" si="158"/>
        <v>0</v>
      </c>
      <c r="P1385" s="198">
        <f>'02 项目基础信息（输入）'!$I$51</f>
        <v>0</v>
      </c>
      <c r="Q1385" s="233">
        <f t="shared" si="159"/>
        <v>0</v>
      </c>
      <c r="S1385" s="217"/>
      <c r="U1385" s="220" t="s">
        <v>3174</v>
      </c>
    </row>
    <row r="1386" spans="1:21" ht="0" hidden="1" customHeight="1" outlineLevel="2">
      <c r="A1386" s="192" t="s">
        <v>1915</v>
      </c>
      <c r="B1386" s="192"/>
      <c r="C1386" s="197" t="s">
        <v>1609</v>
      </c>
      <c r="D1386" s="198">
        <f>'02 项目基础信息（输入）'!$C$51</f>
        <v>0</v>
      </c>
      <c r="E1386" s="199" t="s">
        <v>93</v>
      </c>
      <c r="F1386" s="197"/>
      <c r="G1386" s="199"/>
      <c r="H1386" s="199"/>
      <c r="I1386" s="197"/>
      <c r="J1386" s="199"/>
      <c r="K1386" s="198"/>
      <c r="L1386" s="209"/>
      <c r="M1386" s="198">
        <f>ROUND(SUM(M1387:M1389),6)</f>
        <v>0</v>
      </c>
      <c r="N1386" s="198">
        <f>'02 项目基础信息（输入）'!$C$51</f>
        <v>0</v>
      </c>
      <c r="O1386" s="198">
        <f t="shared" si="158"/>
        <v>0</v>
      </c>
      <c r="P1386" s="198">
        <f>'02 项目基础信息（输入）'!$I$51</f>
        <v>0</v>
      </c>
      <c r="Q1386" s="233">
        <f t="shared" si="159"/>
        <v>0</v>
      </c>
      <c r="S1386" s="217" t="s">
        <v>1314</v>
      </c>
      <c r="U1386" s="220" t="s">
        <v>3175</v>
      </c>
    </row>
    <row r="1387" spans="1:21" ht="0" hidden="1" customHeight="1" outlineLevel="3">
      <c r="A1387" s="192" t="s">
        <v>1917</v>
      </c>
      <c r="B1387" s="192"/>
      <c r="C1387" s="197" t="s">
        <v>455</v>
      </c>
      <c r="D1387" s="198">
        <f>'02 项目基础信息（输入）'!$J$51</f>
        <v>0</v>
      </c>
      <c r="E1387" s="199" t="s">
        <v>400</v>
      </c>
      <c r="F1387" s="197" t="s">
        <v>455</v>
      </c>
      <c r="G1387" s="199">
        <v>1</v>
      </c>
      <c r="H1387" s="199" t="s">
        <v>1918</v>
      </c>
      <c r="I1387" s="198">
        <f>G1387*D1387</f>
        <v>0</v>
      </c>
      <c r="J1387" s="199" t="s">
        <v>1082</v>
      </c>
      <c r="K1387" s="188">
        <v>0</v>
      </c>
      <c r="L1387" s="209" t="s">
        <v>1087</v>
      </c>
      <c r="M1387" s="207">
        <f>ROUND(K1387*I1387/10000,6)</f>
        <v>0</v>
      </c>
      <c r="N1387" s="198">
        <f>'02 项目基础信息（输入）'!$C$51</f>
        <v>0</v>
      </c>
      <c r="O1387" s="198">
        <f t="shared" si="158"/>
        <v>0</v>
      </c>
      <c r="P1387" s="198">
        <f>'02 项目基础信息（输入）'!$I$51</f>
        <v>0</v>
      </c>
      <c r="Q1387" s="233">
        <f t="shared" si="159"/>
        <v>0</v>
      </c>
      <c r="S1387" s="217"/>
      <c r="U1387" s="220" t="s">
        <v>3176</v>
      </c>
    </row>
    <row r="1388" spans="1:21" ht="0" hidden="1" customHeight="1" outlineLevel="3">
      <c r="A1388" s="192" t="s">
        <v>1920</v>
      </c>
      <c r="B1388" s="192"/>
      <c r="C1388" s="197" t="s">
        <v>455</v>
      </c>
      <c r="D1388" s="198">
        <f>'02 项目基础信息（输入）'!$J$51</f>
        <v>0</v>
      </c>
      <c r="E1388" s="199" t="s">
        <v>400</v>
      </c>
      <c r="F1388" s="197" t="s">
        <v>455</v>
      </c>
      <c r="G1388" s="199">
        <v>1</v>
      </c>
      <c r="H1388" s="199" t="s">
        <v>1918</v>
      </c>
      <c r="I1388" s="198">
        <f>G1388*D1388</f>
        <v>0</v>
      </c>
      <c r="J1388" s="199" t="s">
        <v>1082</v>
      </c>
      <c r="K1388" s="188">
        <v>0</v>
      </c>
      <c r="L1388" s="209" t="s">
        <v>1087</v>
      </c>
      <c r="M1388" s="207">
        <f>ROUND(K1388*I1388/10000,6)</f>
        <v>0</v>
      </c>
      <c r="N1388" s="198">
        <f>'02 项目基础信息（输入）'!$C$51</f>
        <v>0</v>
      </c>
      <c r="O1388" s="198">
        <f t="shared" si="158"/>
        <v>0</v>
      </c>
      <c r="P1388" s="198">
        <f>'02 项目基础信息（输入）'!$I$51</f>
        <v>0</v>
      </c>
      <c r="Q1388" s="233">
        <f t="shared" si="159"/>
        <v>0</v>
      </c>
      <c r="S1388" s="217"/>
      <c r="U1388" s="220" t="s">
        <v>3177</v>
      </c>
    </row>
    <row r="1389" spans="1:21" ht="0" hidden="1" customHeight="1" outlineLevel="3">
      <c r="A1389" s="192" t="s">
        <v>1922</v>
      </c>
      <c r="B1389" s="192"/>
      <c r="C1389" s="197" t="s">
        <v>455</v>
      </c>
      <c r="D1389" s="198">
        <f>'02 项目基础信息（输入）'!$J$51</f>
        <v>0</v>
      </c>
      <c r="E1389" s="199" t="s">
        <v>400</v>
      </c>
      <c r="F1389" s="197" t="s">
        <v>455</v>
      </c>
      <c r="G1389" s="199">
        <v>1</v>
      </c>
      <c r="H1389" s="199" t="s">
        <v>1918</v>
      </c>
      <c r="I1389" s="198">
        <f>G1389*D1389</f>
        <v>0</v>
      </c>
      <c r="J1389" s="199" t="s">
        <v>1082</v>
      </c>
      <c r="K1389" s="188">
        <v>0</v>
      </c>
      <c r="L1389" s="209" t="s">
        <v>1087</v>
      </c>
      <c r="M1389" s="207">
        <f>ROUND(K1389*I1389/10000,6)</f>
        <v>0</v>
      </c>
      <c r="N1389" s="198">
        <f>'02 项目基础信息（输入）'!$C$51</f>
        <v>0</v>
      </c>
      <c r="O1389" s="198">
        <f t="shared" si="158"/>
        <v>0</v>
      </c>
      <c r="P1389" s="198">
        <f>'02 项目基础信息（输入）'!$I$51</f>
        <v>0</v>
      </c>
      <c r="Q1389" s="233">
        <f t="shared" si="159"/>
        <v>0</v>
      </c>
      <c r="S1389" s="217"/>
      <c r="U1389" s="220" t="s">
        <v>3178</v>
      </c>
    </row>
    <row r="1390" spans="1:21" ht="0" hidden="1" customHeight="1" outlineLevel="2">
      <c r="A1390" s="192" t="s">
        <v>1924</v>
      </c>
      <c r="B1390" s="192"/>
      <c r="C1390" s="197" t="s">
        <v>1609</v>
      </c>
      <c r="D1390" s="198">
        <f>'02 项目基础信息（输入）'!$C$51</f>
        <v>0</v>
      </c>
      <c r="E1390" s="199" t="s">
        <v>93</v>
      </c>
      <c r="F1390" s="197"/>
      <c r="G1390" s="199"/>
      <c r="H1390" s="199"/>
      <c r="I1390" s="197"/>
      <c r="J1390" s="199"/>
      <c r="K1390" s="198"/>
      <c r="L1390" s="209"/>
      <c r="M1390" s="198">
        <f>ROUND(SUM(M1391),6)</f>
        <v>0</v>
      </c>
      <c r="N1390" s="198">
        <f>'02 项目基础信息（输入）'!$C$51</f>
        <v>0</v>
      </c>
      <c r="O1390" s="198">
        <f t="shared" si="158"/>
        <v>0</v>
      </c>
      <c r="P1390" s="198">
        <f>'02 项目基础信息（输入）'!$I$51</f>
        <v>0</v>
      </c>
      <c r="Q1390" s="233">
        <f t="shared" si="159"/>
        <v>0</v>
      </c>
      <c r="S1390" s="217" t="s">
        <v>1313</v>
      </c>
      <c r="U1390" s="220" t="s">
        <v>3179</v>
      </c>
    </row>
    <row r="1391" spans="1:21" ht="0" hidden="1" customHeight="1" outlineLevel="3">
      <c r="A1391" s="192" t="s">
        <v>1926</v>
      </c>
      <c r="B1391" s="192"/>
      <c r="C1391" s="197" t="s">
        <v>1609</v>
      </c>
      <c r="D1391" s="198">
        <f>'02 项目基础信息（输入）'!$C$51</f>
        <v>0</v>
      </c>
      <c r="E1391" s="199" t="s">
        <v>93</v>
      </c>
      <c r="F1391" s="197" t="s">
        <v>1927</v>
      </c>
      <c r="G1391" s="82">
        <v>0</v>
      </c>
      <c r="H1391" s="199" t="s">
        <v>298</v>
      </c>
      <c r="I1391" s="198">
        <f>G1391*D1391</f>
        <v>0</v>
      </c>
      <c r="J1391" s="199" t="s">
        <v>93</v>
      </c>
      <c r="K1391" s="188">
        <v>0</v>
      </c>
      <c r="L1391" s="209" t="s">
        <v>675</v>
      </c>
      <c r="M1391" s="207">
        <f>ROUND(K1391*I1391/10000,6)</f>
        <v>0</v>
      </c>
      <c r="N1391" s="198">
        <f>'02 项目基础信息（输入）'!$C$51</f>
        <v>0</v>
      </c>
      <c r="O1391" s="198">
        <f t="shared" si="158"/>
        <v>0</v>
      </c>
      <c r="P1391" s="198">
        <f>'02 项目基础信息（输入）'!$I$51</f>
        <v>0</v>
      </c>
      <c r="Q1391" s="233">
        <f t="shared" si="159"/>
        <v>0</v>
      </c>
      <c r="S1391" s="217"/>
      <c r="U1391" s="220" t="s">
        <v>3180</v>
      </c>
    </row>
    <row r="1392" spans="1:21" ht="0" hidden="1" customHeight="1" outlineLevel="2">
      <c r="A1392" s="192" t="s">
        <v>1931</v>
      </c>
      <c r="B1392" s="192"/>
      <c r="C1392" s="197" t="s">
        <v>1609</v>
      </c>
      <c r="D1392" s="198">
        <f>'02 项目基础信息（输入）'!$C$51</f>
        <v>0</v>
      </c>
      <c r="E1392" s="199" t="s">
        <v>93</v>
      </c>
      <c r="F1392" s="197"/>
      <c r="G1392" s="199"/>
      <c r="H1392" s="199"/>
      <c r="I1392" s="197"/>
      <c r="J1392" s="199"/>
      <c r="K1392" s="198"/>
      <c r="L1392" s="209"/>
      <c r="M1392" s="198">
        <f>ROUND(SUM(M1393),6)</f>
        <v>0</v>
      </c>
      <c r="N1392" s="198">
        <f>'02 项目基础信息（输入）'!$C$51</f>
        <v>0</v>
      </c>
      <c r="O1392" s="198">
        <f t="shared" si="158"/>
        <v>0</v>
      </c>
      <c r="P1392" s="198">
        <f>'02 项目基础信息（输入）'!$I$51</f>
        <v>0</v>
      </c>
      <c r="Q1392" s="233">
        <f t="shared" si="159"/>
        <v>0</v>
      </c>
      <c r="S1392" s="217" t="s">
        <v>1313</v>
      </c>
      <c r="U1392" s="220" t="s">
        <v>3181</v>
      </c>
    </row>
    <row r="1393" spans="1:21" ht="0" hidden="1" customHeight="1" outlineLevel="3">
      <c r="A1393" s="192" t="s">
        <v>1933</v>
      </c>
      <c r="B1393" s="192"/>
      <c r="C1393" s="197" t="s">
        <v>1609</v>
      </c>
      <c r="D1393" s="198">
        <f>'02 项目基础信息（输入）'!$C$51</f>
        <v>0</v>
      </c>
      <c r="E1393" s="199" t="s">
        <v>93</v>
      </c>
      <c r="F1393" s="197" t="s">
        <v>1886</v>
      </c>
      <c r="G1393" s="199">
        <v>1</v>
      </c>
      <c r="H1393" s="199" t="s">
        <v>298</v>
      </c>
      <c r="I1393" s="198">
        <f>G1393*D1393</f>
        <v>0</v>
      </c>
      <c r="J1393" s="199" t="s">
        <v>93</v>
      </c>
      <c r="K1393" s="188">
        <v>0</v>
      </c>
      <c r="L1393" s="209" t="s">
        <v>675</v>
      </c>
      <c r="M1393" s="207">
        <f>ROUND(K1393*I1393/10000,6)</f>
        <v>0</v>
      </c>
      <c r="N1393" s="198">
        <f>'02 项目基础信息（输入）'!$C$51</f>
        <v>0</v>
      </c>
      <c r="O1393" s="198">
        <f t="shared" si="158"/>
        <v>0</v>
      </c>
      <c r="P1393" s="198">
        <f>'02 项目基础信息（输入）'!$I$51</f>
        <v>0</v>
      </c>
      <c r="Q1393" s="233">
        <f t="shared" si="159"/>
        <v>0</v>
      </c>
      <c r="S1393" s="217"/>
      <c r="U1393" s="220" t="s">
        <v>3182</v>
      </c>
    </row>
    <row r="1394" spans="1:21" ht="0" hidden="1" customHeight="1" outlineLevel="2">
      <c r="A1394" s="192" t="s">
        <v>1935</v>
      </c>
      <c r="B1394" s="192"/>
      <c r="C1394" s="197" t="s">
        <v>1609</v>
      </c>
      <c r="D1394" s="198">
        <f>'02 项目基础信息（输入）'!$C$51</f>
        <v>0</v>
      </c>
      <c r="E1394" s="199" t="s">
        <v>93</v>
      </c>
      <c r="F1394" s="197"/>
      <c r="G1394" s="199"/>
      <c r="H1394" s="199"/>
      <c r="I1394" s="197"/>
      <c r="J1394" s="199"/>
      <c r="K1394" s="198"/>
      <c r="L1394" s="209"/>
      <c r="M1394" s="198">
        <f>ROUND(SUM(M1395:M1397),6)</f>
        <v>0</v>
      </c>
      <c r="N1394" s="198">
        <f>'02 项目基础信息（输入）'!$C$51</f>
        <v>0</v>
      </c>
      <c r="O1394" s="198">
        <f t="shared" si="158"/>
        <v>0</v>
      </c>
      <c r="P1394" s="198">
        <f>'02 项目基础信息（输入）'!$I$51</f>
        <v>0</v>
      </c>
      <c r="Q1394" s="233">
        <f t="shared" si="159"/>
        <v>0</v>
      </c>
      <c r="S1394" s="217" t="s">
        <v>1313</v>
      </c>
      <c r="U1394" s="220" t="s">
        <v>3183</v>
      </c>
    </row>
    <row r="1395" spans="1:21" ht="0" hidden="1" customHeight="1" outlineLevel="3">
      <c r="A1395" s="192" t="s">
        <v>2195</v>
      </c>
      <c r="B1395" s="192"/>
      <c r="C1395" s="197" t="s">
        <v>309</v>
      </c>
      <c r="D1395" s="198">
        <f>'02 项目基础信息（输入）'!$AC$51</f>
        <v>0</v>
      </c>
      <c r="E1395" s="199" t="s">
        <v>310</v>
      </c>
      <c r="F1395" s="197" t="s">
        <v>2196</v>
      </c>
      <c r="G1395" s="82">
        <v>0</v>
      </c>
      <c r="H1395" s="199" t="s">
        <v>2197</v>
      </c>
      <c r="I1395" s="198">
        <f>G1395*D1395</f>
        <v>0</v>
      </c>
      <c r="J1395" s="199" t="s">
        <v>2198</v>
      </c>
      <c r="K1395" s="188">
        <v>0</v>
      </c>
      <c r="L1395" s="209" t="s">
        <v>841</v>
      </c>
      <c r="M1395" s="207">
        <f>ROUND(K1395*I1395/10000,6)</f>
        <v>0</v>
      </c>
      <c r="N1395" s="198">
        <f>'02 项目基础信息（输入）'!$C$51</f>
        <v>0</v>
      </c>
      <c r="O1395" s="198">
        <f t="shared" si="158"/>
        <v>0</v>
      </c>
      <c r="P1395" s="198">
        <f>'02 项目基础信息（输入）'!$I$51</f>
        <v>0</v>
      </c>
      <c r="Q1395" s="233">
        <f t="shared" si="159"/>
        <v>0</v>
      </c>
      <c r="S1395" s="217"/>
      <c r="U1395" s="220" t="s">
        <v>3184</v>
      </c>
    </row>
    <row r="1396" spans="1:21" ht="0" hidden="1" customHeight="1" outlineLevel="3">
      <c r="A1396" s="192" t="s">
        <v>2200</v>
      </c>
      <c r="B1396" s="192"/>
      <c r="C1396" s="197" t="s">
        <v>309</v>
      </c>
      <c r="D1396" s="198">
        <f>'02 项目基础信息（输入）'!$AC$51</f>
        <v>0</v>
      </c>
      <c r="E1396" s="199" t="s">
        <v>310</v>
      </c>
      <c r="F1396" s="197" t="s">
        <v>2196</v>
      </c>
      <c r="G1396" s="82">
        <v>0</v>
      </c>
      <c r="H1396" s="199" t="s">
        <v>2197</v>
      </c>
      <c r="I1396" s="198">
        <f>G1396*D1396</f>
        <v>0</v>
      </c>
      <c r="J1396" s="199" t="s">
        <v>2198</v>
      </c>
      <c r="K1396" s="188">
        <v>0</v>
      </c>
      <c r="L1396" s="209" t="s">
        <v>841</v>
      </c>
      <c r="M1396" s="207">
        <f>ROUND(K1396*I1396/10000,6)</f>
        <v>0</v>
      </c>
      <c r="N1396" s="198">
        <f>'02 项目基础信息（输入）'!$C$51</f>
        <v>0</v>
      </c>
      <c r="O1396" s="198">
        <f t="shared" si="158"/>
        <v>0</v>
      </c>
      <c r="P1396" s="198">
        <f>'02 项目基础信息（输入）'!$I$51</f>
        <v>0</v>
      </c>
      <c r="Q1396" s="233">
        <f t="shared" si="159"/>
        <v>0</v>
      </c>
      <c r="S1396" s="217"/>
      <c r="U1396" s="220" t="s">
        <v>3185</v>
      </c>
    </row>
    <row r="1397" spans="1:21" ht="0" hidden="1" customHeight="1" outlineLevel="3">
      <c r="A1397" s="192" t="s">
        <v>2202</v>
      </c>
      <c r="B1397" s="192"/>
      <c r="C1397" s="197" t="s">
        <v>309</v>
      </c>
      <c r="D1397" s="198">
        <f>'02 项目基础信息（输入）'!$AC$51</f>
        <v>0</v>
      </c>
      <c r="E1397" s="199" t="s">
        <v>310</v>
      </c>
      <c r="F1397" s="197" t="s">
        <v>2196</v>
      </c>
      <c r="G1397" s="82">
        <v>0</v>
      </c>
      <c r="H1397" s="199" t="s">
        <v>2197</v>
      </c>
      <c r="I1397" s="198">
        <f>G1397*D1397</f>
        <v>0</v>
      </c>
      <c r="J1397" s="199" t="s">
        <v>2198</v>
      </c>
      <c r="K1397" s="188">
        <v>0</v>
      </c>
      <c r="L1397" s="209" t="s">
        <v>841</v>
      </c>
      <c r="M1397" s="207">
        <f>ROUND(K1397*I1397/10000,6)</f>
        <v>0</v>
      </c>
      <c r="N1397" s="198">
        <f>'02 项目基础信息（输入）'!$C$51</f>
        <v>0</v>
      </c>
      <c r="O1397" s="198">
        <f t="shared" si="158"/>
        <v>0</v>
      </c>
      <c r="P1397" s="198">
        <f>'02 项目基础信息（输入）'!$I$51</f>
        <v>0</v>
      </c>
      <c r="Q1397" s="233">
        <f t="shared" si="159"/>
        <v>0</v>
      </c>
      <c r="S1397" s="217"/>
      <c r="U1397" s="220" t="s">
        <v>3186</v>
      </c>
    </row>
    <row r="1398" spans="1:21" ht="0" hidden="1" customHeight="1" outlineLevel="2">
      <c r="A1398" s="192" t="s">
        <v>1937</v>
      </c>
      <c r="B1398" s="192"/>
      <c r="C1398" s="197" t="s">
        <v>1609</v>
      </c>
      <c r="D1398" s="198">
        <f>'02 项目基础信息（输入）'!$C$51</f>
        <v>0</v>
      </c>
      <c r="E1398" s="199" t="s">
        <v>93</v>
      </c>
      <c r="F1398" s="197"/>
      <c r="G1398" s="199"/>
      <c r="H1398" s="199"/>
      <c r="I1398" s="197"/>
      <c r="J1398" s="199"/>
      <c r="K1398" s="198"/>
      <c r="L1398" s="209"/>
      <c r="M1398" s="198">
        <f>ROUND(SUM(M1399),6)</f>
        <v>0</v>
      </c>
      <c r="N1398" s="198">
        <f>'02 项目基础信息（输入）'!$C$51</f>
        <v>0</v>
      </c>
      <c r="O1398" s="198">
        <f t="shared" si="158"/>
        <v>0</v>
      </c>
      <c r="P1398" s="198">
        <f>'02 项目基础信息（输入）'!$I$51</f>
        <v>0</v>
      </c>
      <c r="Q1398" s="233">
        <f t="shared" si="159"/>
        <v>0</v>
      </c>
      <c r="S1398" s="217" t="s">
        <v>1313</v>
      </c>
      <c r="U1398" s="220" t="s">
        <v>3187</v>
      </c>
    </row>
    <row r="1399" spans="1:21" ht="0" hidden="1" customHeight="1" outlineLevel="3">
      <c r="A1399" s="192" t="s">
        <v>2205</v>
      </c>
      <c r="B1399" s="192"/>
      <c r="C1399" s="197" t="s">
        <v>1609</v>
      </c>
      <c r="D1399" s="198">
        <f>'02 项目基础信息（输入）'!$C$51</f>
        <v>0</v>
      </c>
      <c r="E1399" s="199" t="s">
        <v>93</v>
      </c>
      <c r="F1399" s="197" t="s">
        <v>1609</v>
      </c>
      <c r="G1399" s="199">
        <v>1</v>
      </c>
      <c r="H1399" s="199" t="s">
        <v>298</v>
      </c>
      <c r="I1399" s="198">
        <f>G1399*D1399</f>
        <v>0</v>
      </c>
      <c r="J1399" s="199" t="s">
        <v>93</v>
      </c>
      <c r="K1399" s="188">
        <v>0</v>
      </c>
      <c r="L1399" s="209" t="s">
        <v>675</v>
      </c>
      <c r="M1399" s="207">
        <f>ROUND(K1399*I1399/10000,6)</f>
        <v>0</v>
      </c>
      <c r="N1399" s="198">
        <f>'02 项目基础信息（输入）'!$C$51</f>
        <v>0</v>
      </c>
      <c r="O1399" s="198">
        <f t="shared" si="158"/>
        <v>0</v>
      </c>
      <c r="P1399" s="198">
        <f>'02 项目基础信息（输入）'!$I$51</f>
        <v>0</v>
      </c>
      <c r="Q1399" s="233">
        <f t="shared" si="159"/>
        <v>0</v>
      </c>
      <c r="S1399" s="217"/>
      <c r="U1399" s="220" t="s">
        <v>3188</v>
      </c>
    </row>
    <row r="1400" spans="1:21" ht="0" hidden="1" customHeight="1" outlineLevel="2">
      <c r="A1400" s="192" t="s">
        <v>1939</v>
      </c>
      <c r="B1400" s="192"/>
      <c r="C1400" s="197" t="s">
        <v>1609</v>
      </c>
      <c r="D1400" s="198">
        <f>'02 项目基础信息（输入）'!$C$51</f>
        <v>0</v>
      </c>
      <c r="E1400" s="199" t="s">
        <v>93</v>
      </c>
      <c r="F1400" s="197"/>
      <c r="G1400" s="199"/>
      <c r="H1400" s="199"/>
      <c r="I1400" s="197"/>
      <c r="J1400" s="199"/>
      <c r="K1400" s="198"/>
      <c r="L1400" s="209"/>
      <c r="M1400" s="198">
        <f>ROUND(SUM(M1401),6)</f>
        <v>0</v>
      </c>
      <c r="N1400" s="198">
        <f>'02 项目基础信息（输入）'!$C$51</f>
        <v>0</v>
      </c>
      <c r="O1400" s="198">
        <f t="shared" si="158"/>
        <v>0</v>
      </c>
      <c r="P1400" s="198">
        <f>'02 项目基础信息（输入）'!$I$51</f>
        <v>0</v>
      </c>
      <c r="Q1400" s="233">
        <f t="shared" si="159"/>
        <v>0</v>
      </c>
      <c r="S1400" s="217" t="s">
        <v>1313</v>
      </c>
      <c r="U1400" s="220" t="s">
        <v>3189</v>
      </c>
    </row>
    <row r="1401" spans="1:21" ht="0" hidden="1" customHeight="1" outlineLevel="3">
      <c r="A1401" s="192" t="s">
        <v>2208</v>
      </c>
      <c r="B1401" s="192"/>
      <c r="C1401" s="197" t="s">
        <v>477</v>
      </c>
      <c r="D1401" s="198">
        <f>'02 项目基础信息（输入）'!$AG$51</f>
        <v>0</v>
      </c>
      <c r="E1401" s="199" t="s">
        <v>2209</v>
      </c>
      <c r="F1401" s="197" t="s">
        <v>477</v>
      </c>
      <c r="G1401" s="199">
        <v>1</v>
      </c>
      <c r="H1401" s="199" t="s">
        <v>2210</v>
      </c>
      <c r="I1401" s="198">
        <f>G1401*D1401</f>
        <v>0</v>
      </c>
      <c r="J1401" s="199" t="s">
        <v>2209</v>
      </c>
      <c r="K1401" s="188">
        <v>0</v>
      </c>
      <c r="L1401" s="209" t="s">
        <v>2211</v>
      </c>
      <c r="M1401" s="207">
        <f>ROUND(K1401*I1401/10000,6)</f>
        <v>0</v>
      </c>
      <c r="N1401" s="198">
        <f>'02 项目基础信息（输入）'!$C$51</f>
        <v>0</v>
      </c>
      <c r="O1401" s="198">
        <f t="shared" si="158"/>
        <v>0</v>
      </c>
      <c r="P1401" s="198">
        <f>'02 项目基础信息（输入）'!$I$51</f>
        <v>0</v>
      </c>
      <c r="Q1401" s="233">
        <f t="shared" si="159"/>
        <v>0</v>
      </c>
      <c r="S1401" s="217"/>
      <c r="U1401" s="220" t="s">
        <v>3190</v>
      </c>
    </row>
    <row r="1402" spans="1:21" ht="0" hidden="1" customHeight="1" outlineLevel="2">
      <c r="A1402" s="192" t="s">
        <v>1941</v>
      </c>
      <c r="B1402" s="192"/>
      <c r="C1402" s="197" t="s">
        <v>1609</v>
      </c>
      <c r="D1402" s="198">
        <f>'02 项目基础信息（输入）'!$C$51</f>
        <v>0</v>
      </c>
      <c r="E1402" s="199" t="s">
        <v>93</v>
      </c>
      <c r="F1402" s="197"/>
      <c r="G1402" s="199"/>
      <c r="H1402" s="199"/>
      <c r="I1402" s="197"/>
      <c r="J1402" s="199"/>
      <c r="K1402" s="198"/>
      <c r="L1402" s="209"/>
      <c r="M1402" s="197">
        <v>0</v>
      </c>
      <c r="N1402" s="198">
        <f>'02 项目基础信息（输入）'!$C$51</f>
        <v>0</v>
      </c>
      <c r="O1402" s="198">
        <f t="shared" si="158"/>
        <v>0</v>
      </c>
      <c r="P1402" s="198">
        <f>'02 项目基础信息（输入）'!$I$51</f>
        <v>0</v>
      </c>
      <c r="Q1402" s="233">
        <f t="shared" si="159"/>
        <v>0</v>
      </c>
      <c r="S1402" s="217" t="s">
        <v>1313</v>
      </c>
      <c r="U1402" s="220" t="s">
        <v>3191</v>
      </c>
    </row>
    <row r="1403" spans="1:21" ht="0" hidden="1" customHeight="1" outlineLevel="2">
      <c r="A1403" s="192" t="s">
        <v>1952</v>
      </c>
      <c r="B1403" s="192"/>
      <c r="C1403" s="197" t="s">
        <v>1609</v>
      </c>
      <c r="D1403" s="198">
        <f>'02 项目基础信息（输入）'!$C$51</f>
        <v>0</v>
      </c>
      <c r="E1403" s="199" t="s">
        <v>93</v>
      </c>
      <c r="F1403" s="197"/>
      <c r="G1403" s="199"/>
      <c r="H1403" s="199"/>
      <c r="I1403" s="197"/>
      <c r="J1403" s="199"/>
      <c r="K1403" s="198"/>
      <c r="L1403" s="209"/>
      <c r="M1403" s="197">
        <v>0</v>
      </c>
      <c r="N1403" s="198">
        <f>'02 项目基础信息（输入）'!$C$51</f>
        <v>0</v>
      </c>
      <c r="O1403" s="198">
        <f t="shared" si="158"/>
        <v>0</v>
      </c>
      <c r="P1403" s="198">
        <f>'02 项目基础信息（输入）'!$I$51</f>
        <v>0</v>
      </c>
      <c r="Q1403" s="233">
        <f t="shared" si="159"/>
        <v>0</v>
      </c>
      <c r="S1403" s="217" t="s">
        <v>1313</v>
      </c>
      <c r="U1403" s="220" t="s">
        <v>3192</v>
      </c>
    </row>
    <row r="1404" spans="1:21" ht="0" hidden="1" customHeight="1" outlineLevel="2">
      <c r="A1404" s="192" t="s">
        <v>1957</v>
      </c>
      <c r="B1404" s="192"/>
      <c r="C1404" s="197" t="s">
        <v>1609</v>
      </c>
      <c r="D1404" s="198">
        <f>'02 项目基础信息（输入）'!$C$51</f>
        <v>0</v>
      </c>
      <c r="E1404" s="199" t="s">
        <v>93</v>
      </c>
      <c r="F1404" s="197"/>
      <c r="G1404" s="199"/>
      <c r="H1404" s="199"/>
      <c r="I1404" s="197"/>
      <c r="J1404" s="199"/>
      <c r="K1404" s="198"/>
      <c r="L1404" s="209"/>
      <c r="M1404" s="198">
        <f>ROUND(SUM(M1405:M1408),6)</f>
        <v>0</v>
      </c>
      <c r="N1404" s="198">
        <f>'02 项目基础信息（输入）'!$C$51</f>
        <v>0</v>
      </c>
      <c r="O1404" s="198">
        <f t="shared" si="158"/>
        <v>0</v>
      </c>
      <c r="P1404" s="198">
        <f>'02 项目基础信息（输入）'!$I$51</f>
        <v>0</v>
      </c>
      <c r="Q1404" s="233">
        <f t="shared" si="159"/>
        <v>0</v>
      </c>
      <c r="S1404" s="217" t="s">
        <v>1313</v>
      </c>
      <c r="U1404" s="220" t="s">
        <v>3193</v>
      </c>
    </row>
    <row r="1405" spans="1:21" ht="0" hidden="1" customHeight="1" outlineLevel="3">
      <c r="A1405" s="192" t="s">
        <v>1959</v>
      </c>
      <c r="B1405" s="192"/>
      <c r="C1405" s="197" t="s">
        <v>1609</v>
      </c>
      <c r="D1405" s="198">
        <f>'02 项目基础信息（输入）'!$C$51</f>
        <v>0</v>
      </c>
      <c r="E1405" s="199" t="s">
        <v>93</v>
      </c>
      <c r="F1405" s="197" t="s">
        <v>1960</v>
      </c>
      <c r="G1405" s="82">
        <v>0</v>
      </c>
      <c r="H1405" s="199" t="s">
        <v>298</v>
      </c>
      <c r="I1405" s="198">
        <f>G1405*D1405</f>
        <v>0</v>
      </c>
      <c r="J1405" s="199" t="s">
        <v>93</v>
      </c>
      <c r="K1405" s="188">
        <v>0</v>
      </c>
      <c r="L1405" s="209" t="s">
        <v>675</v>
      </c>
      <c r="M1405" s="207">
        <f>ROUND(K1405*I1405/10000,6)</f>
        <v>0</v>
      </c>
      <c r="N1405" s="198">
        <f>'02 项目基础信息（输入）'!$C$51</f>
        <v>0</v>
      </c>
      <c r="O1405" s="198">
        <f t="shared" si="158"/>
        <v>0</v>
      </c>
      <c r="P1405" s="198">
        <f>'02 项目基础信息（输入）'!$I$51</f>
        <v>0</v>
      </c>
      <c r="Q1405" s="233">
        <f t="shared" si="159"/>
        <v>0</v>
      </c>
      <c r="S1405" s="217"/>
      <c r="U1405" s="220" t="s">
        <v>3194</v>
      </c>
    </row>
    <row r="1406" spans="1:21" ht="0" hidden="1" customHeight="1" outlineLevel="3">
      <c r="A1406" s="192" t="s">
        <v>1962</v>
      </c>
      <c r="B1406" s="192"/>
      <c r="C1406" s="197" t="s">
        <v>1609</v>
      </c>
      <c r="D1406" s="198">
        <f>'02 项目基础信息（输入）'!$C$51</f>
        <v>0</v>
      </c>
      <c r="E1406" s="199" t="s">
        <v>93</v>
      </c>
      <c r="F1406" s="197" t="s">
        <v>1960</v>
      </c>
      <c r="G1406" s="82">
        <v>0</v>
      </c>
      <c r="H1406" s="199" t="s">
        <v>298</v>
      </c>
      <c r="I1406" s="198">
        <f>G1406*D1406</f>
        <v>0</v>
      </c>
      <c r="J1406" s="199" t="s">
        <v>93</v>
      </c>
      <c r="K1406" s="188">
        <v>0</v>
      </c>
      <c r="L1406" s="209" t="s">
        <v>675</v>
      </c>
      <c r="M1406" s="207">
        <f>ROUND(K1406*I1406/10000,6)</f>
        <v>0</v>
      </c>
      <c r="N1406" s="198">
        <f>'02 项目基础信息（输入）'!$C$51</f>
        <v>0</v>
      </c>
      <c r="O1406" s="198">
        <f t="shared" si="158"/>
        <v>0</v>
      </c>
      <c r="P1406" s="198">
        <f>'02 项目基础信息（输入）'!$I$51</f>
        <v>0</v>
      </c>
      <c r="Q1406" s="233">
        <f t="shared" si="159"/>
        <v>0</v>
      </c>
      <c r="S1406" s="217"/>
      <c r="U1406" s="220" t="s">
        <v>3195</v>
      </c>
    </row>
    <row r="1407" spans="1:21" ht="0" hidden="1" customHeight="1" outlineLevel="3">
      <c r="A1407" s="192" t="s">
        <v>1964</v>
      </c>
      <c r="B1407" s="192"/>
      <c r="C1407" s="197" t="s">
        <v>1609</v>
      </c>
      <c r="D1407" s="198">
        <f>'02 项目基础信息（输入）'!$C$51</f>
        <v>0</v>
      </c>
      <c r="E1407" s="199" t="s">
        <v>93</v>
      </c>
      <c r="F1407" s="197" t="s">
        <v>1960</v>
      </c>
      <c r="G1407" s="82">
        <v>0</v>
      </c>
      <c r="H1407" s="199" t="s">
        <v>298</v>
      </c>
      <c r="I1407" s="198">
        <f>G1407*D1407</f>
        <v>0</v>
      </c>
      <c r="J1407" s="199" t="s">
        <v>93</v>
      </c>
      <c r="K1407" s="188">
        <v>0</v>
      </c>
      <c r="L1407" s="209" t="s">
        <v>675</v>
      </c>
      <c r="M1407" s="207">
        <f>ROUND(K1407*I1407/10000,6)</f>
        <v>0</v>
      </c>
      <c r="N1407" s="198">
        <f>'02 项目基础信息（输入）'!$C$51</f>
        <v>0</v>
      </c>
      <c r="O1407" s="198">
        <f t="shared" si="158"/>
        <v>0</v>
      </c>
      <c r="P1407" s="198">
        <f>'02 项目基础信息（输入）'!$I$51</f>
        <v>0</v>
      </c>
      <c r="Q1407" s="233">
        <f t="shared" si="159"/>
        <v>0</v>
      </c>
      <c r="S1407" s="217"/>
      <c r="U1407" s="220" t="s">
        <v>3196</v>
      </c>
    </row>
    <row r="1408" spans="1:21" ht="0" hidden="1" customHeight="1" outlineLevel="3">
      <c r="A1408" s="192" t="s">
        <v>1966</v>
      </c>
      <c r="B1408" s="192"/>
      <c r="C1408" s="197" t="s">
        <v>1609</v>
      </c>
      <c r="D1408" s="198">
        <f>'02 项目基础信息（输入）'!$C$51</f>
        <v>0</v>
      </c>
      <c r="E1408" s="199" t="s">
        <v>93</v>
      </c>
      <c r="F1408" s="197" t="s">
        <v>1960</v>
      </c>
      <c r="G1408" s="82">
        <v>0</v>
      </c>
      <c r="H1408" s="199" t="s">
        <v>298</v>
      </c>
      <c r="I1408" s="198">
        <f>G1408*D1408</f>
        <v>0</v>
      </c>
      <c r="J1408" s="199" t="s">
        <v>93</v>
      </c>
      <c r="K1408" s="188">
        <v>0</v>
      </c>
      <c r="L1408" s="209" t="s">
        <v>675</v>
      </c>
      <c r="M1408" s="207">
        <f>ROUND(K1408*I1408/10000,6)</f>
        <v>0</v>
      </c>
      <c r="N1408" s="198">
        <f>'02 项目基础信息（输入）'!$C$51</f>
        <v>0</v>
      </c>
      <c r="O1408" s="198">
        <f t="shared" si="158"/>
        <v>0</v>
      </c>
      <c r="P1408" s="198">
        <f>'02 项目基础信息（输入）'!$I$51</f>
        <v>0</v>
      </c>
      <c r="Q1408" s="233">
        <f t="shared" si="159"/>
        <v>0</v>
      </c>
      <c r="S1408" s="217"/>
      <c r="U1408" s="220" t="s">
        <v>3197</v>
      </c>
    </row>
    <row r="1409" spans="1:21" ht="0" hidden="1" customHeight="1" outlineLevel="2">
      <c r="A1409" s="192" t="s">
        <v>1968</v>
      </c>
      <c r="B1409" s="192"/>
      <c r="C1409" s="197" t="s">
        <v>1609</v>
      </c>
      <c r="D1409" s="198">
        <f>'02 项目基础信息（输入）'!$C$51</f>
        <v>0</v>
      </c>
      <c r="E1409" s="199" t="s">
        <v>93</v>
      </c>
      <c r="F1409" s="197"/>
      <c r="G1409" s="199"/>
      <c r="H1409" s="199"/>
      <c r="I1409" s="197"/>
      <c r="J1409" s="199"/>
      <c r="K1409" s="198"/>
      <c r="L1409" s="209"/>
      <c r="M1409" s="198">
        <f>ROUND(SUM(M1410),6)</f>
        <v>0</v>
      </c>
      <c r="N1409" s="198">
        <f>'02 项目基础信息（输入）'!$C$51</f>
        <v>0</v>
      </c>
      <c r="O1409" s="198">
        <f t="shared" si="158"/>
        <v>0</v>
      </c>
      <c r="P1409" s="198">
        <f>'02 项目基础信息（输入）'!$I$51</f>
        <v>0</v>
      </c>
      <c r="Q1409" s="233">
        <f t="shared" si="159"/>
        <v>0</v>
      </c>
      <c r="S1409" s="217" t="s">
        <v>1313</v>
      </c>
      <c r="U1409" s="220" t="s">
        <v>3198</v>
      </c>
    </row>
    <row r="1410" spans="1:21" ht="0" hidden="1" customHeight="1" outlineLevel="3">
      <c r="A1410" s="192" t="s">
        <v>1970</v>
      </c>
      <c r="B1410" s="192"/>
      <c r="C1410" s="197" t="s">
        <v>1609</v>
      </c>
      <c r="D1410" s="198">
        <f>'02 项目基础信息（输入）'!$C$51</f>
        <v>0</v>
      </c>
      <c r="E1410" s="199" t="s">
        <v>93</v>
      </c>
      <c r="F1410" s="197" t="s">
        <v>1609</v>
      </c>
      <c r="G1410" s="199">
        <v>1</v>
      </c>
      <c r="H1410" s="199" t="s">
        <v>298</v>
      </c>
      <c r="I1410" s="198">
        <f>G1410*D1410</f>
        <v>0</v>
      </c>
      <c r="J1410" s="199" t="s">
        <v>93</v>
      </c>
      <c r="K1410" s="188">
        <v>0</v>
      </c>
      <c r="L1410" s="209" t="s">
        <v>675</v>
      </c>
      <c r="M1410" s="207">
        <f>ROUND(K1410*I1410/10000,6)</f>
        <v>0</v>
      </c>
      <c r="N1410" s="198">
        <f>'02 项目基础信息（输入）'!$C$51</f>
        <v>0</v>
      </c>
      <c r="O1410" s="198">
        <f t="shared" si="158"/>
        <v>0</v>
      </c>
      <c r="P1410" s="198">
        <f>'02 项目基础信息（输入）'!$I$51</f>
        <v>0</v>
      </c>
      <c r="Q1410" s="233">
        <f t="shared" si="159"/>
        <v>0</v>
      </c>
      <c r="S1410" s="217"/>
      <c r="U1410" s="220" t="s">
        <v>3199</v>
      </c>
    </row>
    <row r="1411" spans="1:21" ht="0" hidden="1" customHeight="1" outlineLevel="2">
      <c r="A1411" s="192" t="s">
        <v>1972</v>
      </c>
      <c r="B1411" s="192"/>
      <c r="C1411" s="197" t="s">
        <v>1609</v>
      </c>
      <c r="D1411" s="198">
        <f>'02 项目基础信息（输入）'!$C$51</f>
        <v>0</v>
      </c>
      <c r="E1411" s="199" t="s">
        <v>93</v>
      </c>
      <c r="F1411" s="197"/>
      <c r="G1411" s="199"/>
      <c r="H1411" s="199"/>
      <c r="I1411" s="197"/>
      <c r="J1411" s="199"/>
      <c r="K1411" s="198"/>
      <c r="L1411" s="209"/>
      <c r="M1411" s="198">
        <f>ROUND(SUM(M1412),6)</f>
        <v>0</v>
      </c>
      <c r="N1411" s="198">
        <f>'02 项目基础信息（输入）'!$C$51</f>
        <v>0</v>
      </c>
      <c r="O1411" s="198">
        <f t="shared" ref="O1411:O1474" si="164">ROUND(IFERROR(M1411*10000/N1411,0),2)</f>
        <v>0</v>
      </c>
      <c r="P1411" s="198">
        <f>'02 项目基础信息（输入）'!$I$51</f>
        <v>0</v>
      </c>
      <c r="Q1411" s="233">
        <f t="shared" ref="Q1411:Q1474" si="165">ROUND(IFERROR(M1411*10000/P1411,0),2)</f>
        <v>0</v>
      </c>
      <c r="S1411" s="217" t="s">
        <v>1313</v>
      </c>
      <c r="U1411" s="220" t="s">
        <v>3200</v>
      </c>
    </row>
    <row r="1412" spans="1:21" ht="0" hidden="1" customHeight="1" outlineLevel="3">
      <c r="A1412" s="192" t="s">
        <v>1974</v>
      </c>
      <c r="B1412" s="192"/>
      <c r="C1412" s="197" t="s">
        <v>1609</v>
      </c>
      <c r="D1412" s="198">
        <f>'02 项目基础信息（输入）'!$C$51</f>
        <v>0</v>
      </c>
      <c r="E1412" s="199" t="s">
        <v>93</v>
      </c>
      <c r="F1412" s="197" t="s">
        <v>1609</v>
      </c>
      <c r="G1412" s="199">
        <v>1</v>
      </c>
      <c r="H1412" s="199" t="s">
        <v>298</v>
      </c>
      <c r="I1412" s="198">
        <f>G1412*D1412</f>
        <v>0</v>
      </c>
      <c r="J1412" s="199" t="s">
        <v>93</v>
      </c>
      <c r="K1412" s="188">
        <v>0</v>
      </c>
      <c r="L1412" s="209" t="s">
        <v>675</v>
      </c>
      <c r="M1412" s="207">
        <f>ROUND(K1412*I1412/10000,6)</f>
        <v>0</v>
      </c>
      <c r="N1412" s="198">
        <f>'02 项目基础信息（输入）'!$C$51</f>
        <v>0</v>
      </c>
      <c r="O1412" s="198">
        <f t="shared" si="164"/>
        <v>0</v>
      </c>
      <c r="P1412" s="198">
        <f>'02 项目基础信息（输入）'!$I$51</f>
        <v>0</v>
      </c>
      <c r="Q1412" s="233">
        <f t="shared" si="165"/>
        <v>0</v>
      </c>
      <c r="S1412" s="217"/>
      <c r="U1412" s="220" t="s">
        <v>3201</v>
      </c>
    </row>
    <row r="1413" spans="1:21" ht="0" hidden="1" customHeight="1" outlineLevel="1" collapsed="1">
      <c r="A1413" s="192" t="s">
        <v>516</v>
      </c>
      <c r="B1413" s="192"/>
      <c r="C1413" s="197" t="s">
        <v>1609</v>
      </c>
      <c r="D1413" s="198">
        <f>'02 项目基础信息（输入）'!$C$54</f>
        <v>0</v>
      </c>
      <c r="E1413" s="199" t="s">
        <v>93</v>
      </c>
      <c r="F1413" s="197"/>
      <c r="G1413" s="199"/>
      <c r="H1413" s="199"/>
      <c r="I1413" s="197"/>
      <c r="J1413" s="199"/>
      <c r="K1413" s="197"/>
      <c r="L1413" s="209"/>
      <c r="M1413" s="198">
        <f>ROUND(M1414+M1436+M1439+M1452+M1455+M1458+M1477+M1489+M1491+M1497+M1503+M1508+M1525+M1530+M1552+M1554+M1558+M1560+M1562+M1568+M1575+M1577+M1579+M1583+M1585+M1587+M1591+M1593+M1595+M1596+M1597+M1602+M1604,6)</f>
        <v>0</v>
      </c>
      <c r="N1413" s="198">
        <f>'02 项目基础信息（输入）'!$C$54</f>
        <v>0</v>
      </c>
      <c r="O1413" s="198">
        <f t="shared" si="164"/>
        <v>0</v>
      </c>
      <c r="P1413" s="198">
        <f>'02 项目基础信息（输入）'!$I$54</f>
        <v>0</v>
      </c>
      <c r="Q1413" s="233">
        <f t="shared" si="165"/>
        <v>0</v>
      </c>
      <c r="S1413" s="217"/>
      <c r="U1413" s="220" t="s">
        <v>3202</v>
      </c>
    </row>
    <row r="1414" spans="1:21" ht="0" hidden="1" customHeight="1" outlineLevel="2">
      <c r="A1414" s="192" t="s">
        <v>1611</v>
      </c>
      <c r="B1414" s="192"/>
      <c r="C1414" s="197" t="s">
        <v>1609</v>
      </c>
      <c r="D1414" s="198">
        <f>'02 项目基础信息（输入）'!$C$54</f>
        <v>0</v>
      </c>
      <c r="E1414" s="199" t="s">
        <v>93</v>
      </c>
      <c r="F1414" s="197"/>
      <c r="G1414" s="199"/>
      <c r="H1414" s="199"/>
      <c r="I1414" s="197"/>
      <c r="J1414" s="199"/>
      <c r="K1414" s="197"/>
      <c r="L1414" s="209"/>
      <c r="M1414" s="198">
        <f>ROUND(M1415+M1418+M1419+M1424+M1425+M1431+M1432+M1435,6)</f>
        <v>0</v>
      </c>
      <c r="N1414" s="198">
        <f>'02 项目基础信息（输入）'!$C$54</f>
        <v>0</v>
      </c>
      <c r="O1414" s="198">
        <f t="shared" si="164"/>
        <v>0</v>
      </c>
      <c r="P1414" s="198">
        <f>'02 项目基础信息（输入）'!$I$54</f>
        <v>0</v>
      </c>
      <c r="Q1414" s="233">
        <f t="shared" si="165"/>
        <v>0</v>
      </c>
      <c r="S1414" s="217" t="s">
        <v>1313</v>
      </c>
      <c r="U1414" s="220" t="s">
        <v>3203</v>
      </c>
    </row>
    <row r="1415" spans="1:21" ht="0" hidden="1" customHeight="1" outlineLevel="3">
      <c r="A1415" s="192" t="s">
        <v>1613</v>
      </c>
      <c r="B1415" s="192"/>
      <c r="C1415" s="197"/>
      <c r="D1415" s="198">
        <f>'02 项目基础信息（输入）'!$C$54</f>
        <v>0</v>
      </c>
      <c r="E1415" s="199"/>
      <c r="F1415" s="197"/>
      <c r="G1415" s="199"/>
      <c r="H1415" s="199"/>
      <c r="I1415" s="197">
        <v>0</v>
      </c>
      <c r="J1415" s="199"/>
      <c r="K1415" s="197"/>
      <c r="L1415" s="209"/>
      <c r="M1415" s="198">
        <f>ROUND(SUM(M1416:M1417),6)</f>
        <v>0</v>
      </c>
      <c r="N1415" s="198">
        <f>'02 项目基础信息（输入）'!$C$54</f>
        <v>0</v>
      </c>
      <c r="O1415" s="198">
        <f t="shared" si="164"/>
        <v>0</v>
      </c>
      <c r="P1415" s="198">
        <f>'02 项目基础信息（输入）'!$I$54</f>
        <v>0</v>
      </c>
      <c r="Q1415" s="233">
        <f t="shared" si="165"/>
        <v>0</v>
      </c>
      <c r="S1415" s="217"/>
      <c r="U1415" s="220" t="s">
        <v>3204</v>
      </c>
    </row>
    <row r="1416" spans="1:21" ht="0" hidden="1" customHeight="1" outlineLevel="4">
      <c r="A1416" s="192" t="s">
        <v>1615</v>
      </c>
      <c r="B1416" s="192"/>
      <c r="C1416" s="197" t="s">
        <v>1609</v>
      </c>
      <c r="D1416" s="198">
        <f>'02 项目基础信息（输入）'!$C$54</f>
        <v>0</v>
      </c>
      <c r="E1416" s="199" t="s">
        <v>93</v>
      </c>
      <c r="F1416" s="197" t="s">
        <v>1616</v>
      </c>
      <c r="G1416" s="82">
        <v>0</v>
      </c>
      <c r="H1416" s="199" t="s">
        <v>966</v>
      </c>
      <c r="I1416" s="198">
        <f>G1416*D1416</f>
        <v>0</v>
      </c>
      <c r="J1416" s="199" t="s">
        <v>1617</v>
      </c>
      <c r="K1416" s="188">
        <v>0</v>
      </c>
      <c r="L1416" s="209" t="s">
        <v>664</v>
      </c>
      <c r="M1416" s="198">
        <f>ROUND(K1416*I1416/10000,6)</f>
        <v>0</v>
      </c>
      <c r="N1416" s="198">
        <f>'02 项目基础信息（输入）'!$C$54</f>
        <v>0</v>
      </c>
      <c r="O1416" s="198">
        <f t="shared" si="164"/>
        <v>0</v>
      </c>
      <c r="P1416" s="198">
        <f>'02 项目基础信息（输入）'!$I$54</f>
        <v>0</v>
      </c>
      <c r="Q1416" s="233">
        <f t="shared" si="165"/>
        <v>0</v>
      </c>
      <c r="S1416" s="217"/>
      <c r="U1416" s="220" t="s">
        <v>3205</v>
      </c>
    </row>
    <row r="1417" spans="1:21" ht="0" hidden="1" customHeight="1" outlineLevel="4">
      <c r="A1417" s="192" t="s">
        <v>1619</v>
      </c>
      <c r="B1417" s="192"/>
      <c r="C1417" s="197" t="s">
        <v>1609</v>
      </c>
      <c r="D1417" s="198">
        <f>'02 项目基础信息（输入）'!$C$54</f>
        <v>0</v>
      </c>
      <c r="E1417" s="199" t="s">
        <v>93</v>
      </c>
      <c r="F1417" s="197" t="s">
        <v>1616</v>
      </c>
      <c r="G1417" s="82">
        <v>0</v>
      </c>
      <c r="H1417" s="199" t="s">
        <v>966</v>
      </c>
      <c r="I1417" s="198">
        <f>G1417*D1417</f>
        <v>0</v>
      </c>
      <c r="J1417" s="199" t="s">
        <v>1617</v>
      </c>
      <c r="K1417" s="188">
        <v>0</v>
      </c>
      <c r="L1417" s="209" t="s">
        <v>664</v>
      </c>
      <c r="M1417" s="198">
        <f>ROUND(K1417*I1417/10000,6)</f>
        <v>0</v>
      </c>
      <c r="N1417" s="198">
        <f>'02 项目基础信息（输入）'!$C$54</f>
        <v>0</v>
      </c>
      <c r="O1417" s="198">
        <f t="shared" si="164"/>
        <v>0</v>
      </c>
      <c r="P1417" s="198">
        <f>'02 项目基础信息（输入）'!$I$54</f>
        <v>0</v>
      </c>
      <c r="Q1417" s="233">
        <f t="shared" si="165"/>
        <v>0</v>
      </c>
      <c r="S1417" s="217"/>
      <c r="U1417" s="220" t="s">
        <v>3206</v>
      </c>
    </row>
    <row r="1418" spans="1:21" ht="0" hidden="1" customHeight="1" outlineLevel="3">
      <c r="A1418" s="192" t="s">
        <v>1621</v>
      </c>
      <c r="B1418" s="192"/>
      <c r="C1418" s="197" t="s">
        <v>1609</v>
      </c>
      <c r="D1418" s="198">
        <f>'02 项目基础信息（输入）'!$C$54</f>
        <v>0</v>
      </c>
      <c r="E1418" s="199" t="s">
        <v>93</v>
      </c>
      <c r="F1418" s="197" t="s">
        <v>1622</v>
      </c>
      <c r="G1418" s="82">
        <v>0</v>
      </c>
      <c r="H1418" s="199" t="s">
        <v>298</v>
      </c>
      <c r="I1418" s="198">
        <f>G1418*D1418</f>
        <v>0</v>
      </c>
      <c r="J1418" s="199" t="s">
        <v>93</v>
      </c>
      <c r="K1418" s="188">
        <v>0</v>
      </c>
      <c r="L1418" s="209" t="s">
        <v>675</v>
      </c>
      <c r="M1418" s="198">
        <f>ROUND(K1418*I1418/10000,6)</f>
        <v>0</v>
      </c>
      <c r="N1418" s="198">
        <f>'02 项目基础信息（输入）'!$C$54</f>
        <v>0</v>
      </c>
      <c r="O1418" s="198">
        <f t="shared" si="164"/>
        <v>0</v>
      </c>
      <c r="P1418" s="198">
        <f>'02 项目基础信息（输入）'!$I$54</f>
        <v>0</v>
      </c>
      <c r="Q1418" s="233">
        <f t="shared" si="165"/>
        <v>0</v>
      </c>
      <c r="S1418" s="217"/>
      <c r="U1418" s="220" t="s">
        <v>3207</v>
      </c>
    </row>
    <row r="1419" spans="1:21" ht="0" hidden="1" customHeight="1" outlineLevel="3">
      <c r="A1419" s="192" t="s">
        <v>1624</v>
      </c>
      <c r="B1419" s="192"/>
      <c r="C1419" s="197"/>
      <c r="D1419" s="198">
        <f>'02 项目基础信息（输入）'!$C$54</f>
        <v>0</v>
      </c>
      <c r="E1419" s="199"/>
      <c r="F1419" s="197"/>
      <c r="G1419" s="199"/>
      <c r="H1419" s="199"/>
      <c r="I1419" s="197">
        <v>0</v>
      </c>
      <c r="J1419" s="199"/>
      <c r="K1419" s="198"/>
      <c r="L1419" s="209"/>
      <c r="M1419" s="198">
        <f>ROUND(SUM(M1420:M1423),6)</f>
        <v>0</v>
      </c>
      <c r="N1419" s="198">
        <f>'02 项目基础信息（输入）'!$C$54</f>
        <v>0</v>
      </c>
      <c r="O1419" s="198">
        <f t="shared" si="164"/>
        <v>0</v>
      </c>
      <c r="P1419" s="198">
        <f>'02 项目基础信息（输入）'!$I$54</f>
        <v>0</v>
      </c>
      <c r="Q1419" s="233">
        <f t="shared" si="165"/>
        <v>0</v>
      </c>
      <c r="S1419" s="217"/>
      <c r="U1419" s="220" t="s">
        <v>3208</v>
      </c>
    </row>
    <row r="1420" spans="1:21" ht="0" hidden="1" customHeight="1" outlineLevel="4">
      <c r="A1420" s="192" t="s">
        <v>1626</v>
      </c>
      <c r="B1420" s="192"/>
      <c r="C1420" s="197" t="s">
        <v>1609</v>
      </c>
      <c r="D1420" s="198">
        <f>'02 项目基础信息（输入）'!$C$54</f>
        <v>0</v>
      </c>
      <c r="E1420" s="199" t="s">
        <v>93</v>
      </c>
      <c r="F1420" s="197" t="s">
        <v>1627</v>
      </c>
      <c r="G1420" s="82">
        <v>0</v>
      </c>
      <c r="H1420" s="199" t="s">
        <v>976</v>
      </c>
      <c r="I1420" s="198">
        <f>G1420*D1420</f>
        <v>0</v>
      </c>
      <c r="J1420" s="199" t="s">
        <v>1511</v>
      </c>
      <c r="K1420" s="188">
        <v>0</v>
      </c>
      <c r="L1420" s="209" t="s">
        <v>671</v>
      </c>
      <c r="M1420" s="198">
        <f>ROUND(K1420*I1420/10000,6)</f>
        <v>0</v>
      </c>
      <c r="N1420" s="198">
        <f>'02 项目基础信息（输入）'!$C$54</f>
        <v>0</v>
      </c>
      <c r="O1420" s="198">
        <f t="shared" si="164"/>
        <v>0</v>
      </c>
      <c r="P1420" s="198">
        <f>'02 项目基础信息（输入）'!$I$54</f>
        <v>0</v>
      </c>
      <c r="Q1420" s="233">
        <f t="shared" si="165"/>
        <v>0</v>
      </c>
      <c r="S1420" s="217"/>
      <c r="U1420" s="220" t="s">
        <v>3209</v>
      </c>
    </row>
    <row r="1421" spans="1:21" ht="0" hidden="1" customHeight="1" outlineLevel="4">
      <c r="A1421" s="192" t="s">
        <v>1629</v>
      </c>
      <c r="B1421" s="192"/>
      <c r="C1421" s="197" t="s">
        <v>1609</v>
      </c>
      <c r="D1421" s="198">
        <f>'02 项目基础信息（输入）'!$C$54</f>
        <v>0</v>
      </c>
      <c r="E1421" s="199" t="s">
        <v>93</v>
      </c>
      <c r="F1421" s="197" t="s">
        <v>1627</v>
      </c>
      <c r="G1421" s="82">
        <v>0</v>
      </c>
      <c r="H1421" s="199" t="s">
        <v>976</v>
      </c>
      <c r="I1421" s="198">
        <f>G1421*D1421</f>
        <v>0</v>
      </c>
      <c r="J1421" s="199" t="s">
        <v>1511</v>
      </c>
      <c r="K1421" s="188">
        <v>0</v>
      </c>
      <c r="L1421" s="209" t="s">
        <v>671</v>
      </c>
      <c r="M1421" s="198">
        <f>ROUND(K1421*I1421/10000,6)</f>
        <v>0</v>
      </c>
      <c r="N1421" s="198">
        <f>'02 项目基础信息（输入）'!$C$54</f>
        <v>0</v>
      </c>
      <c r="O1421" s="198">
        <f t="shared" si="164"/>
        <v>0</v>
      </c>
      <c r="P1421" s="198">
        <f>'02 项目基础信息（输入）'!$I$54</f>
        <v>0</v>
      </c>
      <c r="Q1421" s="233">
        <f t="shared" si="165"/>
        <v>0</v>
      </c>
      <c r="S1421" s="217"/>
      <c r="U1421" s="220" t="s">
        <v>3210</v>
      </c>
    </row>
    <row r="1422" spans="1:21" ht="0" hidden="1" customHeight="1" outlineLevel="4">
      <c r="A1422" s="192" t="s">
        <v>1631</v>
      </c>
      <c r="B1422" s="192"/>
      <c r="C1422" s="197" t="s">
        <v>1609</v>
      </c>
      <c r="D1422" s="198">
        <f>'02 项目基础信息（输入）'!$C$54</f>
        <v>0</v>
      </c>
      <c r="E1422" s="199" t="s">
        <v>93</v>
      </c>
      <c r="F1422" s="197" t="s">
        <v>1632</v>
      </c>
      <c r="G1422" s="82">
        <v>0</v>
      </c>
      <c r="H1422" s="199" t="s">
        <v>976</v>
      </c>
      <c r="I1422" s="198">
        <f>G1422*D1422</f>
        <v>0</v>
      </c>
      <c r="J1422" s="199" t="s">
        <v>93</v>
      </c>
      <c r="K1422" s="188">
        <v>0</v>
      </c>
      <c r="L1422" s="209" t="s">
        <v>675</v>
      </c>
      <c r="M1422" s="198">
        <f>ROUND(K1422*I1422/10000,6)</f>
        <v>0</v>
      </c>
      <c r="N1422" s="198">
        <f>'02 项目基础信息（输入）'!$C$54</f>
        <v>0</v>
      </c>
      <c r="O1422" s="198">
        <f t="shared" si="164"/>
        <v>0</v>
      </c>
      <c r="P1422" s="198">
        <f>'02 项目基础信息（输入）'!$I$54</f>
        <v>0</v>
      </c>
      <c r="Q1422" s="233">
        <f t="shared" si="165"/>
        <v>0</v>
      </c>
      <c r="S1422" s="217"/>
      <c r="U1422" s="220" t="s">
        <v>3211</v>
      </c>
    </row>
    <row r="1423" spans="1:21" ht="0" hidden="1" customHeight="1" outlineLevel="4">
      <c r="A1423" s="192" t="s">
        <v>1634</v>
      </c>
      <c r="B1423" s="192"/>
      <c r="C1423" s="197" t="s">
        <v>1609</v>
      </c>
      <c r="D1423" s="198">
        <f>'02 项目基础信息（输入）'!$C$54</f>
        <v>0</v>
      </c>
      <c r="E1423" s="199" t="s">
        <v>93</v>
      </c>
      <c r="F1423" s="197" t="s">
        <v>1632</v>
      </c>
      <c r="G1423" s="82">
        <v>0</v>
      </c>
      <c r="H1423" s="199" t="s">
        <v>976</v>
      </c>
      <c r="I1423" s="198">
        <f>G1423*D1423</f>
        <v>0</v>
      </c>
      <c r="J1423" s="199" t="s">
        <v>93</v>
      </c>
      <c r="K1423" s="188">
        <v>0</v>
      </c>
      <c r="L1423" s="209" t="s">
        <v>675</v>
      </c>
      <c r="M1423" s="198">
        <f>ROUND(K1423*I1423/10000,6)</f>
        <v>0</v>
      </c>
      <c r="N1423" s="198">
        <f>'02 项目基础信息（输入）'!$C$54</f>
        <v>0</v>
      </c>
      <c r="O1423" s="198">
        <f t="shared" si="164"/>
        <v>0</v>
      </c>
      <c r="P1423" s="198">
        <f>'02 项目基础信息（输入）'!$I$54</f>
        <v>0</v>
      </c>
      <c r="Q1423" s="233">
        <f t="shared" si="165"/>
        <v>0</v>
      </c>
      <c r="S1423" s="217"/>
      <c r="U1423" s="220" t="s">
        <v>3212</v>
      </c>
    </row>
    <row r="1424" spans="1:21" ht="0" hidden="1" customHeight="1" outlineLevel="3">
      <c r="A1424" s="192" t="s">
        <v>1636</v>
      </c>
      <c r="B1424" s="192"/>
      <c r="C1424" s="197" t="s">
        <v>1609</v>
      </c>
      <c r="D1424" s="198">
        <f>'02 项目基础信息（输入）'!$C$54</f>
        <v>0</v>
      </c>
      <c r="E1424" s="199" t="s">
        <v>93</v>
      </c>
      <c r="F1424" s="197" t="s">
        <v>1637</v>
      </c>
      <c r="G1424" s="82">
        <v>0</v>
      </c>
      <c r="H1424" s="199" t="s">
        <v>976</v>
      </c>
      <c r="I1424" s="198">
        <f>G1424*D1424</f>
        <v>0</v>
      </c>
      <c r="J1424" s="199" t="s">
        <v>1511</v>
      </c>
      <c r="K1424" s="188">
        <v>0</v>
      </c>
      <c r="L1424" s="209" t="s">
        <v>671</v>
      </c>
      <c r="M1424" s="198">
        <f>ROUND(K1424*I1424/10000,6)</f>
        <v>0</v>
      </c>
      <c r="N1424" s="198">
        <f>'02 项目基础信息（输入）'!$C$54</f>
        <v>0</v>
      </c>
      <c r="O1424" s="198">
        <f t="shared" si="164"/>
        <v>0</v>
      </c>
      <c r="P1424" s="198">
        <f>'02 项目基础信息（输入）'!$I$54</f>
        <v>0</v>
      </c>
      <c r="Q1424" s="233">
        <f t="shared" si="165"/>
        <v>0</v>
      </c>
      <c r="S1424" s="217"/>
      <c r="U1424" s="220" t="s">
        <v>3213</v>
      </c>
    </row>
    <row r="1425" spans="1:21" ht="0" hidden="1" customHeight="1" outlineLevel="3">
      <c r="A1425" s="192" t="s">
        <v>1640</v>
      </c>
      <c r="B1425" s="192"/>
      <c r="C1425" s="197"/>
      <c r="D1425" s="198">
        <f>'02 项目基础信息（输入）'!$C$54</f>
        <v>0</v>
      </c>
      <c r="E1425" s="199"/>
      <c r="F1425" s="197"/>
      <c r="G1425" s="199"/>
      <c r="H1425" s="199"/>
      <c r="I1425" s="197">
        <v>0</v>
      </c>
      <c r="J1425" s="199"/>
      <c r="K1425" s="197"/>
      <c r="L1425" s="209"/>
      <c r="M1425" s="198">
        <f>ROUND(SUM(M1426:M1430),6)</f>
        <v>0</v>
      </c>
      <c r="N1425" s="198">
        <f>'02 项目基础信息（输入）'!$C$54</f>
        <v>0</v>
      </c>
      <c r="O1425" s="198">
        <f t="shared" si="164"/>
        <v>0</v>
      </c>
      <c r="P1425" s="198">
        <f>'02 项目基础信息（输入）'!$I$54</f>
        <v>0</v>
      </c>
      <c r="Q1425" s="233">
        <f t="shared" si="165"/>
        <v>0</v>
      </c>
      <c r="S1425" s="217"/>
      <c r="U1425" s="220" t="s">
        <v>3214</v>
      </c>
    </row>
    <row r="1426" spans="1:21" ht="0" hidden="1" customHeight="1" outlineLevel="4">
      <c r="A1426" s="192" t="s">
        <v>1642</v>
      </c>
      <c r="B1426" s="192"/>
      <c r="C1426" s="197" t="s">
        <v>1609</v>
      </c>
      <c r="D1426" s="198">
        <f>'02 项目基础信息（输入）'!$C$54</f>
        <v>0</v>
      </c>
      <c r="E1426" s="199" t="s">
        <v>93</v>
      </c>
      <c r="F1426" s="197" t="s">
        <v>1609</v>
      </c>
      <c r="G1426" s="199">
        <v>1</v>
      </c>
      <c r="H1426" s="199" t="s">
        <v>298</v>
      </c>
      <c r="I1426" s="198">
        <f t="shared" ref="I1426:I1431" si="166">G1426*D1426</f>
        <v>0</v>
      </c>
      <c r="J1426" s="199" t="s">
        <v>93</v>
      </c>
      <c r="K1426" s="188">
        <v>0</v>
      </c>
      <c r="L1426" s="209" t="s">
        <v>675</v>
      </c>
      <c r="M1426" s="198">
        <f t="shared" ref="M1426:M1431" si="167">ROUND(K1426*I1426/10000,6)</f>
        <v>0</v>
      </c>
      <c r="N1426" s="198">
        <f>'02 项目基础信息（输入）'!$C$54</f>
        <v>0</v>
      </c>
      <c r="O1426" s="198">
        <f t="shared" si="164"/>
        <v>0</v>
      </c>
      <c r="P1426" s="198">
        <f>'02 项目基础信息（输入）'!$I$54</f>
        <v>0</v>
      </c>
      <c r="Q1426" s="233">
        <f t="shared" si="165"/>
        <v>0</v>
      </c>
      <c r="S1426" s="217"/>
      <c r="U1426" s="220" t="s">
        <v>3215</v>
      </c>
    </row>
    <row r="1427" spans="1:21" ht="0" hidden="1" customHeight="1" outlineLevel="4">
      <c r="A1427" s="192" t="s">
        <v>1645</v>
      </c>
      <c r="B1427" s="192"/>
      <c r="C1427" s="197" t="s">
        <v>1609</v>
      </c>
      <c r="D1427" s="198">
        <f>'02 项目基础信息（输入）'!$C$54</f>
        <v>0</v>
      </c>
      <c r="E1427" s="199" t="s">
        <v>93</v>
      </c>
      <c r="F1427" s="197" t="s">
        <v>1609</v>
      </c>
      <c r="G1427" s="199">
        <v>1</v>
      </c>
      <c r="H1427" s="199" t="s">
        <v>298</v>
      </c>
      <c r="I1427" s="198">
        <f t="shared" si="166"/>
        <v>0</v>
      </c>
      <c r="J1427" s="199" t="s">
        <v>93</v>
      </c>
      <c r="K1427" s="188">
        <v>0</v>
      </c>
      <c r="L1427" s="209" t="s">
        <v>675</v>
      </c>
      <c r="M1427" s="198">
        <f t="shared" si="167"/>
        <v>0</v>
      </c>
      <c r="N1427" s="198">
        <f>'02 项目基础信息（输入）'!$C$54</f>
        <v>0</v>
      </c>
      <c r="O1427" s="198">
        <f t="shared" si="164"/>
        <v>0</v>
      </c>
      <c r="P1427" s="198">
        <f>'02 项目基础信息（输入）'!$I$54</f>
        <v>0</v>
      </c>
      <c r="Q1427" s="233">
        <f t="shared" si="165"/>
        <v>0</v>
      </c>
      <c r="S1427" s="217"/>
      <c r="U1427" s="220" t="s">
        <v>3216</v>
      </c>
    </row>
    <row r="1428" spans="1:21" ht="0" hidden="1" customHeight="1" outlineLevel="4">
      <c r="A1428" s="192" t="s">
        <v>1647</v>
      </c>
      <c r="B1428" s="192"/>
      <c r="C1428" s="197" t="s">
        <v>1609</v>
      </c>
      <c r="D1428" s="198">
        <f>'02 项目基础信息（输入）'!$C$54</f>
        <v>0</v>
      </c>
      <c r="E1428" s="199" t="s">
        <v>93</v>
      </c>
      <c r="F1428" s="197" t="s">
        <v>1648</v>
      </c>
      <c r="G1428" s="82">
        <v>0</v>
      </c>
      <c r="H1428" s="199" t="s">
        <v>298</v>
      </c>
      <c r="I1428" s="198">
        <f t="shared" si="166"/>
        <v>0</v>
      </c>
      <c r="J1428" s="199" t="s">
        <v>93</v>
      </c>
      <c r="K1428" s="188">
        <v>0</v>
      </c>
      <c r="L1428" s="209" t="s">
        <v>675</v>
      </c>
      <c r="M1428" s="198">
        <f t="shared" si="167"/>
        <v>0</v>
      </c>
      <c r="N1428" s="198">
        <f>'02 项目基础信息（输入）'!$C$54</f>
        <v>0</v>
      </c>
      <c r="O1428" s="198">
        <f t="shared" si="164"/>
        <v>0</v>
      </c>
      <c r="P1428" s="198">
        <f>'02 项目基础信息（输入）'!$I$54</f>
        <v>0</v>
      </c>
      <c r="Q1428" s="233">
        <f t="shared" si="165"/>
        <v>0</v>
      </c>
      <c r="S1428" s="217"/>
      <c r="U1428" s="220" t="s">
        <v>3217</v>
      </c>
    </row>
    <row r="1429" spans="1:21" ht="0" hidden="1" customHeight="1" outlineLevel="4">
      <c r="A1429" s="192" t="s">
        <v>1993</v>
      </c>
      <c r="B1429" s="192"/>
      <c r="C1429" s="197" t="s">
        <v>1609</v>
      </c>
      <c r="D1429" s="198">
        <f>'02 项目基础信息（输入）'!$C$54</f>
        <v>0</v>
      </c>
      <c r="E1429" s="199" t="s">
        <v>93</v>
      </c>
      <c r="F1429" s="197" t="s">
        <v>1648</v>
      </c>
      <c r="G1429" s="82">
        <v>0</v>
      </c>
      <c r="H1429" s="199" t="s">
        <v>298</v>
      </c>
      <c r="I1429" s="198">
        <f t="shared" si="166"/>
        <v>0</v>
      </c>
      <c r="J1429" s="199" t="s">
        <v>93</v>
      </c>
      <c r="K1429" s="188">
        <v>0</v>
      </c>
      <c r="L1429" s="209" t="s">
        <v>675</v>
      </c>
      <c r="M1429" s="198">
        <f t="shared" si="167"/>
        <v>0</v>
      </c>
      <c r="N1429" s="198">
        <f>'02 项目基础信息（输入）'!$C$54</f>
        <v>0</v>
      </c>
      <c r="O1429" s="198">
        <f t="shared" si="164"/>
        <v>0</v>
      </c>
      <c r="P1429" s="198">
        <f>'02 项目基础信息（输入）'!$I$54</f>
        <v>0</v>
      </c>
      <c r="Q1429" s="233">
        <f t="shared" si="165"/>
        <v>0</v>
      </c>
      <c r="S1429" s="217"/>
      <c r="U1429" s="220" t="s">
        <v>3218</v>
      </c>
    </row>
    <row r="1430" spans="1:21" ht="0" hidden="1" customHeight="1" outlineLevel="4">
      <c r="A1430" s="192" t="s">
        <v>1650</v>
      </c>
      <c r="B1430" s="192"/>
      <c r="C1430" s="197" t="s">
        <v>1609</v>
      </c>
      <c r="D1430" s="198">
        <f>'02 项目基础信息（输入）'!$C$54</f>
        <v>0</v>
      </c>
      <c r="E1430" s="199" t="s">
        <v>93</v>
      </c>
      <c r="F1430" s="197" t="s">
        <v>1648</v>
      </c>
      <c r="G1430" s="82">
        <v>0</v>
      </c>
      <c r="H1430" s="199" t="s">
        <v>298</v>
      </c>
      <c r="I1430" s="198">
        <f t="shared" si="166"/>
        <v>0</v>
      </c>
      <c r="J1430" s="199" t="s">
        <v>93</v>
      </c>
      <c r="K1430" s="188">
        <v>0</v>
      </c>
      <c r="L1430" s="209" t="s">
        <v>675</v>
      </c>
      <c r="M1430" s="198">
        <f t="shared" si="167"/>
        <v>0</v>
      </c>
      <c r="N1430" s="198">
        <f>'02 项目基础信息（输入）'!$C$54</f>
        <v>0</v>
      </c>
      <c r="O1430" s="198">
        <f t="shared" si="164"/>
        <v>0</v>
      </c>
      <c r="P1430" s="198">
        <f>'02 项目基础信息（输入）'!$I$54</f>
        <v>0</v>
      </c>
      <c r="Q1430" s="233">
        <f t="shared" si="165"/>
        <v>0</v>
      </c>
      <c r="S1430" s="217"/>
      <c r="U1430" s="220" t="s">
        <v>3219</v>
      </c>
    </row>
    <row r="1431" spans="1:21" ht="0" hidden="1" customHeight="1" outlineLevel="3">
      <c r="A1431" s="192" t="s">
        <v>1652</v>
      </c>
      <c r="B1431" s="192"/>
      <c r="C1431" s="197" t="s">
        <v>1609</v>
      </c>
      <c r="D1431" s="198">
        <f>'02 项目基础信息（输入）'!$C$54</f>
        <v>0</v>
      </c>
      <c r="E1431" s="199" t="s">
        <v>93</v>
      </c>
      <c r="F1431" s="197" t="s">
        <v>1648</v>
      </c>
      <c r="G1431" s="82">
        <v>0</v>
      </c>
      <c r="H1431" s="199" t="s">
        <v>298</v>
      </c>
      <c r="I1431" s="198">
        <f t="shared" si="166"/>
        <v>0</v>
      </c>
      <c r="J1431" s="199" t="s">
        <v>93</v>
      </c>
      <c r="K1431" s="188">
        <v>0</v>
      </c>
      <c r="L1431" s="209" t="s">
        <v>675</v>
      </c>
      <c r="M1431" s="198">
        <f t="shared" si="167"/>
        <v>0</v>
      </c>
      <c r="N1431" s="198">
        <f>'02 项目基础信息（输入）'!$C$54</f>
        <v>0</v>
      </c>
      <c r="O1431" s="198">
        <f t="shared" si="164"/>
        <v>0</v>
      </c>
      <c r="P1431" s="198">
        <f>'02 项目基础信息（输入）'!$I$54</f>
        <v>0</v>
      </c>
      <c r="Q1431" s="233">
        <f t="shared" si="165"/>
        <v>0</v>
      </c>
      <c r="S1431" s="217"/>
      <c r="U1431" s="220" t="s">
        <v>3220</v>
      </c>
    </row>
    <row r="1432" spans="1:21" ht="0" hidden="1" customHeight="1" outlineLevel="3">
      <c r="A1432" s="192" t="s">
        <v>1654</v>
      </c>
      <c r="B1432" s="192"/>
      <c r="C1432" s="197"/>
      <c r="D1432" s="198">
        <f>'02 项目基础信息（输入）'!$C$54</f>
        <v>0</v>
      </c>
      <c r="E1432" s="199"/>
      <c r="F1432" s="197"/>
      <c r="G1432" s="199"/>
      <c r="H1432" s="199"/>
      <c r="I1432" s="197">
        <v>0</v>
      </c>
      <c r="J1432" s="199"/>
      <c r="K1432" s="197"/>
      <c r="L1432" s="209"/>
      <c r="M1432" s="198">
        <f>ROUND(SUM(M1433:M1434),6)</f>
        <v>0</v>
      </c>
      <c r="N1432" s="198">
        <f>'02 项目基础信息（输入）'!$C$54</f>
        <v>0</v>
      </c>
      <c r="O1432" s="198">
        <f t="shared" si="164"/>
        <v>0</v>
      </c>
      <c r="P1432" s="198">
        <f>'02 项目基础信息（输入）'!$I$54</f>
        <v>0</v>
      </c>
      <c r="Q1432" s="233">
        <f t="shared" si="165"/>
        <v>0</v>
      </c>
      <c r="S1432" s="217"/>
      <c r="U1432" s="220" t="s">
        <v>3221</v>
      </c>
    </row>
    <row r="1433" spans="1:21" ht="0" hidden="1" customHeight="1" outlineLevel="4">
      <c r="A1433" s="192" t="s">
        <v>1656</v>
      </c>
      <c r="B1433" s="192"/>
      <c r="C1433" s="197" t="s">
        <v>1609</v>
      </c>
      <c r="D1433" s="198">
        <f>'02 项目基础信息（输入）'!$C$54</f>
        <v>0</v>
      </c>
      <c r="E1433" s="199" t="s">
        <v>93</v>
      </c>
      <c r="F1433" s="197" t="s">
        <v>1657</v>
      </c>
      <c r="G1433" s="82">
        <v>0</v>
      </c>
      <c r="H1433" s="199" t="s">
        <v>1998</v>
      </c>
      <c r="I1433" s="198">
        <f>G1433*D1433</f>
        <v>0</v>
      </c>
      <c r="J1433" s="199" t="s">
        <v>93</v>
      </c>
      <c r="K1433" s="188">
        <v>0</v>
      </c>
      <c r="L1433" s="209" t="s">
        <v>675</v>
      </c>
      <c r="M1433" s="198">
        <f>ROUND(K1433*I1433/10000,6)</f>
        <v>0</v>
      </c>
      <c r="N1433" s="198">
        <f>'02 项目基础信息（输入）'!$C$54</f>
        <v>0</v>
      </c>
      <c r="O1433" s="198">
        <f t="shared" si="164"/>
        <v>0</v>
      </c>
      <c r="P1433" s="198">
        <f>'02 项目基础信息（输入）'!$I$54</f>
        <v>0</v>
      </c>
      <c r="Q1433" s="233">
        <f t="shared" si="165"/>
        <v>0</v>
      </c>
      <c r="S1433" s="217"/>
      <c r="U1433" s="220" t="s">
        <v>3222</v>
      </c>
    </row>
    <row r="1434" spans="1:21" ht="0" hidden="1" customHeight="1" outlineLevel="4">
      <c r="A1434" s="192" t="s">
        <v>1661</v>
      </c>
      <c r="B1434" s="192"/>
      <c r="C1434" s="197" t="s">
        <v>1609</v>
      </c>
      <c r="D1434" s="198">
        <f>'02 项目基础信息（输入）'!$C$54</f>
        <v>0</v>
      </c>
      <c r="E1434" s="199" t="s">
        <v>93</v>
      </c>
      <c r="F1434" s="197" t="s">
        <v>1609</v>
      </c>
      <c r="G1434" s="199">
        <v>1</v>
      </c>
      <c r="H1434" s="199" t="s">
        <v>298</v>
      </c>
      <c r="I1434" s="198">
        <f>G1434*D1434</f>
        <v>0</v>
      </c>
      <c r="J1434" s="199" t="s">
        <v>93</v>
      </c>
      <c r="K1434" s="188">
        <v>0</v>
      </c>
      <c r="L1434" s="209" t="s">
        <v>675</v>
      </c>
      <c r="M1434" s="198">
        <f>ROUND(K1434*I1434/10000,6)</f>
        <v>0</v>
      </c>
      <c r="N1434" s="198">
        <f>'02 项目基础信息（输入）'!$C$54</f>
        <v>0</v>
      </c>
      <c r="O1434" s="198">
        <f t="shared" si="164"/>
        <v>0</v>
      </c>
      <c r="P1434" s="198">
        <f>'02 项目基础信息（输入）'!$I$54</f>
        <v>0</v>
      </c>
      <c r="Q1434" s="233">
        <f t="shared" si="165"/>
        <v>0</v>
      </c>
      <c r="S1434" s="217"/>
      <c r="U1434" s="220" t="s">
        <v>3223</v>
      </c>
    </row>
    <row r="1435" spans="1:21" ht="0" hidden="1" customHeight="1" outlineLevel="3">
      <c r="A1435" s="192" t="s">
        <v>1664</v>
      </c>
      <c r="B1435" s="192"/>
      <c r="C1435" s="197" t="s">
        <v>1665</v>
      </c>
      <c r="D1435" s="198">
        <f>SUM(M1415+M1418+M1419+M1424+M1425+M1431+M1432)*10000</f>
        <v>0</v>
      </c>
      <c r="E1435" s="199" t="s">
        <v>1666</v>
      </c>
      <c r="F1435" s="197" t="s">
        <v>1667</v>
      </c>
      <c r="G1435" s="226">
        <f>IFERROR(I1435/D1435*100,0)</f>
        <v>0</v>
      </c>
      <c r="H1435" s="195" t="s">
        <v>123</v>
      </c>
      <c r="I1435" s="194">
        <f>K1435*N1435</f>
        <v>0</v>
      </c>
      <c r="J1435" s="195" t="s">
        <v>1666</v>
      </c>
      <c r="K1435" s="188">
        <v>0</v>
      </c>
      <c r="L1435" s="230" t="s">
        <v>1669</v>
      </c>
      <c r="M1435" s="231">
        <f>ROUND(I1435/10000,6)</f>
        <v>0</v>
      </c>
      <c r="N1435" s="198">
        <f>'02 项目基础信息（输入）'!$C$54</f>
        <v>0</v>
      </c>
      <c r="O1435" s="198">
        <f t="shared" si="164"/>
        <v>0</v>
      </c>
      <c r="P1435" s="198">
        <f>'02 项目基础信息（输入）'!$I$54</f>
        <v>0</v>
      </c>
      <c r="Q1435" s="233">
        <f t="shared" si="165"/>
        <v>0</v>
      </c>
      <c r="S1435" s="217"/>
      <c r="U1435" s="220" t="s">
        <v>3224</v>
      </c>
    </row>
    <row r="1436" spans="1:21" ht="0" hidden="1" customHeight="1" outlineLevel="2">
      <c r="A1436" s="192" t="s">
        <v>1671</v>
      </c>
      <c r="B1436" s="192"/>
      <c r="C1436" s="197" t="s">
        <v>1609</v>
      </c>
      <c r="D1436" s="198">
        <f>'02 项目基础信息（输入）'!$C$54</f>
        <v>0</v>
      </c>
      <c r="E1436" s="199" t="s">
        <v>93</v>
      </c>
      <c r="F1436" s="197"/>
      <c r="G1436" s="199"/>
      <c r="H1436" s="199"/>
      <c r="I1436" s="197"/>
      <c r="J1436" s="199"/>
      <c r="K1436" s="197"/>
      <c r="L1436" s="209"/>
      <c r="M1436" s="198">
        <f>ROUND(SUM(M1437:M1438),6)</f>
        <v>0</v>
      </c>
      <c r="N1436" s="198">
        <f>'02 项目基础信息（输入）'!$C$54</f>
        <v>0</v>
      </c>
      <c r="O1436" s="198">
        <f t="shared" si="164"/>
        <v>0</v>
      </c>
      <c r="P1436" s="198">
        <f>'02 项目基础信息（输入）'!$I$54</f>
        <v>0</v>
      </c>
      <c r="Q1436" s="233">
        <f t="shared" si="165"/>
        <v>0</v>
      </c>
      <c r="S1436" s="217" t="s">
        <v>1313</v>
      </c>
      <c r="U1436" s="220" t="s">
        <v>3225</v>
      </c>
    </row>
    <row r="1437" spans="1:21" ht="0" hidden="1" customHeight="1" outlineLevel="3">
      <c r="A1437" s="192" t="s">
        <v>1673</v>
      </c>
      <c r="B1437" s="192"/>
      <c r="C1437" s="197" t="s">
        <v>1609</v>
      </c>
      <c r="D1437" s="198">
        <f>'02 项目基础信息（输入）'!$C$54</f>
        <v>0</v>
      </c>
      <c r="E1437" s="199" t="s">
        <v>93</v>
      </c>
      <c r="F1437" s="197" t="s">
        <v>705</v>
      </c>
      <c r="G1437" s="199">
        <v>0</v>
      </c>
      <c r="H1437" s="199" t="s">
        <v>298</v>
      </c>
      <c r="I1437" s="198">
        <f>G1437*D1437</f>
        <v>0</v>
      </c>
      <c r="J1437" s="199" t="s">
        <v>93</v>
      </c>
      <c r="K1437" s="207">
        <v>0</v>
      </c>
      <c r="L1437" s="209" t="s">
        <v>675</v>
      </c>
      <c r="M1437" s="207">
        <f>ROUND(K1437*I1437/10000,6)</f>
        <v>0</v>
      </c>
      <c r="N1437" s="198">
        <f>'02 项目基础信息（输入）'!$C$54</f>
        <v>0</v>
      </c>
      <c r="O1437" s="198">
        <f t="shared" si="164"/>
        <v>0</v>
      </c>
      <c r="P1437" s="198">
        <f>'02 项目基础信息（输入）'!$I$54</f>
        <v>0</v>
      </c>
      <c r="Q1437" s="233">
        <f t="shared" si="165"/>
        <v>0</v>
      </c>
      <c r="S1437" s="217"/>
      <c r="U1437" s="220" t="s">
        <v>3226</v>
      </c>
    </row>
    <row r="1438" spans="1:21" ht="0" hidden="1" customHeight="1" outlineLevel="3">
      <c r="A1438" s="192" t="s">
        <v>1676</v>
      </c>
      <c r="B1438" s="192"/>
      <c r="C1438" s="197" t="s">
        <v>1609</v>
      </c>
      <c r="D1438" s="198">
        <f>'02 项目基础信息（输入）'!$C$54</f>
        <v>0</v>
      </c>
      <c r="E1438" s="199" t="s">
        <v>93</v>
      </c>
      <c r="F1438" s="197" t="s">
        <v>705</v>
      </c>
      <c r="G1438" s="199">
        <v>0</v>
      </c>
      <c r="H1438" s="199" t="s">
        <v>298</v>
      </c>
      <c r="I1438" s="198">
        <f>G1438*D1438</f>
        <v>0</v>
      </c>
      <c r="J1438" s="199" t="s">
        <v>93</v>
      </c>
      <c r="K1438" s="207">
        <v>0</v>
      </c>
      <c r="L1438" s="209" t="s">
        <v>675</v>
      </c>
      <c r="M1438" s="207">
        <f>ROUND(K1438*I1438/10000,6)</f>
        <v>0</v>
      </c>
      <c r="N1438" s="198">
        <f>'02 项目基础信息（输入）'!$C$54</f>
        <v>0</v>
      </c>
      <c r="O1438" s="198">
        <f t="shared" si="164"/>
        <v>0</v>
      </c>
      <c r="P1438" s="198">
        <f>'02 项目基础信息（输入）'!$I$54</f>
        <v>0</v>
      </c>
      <c r="Q1438" s="233">
        <f t="shared" si="165"/>
        <v>0</v>
      </c>
      <c r="S1438" s="217"/>
      <c r="U1438" s="220" t="s">
        <v>3227</v>
      </c>
    </row>
    <row r="1439" spans="1:21" ht="0" hidden="1" customHeight="1" outlineLevel="2">
      <c r="A1439" s="192" t="s">
        <v>1679</v>
      </c>
      <c r="B1439" s="192"/>
      <c r="C1439" s="197" t="s">
        <v>1609</v>
      </c>
      <c r="D1439" s="198">
        <f>'02 项目基础信息（输入）'!$C$54</f>
        <v>0</v>
      </c>
      <c r="E1439" s="199" t="s">
        <v>93</v>
      </c>
      <c r="F1439" s="197"/>
      <c r="G1439" s="199"/>
      <c r="H1439" s="199"/>
      <c r="I1439" s="197"/>
      <c r="J1439" s="199"/>
      <c r="K1439" s="197"/>
      <c r="L1439" s="209"/>
      <c r="M1439" s="198">
        <f>ROUND(SUM(M1440:M1451),6)</f>
        <v>0</v>
      </c>
      <c r="N1439" s="198">
        <f>'02 项目基础信息（输入）'!$C$54</f>
        <v>0</v>
      </c>
      <c r="O1439" s="198">
        <f t="shared" si="164"/>
        <v>0</v>
      </c>
      <c r="P1439" s="198">
        <f>'02 项目基础信息（输入）'!$I$54</f>
        <v>0</v>
      </c>
      <c r="Q1439" s="233">
        <f t="shared" si="165"/>
        <v>0</v>
      </c>
      <c r="S1439" s="217" t="s">
        <v>1313</v>
      </c>
      <c r="U1439" s="220" t="s">
        <v>3228</v>
      </c>
    </row>
    <row r="1440" spans="1:21" ht="0" hidden="1" customHeight="1" outlineLevel="3">
      <c r="A1440" s="192" t="s">
        <v>1681</v>
      </c>
      <c r="B1440" s="192"/>
      <c r="C1440" s="197" t="s">
        <v>1609</v>
      </c>
      <c r="D1440" s="198">
        <f>'02 项目基础信息（输入）'!$C$54</f>
        <v>0</v>
      </c>
      <c r="E1440" s="199" t="s">
        <v>93</v>
      </c>
      <c r="F1440" s="197" t="s">
        <v>1682</v>
      </c>
      <c r="G1440" s="82">
        <v>0</v>
      </c>
      <c r="H1440" s="199" t="s">
        <v>298</v>
      </c>
      <c r="I1440" s="198">
        <f t="shared" ref="I1440:I1451" si="168">G1440*D1440</f>
        <v>0</v>
      </c>
      <c r="J1440" s="199" t="s">
        <v>93</v>
      </c>
      <c r="K1440" s="188">
        <v>0</v>
      </c>
      <c r="L1440" s="209" t="s">
        <v>675</v>
      </c>
      <c r="M1440" s="207">
        <f t="shared" ref="M1440:M1451" si="169">ROUND(K1440*I1440/10000,6)</f>
        <v>0</v>
      </c>
      <c r="N1440" s="198">
        <f>'02 项目基础信息（输入）'!$C$54</f>
        <v>0</v>
      </c>
      <c r="O1440" s="198">
        <f t="shared" si="164"/>
        <v>0</v>
      </c>
      <c r="P1440" s="198">
        <f>'02 项目基础信息（输入）'!$I$54</f>
        <v>0</v>
      </c>
      <c r="Q1440" s="233">
        <f t="shared" si="165"/>
        <v>0</v>
      </c>
      <c r="S1440" s="217"/>
      <c r="U1440" s="220" t="s">
        <v>3229</v>
      </c>
    </row>
    <row r="1441" spans="1:21" ht="0" hidden="1" customHeight="1" outlineLevel="3">
      <c r="A1441" s="192" t="s">
        <v>1684</v>
      </c>
      <c r="B1441" s="192"/>
      <c r="C1441" s="197" t="s">
        <v>1609</v>
      </c>
      <c r="D1441" s="198">
        <f>'02 项目基础信息（输入）'!$C$54</f>
        <v>0</v>
      </c>
      <c r="E1441" s="199" t="s">
        <v>93</v>
      </c>
      <c r="F1441" s="197" t="s">
        <v>1682</v>
      </c>
      <c r="G1441" s="82">
        <v>0</v>
      </c>
      <c r="H1441" s="199" t="s">
        <v>298</v>
      </c>
      <c r="I1441" s="198">
        <f t="shared" si="168"/>
        <v>0</v>
      </c>
      <c r="J1441" s="199" t="s">
        <v>93</v>
      </c>
      <c r="K1441" s="188">
        <v>0</v>
      </c>
      <c r="L1441" s="209" t="s">
        <v>675</v>
      </c>
      <c r="M1441" s="207">
        <f t="shared" si="169"/>
        <v>0</v>
      </c>
      <c r="N1441" s="198">
        <f>'02 项目基础信息（输入）'!$C$54</f>
        <v>0</v>
      </c>
      <c r="O1441" s="198">
        <f t="shared" si="164"/>
        <v>0</v>
      </c>
      <c r="P1441" s="198">
        <f>'02 项目基础信息（输入）'!$I$54</f>
        <v>0</v>
      </c>
      <c r="Q1441" s="233">
        <f t="shared" si="165"/>
        <v>0</v>
      </c>
      <c r="S1441" s="217"/>
      <c r="U1441" s="220" t="s">
        <v>3230</v>
      </c>
    </row>
    <row r="1442" spans="1:21" ht="0" hidden="1" customHeight="1" outlineLevel="3">
      <c r="A1442" s="192" t="s">
        <v>2008</v>
      </c>
      <c r="B1442" s="192"/>
      <c r="C1442" s="197" t="s">
        <v>1609</v>
      </c>
      <c r="D1442" s="198">
        <f>'02 项目基础信息（输入）'!$C$54</f>
        <v>0</v>
      </c>
      <c r="E1442" s="199" t="s">
        <v>93</v>
      </c>
      <c r="F1442" s="197" t="s">
        <v>1682</v>
      </c>
      <c r="G1442" s="82">
        <v>0</v>
      </c>
      <c r="H1442" s="199" t="s">
        <v>298</v>
      </c>
      <c r="I1442" s="198">
        <f t="shared" si="168"/>
        <v>0</v>
      </c>
      <c r="J1442" s="199" t="s">
        <v>93</v>
      </c>
      <c r="K1442" s="188">
        <v>0</v>
      </c>
      <c r="L1442" s="209" t="s">
        <v>675</v>
      </c>
      <c r="M1442" s="207">
        <f t="shared" si="169"/>
        <v>0</v>
      </c>
      <c r="N1442" s="198">
        <f>'02 项目基础信息（输入）'!$C$54</f>
        <v>0</v>
      </c>
      <c r="O1442" s="198">
        <f t="shared" si="164"/>
        <v>0</v>
      </c>
      <c r="P1442" s="198">
        <f>'02 项目基础信息（输入）'!$I$54</f>
        <v>0</v>
      </c>
      <c r="Q1442" s="233">
        <f t="shared" si="165"/>
        <v>0</v>
      </c>
      <c r="S1442" s="217"/>
      <c r="U1442" s="220" t="s">
        <v>3231</v>
      </c>
    </row>
    <row r="1443" spans="1:21" ht="0" hidden="1" customHeight="1" outlineLevel="3">
      <c r="A1443" s="192" t="s">
        <v>2010</v>
      </c>
      <c r="B1443" s="192"/>
      <c r="C1443" s="197" t="s">
        <v>1609</v>
      </c>
      <c r="D1443" s="198">
        <f>'02 项目基础信息（输入）'!$C$54</f>
        <v>0</v>
      </c>
      <c r="E1443" s="199" t="s">
        <v>93</v>
      </c>
      <c r="F1443" s="197" t="s">
        <v>1682</v>
      </c>
      <c r="G1443" s="82">
        <v>0</v>
      </c>
      <c r="H1443" s="199" t="s">
        <v>298</v>
      </c>
      <c r="I1443" s="198">
        <f t="shared" si="168"/>
        <v>0</v>
      </c>
      <c r="J1443" s="199" t="s">
        <v>93</v>
      </c>
      <c r="K1443" s="188">
        <v>0</v>
      </c>
      <c r="L1443" s="209" t="s">
        <v>675</v>
      </c>
      <c r="M1443" s="207">
        <f t="shared" si="169"/>
        <v>0</v>
      </c>
      <c r="N1443" s="198">
        <f>'02 项目基础信息（输入）'!$C$54</f>
        <v>0</v>
      </c>
      <c r="O1443" s="198">
        <f t="shared" si="164"/>
        <v>0</v>
      </c>
      <c r="P1443" s="198">
        <f>'02 项目基础信息（输入）'!$I$54</f>
        <v>0</v>
      </c>
      <c r="Q1443" s="233">
        <f t="shared" si="165"/>
        <v>0</v>
      </c>
      <c r="S1443" s="217"/>
      <c r="U1443" s="220" t="s">
        <v>3232</v>
      </c>
    </row>
    <row r="1444" spans="1:21" ht="0" hidden="1" customHeight="1" outlineLevel="3">
      <c r="A1444" s="192" t="s">
        <v>2012</v>
      </c>
      <c r="B1444" s="192"/>
      <c r="C1444" s="197" t="s">
        <v>474</v>
      </c>
      <c r="D1444" s="198">
        <f>'02 项目基础信息（输入）'!$AD$54</f>
        <v>0</v>
      </c>
      <c r="E1444" s="199" t="s">
        <v>400</v>
      </c>
      <c r="F1444" s="197" t="s">
        <v>1682</v>
      </c>
      <c r="G1444" s="82">
        <v>0</v>
      </c>
      <c r="H1444" s="199" t="s">
        <v>411</v>
      </c>
      <c r="I1444" s="198">
        <f t="shared" si="168"/>
        <v>0</v>
      </c>
      <c r="J1444" s="199" t="s">
        <v>93</v>
      </c>
      <c r="K1444" s="188">
        <v>0</v>
      </c>
      <c r="L1444" s="209" t="s">
        <v>675</v>
      </c>
      <c r="M1444" s="207">
        <f t="shared" si="169"/>
        <v>0</v>
      </c>
      <c r="N1444" s="198">
        <f>'02 项目基础信息（输入）'!$C$54</f>
        <v>0</v>
      </c>
      <c r="O1444" s="198">
        <f t="shared" si="164"/>
        <v>0</v>
      </c>
      <c r="P1444" s="198">
        <f>'02 项目基础信息（输入）'!$I$54</f>
        <v>0</v>
      </c>
      <c r="Q1444" s="233">
        <f t="shared" si="165"/>
        <v>0</v>
      </c>
      <c r="S1444" s="217"/>
      <c r="U1444" s="220" t="s">
        <v>3233</v>
      </c>
    </row>
    <row r="1445" spans="1:21" ht="0" hidden="1" customHeight="1" outlineLevel="3">
      <c r="A1445" s="192" t="s">
        <v>2014</v>
      </c>
      <c r="B1445" s="192"/>
      <c r="C1445" s="197" t="s">
        <v>474</v>
      </c>
      <c r="D1445" s="198">
        <f>'02 项目基础信息（输入）'!$AD$54</f>
        <v>0</v>
      </c>
      <c r="E1445" s="199" t="s">
        <v>400</v>
      </c>
      <c r="F1445" s="197" t="s">
        <v>1682</v>
      </c>
      <c r="G1445" s="82">
        <v>0</v>
      </c>
      <c r="H1445" s="199" t="s">
        <v>411</v>
      </c>
      <c r="I1445" s="198">
        <f t="shared" si="168"/>
        <v>0</v>
      </c>
      <c r="J1445" s="199" t="s">
        <v>93</v>
      </c>
      <c r="K1445" s="188">
        <v>0</v>
      </c>
      <c r="L1445" s="209" t="s">
        <v>675</v>
      </c>
      <c r="M1445" s="207">
        <f t="shared" si="169"/>
        <v>0</v>
      </c>
      <c r="N1445" s="198">
        <f>'02 项目基础信息（输入）'!$C$54</f>
        <v>0</v>
      </c>
      <c r="O1445" s="198">
        <f t="shared" si="164"/>
        <v>0</v>
      </c>
      <c r="P1445" s="198">
        <f>'02 项目基础信息（输入）'!$I$54</f>
        <v>0</v>
      </c>
      <c r="Q1445" s="233">
        <f t="shared" si="165"/>
        <v>0</v>
      </c>
      <c r="S1445" s="217"/>
      <c r="U1445" s="220" t="s">
        <v>3234</v>
      </c>
    </row>
    <row r="1446" spans="1:21" ht="0" hidden="1" customHeight="1" outlineLevel="3">
      <c r="A1446" s="192" t="s">
        <v>2016</v>
      </c>
      <c r="B1446" s="192"/>
      <c r="C1446" s="197" t="s">
        <v>1609</v>
      </c>
      <c r="D1446" s="198">
        <f>'02 项目基础信息（输入）'!$C$54</f>
        <v>0</v>
      </c>
      <c r="E1446" s="199" t="s">
        <v>93</v>
      </c>
      <c r="F1446" s="197" t="s">
        <v>1682</v>
      </c>
      <c r="G1446" s="82">
        <v>0</v>
      </c>
      <c r="H1446" s="199" t="s">
        <v>411</v>
      </c>
      <c r="I1446" s="198">
        <f t="shared" si="168"/>
        <v>0</v>
      </c>
      <c r="J1446" s="199" t="s">
        <v>93</v>
      </c>
      <c r="K1446" s="188">
        <v>0</v>
      </c>
      <c r="L1446" s="209" t="s">
        <v>675</v>
      </c>
      <c r="M1446" s="207">
        <f t="shared" si="169"/>
        <v>0</v>
      </c>
      <c r="N1446" s="198">
        <f>'02 项目基础信息（输入）'!$C$54</f>
        <v>0</v>
      </c>
      <c r="O1446" s="198">
        <f t="shared" si="164"/>
        <v>0</v>
      </c>
      <c r="P1446" s="198">
        <f>'02 项目基础信息（输入）'!$I$54</f>
        <v>0</v>
      </c>
      <c r="Q1446" s="233">
        <f t="shared" si="165"/>
        <v>0</v>
      </c>
      <c r="S1446" s="217"/>
      <c r="U1446" s="220" t="s">
        <v>3235</v>
      </c>
    </row>
    <row r="1447" spans="1:21" ht="0" hidden="1" customHeight="1" outlineLevel="3">
      <c r="A1447" s="192" t="s">
        <v>2018</v>
      </c>
      <c r="B1447" s="192"/>
      <c r="C1447" s="197" t="s">
        <v>1609</v>
      </c>
      <c r="D1447" s="198">
        <f>'02 项目基础信息（输入）'!$C$54</f>
        <v>0</v>
      </c>
      <c r="E1447" s="199" t="s">
        <v>93</v>
      </c>
      <c r="F1447" s="197" t="s">
        <v>1682</v>
      </c>
      <c r="G1447" s="82">
        <v>0</v>
      </c>
      <c r="H1447" s="199" t="s">
        <v>298</v>
      </c>
      <c r="I1447" s="198">
        <f t="shared" si="168"/>
        <v>0</v>
      </c>
      <c r="J1447" s="199" t="s">
        <v>93</v>
      </c>
      <c r="K1447" s="188">
        <v>0</v>
      </c>
      <c r="L1447" s="209" t="s">
        <v>675</v>
      </c>
      <c r="M1447" s="207">
        <f t="shared" si="169"/>
        <v>0</v>
      </c>
      <c r="N1447" s="198">
        <f>'02 项目基础信息（输入）'!$C$54</f>
        <v>0</v>
      </c>
      <c r="O1447" s="198">
        <f t="shared" si="164"/>
        <v>0</v>
      </c>
      <c r="P1447" s="198">
        <f>'02 项目基础信息（输入）'!$I$54</f>
        <v>0</v>
      </c>
      <c r="Q1447" s="233">
        <f t="shared" si="165"/>
        <v>0</v>
      </c>
      <c r="S1447" s="217"/>
      <c r="U1447" s="220" t="s">
        <v>3236</v>
      </c>
    </row>
    <row r="1448" spans="1:21" ht="0" hidden="1" customHeight="1" outlineLevel="3">
      <c r="A1448" s="192" t="s">
        <v>2020</v>
      </c>
      <c r="B1448" s="192"/>
      <c r="C1448" s="197" t="s">
        <v>1609</v>
      </c>
      <c r="D1448" s="198">
        <f>'02 项目基础信息（输入）'!$C$54</f>
        <v>0</v>
      </c>
      <c r="E1448" s="199" t="s">
        <v>93</v>
      </c>
      <c r="F1448" s="197" t="s">
        <v>1682</v>
      </c>
      <c r="G1448" s="82">
        <v>0</v>
      </c>
      <c r="H1448" s="199" t="s">
        <v>298</v>
      </c>
      <c r="I1448" s="198">
        <f t="shared" si="168"/>
        <v>0</v>
      </c>
      <c r="J1448" s="199" t="s">
        <v>93</v>
      </c>
      <c r="K1448" s="188">
        <v>0</v>
      </c>
      <c r="L1448" s="209" t="s">
        <v>675</v>
      </c>
      <c r="M1448" s="207">
        <f t="shared" si="169"/>
        <v>0</v>
      </c>
      <c r="N1448" s="198">
        <f>'02 项目基础信息（输入）'!$C$54</f>
        <v>0</v>
      </c>
      <c r="O1448" s="198">
        <f t="shared" si="164"/>
        <v>0</v>
      </c>
      <c r="P1448" s="198">
        <f>'02 项目基础信息（输入）'!$I$54</f>
        <v>0</v>
      </c>
      <c r="Q1448" s="233">
        <f t="shared" si="165"/>
        <v>0</v>
      </c>
      <c r="S1448" s="217"/>
      <c r="U1448" s="220" t="s">
        <v>3237</v>
      </c>
    </row>
    <row r="1449" spans="1:21" ht="0" hidden="1" customHeight="1" outlineLevel="3">
      <c r="A1449" s="192" t="s">
        <v>2022</v>
      </c>
      <c r="B1449" s="192"/>
      <c r="C1449" s="197" t="s">
        <v>1609</v>
      </c>
      <c r="D1449" s="198">
        <f>'02 项目基础信息（输入）'!$C$54</f>
        <v>0</v>
      </c>
      <c r="E1449" s="199" t="s">
        <v>93</v>
      </c>
      <c r="F1449" s="197" t="s">
        <v>1682</v>
      </c>
      <c r="G1449" s="82">
        <v>0</v>
      </c>
      <c r="H1449" s="199" t="s">
        <v>298</v>
      </c>
      <c r="I1449" s="198">
        <f t="shared" si="168"/>
        <v>0</v>
      </c>
      <c r="J1449" s="199" t="s">
        <v>93</v>
      </c>
      <c r="K1449" s="188">
        <v>0</v>
      </c>
      <c r="L1449" s="209" t="s">
        <v>675</v>
      </c>
      <c r="M1449" s="207">
        <f t="shared" si="169"/>
        <v>0</v>
      </c>
      <c r="N1449" s="198">
        <f>'02 项目基础信息（输入）'!$C$54</f>
        <v>0</v>
      </c>
      <c r="O1449" s="198">
        <f t="shared" si="164"/>
        <v>0</v>
      </c>
      <c r="P1449" s="198">
        <f>'02 项目基础信息（输入）'!$I$54</f>
        <v>0</v>
      </c>
      <c r="Q1449" s="233">
        <f t="shared" si="165"/>
        <v>0</v>
      </c>
      <c r="S1449" s="217"/>
      <c r="U1449" s="220" t="s">
        <v>3238</v>
      </c>
    </row>
    <row r="1450" spans="1:21" ht="0" hidden="1" customHeight="1" outlineLevel="3">
      <c r="A1450" s="192" t="s">
        <v>1694</v>
      </c>
      <c r="B1450" s="192"/>
      <c r="C1450" s="197" t="s">
        <v>1609</v>
      </c>
      <c r="D1450" s="198">
        <f>'02 项目基础信息（输入）'!$C$54</f>
        <v>0</v>
      </c>
      <c r="E1450" s="199" t="s">
        <v>93</v>
      </c>
      <c r="F1450" s="197" t="s">
        <v>1682</v>
      </c>
      <c r="G1450" s="82">
        <v>0</v>
      </c>
      <c r="H1450" s="199" t="s">
        <v>298</v>
      </c>
      <c r="I1450" s="198">
        <f t="shared" si="168"/>
        <v>0</v>
      </c>
      <c r="J1450" s="199" t="s">
        <v>93</v>
      </c>
      <c r="K1450" s="188">
        <v>0</v>
      </c>
      <c r="L1450" s="209" t="s">
        <v>675</v>
      </c>
      <c r="M1450" s="207">
        <f t="shared" si="169"/>
        <v>0</v>
      </c>
      <c r="N1450" s="198">
        <f>'02 项目基础信息（输入）'!$C$54</f>
        <v>0</v>
      </c>
      <c r="O1450" s="198">
        <f t="shared" si="164"/>
        <v>0</v>
      </c>
      <c r="P1450" s="198">
        <f>'02 项目基础信息（输入）'!$I$54</f>
        <v>0</v>
      </c>
      <c r="Q1450" s="233">
        <f t="shared" si="165"/>
        <v>0</v>
      </c>
      <c r="S1450" s="217"/>
      <c r="U1450" s="220" t="s">
        <v>3239</v>
      </c>
    </row>
    <row r="1451" spans="1:21" ht="0" hidden="1" customHeight="1" outlineLevel="3">
      <c r="A1451" s="192" t="s">
        <v>1696</v>
      </c>
      <c r="B1451" s="192"/>
      <c r="C1451" s="197" t="s">
        <v>1609</v>
      </c>
      <c r="D1451" s="198">
        <f>'02 项目基础信息（输入）'!$C$54</f>
        <v>0</v>
      </c>
      <c r="E1451" s="199" t="s">
        <v>93</v>
      </c>
      <c r="F1451" s="197" t="s">
        <v>1682</v>
      </c>
      <c r="G1451" s="82">
        <v>0</v>
      </c>
      <c r="H1451" s="199" t="s">
        <v>298</v>
      </c>
      <c r="I1451" s="198">
        <f t="shared" si="168"/>
        <v>0</v>
      </c>
      <c r="J1451" s="199" t="s">
        <v>93</v>
      </c>
      <c r="K1451" s="188">
        <v>0</v>
      </c>
      <c r="L1451" s="209" t="s">
        <v>675</v>
      </c>
      <c r="M1451" s="207">
        <f t="shared" si="169"/>
        <v>0</v>
      </c>
      <c r="N1451" s="198">
        <f>'02 项目基础信息（输入）'!$C$54</f>
        <v>0</v>
      </c>
      <c r="O1451" s="198">
        <f t="shared" si="164"/>
        <v>0</v>
      </c>
      <c r="P1451" s="198">
        <f>'02 项目基础信息（输入）'!$I$54</f>
        <v>0</v>
      </c>
      <c r="Q1451" s="233">
        <f t="shared" si="165"/>
        <v>0</v>
      </c>
      <c r="S1451" s="217"/>
      <c r="U1451" s="220" t="s">
        <v>3240</v>
      </c>
    </row>
    <row r="1452" spans="1:21" ht="0" hidden="1" customHeight="1" outlineLevel="2">
      <c r="A1452" s="192" t="s">
        <v>1698</v>
      </c>
      <c r="B1452" s="192"/>
      <c r="C1452" s="197" t="s">
        <v>1609</v>
      </c>
      <c r="D1452" s="198">
        <f>'02 项目基础信息（输入）'!$C$54</f>
        <v>0</v>
      </c>
      <c r="E1452" s="199" t="s">
        <v>93</v>
      </c>
      <c r="F1452" s="197"/>
      <c r="G1452" s="199"/>
      <c r="H1452" s="199"/>
      <c r="I1452" s="197"/>
      <c r="J1452" s="199"/>
      <c r="K1452" s="198"/>
      <c r="L1452" s="209"/>
      <c r="M1452" s="198">
        <f>ROUND(SUM(M1453:M1454),6)</f>
        <v>0</v>
      </c>
      <c r="N1452" s="198">
        <f>'02 项目基础信息（输入）'!$C$54</f>
        <v>0</v>
      </c>
      <c r="O1452" s="198">
        <f t="shared" si="164"/>
        <v>0</v>
      </c>
      <c r="P1452" s="198">
        <f>'02 项目基础信息（输入）'!$I$54</f>
        <v>0</v>
      </c>
      <c r="Q1452" s="233">
        <f t="shared" si="165"/>
        <v>0</v>
      </c>
      <c r="S1452" s="217" t="s">
        <v>1313</v>
      </c>
      <c r="U1452" s="220" t="s">
        <v>3241</v>
      </c>
    </row>
    <row r="1453" spans="1:21" ht="0" hidden="1" customHeight="1" outlineLevel="3">
      <c r="A1453" s="192" t="s">
        <v>1700</v>
      </c>
      <c r="B1453" s="192"/>
      <c r="C1453" s="197" t="s">
        <v>1609</v>
      </c>
      <c r="D1453" s="198">
        <f>'02 项目基础信息（输入）'!$C$54</f>
        <v>0</v>
      </c>
      <c r="E1453" s="199" t="s">
        <v>93</v>
      </c>
      <c r="F1453" s="197" t="s">
        <v>1701</v>
      </c>
      <c r="G1453" s="82">
        <v>0</v>
      </c>
      <c r="H1453" s="199" t="s">
        <v>298</v>
      </c>
      <c r="I1453" s="198">
        <f>G1453*D1453</f>
        <v>0</v>
      </c>
      <c r="J1453" s="199" t="s">
        <v>93</v>
      </c>
      <c r="K1453" s="188">
        <v>0</v>
      </c>
      <c r="L1453" s="209" t="s">
        <v>675</v>
      </c>
      <c r="M1453" s="207">
        <f>ROUND(K1453*I1453/10000,6)</f>
        <v>0</v>
      </c>
      <c r="N1453" s="198">
        <f>'02 项目基础信息（输入）'!$C$54</f>
        <v>0</v>
      </c>
      <c r="O1453" s="198">
        <f t="shared" si="164"/>
        <v>0</v>
      </c>
      <c r="P1453" s="198">
        <f>'02 项目基础信息（输入）'!$I$54</f>
        <v>0</v>
      </c>
      <c r="Q1453" s="233">
        <f t="shared" si="165"/>
        <v>0</v>
      </c>
      <c r="S1453" s="217"/>
      <c r="U1453" s="220" t="s">
        <v>3242</v>
      </c>
    </row>
    <row r="1454" spans="1:21" ht="0" hidden="1" customHeight="1" outlineLevel="3">
      <c r="A1454" s="192" t="s">
        <v>1703</v>
      </c>
      <c r="B1454" s="192"/>
      <c r="C1454" s="197" t="s">
        <v>1609</v>
      </c>
      <c r="D1454" s="198">
        <f>'02 项目基础信息（输入）'!$C$54</f>
        <v>0</v>
      </c>
      <c r="E1454" s="199" t="s">
        <v>93</v>
      </c>
      <c r="F1454" s="197" t="s">
        <v>1704</v>
      </c>
      <c r="G1454" s="82">
        <v>0</v>
      </c>
      <c r="H1454" s="199" t="s">
        <v>298</v>
      </c>
      <c r="I1454" s="198">
        <f>G1454*D1454</f>
        <v>0</v>
      </c>
      <c r="J1454" s="199" t="s">
        <v>93</v>
      </c>
      <c r="K1454" s="188">
        <v>0</v>
      </c>
      <c r="L1454" s="209" t="s">
        <v>675</v>
      </c>
      <c r="M1454" s="207">
        <f>ROUND(K1454*I1454/10000,6)</f>
        <v>0</v>
      </c>
      <c r="N1454" s="198">
        <f>'02 项目基础信息（输入）'!$C$54</f>
        <v>0</v>
      </c>
      <c r="O1454" s="198">
        <f t="shared" si="164"/>
        <v>0</v>
      </c>
      <c r="P1454" s="198">
        <f>'02 项目基础信息（输入）'!$I$54</f>
        <v>0</v>
      </c>
      <c r="Q1454" s="233">
        <f t="shared" si="165"/>
        <v>0</v>
      </c>
      <c r="S1454" s="217"/>
      <c r="U1454" s="220" t="s">
        <v>3243</v>
      </c>
    </row>
    <row r="1455" spans="1:21" ht="0" hidden="1" customHeight="1" outlineLevel="2">
      <c r="A1455" s="192" t="s">
        <v>1706</v>
      </c>
      <c r="B1455" s="192"/>
      <c r="C1455" s="197" t="s">
        <v>1609</v>
      </c>
      <c r="D1455" s="198">
        <f>'02 项目基础信息（输入）'!$C$54</f>
        <v>0</v>
      </c>
      <c r="E1455" s="199" t="s">
        <v>93</v>
      </c>
      <c r="F1455" s="197"/>
      <c r="G1455" s="199"/>
      <c r="H1455" s="199"/>
      <c r="I1455" s="197"/>
      <c r="J1455" s="199"/>
      <c r="K1455" s="198"/>
      <c r="L1455" s="209"/>
      <c r="M1455" s="198">
        <f>ROUND(SUM(M1456:M1457),6)</f>
        <v>0</v>
      </c>
      <c r="N1455" s="198">
        <f>'02 项目基础信息（输入）'!$C$54</f>
        <v>0</v>
      </c>
      <c r="O1455" s="198">
        <f t="shared" si="164"/>
        <v>0</v>
      </c>
      <c r="P1455" s="198">
        <f>'02 项目基础信息（输入）'!$I$54</f>
        <v>0</v>
      </c>
      <c r="Q1455" s="233">
        <f t="shared" si="165"/>
        <v>0</v>
      </c>
      <c r="S1455" s="217" t="s">
        <v>1313</v>
      </c>
      <c r="U1455" s="220" t="s">
        <v>3244</v>
      </c>
    </row>
    <row r="1456" spans="1:21" ht="0" hidden="1" customHeight="1" outlineLevel="3">
      <c r="A1456" s="192" t="s">
        <v>1708</v>
      </c>
      <c r="B1456" s="192"/>
      <c r="C1456" s="197" t="s">
        <v>1609</v>
      </c>
      <c r="D1456" s="198">
        <f>'02 项目基础信息（输入）'!$C$54</f>
        <v>0</v>
      </c>
      <c r="E1456" s="199" t="s">
        <v>93</v>
      </c>
      <c r="F1456" s="197" t="s">
        <v>1648</v>
      </c>
      <c r="G1456" s="82">
        <v>0</v>
      </c>
      <c r="H1456" s="199" t="s">
        <v>298</v>
      </c>
      <c r="I1456" s="198">
        <f>G1456*D1456</f>
        <v>0</v>
      </c>
      <c r="J1456" s="199" t="s">
        <v>93</v>
      </c>
      <c r="K1456" s="188">
        <v>0</v>
      </c>
      <c r="L1456" s="209" t="s">
        <v>675</v>
      </c>
      <c r="M1456" s="207">
        <f>ROUND(K1456*I1456/10000,6)</f>
        <v>0</v>
      </c>
      <c r="N1456" s="198">
        <f>'02 项目基础信息（输入）'!$C$54</f>
        <v>0</v>
      </c>
      <c r="O1456" s="198">
        <f t="shared" si="164"/>
        <v>0</v>
      </c>
      <c r="P1456" s="198">
        <f>'02 项目基础信息（输入）'!$I$54</f>
        <v>0</v>
      </c>
      <c r="Q1456" s="233">
        <f t="shared" si="165"/>
        <v>0</v>
      </c>
      <c r="S1456" s="217"/>
      <c r="U1456" s="220" t="s">
        <v>3245</v>
      </c>
    </row>
    <row r="1457" spans="1:21" ht="0" hidden="1" customHeight="1" outlineLevel="3">
      <c r="A1457" s="192" t="s">
        <v>1710</v>
      </c>
      <c r="B1457" s="192"/>
      <c r="C1457" s="197" t="s">
        <v>1609</v>
      </c>
      <c r="D1457" s="198">
        <f>'02 项目基础信息（输入）'!$C$54</f>
        <v>0</v>
      </c>
      <c r="E1457" s="199" t="s">
        <v>93</v>
      </c>
      <c r="F1457" s="197" t="s">
        <v>1648</v>
      </c>
      <c r="G1457" s="82">
        <v>0</v>
      </c>
      <c r="H1457" s="199" t="s">
        <v>298</v>
      </c>
      <c r="I1457" s="198">
        <f>G1457*D1457</f>
        <v>0</v>
      </c>
      <c r="J1457" s="199" t="s">
        <v>93</v>
      </c>
      <c r="K1457" s="188">
        <v>0</v>
      </c>
      <c r="L1457" s="209" t="s">
        <v>675</v>
      </c>
      <c r="M1457" s="207">
        <f>ROUND(K1457*I1457/10000,6)</f>
        <v>0</v>
      </c>
      <c r="N1457" s="198">
        <f>'02 项目基础信息（输入）'!$C$54</f>
        <v>0</v>
      </c>
      <c r="O1457" s="198">
        <f t="shared" si="164"/>
        <v>0</v>
      </c>
      <c r="P1457" s="198">
        <f>'02 项目基础信息（输入）'!$I$54</f>
        <v>0</v>
      </c>
      <c r="Q1457" s="233">
        <f t="shared" si="165"/>
        <v>0</v>
      </c>
      <c r="S1457" s="217"/>
      <c r="U1457" s="220" t="s">
        <v>3246</v>
      </c>
    </row>
    <row r="1458" spans="1:21" ht="0" hidden="1" customHeight="1" outlineLevel="2">
      <c r="A1458" s="192" t="s">
        <v>1712</v>
      </c>
      <c r="B1458" s="192"/>
      <c r="C1458" s="197" t="s">
        <v>1609</v>
      </c>
      <c r="D1458" s="198">
        <f>'02 项目基础信息（输入）'!$C$54</f>
        <v>0</v>
      </c>
      <c r="E1458" s="199" t="s">
        <v>93</v>
      </c>
      <c r="F1458" s="197"/>
      <c r="G1458" s="199"/>
      <c r="H1458" s="199"/>
      <c r="I1458" s="197"/>
      <c r="J1458" s="199"/>
      <c r="K1458" s="198"/>
      <c r="L1458" s="209"/>
      <c r="M1458" s="198">
        <f>ROUND(SUM(M1459:M1476),6)</f>
        <v>0</v>
      </c>
      <c r="N1458" s="198">
        <f>'02 项目基础信息（输入）'!$C$54</f>
        <v>0</v>
      </c>
      <c r="O1458" s="198">
        <f t="shared" si="164"/>
        <v>0</v>
      </c>
      <c r="P1458" s="198">
        <f>'02 项目基础信息（输入）'!$I$54</f>
        <v>0</v>
      </c>
      <c r="Q1458" s="233">
        <f t="shared" si="165"/>
        <v>0</v>
      </c>
      <c r="S1458" s="217" t="s">
        <v>1313</v>
      </c>
      <c r="U1458" s="220" t="s">
        <v>3247</v>
      </c>
    </row>
    <row r="1459" spans="1:21" ht="0" hidden="1" customHeight="1" outlineLevel="3">
      <c r="A1459" s="192" t="s">
        <v>1714</v>
      </c>
      <c r="B1459" s="192"/>
      <c r="C1459" s="197" t="s">
        <v>1609</v>
      </c>
      <c r="D1459" s="198">
        <f>'02 项目基础信息（输入）'!$C$54</f>
        <v>0</v>
      </c>
      <c r="E1459" s="199" t="s">
        <v>93</v>
      </c>
      <c r="F1459" s="197" t="s">
        <v>1609</v>
      </c>
      <c r="G1459" s="199">
        <v>1</v>
      </c>
      <c r="H1459" s="199" t="s">
        <v>298</v>
      </c>
      <c r="I1459" s="198">
        <f t="shared" ref="I1459:I1476" si="170">G1459*D1459</f>
        <v>0</v>
      </c>
      <c r="J1459" s="199" t="s">
        <v>93</v>
      </c>
      <c r="K1459" s="188">
        <v>0</v>
      </c>
      <c r="L1459" s="209" t="s">
        <v>675</v>
      </c>
      <c r="M1459" s="207">
        <f t="shared" ref="M1459:M1476" si="171">ROUND(K1459*I1459/10000,6)</f>
        <v>0</v>
      </c>
      <c r="N1459" s="198">
        <f>'02 项目基础信息（输入）'!$C$54</f>
        <v>0</v>
      </c>
      <c r="O1459" s="198">
        <f t="shared" si="164"/>
        <v>0</v>
      </c>
      <c r="P1459" s="198">
        <f>'02 项目基础信息（输入）'!$I$54</f>
        <v>0</v>
      </c>
      <c r="Q1459" s="233">
        <f t="shared" si="165"/>
        <v>0</v>
      </c>
      <c r="S1459" s="217"/>
      <c r="U1459" s="220" t="s">
        <v>3248</v>
      </c>
    </row>
    <row r="1460" spans="1:21" ht="0" hidden="1" customHeight="1" outlineLevel="3">
      <c r="A1460" s="192" t="s">
        <v>1717</v>
      </c>
      <c r="B1460" s="192"/>
      <c r="C1460" s="197" t="s">
        <v>1609</v>
      </c>
      <c r="D1460" s="198">
        <f>'02 项目基础信息（输入）'!$C$54</f>
        <v>0</v>
      </c>
      <c r="E1460" s="199" t="s">
        <v>93</v>
      </c>
      <c r="F1460" s="197" t="s">
        <v>1609</v>
      </c>
      <c r="G1460" s="199">
        <v>1</v>
      </c>
      <c r="H1460" s="199" t="s">
        <v>298</v>
      </c>
      <c r="I1460" s="198">
        <f t="shared" si="170"/>
        <v>0</v>
      </c>
      <c r="J1460" s="199" t="s">
        <v>93</v>
      </c>
      <c r="K1460" s="188">
        <v>0</v>
      </c>
      <c r="L1460" s="209" t="s">
        <v>675</v>
      </c>
      <c r="M1460" s="207">
        <f t="shared" si="171"/>
        <v>0</v>
      </c>
      <c r="N1460" s="198">
        <f>'02 项目基础信息（输入）'!$C$54</f>
        <v>0</v>
      </c>
      <c r="O1460" s="198">
        <f t="shared" si="164"/>
        <v>0</v>
      </c>
      <c r="P1460" s="198">
        <f>'02 项目基础信息（输入）'!$I$54</f>
        <v>0</v>
      </c>
      <c r="Q1460" s="233">
        <f t="shared" si="165"/>
        <v>0</v>
      </c>
      <c r="S1460" s="217"/>
      <c r="U1460" s="220" t="s">
        <v>3249</v>
      </c>
    </row>
    <row r="1461" spans="1:21" ht="0" hidden="1" customHeight="1" outlineLevel="3">
      <c r="A1461" s="192" t="s">
        <v>1719</v>
      </c>
      <c r="B1461" s="192"/>
      <c r="C1461" s="197" t="s">
        <v>1609</v>
      </c>
      <c r="D1461" s="198">
        <f>'02 项目基础信息（输入）'!$C$54</f>
        <v>0</v>
      </c>
      <c r="E1461" s="199" t="s">
        <v>93</v>
      </c>
      <c r="F1461" s="197" t="s">
        <v>1609</v>
      </c>
      <c r="G1461" s="199">
        <v>1</v>
      </c>
      <c r="H1461" s="199" t="s">
        <v>298</v>
      </c>
      <c r="I1461" s="198">
        <f t="shared" si="170"/>
        <v>0</v>
      </c>
      <c r="J1461" s="199" t="s">
        <v>93</v>
      </c>
      <c r="K1461" s="188">
        <v>0</v>
      </c>
      <c r="L1461" s="209" t="s">
        <v>675</v>
      </c>
      <c r="M1461" s="207">
        <f t="shared" si="171"/>
        <v>0</v>
      </c>
      <c r="N1461" s="198">
        <f>'02 项目基础信息（输入）'!$C$54</f>
        <v>0</v>
      </c>
      <c r="O1461" s="198">
        <f t="shared" si="164"/>
        <v>0</v>
      </c>
      <c r="P1461" s="198">
        <f>'02 项目基础信息（输入）'!$I$54</f>
        <v>0</v>
      </c>
      <c r="Q1461" s="233">
        <f t="shared" si="165"/>
        <v>0</v>
      </c>
      <c r="S1461" s="217"/>
      <c r="U1461" s="220" t="s">
        <v>3250</v>
      </c>
    </row>
    <row r="1462" spans="1:21" ht="0" hidden="1" customHeight="1" outlineLevel="3">
      <c r="A1462" s="192" t="s">
        <v>1721</v>
      </c>
      <c r="B1462" s="192"/>
      <c r="C1462" s="197" t="s">
        <v>1609</v>
      </c>
      <c r="D1462" s="198">
        <f>'02 项目基础信息（输入）'!$C$54</f>
        <v>0</v>
      </c>
      <c r="E1462" s="199" t="s">
        <v>93</v>
      </c>
      <c r="F1462" s="197" t="s">
        <v>1609</v>
      </c>
      <c r="G1462" s="199">
        <v>1</v>
      </c>
      <c r="H1462" s="199" t="s">
        <v>298</v>
      </c>
      <c r="I1462" s="198">
        <f t="shared" si="170"/>
        <v>0</v>
      </c>
      <c r="J1462" s="199" t="s">
        <v>93</v>
      </c>
      <c r="K1462" s="188">
        <v>0</v>
      </c>
      <c r="L1462" s="209" t="s">
        <v>675</v>
      </c>
      <c r="M1462" s="207">
        <f t="shared" si="171"/>
        <v>0</v>
      </c>
      <c r="N1462" s="198">
        <f>'02 项目基础信息（输入）'!$C$54</f>
        <v>0</v>
      </c>
      <c r="O1462" s="198">
        <f t="shared" si="164"/>
        <v>0</v>
      </c>
      <c r="P1462" s="198">
        <f>'02 项目基础信息（输入）'!$I$54</f>
        <v>0</v>
      </c>
      <c r="Q1462" s="233">
        <f t="shared" si="165"/>
        <v>0</v>
      </c>
      <c r="S1462" s="217"/>
      <c r="U1462" s="220" t="s">
        <v>3251</v>
      </c>
    </row>
    <row r="1463" spans="1:21" ht="0" hidden="1" customHeight="1" outlineLevel="3">
      <c r="A1463" s="192" t="s">
        <v>1723</v>
      </c>
      <c r="B1463" s="192"/>
      <c r="C1463" s="197" t="s">
        <v>1609</v>
      </c>
      <c r="D1463" s="198">
        <f>'02 项目基础信息（输入）'!$C$54</f>
        <v>0</v>
      </c>
      <c r="E1463" s="199" t="s">
        <v>93</v>
      </c>
      <c r="F1463" s="197" t="s">
        <v>1609</v>
      </c>
      <c r="G1463" s="199">
        <v>1</v>
      </c>
      <c r="H1463" s="199" t="s">
        <v>298</v>
      </c>
      <c r="I1463" s="198">
        <f t="shared" si="170"/>
        <v>0</v>
      </c>
      <c r="J1463" s="199" t="s">
        <v>93</v>
      </c>
      <c r="K1463" s="188">
        <v>0</v>
      </c>
      <c r="L1463" s="209" t="s">
        <v>675</v>
      </c>
      <c r="M1463" s="207">
        <f t="shared" si="171"/>
        <v>0</v>
      </c>
      <c r="N1463" s="198">
        <f>'02 项目基础信息（输入）'!$C$54</f>
        <v>0</v>
      </c>
      <c r="O1463" s="198">
        <f t="shared" si="164"/>
        <v>0</v>
      </c>
      <c r="P1463" s="198">
        <f>'02 项目基础信息（输入）'!$I$54</f>
        <v>0</v>
      </c>
      <c r="Q1463" s="233">
        <f t="shared" si="165"/>
        <v>0</v>
      </c>
      <c r="S1463" s="217"/>
      <c r="U1463" s="220" t="s">
        <v>3252</v>
      </c>
    </row>
    <row r="1464" spans="1:21" ht="0" hidden="1" customHeight="1" outlineLevel="3">
      <c r="A1464" s="192" t="s">
        <v>1725</v>
      </c>
      <c r="B1464" s="192"/>
      <c r="C1464" s="197" t="s">
        <v>1609</v>
      </c>
      <c r="D1464" s="198">
        <f>'02 项目基础信息（输入）'!$C$54</f>
        <v>0</v>
      </c>
      <c r="E1464" s="199" t="s">
        <v>93</v>
      </c>
      <c r="F1464" s="197" t="s">
        <v>1609</v>
      </c>
      <c r="G1464" s="199">
        <v>1</v>
      </c>
      <c r="H1464" s="199" t="s">
        <v>298</v>
      </c>
      <c r="I1464" s="198">
        <f t="shared" si="170"/>
        <v>0</v>
      </c>
      <c r="J1464" s="199" t="s">
        <v>93</v>
      </c>
      <c r="K1464" s="188">
        <v>0</v>
      </c>
      <c r="L1464" s="209" t="s">
        <v>675</v>
      </c>
      <c r="M1464" s="207">
        <f t="shared" si="171"/>
        <v>0</v>
      </c>
      <c r="N1464" s="198">
        <f>'02 项目基础信息（输入）'!$C$54</f>
        <v>0</v>
      </c>
      <c r="O1464" s="198">
        <f t="shared" si="164"/>
        <v>0</v>
      </c>
      <c r="P1464" s="198">
        <f>'02 项目基础信息（输入）'!$I$54</f>
        <v>0</v>
      </c>
      <c r="Q1464" s="233">
        <f t="shared" si="165"/>
        <v>0</v>
      </c>
      <c r="S1464" s="217"/>
      <c r="U1464" s="220" t="s">
        <v>3253</v>
      </c>
    </row>
    <row r="1465" spans="1:21" ht="0" hidden="1" customHeight="1" outlineLevel="3">
      <c r="A1465" s="192" t="s">
        <v>1727</v>
      </c>
      <c r="B1465" s="192"/>
      <c r="C1465" s="197" t="s">
        <v>1609</v>
      </c>
      <c r="D1465" s="198">
        <f>'02 项目基础信息（输入）'!$C$54</f>
        <v>0</v>
      </c>
      <c r="E1465" s="199" t="s">
        <v>93</v>
      </c>
      <c r="F1465" s="197" t="s">
        <v>1609</v>
      </c>
      <c r="G1465" s="199">
        <v>1</v>
      </c>
      <c r="H1465" s="199" t="s">
        <v>298</v>
      </c>
      <c r="I1465" s="198">
        <f t="shared" si="170"/>
        <v>0</v>
      </c>
      <c r="J1465" s="199" t="s">
        <v>93</v>
      </c>
      <c r="K1465" s="188">
        <v>0</v>
      </c>
      <c r="L1465" s="209" t="s">
        <v>675</v>
      </c>
      <c r="M1465" s="207">
        <f t="shared" si="171"/>
        <v>0</v>
      </c>
      <c r="N1465" s="198">
        <f>'02 项目基础信息（输入）'!$C$54</f>
        <v>0</v>
      </c>
      <c r="O1465" s="198">
        <f t="shared" si="164"/>
        <v>0</v>
      </c>
      <c r="P1465" s="198">
        <f>'02 项目基础信息（输入）'!$I$54</f>
        <v>0</v>
      </c>
      <c r="Q1465" s="233">
        <f t="shared" si="165"/>
        <v>0</v>
      </c>
      <c r="S1465" s="217"/>
      <c r="U1465" s="220" t="s">
        <v>3254</v>
      </c>
    </row>
    <row r="1466" spans="1:21" ht="0" hidden="1" customHeight="1" outlineLevel="3">
      <c r="A1466" s="192" t="s">
        <v>1729</v>
      </c>
      <c r="B1466" s="192"/>
      <c r="C1466" s="197" t="s">
        <v>1609</v>
      </c>
      <c r="D1466" s="198">
        <f>'02 项目基础信息（输入）'!$C$54</f>
        <v>0</v>
      </c>
      <c r="E1466" s="199" t="s">
        <v>93</v>
      </c>
      <c r="F1466" s="197" t="s">
        <v>1609</v>
      </c>
      <c r="G1466" s="199">
        <v>1</v>
      </c>
      <c r="H1466" s="199" t="s">
        <v>298</v>
      </c>
      <c r="I1466" s="198">
        <f t="shared" si="170"/>
        <v>0</v>
      </c>
      <c r="J1466" s="199" t="s">
        <v>93</v>
      </c>
      <c r="K1466" s="188">
        <v>0</v>
      </c>
      <c r="L1466" s="209" t="s">
        <v>675</v>
      </c>
      <c r="M1466" s="207">
        <f t="shared" si="171"/>
        <v>0</v>
      </c>
      <c r="N1466" s="198">
        <f>'02 项目基础信息（输入）'!$C$54</f>
        <v>0</v>
      </c>
      <c r="O1466" s="198">
        <f t="shared" si="164"/>
        <v>0</v>
      </c>
      <c r="P1466" s="198">
        <f>'02 项目基础信息（输入）'!$I$54</f>
        <v>0</v>
      </c>
      <c r="Q1466" s="233">
        <f t="shared" si="165"/>
        <v>0</v>
      </c>
      <c r="S1466" s="217"/>
      <c r="U1466" s="220" t="s">
        <v>3255</v>
      </c>
    </row>
    <row r="1467" spans="1:21" ht="0" hidden="1" customHeight="1" outlineLevel="3">
      <c r="A1467" s="192" t="s">
        <v>1731</v>
      </c>
      <c r="B1467" s="192"/>
      <c r="C1467" s="197" t="s">
        <v>1609</v>
      </c>
      <c r="D1467" s="198">
        <f>'02 项目基础信息（输入）'!$C$54</f>
        <v>0</v>
      </c>
      <c r="E1467" s="199" t="s">
        <v>93</v>
      </c>
      <c r="F1467" s="197" t="s">
        <v>1609</v>
      </c>
      <c r="G1467" s="199">
        <v>1</v>
      </c>
      <c r="H1467" s="199" t="s">
        <v>298</v>
      </c>
      <c r="I1467" s="198">
        <f t="shared" si="170"/>
        <v>0</v>
      </c>
      <c r="J1467" s="199" t="s">
        <v>93</v>
      </c>
      <c r="K1467" s="188">
        <v>0</v>
      </c>
      <c r="L1467" s="209" t="s">
        <v>675</v>
      </c>
      <c r="M1467" s="207">
        <f t="shared" si="171"/>
        <v>0</v>
      </c>
      <c r="N1467" s="198">
        <f>'02 项目基础信息（输入）'!$C$54</f>
        <v>0</v>
      </c>
      <c r="O1467" s="198">
        <f t="shared" si="164"/>
        <v>0</v>
      </c>
      <c r="P1467" s="198">
        <f>'02 项目基础信息（输入）'!$I$54</f>
        <v>0</v>
      </c>
      <c r="Q1467" s="233">
        <f t="shared" si="165"/>
        <v>0</v>
      </c>
      <c r="S1467" s="217"/>
      <c r="U1467" s="220" t="s">
        <v>3256</v>
      </c>
    </row>
    <row r="1468" spans="1:21" ht="0" hidden="1" customHeight="1" outlineLevel="3">
      <c r="A1468" s="192" t="s">
        <v>1733</v>
      </c>
      <c r="B1468" s="192"/>
      <c r="C1468" s="197" t="s">
        <v>1609</v>
      </c>
      <c r="D1468" s="198">
        <f>'02 项目基础信息（输入）'!$C$54</f>
        <v>0</v>
      </c>
      <c r="E1468" s="199" t="s">
        <v>93</v>
      </c>
      <c r="F1468" s="197" t="s">
        <v>1609</v>
      </c>
      <c r="G1468" s="199">
        <v>1</v>
      </c>
      <c r="H1468" s="199" t="s">
        <v>298</v>
      </c>
      <c r="I1468" s="198">
        <f t="shared" si="170"/>
        <v>0</v>
      </c>
      <c r="J1468" s="199" t="s">
        <v>93</v>
      </c>
      <c r="K1468" s="188">
        <v>0</v>
      </c>
      <c r="L1468" s="209" t="s">
        <v>675</v>
      </c>
      <c r="M1468" s="207">
        <f t="shared" si="171"/>
        <v>0</v>
      </c>
      <c r="N1468" s="198">
        <f>'02 项目基础信息（输入）'!$C$54</f>
        <v>0</v>
      </c>
      <c r="O1468" s="198">
        <f t="shared" si="164"/>
        <v>0</v>
      </c>
      <c r="P1468" s="198">
        <f>'02 项目基础信息（输入）'!$I$54</f>
        <v>0</v>
      </c>
      <c r="Q1468" s="233">
        <f t="shared" si="165"/>
        <v>0</v>
      </c>
      <c r="S1468" s="217"/>
      <c r="U1468" s="220" t="s">
        <v>3257</v>
      </c>
    </row>
    <row r="1469" spans="1:21" ht="0" hidden="1" customHeight="1" outlineLevel="3">
      <c r="A1469" s="192" t="s">
        <v>1735</v>
      </c>
      <c r="B1469" s="192"/>
      <c r="C1469" s="197" t="s">
        <v>1609</v>
      </c>
      <c r="D1469" s="198">
        <f>'02 项目基础信息（输入）'!$C$54</f>
        <v>0</v>
      </c>
      <c r="E1469" s="199" t="s">
        <v>93</v>
      </c>
      <c r="F1469" s="197" t="s">
        <v>1609</v>
      </c>
      <c r="G1469" s="199">
        <v>1</v>
      </c>
      <c r="H1469" s="199" t="s">
        <v>298</v>
      </c>
      <c r="I1469" s="198">
        <f t="shared" si="170"/>
        <v>0</v>
      </c>
      <c r="J1469" s="199" t="s">
        <v>93</v>
      </c>
      <c r="K1469" s="188">
        <v>0</v>
      </c>
      <c r="L1469" s="209" t="s">
        <v>675</v>
      </c>
      <c r="M1469" s="207">
        <f t="shared" si="171"/>
        <v>0</v>
      </c>
      <c r="N1469" s="198">
        <f>'02 项目基础信息（输入）'!$C$54</f>
        <v>0</v>
      </c>
      <c r="O1469" s="198">
        <f t="shared" si="164"/>
        <v>0</v>
      </c>
      <c r="P1469" s="198">
        <f>'02 项目基础信息（输入）'!$I$54</f>
        <v>0</v>
      </c>
      <c r="Q1469" s="233">
        <f t="shared" si="165"/>
        <v>0</v>
      </c>
      <c r="S1469" s="217"/>
      <c r="U1469" s="220" t="s">
        <v>3258</v>
      </c>
    </row>
    <row r="1470" spans="1:21" ht="0" hidden="1" customHeight="1" outlineLevel="3">
      <c r="A1470" s="192" t="s">
        <v>1737</v>
      </c>
      <c r="B1470" s="192"/>
      <c r="C1470" s="197" t="s">
        <v>1609</v>
      </c>
      <c r="D1470" s="198">
        <f>'02 项目基础信息（输入）'!$C$54</f>
        <v>0</v>
      </c>
      <c r="E1470" s="199" t="s">
        <v>93</v>
      </c>
      <c r="F1470" s="197" t="s">
        <v>1609</v>
      </c>
      <c r="G1470" s="199">
        <v>1</v>
      </c>
      <c r="H1470" s="199" t="s">
        <v>298</v>
      </c>
      <c r="I1470" s="198">
        <f t="shared" si="170"/>
        <v>0</v>
      </c>
      <c r="J1470" s="199" t="s">
        <v>93</v>
      </c>
      <c r="K1470" s="188">
        <v>0</v>
      </c>
      <c r="L1470" s="209" t="s">
        <v>675</v>
      </c>
      <c r="M1470" s="207">
        <f t="shared" si="171"/>
        <v>0</v>
      </c>
      <c r="N1470" s="198">
        <f>'02 项目基础信息（输入）'!$C$54</f>
        <v>0</v>
      </c>
      <c r="O1470" s="198">
        <f t="shared" si="164"/>
        <v>0</v>
      </c>
      <c r="P1470" s="198">
        <f>'02 项目基础信息（输入）'!$I$54</f>
        <v>0</v>
      </c>
      <c r="Q1470" s="233">
        <f t="shared" si="165"/>
        <v>0</v>
      </c>
      <c r="S1470" s="217"/>
      <c r="U1470" s="220" t="s">
        <v>3259</v>
      </c>
    </row>
    <row r="1471" spans="1:21" ht="0" hidden="1" customHeight="1" outlineLevel="3">
      <c r="A1471" s="192" t="s">
        <v>1739</v>
      </c>
      <c r="B1471" s="192"/>
      <c r="C1471" s="197" t="s">
        <v>1609</v>
      </c>
      <c r="D1471" s="198">
        <f>'02 项目基础信息（输入）'!$C$54</f>
        <v>0</v>
      </c>
      <c r="E1471" s="199" t="s">
        <v>93</v>
      </c>
      <c r="F1471" s="197" t="s">
        <v>1609</v>
      </c>
      <c r="G1471" s="199">
        <v>1</v>
      </c>
      <c r="H1471" s="199" t="s">
        <v>298</v>
      </c>
      <c r="I1471" s="198">
        <f t="shared" si="170"/>
        <v>0</v>
      </c>
      <c r="J1471" s="199" t="s">
        <v>93</v>
      </c>
      <c r="K1471" s="188">
        <v>0</v>
      </c>
      <c r="L1471" s="209" t="s">
        <v>675</v>
      </c>
      <c r="M1471" s="207">
        <f t="shared" si="171"/>
        <v>0</v>
      </c>
      <c r="N1471" s="198">
        <f>'02 项目基础信息（输入）'!$C$54</f>
        <v>0</v>
      </c>
      <c r="O1471" s="198">
        <f t="shared" si="164"/>
        <v>0</v>
      </c>
      <c r="P1471" s="198">
        <f>'02 项目基础信息（输入）'!$I$54</f>
        <v>0</v>
      </c>
      <c r="Q1471" s="233">
        <f t="shared" si="165"/>
        <v>0</v>
      </c>
      <c r="S1471" s="217"/>
      <c r="U1471" s="220" t="s">
        <v>3260</v>
      </c>
    </row>
    <row r="1472" spans="1:21" ht="0" hidden="1" customHeight="1" outlineLevel="3">
      <c r="A1472" s="192" t="s">
        <v>1741</v>
      </c>
      <c r="B1472" s="192"/>
      <c r="C1472" s="197" t="s">
        <v>1609</v>
      </c>
      <c r="D1472" s="198">
        <f>'02 项目基础信息（输入）'!$C$54</f>
        <v>0</v>
      </c>
      <c r="E1472" s="199" t="s">
        <v>93</v>
      </c>
      <c r="F1472" s="197" t="s">
        <v>1609</v>
      </c>
      <c r="G1472" s="199">
        <v>1</v>
      </c>
      <c r="H1472" s="199" t="s">
        <v>298</v>
      </c>
      <c r="I1472" s="198">
        <f t="shared" si="170"/>
        <v>0</v>
      </c>
      <c r="J1472" s="199" t="s">
        <v>93</v>
      </c>
      <c r="K1472" s="188">
        <v>0</v>
      </c>
      <c r="L1472" s="209" t="s">
        <v>675</v>
      </c>
      <c r="M1472" s="207">
        <f t="shared" si="171"/>
        <v>0</v>
      </c>
      <c r="N1472" s="198">
        <f>'02 项目基础信息（输入）'!$C$54</f>
        <v>0</v>
      </c>
      <c r="O1472" s="198">
        <f t="shared" si="164"/>
        <v>0</v>
      </c>
      <c r="P1472" s="198">
        <f>'02 项目基础信息（输入）'!$I$54</f>
        <v>0</v>
      </c>
      <c r="Q1472" s="233">
        <f t="shared" si="165"/>
        <v>0</v>
      </c>
      <c r="S1472" s="217"/>
      <c r="U1472" s="220" t="s">
        <v>3261</v>
      </c>
    </row>
    <row r="1473" spans="1:21" ht="0" hidden="1" customHeight="1" outlineLevel="3">
      <c r="A1473" s="192" t="s">
        <v>1743</v>
      </c>
      <c r="B1473" s="192"/>
      <c r="C1473" s="197" t="s">
        <v>1609</v>
      </c>
      <c r="D1473" s="198">
        <f>'02 项目基础信息（输入）'!$C$54</f>
        <v>0</v>
      </c>
      <c r="E1473" s="199" t="s">
        <v>93</v>
      </c>
      <c r="F1473" s="197" t="s">
        <v>1609</v>
      </c>
      <c r="G1473" s="199">
        <v>1</v>
      </c>
      <c r="H1473" s="199" t="s">
        <v>298</v>
      </c>
      <c r="I1473" s="198">
        <f t="shared" si="170"/>
        <v>0</v>
      </c>
      <c r="J1473" s="199" t="s">
        <v>93</v>
      </c>
      <c r="K1473" s="188">
        <v>0</v>
      </c>
      <c r="L1473" s="209" t="s">
        <v>675</v>
      </c>
      <c r="M1473" s="207">
        <f t="shared" si="171"/>
        <v>0</v>
      </c>
      <c r="N1473" s="198">
        <f>'02 项目基础信息（输入）'!$C$54</f>
        <v>0</v>
      </c>
      <c r="O1473" s="198">
        <f t="shared" si="164"/>
        <v>0</v>
      </c>
      <c r="P1473" s="198">
        <f>'02 项目基础信息（输入）'!$I$54</f>
        <v>0</v>
      </c>
      <c r="Q1473" s="233">
        <f t="shared" si="165"/>
        <v>0</v>
      </c>
      <c r="S1473" s="217"/>
      <c r="U1473" s="220" t="s">
        <v>3262</v>
      </c>
    </row>
    <row r="1474" spans="1:21" ht="0" hidden="1" customHeight="1" outlineLevel="3">
      <c r="A1474" s="192" t="s">
        <v>1745</v>
      </c>
      <c r="B1474" s="192"/>
      <c r="C1474" s="197" t="s">
        <v>1609</v>
      </c>
      <c r="D1474" s="198">
        <f>'02 项目基础信息（输入）'!$C$54</f>
        <v>0</v>
      </c>
      <c r="E1474" s="199" t="s">
        <v>93</v>
      </c>
      <c r="F1474" s="197" t="s">
        <v>1609</v>
      </c>
      <c r="G1474" s="199">
        <v>1</v>
      </c>
      <c r="H1474" s="199" t="s">
        <v>298</v>
      </c>
      <c r="I1474" s="198">
        <f t="shared" si="170"/>
        <v>0</v>
      </c>
      <c r="J1474" s="199" t="s">
        <v>93</v>
      </c>
      <c r="K1474" s="188">
        <v>0</v>
      </c>
      <c r="L1474" s="209" t="s">
        <v>675</v>
      </c>
      <c r="M1474" s="207">
        <f t="shared" si="171"/>
        <v>0</v>
      </c>
      <c r="N1474" s="198">
        <f>'02 项目基础信息（输入）'!$C$54</f>
        <v>0</v>
      </c>
      <c r="O1474" s="198">
        <f t="shared" si="164"/>
        <v>0</v>
      </c>
      <c r="P1474" s="198">
        <f>'02 项目基础信息（输入）'!$I$54</f>
        <v>0</v>
      </c>
      <c r="Q1474" s="233">
        <f t="shared" si="165"/>
        <v>0</v>
      </c>
      <c r="S1474" s="217"/>
      <c r="U1474" s="220" t="s">
        <v>3263</v>
      </c>
    </row>
    <row r="1475" spans="1:21" ht="0" hidden="1" customHeight="1" outlineLevel="3">
      <c r="A1475" s="192" t="s">
        <v>1747</v>
      </c>
      <c r="B1475" s="192"/>
      <c r="C1475" s="197" t="s">
        <v>416</v>
      </c>
      <c r="D1475" s="198">
        <f>'02 项目基础信息（输入）'!$AJ$54</f>
        <v>0</v>
      </c>
      <c r="E1475" s="199" t="s">
        <v>417</v>
      </c>
      <c r="F1475" s="197" t="s">
        <v>416</v>
      </c>
      <c r="G1475" s="199">
        <v>1</v>
      </c>
      <c r="H1475" s="199" t="s">
        <v>1748</v>
      </c>
      <c r="I1475" s="198">
        <f t="shared" si="170"/>
        <v>0</v>
      </c>
      <c r="J1475" s="199" t="s">
        <v>400</v>
      </c>
      <c r="K1475" s="188">
        <v>0</v>
      </c>
      <c r="L1475" s="209" t="s">
        <v>1749</v>
      </c>
      <c r="M1475" s="207">
        <f t="shared" si="171"/>
        <v>0</v>
      </c>
      <c r="N1475" s="198">
        <f>'02 项目基础信息（输入）'!$C$54</f>
        <v>0</v>
      </c>
      <c r="O1475" s="198">
        <f t="shared" ref="O1475:O1538" si="172">ROUND(IFERROR(M1475*10000/N1475,0),2)</f>
        <v>0</v>
      </c>
      <c r="P1475" s="198">
        <f>'02 项目基础信息（输入）'!$I$54</f>
        <v>0</v>
      </c>
      <c r="Q1475" s="233">
        <f t="shared" ref="Q1475:Q1538" si="173">ROUND(IFERROR(M1475*10000/P1475,0),2)</f>
        <v>0</v>
      </c>
      <c r="S1475" s="217"/>
      <c r="U1475" s="220" t="s">
        <v>3264</v>
      </c>
    </row>
    <row r="1476" spans="1:21" ht="0" hidden="1" customHeight="1" outlineLevel="3">
      <c r="A1476" s="192" t="s">
        <v>1751</v>
      </c>
      <c r="B1476" s="192"/>
      <c r="C1476" s="197" t="s">
        <v>1609</v>
      </c>
      <c r="D1476" s="198">
        <f>'02 项目基础信息（输入）'!$C$54</f>
        <v>0</v>
      </c>
      <c r="E1476" s="199" t="s">
        <v>93</v>
      </c>
      <c r="F1476" s="197" t="s">
        <v>1609</v>
      </c>
      <c r="G1476" s="199">
        <v>1</v>
      </c>
      <c r="H1476" s="199" t="s">
        <v>298</v>
      </c>
      <c r="I1476" s="198">
        <f t="shared" si="170"/>
        <v>0</v>
      </c>
      <c r="J1476" s="199" t="s">
        <v>93</v>
      </c>
      <c r="K1476" s="188">
        <v>0</v>
      </c>
      <c r="L1476" s="209" t="s">
        <v>675</v>
      </c>
      <c r="M1476" s="207">
        <f t="shared" si="171"/>
        <v>0</v>
      </c>
      <c r="N1476" s="198">
        <f>'02 项目基础信息（输入）'!$C$54</f>
        <v>0</v>
      </c>
      <c r="O1476" s="198">
        <f t="shared" si="172"/>
        <v>0</v>
      </c>
      <c r="P1476" s="198">
        <f>'02 项目基础信息（输入）'!$I$54</f>
        <v>0</v>
      </c>
      <c r="Q1476" s="233">
        <f t="shared" si="173"/>
        <v>0</v>
      </c>
      <c r="S1476" s="217"/>
      <c r="U1476" s="220" t="s">
        <v>3265</v>
      </c>
    </row>
    <row r="1477" spans="1:21" ht="0" hidden="1" customHeight="1" outlineLevel="2">
      <c r="A1477" s="192" t="s">
        <v>1753</v>
      </c>
      <c r="B1477" s="192"/>
      <c r="C1477" s="197" t="s">
        <v>1609</v>
      </c>
      <c r="D1477" s="198">
        <f>'02 项目基础信息（输入）'!$C$54</f>
        <v>0</v>
      </c>
      <c r="E1477" s="199" t="s">
        <v>93</v>
      </c>
      <c r="F1477" s="197"/>
      <c r="G1477" s="199"/>
      <c r="H1477" s="199"/>
      <c r="I1477" s="197"/>
      <c r="J1477" s="199"/>
      <c r="K1477" s="198"/>
      <c r="L1477" s="209"/>
      <c r="M1477" s="198">
        <f>ROUND(SUM(M1478:M1488),6)</f>
        <v>0</v>
      </c>
      <c r="N1477" s="198">
        <f>'02 项目基础信息（输入）'!$C$54</f>
        <v>0</v>
      </c>
      <c r="O1477" s="198">
        <f t="shared" si="172"/>
        <v>0</v>
      </c>
      <c r="P1477" s="198">
        <f>'02 项目基础信息（输入）'!$I$54</f>
        <v>0</v>
      </c>
      <c r="Q1477" s="233">
        <f t="shared" si="173"/>
        <v>0</v>
      </c>
      <c r="S1477" s="217" t="s">
        <v>1313</v>
      </c>
      <c r="U1477" s="220" t="s">
        <v>3266</v>
      </c>
    </row>
    <row r="1478" spans="1:21" ht="0" hidden="1" customHeight="1" outlineLevel="3">
      <c r="A1478" s="192" t="s">
        <v>1755</v>
      </c>
      <c r="B1478" s="192"/>
      <c r="C1478" s="197" t="s">
        <v>1609</v>
      </c>
      <c r="D1478" s="198">
        <f>'02 项目基础信息（输入）'!$C$54</f>
        <v>0</v>
      </c>
      <c r="E1478" s="199" t="s">
        <v>93</v>
      </c>
      <c r="F1478" s="197" t="s">
        <v>1609</v>
      </c>
      <c r="G1478" s="199">
        <v>1</v>
      </c>
      <c r="H1478" s="199" t="s">
        <v>298</v>
      </c>
      <c r="I1478" s="198">
        <f t="shared" ref="I1478:I1488" si="174">G1478*D1478</f>
        <v>0</v>
      </c>
      <c r="J1478" s="199" t="s">
        <v>93</v>
      </c>
      <c r="K1478" s="188">
        <v>0</v>
      </c>
      <c r="L1478" s="209" t="s">
        <v>675</v>
      </c>
      <c r="M1478" s="207">
        <f t="shared" ref="M1478:M1488" si="175">ROUND(K1478*I1478/10000,6)</f>
        <v>0</v>
      </c>
      <c r="N1478" s="198">
        <f>'02 项目基础信息（输入）'!$C$54</f>
        <v>0</v>
      </c>
      <c r="O1478" s="198">
        <f t="shared" si="172"/>
        <v>0</v>
      </c>
      <c r="P1478" s="198">
        <f>'02 项目基础信息（输入）'!$I$54</f>
        <v>0</v>
      </c>
      <c r="Q1478" s="233">
        <f t="shared" si="173"/>
        <v>0</v>
      </c>
      <c r="S1478" s="217"/>
      <c r="U1478" s="220" t="s">
        <v>3267</v>
      </c>
    </row>
    <row r="1479" spans="1:21" ht="0" hidden="1" customHeight="1" outlineLevel="3">
      <c r="A1479" s="192" t="s">
        <v>1757</v>
      </c>
      <c r="B1479" s="192"/>
      <c r="C1479" s="197" t="s">
        <v>1609</v>
      </c>
      <c r="D1479" s="198">
        <f>'02 项目基础信息（输入）'!$C$54</f>
        <v>0</v>
      </c>
      <c r="E1479" s="199" t="s">
        <v>93</v>
      </c>
      <c r="F1479" s="197" t="s">
        <v>1609</v>
      </c>
      <c r="G1479" s="199">
        <v>1</v>
      </c>
      <c r="H1479" s="199" t="s">
        <v>298</v>
      </c>
      <c r="I1479" s="198">
        <f t="shared" si="174"/>
        <v>0</v>
      </c>
      <c r="J1479" s="199" t="s">
        <v>93</v>
      </c>
      <c r="K1479" s="188">
        <v>0</v>
      </c>
      <c r="L1479" s="209" t="s">
        <v>675</v>
      </c>
      <c r="M1479" s="207">
        <f t="shared" si="175"/>
        <v>0</v>
      </c>
      <c r="N1479" s="198">
        <f>'02 项目基础信息（输入）'!$C$54</f>
        <v>0</v>
      </c>
      <c r="O1479" s="198">
        <f t="shared" si="172"/>
        <v>0</v>
      </c>
      <c r="P1479" s="198">
        <f>'02 项目基础信息（输入）'!$I$54</f>
        <v>0</v>
      </c>
      <c r="Q1479" s="233">
        <f t="shared" si="173"/>
        <v>0</v>
      </c>
      <c r="S1479" s="217"/>
      <c r="U1479" s="220" t="s">
        <v>3268</v>
      </c>
    </row>
    <row r="1480" spans="1:21" ht="0" hidden="1" customHeight="1" outlineLevel="3">
      <c r="A1480" s="192" t="s">
        <v>1759</v>
      </c>
      <c r="B1480" s="192"/>
      <c r="C1480" s="197" t="s">
        <v>1609</v>
      </c>
      <c r="D1480" s="198">
        <f>'02 项目基础信息（输入）'!$C$54</f>
        <v>0</v>
      </c>
      <c r="E1480" s="199" t="s">
        <v>93</v>
      </c>
      <c r="F1480" s="197" t="s">
        <v>1609</v>
      </c>
      <c r="G1480" s="199">
        <v>1</v>
      </c>
      <c r="H1480" s="199" t="s">
        <v>298</v>
      </c>
      <c r="I1480" s="198">
        <f t="shared" si="174"/>
        <v>0</v>
      </c>
      <c r="J1480" s="199" t="s">
        <v>93</v>
      </c>
      <c r="K1480" s="188">
        <v>0</v>
      </c>
      <c r="L1480" s="209" t="s">
        <v>675</v>
      </c>
      <c r="M1480" s="207">
        <f t="shared" si="175"/>
        <v>0</v>
      </c>
      <c r="N1480" s="198">
        <f>'02 项目基础信息（输入）'!$C$54</f>
        <v>0</v>
      </c>
      <c r="O1480" s="198">
        <f t="shared" si="172"/>
        <v>0</v>
      </c>
      <c r="P1480" s="198">
        <f>'02 项目基础信息（输入）'!$I$54</f>
        <v>0</v>
      </c>
      <c r="Q1480" s="233">
        <f t="shared" si="173"/>
        <v>0</v>
      </c>
      <c r="S1480" s="217"/>
      <c r="U1480" s="220" t="s">
        <v>3269</v>
      </c>
    </row>
    <row r="1481" spans="1:21" ht="0" hidden="1" customHeight="1" outlineLevel="3">
      <c r="A1481" s="192" t="s">
        <v>1761</v>
      </c>
      <c r="B1481" s="192"/>
      <c r="C1481" s="197" t="s">
        <v>1609</v>
      </c>
      <c r="D1481" s="198">
        <f>'02 项目基础信息（输入）'!$C$54</f>
        <v>0</v>
      </c>
      <c r="E1481" s="199" t="s">
        <v>93</v>
      </c>
      <c r="F1481" s="197" t="s">
        <v>1609</v>
      </c>
      <c r="G1481" s="199">
        <v>1</v>
      </c>
      <c r="H1481" s="199" t="s">
        <v>298</v>
      </c>
      <c r="I1481" s="198">
        <f t="shared" si="174"/>
        <v>0</v>
      </c>
      <c r="J1481" s="199" t="s">
        <v>93</v>
      </c>
      <c r="K1481" s="188">
        <v>0</v>
      </c>
      <c r="L1481" s="209" t="s">
        <v>675</v>
      </c>
      <c r="M1481" s="207">
        <f t="shared" si="175"/>
        <v>0</v>
      </c>
      <c r="N1481" s="198">
        <f>'02 项目基础信息（输入）'!$C$54</f>
        <v>0</v>
      </c>
      <c r="O1481" s="198">
        <f t="shared" si="172"/>
        <v>0</v>
      </c>
      <c r="P1481" s="198">
        <f>'02 项目基础信息（输入）'!$I$54</f>
        <v>0</v>
      </c>
      <c r="Q1481" s="233">
        <f t="shared" si="173"/>
        <v>0</v>
      </c>
      <c r="S1481" s="217"/>
      <c r="U1481" s="220" t="s">
        <v>3270</v>
      </c>
    </row>
    <row r="1482" spans="1:21" ht="0" hidden="1" customHeight="1" outlineLevel="3">
      <c r="A1482" s="192" t="s">
        <v>1763</v>
      </c>
      <c r="B1482" s="192"/>
      <c r="C1482" s="197" t="s">
        <v>1609</v>
      </c>
      <c r="D1482" s="198">
        <f>'02 项目基础信息（输入）'!$C$54</f>
        <v>0</v>
      </c>
      <c r="E1482" s="199" t="s">
        <v>93</v>
      </c>
      <c r="F1482" s="197" t="s">
        <v>1609</v>
      </c>
      <c r="G1482" s="199">
        <v>1</v>
      </c>
      <c r="H1482" s="199" t="s">
        <v>298</v>
      </c>
      <c r="I1482" s="198">
        <f t="shared" si="174"/>
        <v>0</v>
      </c>
      <c r="J1482" s="199" t="s">
        <v>93</v>
      </c>
      <c r="K1482" s="188">
        <v>0</v>
      </c>
      <c r="L1482" s="209" t="s">
        <v>675</v>
      </c>
      <c r="M1482" s="207">
        <f t="shared" si="175"/>
        <v>0</v>
      </c>
      <c r="N1482" s="198">
        <f>'02 项目基础信息（输入）'!$C$54</f>
        <v>0</v>
      </c>
      <c r="O1482" s="198">
        <f t="shared" si="172"/>
        <v>0</v>
      </c>
      <c r="P1482" s="198">
        <f>'02 项目基础信息（输入）'!$I$54</f>
        <v>0</v>
      </c>
      <c r="Q1482" s="233">
        <f t="shared" si="173"/>
        <v>0</v>
      </c>
      <c r="S1482" s="217"/>
      <c r="U1482" s="220" t="s">
        <v>3271</v>
      </c>
    </row>
    <row r="1483" spans="1:21" ht="0" hidden="1" customHeight="1" outlineLevel="3">
      <c r="A1483" s="192" t="s">
        <v>1765</v>
      </c>
      <c r="B1483" s="192"/>
      <c r="C1483" s="197" t="s">
        <v>1609</v>
      </c>
      <c r="D1483" s="198">
        <f>'02 项目基础信息（输入）'!$C$54</f>
        <v>0</v>
      </c>
      <c r="E1483" s="199" t="s">
        <v>93</v>
      </c>
      <c r="F1483" s="197" t="s">
        <v>1609</v>
      </c>
      <c r="G1483" s="199">
        <v>1</v>
      </c>
      <c r="H1483" s="199" t="s">
        <v>298</v>
      </c>
      <c r="I1483" s="198">
        <f t="shared" si="174"/>
        <v>0</v>
      </c>
      <c r="J1483" s="199" t="s">
        <v>93</v>
      </c>
      <c r="K1483" s="188">
        <v>0</v>
      </c>
      <c r="L1483" s="209" t="s">
        <v>675</v>
      </c>
      <c r="M1483" s="207">
        <f t="shared" si="175"/>
        <v>0</v>
      </c>
      <c r="N1483" s="198">
        <f>'02 项目基础信息（输入）'!$C$54</f>
        <v>0</v>
      </c>
      <c r="O1483" s="198">
        <f t="shared" si="172"/>
        <v>0</v>
      </c>
      <c r="P1483" s="198">
        <f>'02 项目基础信息（输入）'!$I$54</f>
        <v>0</v>
      </c>
      <c r="Q1483" s="233">
        <f t="shared" si="173"/>
        <v>0</v>
      </c>
      <c r="S1483" s="217"/>
      <c r="U1483" s="220" t="s">
        <v>3272</v>
      </c>
    </row>
    <row r="1484" spans="1:21" ht="0" hidden="1" customHeight="1" outlineLevel="3">
      <c r="A1484" s="192" t="s">
        <v>1767</v>
      </c>
      <c r="B1484" s="192"/>
      <c r="C1484" s="197" t="s">
        <v>1609</v>
      </c>
      <c r="D1484" s="198">
        <f>'02 项目基础信息（输入）'!$C$54</f>
        <v>0</v>
      </c>
      <c r="E1484" s="199" t="s">
        <v>93</v>
      </c>
      <c r="F1484" s="197" t="s">
        <v>1609</v>
      </c>
      <c r="G1484" s="199">
        <v>1</v>
      </c>
      <c r="H1484" s="199" t="s">
        <v>298</v>
      </c>
      <c r="I1484" s="198">
        <f t="shared" si="174"/>
        <v>0</v>
      </c>
      <c r="J1484" s="199" t="s">
        <v>93</v>
      </c>
      <c r="K1484" s="188">
        <v>0</v>
      </c>
      <c r="L1484" s="209" t="s">
        <v>675</v>
      </c>
      <c r="M1484" s="207">
        <f t="shared" si="175"/>
        <v>0</v>
      </c>
      <c r="N1484" s="198">
        <f>'02 项目基础信息（输入）'!$C$54</f>
        <v>0</v>
      </c>
      <c r="O1484" s="198">
        <f t="shared" si="172"/>
        <v>0</v>
      </c>
      <c r="P1484" s="198">
        <f>'02 项目基础信息（输入）'!$I$54</f>
        <v>0</v>
      </c>
      <c r="Q1484" s="233">
        <f t="shared" si="173"/>
        <v>0</v>
      </c>
      <c r="S1484" s="217"/>
      <c r="U1484" s="220" t="s">
        <v>3273</v>
      </c>
    </row>
    <row r="1485" spans="1:21" ht="0" hidden="1" customHeight="1" outlineLevel="3">
      <c r="A1485" s="192" t="s">
        <v>1769</v>
      </c>
      <c r="B1485" s="192"/>
      <c r="C1485" s="197" t="s">
        <v>1609</v>
      </c>
      <c r="D1485" s="198">
        <f>'02 项目基础信息（输入）'!$C$54</f>
        <v>0</v>
      </c>
      <c r="E1485" s="199" t="s">
        <v>93</v>
      </c>
      <c r="F1485" s="197" t="s">
        <v>1609</v>
      </c>
      <c r="G1485" s="199">
        <v>1</v>
      </c>
      <c r="H1485" s="199" t="s">
        <v>298</v>
      </c>
      <c r="I1485" s="198">
        <f t="shared" si="174"/>
        <v>0</v>
      </c>
      <c r="J1485" s="199" t="s">
        <v>93</v>
      </c>
      <c r="K1485" s="188">
        <v>0</v>
      </c>
      <c r="L1485" s="209" t="s">
        <v>675</v>
      </c>
      <c r="M1485" s="207">
        <f t="shared" si="175"/>
        <v>0</v>
      </c>
      <c r="N1485" s="198">
        <f>'02 项目基础信息（输入）'!$C$54</f>
        <v>0</v>
      </c>
      <c r="O1485" s="198">
        <f t="shared" si="172"/>
        <v>0</v>
      </c>
      <c r="P1485" s="198">
        <f>'02 项目基础信息（输入）'!$I$54</f>
        <v>0</v>
      </c>
      <c r="Q1485" s="233">
        <f t="shared" si="173"/>
        <v>0</v>
      </c>
      <c r="S1485" s="217"/>
      <c r="U1485" s="220" t="s">
        <v>3274</v>
      </c>
    </row>
    <row r="1486" spans="1:21" ht="0" hidden="1" customHeight="1" outlineLevel="3">
      <c r="A1486" s="192" t="s">
        <v>1771</v>
      </c>
      <c r="B1486" s="192"/>
      <c r="C1486" s="197" t="s">
        <v>1609</v>
      </c>
      <c r="D1486" s="198">
        <f>'02 项目基础信息（输入）'!$C$54</f>
        <v>0</v>
      </c>
      <c r="E1486" s="199" t="s">
        <v>93</v>
      </c>
      <c r="F1486" s="197" t="s">
        <v>1609</v>
      </c>
      <c r="G1486" s="199">
        <v>1</v>
      </c>
      <c r="H1486" s="199" t="s">
        <v>298</v>
      </c>
      <c r="I1486" s="198">
        <f t="shared" si="174"/>
        <v>0</v>
      </c>
      <c r="J1486" s="199" t="s">
        <v>93</v>
      </c>
      <c r="K1486" s="188">
        <v>0</v>
      </c>
      <c r="L1486" s="209" t="s">
        <v>675</v>
      </c>
      <c r="M1486" s="207">
        <f t="shared" si="175"/>
        <v>0</v>
      </c>
      <c r="N1486" s="198">
        <f>'02 项目基础信息（输入）'!$C$54</f>
        <v>0</v>
      </c>
      <c r="O1486" s="198">
        <f t="shared" si="172"/>
        <v>0</v>
      </c>
      <c r="P1486" s="198">
        <f>'02 项目基础信息（输入）'!$I$54</f>
        <v>0</v>
      </c>
      <c r="Q1486" s="233">
        <f t="shared" si="173"/>
        <v>0</v>
      </c>
      <c r="S1486" s="217"/>
      <c r="U1486" s="220" t="s">
        <v>3275</v>
      </c>
    </row>
    <row r="1487" spans="1:21" ht="0" hidden="1" customHeight="1" outlineLevel="3">
      <c r="A1487" s="192" t="s">
        <v>1773</v>
      </c>
      <c r="B1487" s="192"/>
      <c r="C1487" s="197" t="s">
        <v>1609</v>
      </c>
      <c r="D1487" s="198">
        <f>'02 项目基础信息（输入）'!$C$54</f>
        <v>0</v>
      </c>
      <c r="E1487" s="199" t="s">
        <v>93</v>
      </c>
      <c r="F1487" s="197" t="s">
        <v>1609</v>
      </c>
      <c r="G1487" s="199">
        <v>1</v>
      </c>
      <c r="H1487" s="199" t="s">
        <v>298</v>
      </c>
      <c r="I1487" s="198">
        <f t="shared" si="174"/>
        <v>0</v>
      </c>
      <c r="J1487" s="199" t="s">
        <v>93</v>
      </c>
      <c r="K1487" s="188">
        <v>0</v>
      </c>
      <c r="L1487" s="209" t="s">
        <v>675</v>
      </c>
      <c r="M1487" s="207">
        <f t="shared" si="175"/>
        <v>0</v>
      </c>
      <c r="N1487" s="198">
        <f>'02 项目基础信息（输入）'!$C$54</f>
        <v>0</v>
      </c>
      <c r="O1487" s="198">
        <f t="shared" si="172"/>
        <v>0</v>
      </c>
      <c r="P1487" s="198">
        <f>'02 项目基础信息（输入）'!$I$54</f>
        <v>0</v>
      </c>
      <c r="Q1487" s="233">
        <f t="shared" si="173"/>
        <v>0</v>
      </c>
      <c r="S1487" s="217"/>
      <c r="U1487" s="220" t="s">
        <v>3276</v>
      </c>
    </row>
    <row r="1488" spans="1:21" ht="0" hidden="1" customHeight="1" outlineLevel="3">
      <c r="A1488" s="192" t="s">
        <v>1775</v>
      </c>
      <c r="B1488" s="192"/>
      <c r="C1488" s="197" t="s">
        <v>1609</v>
      </c>
      <c r="D1488" s="198">
        <f>'02 项目基础信息（输入）'!$C$54</f>
        <v>0</v>
      </c>
      <c r="E1488" s="199" t="s">
        <v>93</v>
      </c>
      <c r="F1488" s="197" t="s">
        <v>1609</v>
      </c>
      <c r="G1488" s="199">
        <v>1</v>
      </c>
      <c r="H1488" s="199" t="s">
        <v>298</v>
      </c>
      <c r="I1488" s="198">
        <f t="shared" si="174"/>
        <v>0</v>
      </c>
      <c r="J1488" s="199" t="s">
        <v>93</v>
      </c>
      <c r="K1488" s="188">
        <v>0</v>
      </c>
      <c r="L1488" s="209" t="s">
        <v>675</v>
      </c>
      <c r="M1488" s="207">
        <f t="shared" si="175"/>
        <v>0</v>
      </c>
      <c r="N1488" s="198">
        <f>'02 项目基础信息（输入）'!$C$54</f>
        <v>0</v>
      </c>
      <c r="O1488" s="198">
        <f t="shared" si="172"/>
        <v>0</v>
      </c>
      <c r="P1488" s="198">
        <f>'02 项目基础信息（输入）'!$I$54</f>
        <v>0</v>
      </c>
      <c r="Q1488" s="233">
        <f t="shared" si="173"/>
        <v>0</v>
      </c>
      <c r="S1488" s="217"/>
      <c r="U1488" s="220" t="s">
        <v>3277</v>
      </c>
    </row>
    <row r="1489" spans="1:21" ht="0" hidden="1" customHeight="1" outlineLevel="2">
      <c r="A1489" s="192" t="s">
        <v>1777</v>
      </c>
      <c r="B1489" s="192"/>
      <c r="C1489" s="197" t="s">
        <v>1609</v>
      </c>
      <c r="D1489" s="198">
        <f>'02 项目基础信息（输入）'!$C$54</f>
        <v>0</v>
      </c>
      <c r="E1489" s="199" t="s">
        <v>93</v>
      </c>
      <c r="F1489" s="197"/>
      <c r="G1489" s="199"/>
      <c r="H1489" s="199"/>
      <c r="I1489" s="197"/>
      <c r="J1489" s="199"/>
      <c r="K1489" s="198"/>
      <c r="L1489" s="209"/>
      <c r="M1489" s="198">
        <f>ROUND(SUM(M1490),6)</f>
        <v>0</v>
      </c>
      <c r="N1489" s="198">
        <f>'02 项目基础信息（输入）'!$C$54</f>
        <v>0</v>
      </c>
      <c r="O1489" s="198">
        <f t="shared" si="172"/>
        <v>0</v>
      </c>
      <c r="P1489" s="198">
        <f>'02 项目基础信息（输入）'!$I$54</f>
        <v>0</v>
      </c>
      <c r="Q1489" s="233">
        <f t="shared" si="173"/>
        <v>0</v>
      </c>
      <c r="S1489" s="217" t="s">
        <v>1313</v>
      </c>
      <c r="U1489" s="220" t="s">
        <v>3278</v>
      </c>
    </row>
    <row r="1490" spans="1:21" ht="0" hidden="1" customHeight="1" outlineLevel="3">
      <c r="A1490" s="192" t="s">
        <v>1779</v>
      </c>
      <c r="B1490" s="192"/>
      <c r="C1490" s="197" t="s">
        <v>1609</v>
      </c>
      <c r="D1490" s="198">
        <f>'02 项目基础信息（输入）'!$C$54</f>
        <v>0</v>
      </c>
      <c r="E1490" s="199" t="s">
        <v>93</v>
      </c>
      <c r="F1490" s="197" t="s">
        <v>984</v>
      </c>
      <c r="G1490" s="82">
        <v>0</v>
      </c>
      <c r="H1490" s="199" t="s">
        <v>966</v>
      </c>
      <c r="I1490" s="198">
        <f>G1490*D1490</f>
        <v>0</v>
      </c>
      <c r="J1490" s="199" t="s">
        <v>1617</v>
      </c>
      <c r="K1490" s="188">
        <v>0</v>
      </c>
      <c r="L1490" s="209" t="s">
        <v>664</v>
      </c>
      <c r="M1490" s="207">
        <f>ROUND(K1490*I1490/10000,6)</f>
        <v>0</v>
      </c>
      <c r="N1490" s="198">
        <f>'02 项目基础信息（输入）'!$C$54</f>
        <v>0</v>
      </c>
      <c r="O1490" s="198">
        <f t="shared" si="172"/>
        <v>0</v>
      </c>
      <c r="P1490" s="198">
        <f>'02 项目基础信息（输入）'!$I$54</f>
        <v>0</v>
      </c>
      <c r="Q1490" s="233">
        <f t="shared" si="173"/>
        <v>0</v>
      </c>
      <c r="S1490" s="217"/>
      <c r="U1490" s="220" t="s">
        <v>3279</v>
      </c>
    </row>
    <row r="1491" spans="1:21" ht="0" hidden="1" customHeight="1" outlineLevel="2">
      <c r="A1491" s="192" t="s">
        <v>1781</v>
      </c>
      <c r="B1491" s="192"/>
      <c r="C1491" s="197" t="s">
        <v>1609</v>
      </c>
      <c r="D1491" s="198">
        <f>'02 项目基础信息（输入）'!$C$54</f>
        <v>0</v>
      </c>
      <c r="E1491" s="199" t="s">
        <v>93</v>
      </c>
      <c r="F1491" s="197"/>
      <c r="G1491" s="199"/>
      <c r="H1491" s="199"/>
      <c r="I1491" s="197"/>
      <c r="J1491" s="199"/>
      <c r="K1491" s="198"/>
      <c r="L1491" s="209"/>
      <c r="M1491" s="198">
        <f>ROUND(SUM(M1492:M1496),6)</f>
        <v>0</v>
      </c>
      <c r="N1491" s="198">
        <f>'02 项目基础信息（输入）'!$C$54</f>
        <v>0</v>
      </c>
      <c r="O1491" s="198">
        <f t="shared" si="172"/>
        <v>0</v>
      </c>
      <c r="P1491" s="198">
        <f>'02 项目基础信息（输入）'!$I$54</f>
        <v>0</v>
      </c>
      <c r="Q1491" s="233">
        <f t="shared" si="173"/>
        <v>0</v>
      </c>
      <c r="S1491" s="217" t="s">
        <v>1314</v>
      </c>
      <c r="U1491" s="220" t="s">
        <v>3280</v>
      </c>
    </row>
    <row r="1492" spans="1:21" ht="0" hidden="1" customHeight="1" outlineLevel="3">
      <c r="A1492" s="192" t="s">
        <v>2066</v>
      </c>
      <c r="B1492" s="192"/>
      <c r="C1492" s="197" t="s">
        <v>309</v>
      </c>
      <c r="D1492" s="198">
        <f>'02 项目基础信息（输入）'!$AC$54</f>
        <v>0</v>
      </c>
      <c r="E1492" s="199" t="s">
        <v>310</v>
      </c>
      <c r="F1492" s="197" t="s">
        <v>2067</v>
      </c>
      <c r="G1492" s="199">
        <v>1</v>
      </c>
      <c r="H1492" s="199" t="s">
        <v>2067</v>
      </c>
      <c r="I1492" s="198">
        <f>G1492*D1492</f>
        <v>0</v>
      </c>
      <c r="J1492" s="199" t="s">
        <v>1946</v>
      </c>
      <c r="K1492" s="188">
        <v>0</v>
      </c>
      <c r="L1492" s="209" t="s">
        <v>1948</v>
      </c>
      <c r="M1492" s="207">
        <f>ROUND(K1492*I1492/10000,6)</f>
        <v>0</v>
      </c>
      <c r="N1492" s="198">
        <f>'02 项目基础信息（输入）'!$C$54</f>
        <v>0</v>
      </c>
      <c r="O1492" s="198">
        <f t="shared" si="172"/>
        <v>0</v>
      </c>
      <c r="P1492" s="198">
        <f>'02 项目基础信息（输入）'!$I$54</f>
        <v>0</v>
      </c>
      <c r="Q1492" s="233">
        <f t="shared" si="173"/>
        <v>0</v>
      </c>
      <c r="S1492" s="217"/>
      <c r="U1492" s="220" t="s">
        <v>3281</v>
      </c>
    </row>
    <row r="1493" spans="1:21" ht="0" hidden="1" customHeight="1" outlineLevel="3">
      <c r="A1493" s="192" t="s">
        <v>2069</v>
      </c>
      <c r="B1493" s="192"/>
      <c r="C1493" s="197" t="s">
        <v>309</v>
      </c>
      <c r="D1493" s="198">
        <f>'02 项目基础信息（输入）'!$AC$54</f>
        <v>0</v>
      </c>
      <c r="E1493" s="199" t="s">
        <v>310</v>
      </c>
      <c r="F1493" s="197" t="s">
        <v>2067</v>
      </c>
      <c r="G1493" s="199">
        <v>1</v>
      </c>
      <c r="H1493" s="199" t="s">
        <v>2067</v>
      </c>
      <c r="I1493" s="198">
        <f>G1493*D1493</f>
        <v>0</v>
      </c>
      <c r="J1493" s="199" t="s">
        <v>1946</v>
      </c>
      <c r="K1493" s="188">
        <v>0</v>
      </c>
      <c r="L1493" s="209" t="s">
        <v>1948</v>
      </c>
      <c r="M1493" s="207">
        <f>ROUND(K1493*I1493/10000,6)</f>
        <v>0</v>
      </c>
      <c r="N1493" s="198">
        <f>'02 项目基础信息（输入）'!$C$54</f>
        <v>0</v>
      </c>
      <c r="O1493" s="198">
        <f t="shared" si="172"/>
        <v>0</v>
      </c>
      <c r="P1493" s="198">
        <f>'02 项目基础信息（输入）'!$I$54</f>
        <v>0</v>
      </c>
      <c r="Q1493" s="233">
        <f t="shared" si="173"/>
        <v>0</v>
      </c>
      <c r="S1493" s="217"/>
      <c r="U1493" s="220" t="s">
        <v>3282</v>
      </c>
    </row>
    <row r="1494" spans="1:21" ht="0" hidden="1" customHeight="1" outlineLevel="3">
      <c r="A1494" s="192" t="s">
        <v>2071</v>
      </c>
      <c r="B1494" s="192"/>
      <c r="C1494" s="197" t="s">
        <v>309</v>
      </c>
      <c r="D1494" s="198">
        <f>'02 项目基础信息（输入）'!$AC$54</f>
        <v>0</v>
      </c>
      <c r="E1494" s="199" t="s">
        <v>310</v>
      </c>
      <c r="F1494" s="197" t="s">
        <v>2067</v>
      </c>
      <c r="G1494" s="199">
        <v>1</v>
      </c>
      <c r="H1494" s="199" t="s">
        <v>2067</v>
      </c>
      <c r="I1494" s="198">
        <f>G1494*D1494</f>
        <v>0</v>
      </c>
      <c r="J1494" s="199" t="s">
        <v>1946</v>
      </c>
      <c r="K1494" s="188">
        <v>0</v>
      </c>
      <c r="L1494" s="209" t="s">
        <v>1948</v>
      </c>
      <c r="M1494" s="207">
        <f>ROUND(K1494*I1494/10000,6)</f>
        <v>0</v>
      </c>
      <c r="N1494" s="198">
        <f>'02 项目基础信息（输入）'!$C$54</f>
        <v>0</v>
      </c>
      <c r="O1494" s="198">
        <f t="shared" si="172"/>
        <v>0</v>
      </c>
      <c r="P1494" s="198">
        <f>'02 项目基础信息（输入）'!$I$54</f>
        <v>0</v>
      </c>
      <c r="Q1494" s="233">
        <f t="shared" si="173"/>
        <v>0</v>
      </c>
      <c r="S1494" s="217"/>
      <c r="U1494" s="220" t="s">
        <v>3283</v>
      </c>
    </row>
    <row r="1495" spans="1:21" ht="0" hidden="1" customHeight="1" outlineLevel="3">
      <c r="A1495" s="192" t="s">
        <v>2073</v>
      </c>
      <c r="B1495" s="192"/>
      <c r="C1495" s="197" t="s">
        <v>309</v>
      </c>
      <c r="D1495" s="198">
        <f>'02 项目基础信息（输入）'!$AC$54</f>
        <v>0</v>
      </c>
      <c r="E1495" s="199" t="s">
        <v>310</v>
      </c>
      <c r="F1495" s="197" t="s">
        <v>2067</v>
      </c>
      <c r="G1495" s="199">
        <v>1</v>
      </c>
      <c r="H1495" s="199" t="s">
        <v>1946</v>
      </c>
      <c r="I1495" s="198">
        <f>G1495*D1495</f>
        <v>0</v>
      </c>
      <c r="J1495" s="199" t="s">
        <v>1946</v>
      </c>
      <c r="K1495" s="188">
        <v>0</v>
      </c>
      <c r="L1495" s="209" t="s">
        <v>1948</v>
      </c>
      <c r="M1495" s="207">
        <f>ROUND(K1495*I1495/10000,6)</f>
        <v>0</v>
      </c>
      <c r="N1495" s="198">
        <f>'02 项目基础信息（输入）'!$C$54</f>
        <v>0</v>
      </c>
      <c r="O1495" s="198">
        <f t="shared" si="172"/>
        <v>0</v>
      </c>
      <c r="P1495" s="198">
        <f>'02 项目基础信息（输入）'!$I$54</f>
        <v>0</v>
      </c>
      <c r="Q1495" s="233">
        <f t="shared" si="173"/>
        <v>0</v>
      </c>
      <c r="S1495" s="217"/>
      <c r="U1495" s="220" t="s">
        <v>3284</v>
      </c>
    </row>
    <row r="1496" spans="1:21" ht="0" hidden="1" customHeight="1" outlineLevel="3">
      <c r="A1496" s="192" t="s">
        <v>1783</v>
      </c>
      <c r="B1496" s="192"/>
      <c r="C1496" s="197" t="s">
        <v>309</v>
      </c>
      <c r="D1496" s="198">
        <f>'02 项目基础信息（输入）'!$AC$54</f>
        <v>0</v>
      </c>
      <c r="E1496" s="199" t="s">
        <v>310</v>
      </c>
      <c r="F1496" s="197" t="s">
        <v>1784</v>
      </c>
      <c r="G1496" s="199">
        <v>1</v>
      </c>
      <c r="H1496" s="199" t="s">
        <v>1784</v>
      </c>
      <c r="I1496" s="198">
        <f>G1496*D1496</f>
        <v>0</v>
      </c>
      <c r="J1496" s="199" t="s">
        <v>1600</v>
      </c>
      <c r="K1496" s="188">
        <v>0</v>
      </c>
      <c r="L1496" s="209" t="s">
        <v>1601</v>
      </c>
      <c r="M1496" s="207">
        <f>ROUND(K1496*I1496/10000,6)</f>
        <v>0</v>
      </c>
      <c r="N1496" s="198">
        <f>'02 项目基础信息（输入）'!$C$54</f>
        <v>0</v>
      </c>
      <c r="O1496" s="198">
        <f t="shared" si="172"/>
        <v>0</v>
      </c>
      <c r="P1496" s="198">
        <f>'02 项目基础信息（输入）'!$I$54</f>
        <v>0</v>
      </c>
      <c r="Q1496" s="233">
        <f t="shared" si="173"/>
        <v>0</v>
      </c>
      <c r="S1496" s="217"/>
      <c r="U1496" s="220" t="s">
        <v>3285</v>
      </c>
    </row>
    <row r="1497" spans="1:21" ht="0" hidden="1" customHeight="1" outlineLevel="2">
      <c r="A1497" s="192" t="s">
        <v>1786</v>
      </c>
      <c r="B1497" s="192"/>
      <c r="C1497" s="197" t="s">
        <v>1609</v>
      </c>
      <c r="D1497" s="198">
        <f>'02 项目基础信息（输入）'!$C$54</f>
        <v>0</v>
      </c>
      <c r="E1497" s="199" t="s">
        <v>93</v>
      </c>
      <c r="F1497" s="197"/>
      <c r="G1497" s="199"/>
      <c r="H1497" s="199"/>
      <c r="I1497" s="197"/>
      <c r="J1497" s="199"/>
      <c r="K1497" s="198"/>
      <c r="L1497" s="209"/>
      <c r="M1497" s="198">
        <f>ROUND(SUM(M1498:M1502),6)</f>
        <v>0</v>
      </c>
      <c r="N1497" s="198">
        <f>'02 项目基础信息（输入）'!$C$54</f>
        <v>0</v>
      </c>
      <c r="O1497" s="198">
        <f t="shared" si="172"/>
        <v>0</v>
      </c>
      <c r="P1497" s="198">
        <f>'02 项目基础信息（输入）'!$I$54</f>
        <v>0</v>
      </c>
      <c r="Q1497" s="233">
        <f t="shared" si="173"/>
        <v>0</v>
      </c>
      <c r="S1497" s="217" t="s">
        <v>1314</v>
      </c>
      <c r="U1497" s="220" t="s">
        <v>3286</v>
      </c>
    </row>
    <row r="1498" spans="1:21" ht="0" hidden="1" customHeight="1" outlineLevel="3">
      <c r="A1498" s="192" t="s">
        <v>2077</v>
      </c>
      <c r="B1498" s="192"/>
      <c r="C1498" s="197" t="s">
        <v>1609</v>
      </c>
      <c r="D1498" s="198">
        <f>'02 项目基础信息（输入）'!$C$54</f>
        <v>0</v>
      </c>
      <c r="E1498" s="199" t="s">
        <v>93</v>
      </c>
      <c r="F1498" s="197" t="s">
        <v>754</v>
      </c>
      <c r="G1498" s="82">
        <v>0</v>
      </c>
      <c r="H1498" s="199" t="s">
        <v>298</v>
      </c>
      <c r="I1498" s="198">
        <f>G1498*D1498</f>
        <v>0</v>
      </c>
      <c r="J1498" s="199" t="s">
        <v>93</v>
      </c>
      <c r="K1498" s="188">
        <v>0</v>
      </c>
      <c r="L1498" s="209" t="s">
        <v>675</v>
      </c>
      <c r="M1498" s="207">
        <f>ROUND(K1498*I1498/10000,6)</f>
        <v>0</v>
      </c>
      <c r="N1498" s="198">
        <f>'02 项目基础信息（输入）'!$C$54</f>
        <v>0</v>
      </c>
      <c r="O1498" s="198">
        <f t="shared" si="172"/>
        <v>0</v>
      </c>
      <c r="P1498" s="198">
        <f>'02 项目基础信息（输入）'!$I$54</f>
        <v>0</v>
      </c>
      <c r="Q1498" s="233">
        <f t="shared" si="173"/>
        <v>0</v>
      </c>
      <c r="S1498" s="217"/>
      <c r="U1498" s="220" t="s">
        <v>3287</v>
      </c>
    </row>
    <row r="1499" spans="1:21" ht="0" hidden="1" customHeight="1" outlineLevel="3">
      <c r="A1499" s="192" t="s">
        <v>2079</v>
      </c>
      <c r="B1499" s="192"/>
      <c r="C1499" s="197" t="s">
        <v>1609</v>
      </c>
      <c r="D1499" s="198">
        <f>'02 项目基础信息（输入）'!$C$54</f>
        <v>0</v>
      </c>
      <c r="E1499" s="199" t="s">
        <v>93</v>
      </c>
      <c r="F1499" s="197" t="s">
        <v>754</v>
      </c>
      <c r="G1499" s="82">
        <v>0</v>
      </c>
      <c r="H1499" s="199" t="s">
        <v>298</v>
      </c>
      <c r="I1499" s="198">
        <f>G1499*D1499</f>
        <v>0</v>
      </c>
      <c r="J1499" s="199" t="s">
        <v>93</v>
      </c>
      <c r="K1499" s="188">
        <v>0</v>
      </c>
      <c r="L1499" s="209" t="s">
        <v>675</v>
      </c>
      <c r="M1499" s="207">
        <f>ROUND(K1499*I1499/10000,6)</f>
        <v>0</v>
      </c>
      <c r="N1499" s="198">
        <f>'02 项目基础信息（输入）'!$C$54</f>
        <v>0</v>
      </c>
      <c r="O1499" s="198">
        <f t="shared" si="172"/>
        <v>0</v>
      </c>
      <c r="P1499" s="198">
        <f>'02 项目基础信息（输入）'!$I$54</f>
        <v>0</v>
      </c>
      <c r="Q1499" s="233">
        <f t="shared" si="173"/>
        <v>0</v>
      </c>
      <c r="S1499" s="217"/>
      <c r="U1499" s="220" t="s">
        <v>3288</v>
      </c>
    </row>
    <row r="1500" spans="1:21" ht="0" hidden="1" customHeight="1" outlineLevel="3">
      <c r="A1500" s="192" t="s">
        <v>2081</v>
      </c>
      <c r="B1500" s="192"/>
      <c r="C1500" s="197" t="s">
        <v>1609</v>
      </c>
      <c r="D1500" s="198">
        <f>'02 项目基础信息（输入）'!$C$54</f>
        <v>0</v>
      </c>
      <c r="E1500" s="199" t="s">
        <v>93</v>
      </c>
      <c r="F1500" s="197" t="s">
        <v>754</v>
      </c>
      <c r="G1500" s="82">
        <v>0</v>
      </c>
      <c r="H1500" s="199" t="s">
        <v>298</v>
      </c>
      <c r="I1500" s="198">
        <f>G1500*D1500</f>
        <v>0</v>
      </c>
      <c r="J1500" s="199" t="s">
        <v>93</v>
      </c>
      <c r="K1500" s="188">
        <v>0</v>
      </c>
      <c r="L1500" s="209" t="s">
        <v>675</v>
      </c>
      <c r="M1500" s="207">
        <f>ROUND(K1500*I1500/10000,6)</f>
        <v>0</v>
      </c>
      <c r="N1500" s="198">
        <f>'02 项目基础信息（输入）'!$C$54</f>
        <v>0</v>
      </c>
      <c r="O1500" s="198">
        <f t="shared" si="172"/>
        <v>0</v>
      </c>
      <c r="P1500" s="198">
        <f>'02 项目基础信息（输入）'!$I$54</f>
        <v>0</v>
      </c>
      <c r="Q1500" s="233">
        <f t="shared" si="173"/>
        <v>0</v>
      </c>
      <c r="S1500" s="217"/>
      <c r="U1500" s="220" t="s">
        <v>3289</v>
      </c>
    </row>
    <row r="1501" spans="1:21" ht="0" hidden="1" customHeight="1" outlineLevel="3">
      <c r="A1501" s="192" t="s">
        <v>2083</v>
      </c>
      <c r="B1501" s="192"/>
      <c r="C1501" s="197" t="s">
        <v>1609</v>
      </c>
      <c r="D1501" s="198">
        <f>'02 项目基础信息（输入）'!$C$54</f>
        <v>0</v>
      </c>
      <c r="E1501" s="199" t="s">
        <v>93</v>
      </c>
      <c r="F1501" s="197" t="s">
        <v>2084</v>
      </c>
      <c r="G1501" s="82">
        <v>0</v>
      </c>
      <c r="H1501" s="199" t="s">
        <v>298</v>
      </c>
      <c r="I1501" s="198">
        <f>G1501*D1501</f>
        <v>0</v>
      </c>
      <c r="J1501" s="199" t="s">
        <v>93</v>
      </c>
      <c r="K1501" s="188">
        <v>0</v>
      </c>
      <c r="L1501" s="209" t="s">
        <v>675</v>
      </c>
      <c r="M1501" s="207">
        <f>ROUND(K1501*I1501/10000,6)</f>
        <v>0</v>
      </c>
      <c r="N1501" s="198">
        <f>'02 项目基础信息（输入）'!$C$54</f>
        <v>0</v>
      </c>
      <c r="O1501" s="198">
        <f t="shared" si="172"/>
        <v>0</v>
      </c>
      <c r="P1501" s="198">
        <f>'02 项目基础信息（输入）'!$I$54</f>
        <v>0</v>
      </c>
      <c r="Q1501" s="233">
        <f t="shared" si="173"/>
        <v>0</v>
      </c>
      <c r="S1501" s="217"/>
      <c r="U1501" s="220" t="s">
        <v>3290</v>
      </c>
    </row>
    <row r="1502" spans="1:21" ht="0" hidden="1" customHeight="1" outlineLevel="3">
      <c r="A1502" s="192" t="s">
        <v>1788</v>
      </c>
      <c r="B1502" s="192"/>
      <c r="C1502" s="197" t="s">
        <v>1609</v>
      </c>
      <c r="D1502" s="198">
        <f>'02 项目基础信息（输入）'!$C$54</f>
        <v>0</v>
      </c>
      <c r="E1502" s="199" t="s">
        <v>93</v>
      </c>
      <c r="F1502" s="197" t="s">
        <v>1609</v>
      </c>
      <c r="G1502" s="199">
        <v>1</v>
      </c>
      <c r="H1502" s="199" t="s">
        <v>298</v>
      </c>
      <c r="I1502" s="198">
        <f>G1502*D1502</f>
        <v>0</v>
      </c>
      <c r="J1502" s="199" t="s">
        <v>93</v>
      </c>
      <c r="K1502" s="188">
        <v>0</v>
      </c>
      <c r="L1502" s="209" t="s">
        <v>675</v>
      </c>
      <c r="M1502" s="207">
        <f>ROUND(K1502*I1502/10000,6)</f>
        <v>0</v>
      </c>
      <c r="N1502" s="198">
        <f>'02 项目基础信息（输入）'!$C$54</f>
        <v>0</v>
      </c>
      <c r="O1502" s="198">
        <f t="shared" si="172"/>
        <v>0</v>
      </c>
      <c r="P1502" s="198">
        <f>'02 项目基础信息（输入）'!$I$54</f>
        <v>0</v>
      </c>
      <c r="Q1502" s="233">
        <f t="shared" si="173"/>
        <v>0</v>
      </c>
      <c r="S1502" s="217"/>
      <c r="U1502" s="220" t="s">
        <v>3291</v>
      </c>
    </row>
    <row r="1503" spans="1:21" ht="0" hidden="1" customHeight="1" outlineLevel="2">
      <c r="A1503" s="192" t="s">
        <v>1790</v>
      </c>
      <c r="B1503" s="192"/>
      <c r="C1503" s="197" t="s">
        <v>1609</v>
      </c>
      <c r="D1503" s="198">
        <f>'02 项目基础信息（输入）'!$C$54</f>
        <v>0</v>
      </c>
      <c r="E1503" s="199" t="s">
        <v>93</v>
      </c>
      <c r="F1503" s="197"/>
      <c r="G1503" s="199"/>
      <c r="H1503" s="199"/>
      <c r="I1503" s="197"/>
      <c r="J1503" s="199"/>
      <c r="K1503" s="198"/>
      <c r="L1503" s="209"/>
      <c r="M1503" s="198">
        <f>ROUND(SUM(M1504:M1507),6)</f>
        <v>0</v>
      </c>
      <c r="N1503" s="198">
        <f>'02 项目基础信息（输入）'!$C$54</f>
        <v>0</v>
      </c>
      <c r="O1503" s="198">
        <f t="shared" si="172"/>
        <v>0</v>
      </c>
      <c r="P1503" s="198">
        <f>'02 项目基础信息（输入）'!$I$54</f>
        <v>0</v>
      </c>
      <c r="Q1503" s="233">
        <f t="shared" si="173"/>
        <v>0</v>
      </c>
      <c r="S1503" s="217" t="s">
        <v>1313</v>
      </c>
      <c r="U1503" s="220" t="s">
        <v>3292</v>
      </c>
    </row>
    <row r="1504" spans="1:21" ht="0" hidden="1" customHeight="1" outlineLevel="3">
      <c r="A1504" s="192" t="s">
        <v>1792</v>
      </c>
      <c r="B1504" s="192"/>
      <c r="C1504" s="197" t="s">
        <v>1609</v>
      </c>
      <c r="D1504" s="198">
        <f>'02 项目基础信息（输入）'!$C$54</f>
        <v>0</v>
      </c>
      <c r="E1504" s="199" t="s">
        <v>93</v>
      </c>
      <c r="F1504" s="197" t="s">
        <v>727</v>
      </c>
      <c r="G1504" s="82">
        <v>0</v>
      </c>
      <c r="H1504" s="199" t="s">
        <v>298</v>
      </c>
      <c r="I1504" s="198">
        <f>G1504*D1504</f>
        <v>0</v>
      </c>
      <c r="J1504" s="199" t="s">
        <v>93</v>
      </c>
      <c r="K1504" s="188">
        <v>0</v>
      </c>
      <c r="L1504" s="209" t="s">
        <v>675</v>
      </c>
      <c r="M1504" s="207">
        <f>ROUND(K1504*I1504/10000,6)</f>
        <v>0</v>
      </c>
      <c r="N1504" s="198">
        <f>'02 项目基础信息（输入）'!$C$54</f>
        <v>0</v>
      </c>
      <c r="O1504" s="198">
        <f t="shared" si="172"/>
        <v>0</v>
      </c>
      <c r="P1504" s="198">
        <f>'02 项目基础信息（输入）'!$I$54</f>
        <v>0</v>
      </c>
      <c r="Q1504" s="233">
        <f t="shared" si="173"/>
        <v>0</v>
      </c>
      <c r="S1504" s="217"/>
      <c r="U1504" s="220" t="s">
        <v>3293</v>
      </c>
    </row>
    <row r="1505" spans="1:21" ht="0" hidden="1" customHeight="1" outlineLevel="3">
      <c r="A1505" s="192" t="s">
        <v>1794</v>
      </c>
      <c r="B1505" s="192"/>
      <c r="C1505" s="197" t="s">
        <v>1609</v>
      </c>
      <c r="D1505" s="198">
        <f>'02 项目基础信息（输入）'!$C$54</f>
        <v>0</v>
      </c>
      <c r="E1505" s="199" t="s">
        <v>93</v>
      </c>
      <c r="F1505" s="197" t="s">
        <v>727</v>
      </c>
      <c r="G1505" s="82">
        <v>0</v>
      </c>
      <c r="H1505" s="199" t="s">
        <v>298</v>
      </c>
      <c r="I1505" s="198">
        <f>G1505*D1505</f>
        <v>0</v>
      </c>
      <c r="J1505" s="199" t="s">
        <v>93</v>
      </c>
      <c r="K1505" s="188">
        <v>0</v>
      </c>
      <c r="L1505" s="209" t="s">
        <v>675</v>
      </c>
      <c r="M1505" s="207">
        <f>ROUND(K1505*I1505/10000,6)</f>
        <v>0</v>
      </c>
      <c r="N1505" s="198">
        <f>'02 项目基础信息（输入）'!$C$54</f>
        <v>0</v>
      </c>
      <c r="O1505" s="198">
        <f t="shared" si="172"/>
        <v>0</v>
      </c>
      <c r="P1505" s="198">
        <f>'02 项目基础信息（输入）'!$I$54</f>
        <v>0</v>
      </c>
      <c r="Q1505" s="233">
        <f t="shared" si="173"/>
        <v>0</v>
      </c>
      <c r="S1505" s="217"/>
      <c r="U1505" s="220" t="s">
        <v>3294</v>
      </c>
    </row>
    <row r="1506" spans="1:21" ht="0" hidden="1" customHeight="1" outlineLevel="3">
      <c r="A1506" s="192" t="s">
        <v>1796</v>
      </c>
      <c r="B1506" s="192"/>
      <c r="C1506" s="197" t="s">
        <v>1609</v>
      </c>
      <c r="D1506" s="198">
        <f>'02 项目基础信息（输入）'!$C$54</f>
        <v>0</v>
      </c>
      <c r="E1506" s="199" t="s">
        <v>93</v>
      </c>
      <c r="F1506" s="197" t="s">
        <v>727</v>
      </c>
      <c r="G1506" s="82">
        <v>0</v>
      </c>
      <c r="H1506" s="199" t="s">
        <v>298</v>
      </c>
      <c r="I1506" s="198">
        <f>G1506*D1506</f>
        <v>0</v>
      </c>
      <c r="J1506" s="199" t="s">
        <v>93</v>
      </c>
      <c r="K1506" s="188">
        <v>0</v>
      </c>
      <c r="L1506" s="209" t="s">
        <v>675</v>
      </c>
      <c r="M1506" s="207">
        <f>ROUND(K1506*I1506/10000,6)</f>
        <v>0</v>
      </c>
      <c r="N1506" s="198">
        <f>'02 项目基础信息（输入）'!$C$54</f>
        <v>0</v>
      </c>
      <c r="O1506" s="198">
        <f t="shared" si="172"/>
        <v>0</v>
      </c>
      <c r="P1506" s="198">
        <f>'02 项目基础信息（输入）'!$I$54</f>
        <v>0</v>
      </c>
      <c r="Q1506" s="233">
        <f t="shared" si="173"/>
        <v>0</v>
      </c>
      <c r="S1506" s="217"/>
      <c r="U1506" s="220" t="s">
        <v>3295</v>
      </c>
    </row>
    <row r="1507" spans="1:21" ht="0" hidden="1" customHeight="1" outlineLevel="3">
      <c r="A1507" s="192" t="s">
        <v>1798</v>
      </c>
      <c r="B1507" s="192"/>
      <c r="C1507" s="197" t="s">
        <v>1609</v>
      </c>
      <c r="D1507" s="198">
        <f>'02 项目基础信息（输入）'!$C$54</f>
        <v>0</v>
      </c>
      <c r="E1507" s="199" t="s">
        <v>93</v>
      </c>
      <c r="F1507" s="197" t="s">
        <v>727</v>
      </c>
      <c r="G1507" s="82">
        <v>0</v>
      </c>
      <c r="H1507" s="199" t="s">
        <v>298</v>
      </c>
      <c r="I1507" s="198">
        <f>G1507*D1507</f>
        <v>0</v>
      </c>
      <c r="J1507" s="199" t="s">
        <v>93</v>
      </c>
      <c r="K1507" s="188">
        <v>0</v>
      </c>
      <c r="L1507" s="209" t="s">
        <v>675</v>
      </c>
      <c r="M1507" s="207">
        <f>ROUND(K1507*I1507/10000,6)</f>
        <v>0</v>
      </c>
      <c r="N1507" s="198">
        <f>'02 项目基础信息（输入）'!$C$54</f>
        <v>0</v>
      </c>
      <c r="O1507" s="198">
        <f t="shared" si="172"/>
        <v>0</v>
      </c>
      <c r="P1507" s="198">
        <f>'02 项目基础信息（输入）'!$I$54</f>
        <v>0</v>
      </c>
      <c r="Q1507" s="233">
        <f t="shared" si="173"/>
        <v>0</v>
      </c>
      <c r="S1507" s="217"/>
      <c r="U1507" s="220" t="s">
        <v>3296</v>
      </c>
    </row>
    <row r="1508" spans="1:21" ht="0" hidden="1" customHeight="1" outlineLevel="2">
      <c r="A1508" s="192" t="s">
        <v>1800</v>
      </c>
      <c r="B1508" s="192"/>
      <c r="C1508" s="197" t="s">
        <v>1609</v>
      </c>
      <c r="D1508" s="198">
        <f>'02 项目基础信息（输入）'!$C$54</f>
        <v>0</v>
      </c>
      <c r="E1508" s="199" t="s">
        <v>93</v>
      </c>
      <c r="F1508" s="197"/>
      <c r="G1508" s="199"/>
      <c r="H1508" s="199"/>
      <c r="I1508" s="197"/>
      <c r="J1508" s="199"/>
      <c r="K1508" s="198"/>
      <c r="L1508" s="209"/>
      <c r="M1508" s="198">
        <f>ROUND(SUM(M1509:M1524),6)</f>
        <v>0</v>
      </c>
      <c r="N1508" s="198">
        <f>'02 项目基础信息（输入）'!$C$54</f>
        <v>0</v>
      </c>
      <c r="O1508" s="198">
        <f t="shared" si="172"/>
        <v>0</v>
      </c>
      <c r="P1508" s="198">
        <f>'02 项目基础信息（输入）'!$I$54</f>
        <v>0</v>
      </c>
      <c r="Q1508" s="233">
        <f t="shared" si="173"/>
        <v>0</v>
      </c>
      <c r="S1508" s="217" t="s">
        <v>1314</v>
      </c>
      <c r="U1508" s="220" t="s">
        <v>3297</v>
      </c>
    </row>
    <row r="1509" spans="1:21" ht="0" hidden="1" customHeight="1" outlineLevel="3">
      <c r="A1509" s="192" t="s">
        <v>1802</v>
      </c>
      <c r="B1509" s="192"/>
      <c r="C1509" s="197" t="s">
        <v>476</v>
      </c>
      <c r="D1509" s="198">
        <f>'02 项目基础信息（输入）'!$AF$54</f>
        <v>0</v>
      </c>
      <c r="E1509" s="199" t="s">
        <v>93</v>
      </c>
      <c r="F1509" s="197" t="s">
        <v>1803</v>
      </c>
      <c r="G1509" s="237">
        <v>0</v>
      </c>
      <c r="H1509" s="199" t="s">
        <v>123</v>
      </c>
      <c r="I1509" s="198">
        <f t="shared" ref="I1509:I1522" si="176">G1509*D1509/100</f>
        <v>0</v>
      </c>
      <c r="J1509" s="199" t="s">
        <v>93</v>
      </c>
      <c r="K1509" s="188">
        <v>0</v>
      </c>
      <c r="L1509" s="209" t="s">
        <v>675</v>
      </c>
      <c r="M1509" s="207">
        <f t="shared" ref="M1509:M1524" si="177">ROUND(K1509*I1509/10000,6)</f>
        <v>0</v>
      </c>
      <c r="N1509" s="198">
        <f>'02 项目基础信息（输入）'!$C$54</f>
        <v>0</v>
      </c>
      <c r="O1509" s="198">
        <f t="shared" si="172"/>
        <v>0</v>
      </c>
      <c r="P1509" s="198">
        <f>'02 项目基础信息（输入）'!$I$54</f>
        <v>0</v>
      </c>
      <c r="Q1509" s="233">
        <f t="shared" si="173"/>
        <v>0</v>
      </c>
      <c r="S1509" s="217"/>
      <c r="U1509" s="220" t="s">
        <v>3298</v>
      </c>
    </row>
    <row r="1510" spans="1:21" ht="0" hidden="1" customHeight="1" outlineLevel="3">
      <c r="A1510" s="192" t="s">
        <v>1805</v>
      </c>
      <c r="B1510" s="192"/>
      <c r="C1510" s="197" t="s">
        <v>476</v>
      </c>
      <c r="D1510" s="198">
        <f>'02 项目基础信息（输入）'!$AF$54</f>
        <v>0</v>
      </c>
      <c r="E1510" s="199" t="s">
        <v>93</v>
      </c>
      <c r="F1510" s="197" t="s">
        <v>1803</v>
      </c>
      <c r="G1510" s="237">
        <v>0</v>
      </c>
      <c r="H1510" s="199" t="s">
        <v>123</v>
      </c>
      <c r="I1510" s="198">
        <f t="shared" si="176"/>
        <v>0</v>
      </c>
      <c r="J1510" s="199" t="s">
        <v>93</v>
      </c>
      <c r="K1510" s="188">
        <v>0</v>
      </c>
      <c r="L1510" s="209" t="s">
        <v>675</v>
      </c>
      <c r="M1510" s="207">
        <f t="shared" si="177"/>
        <v>0</v>
      </c>
      <c r="N1510" s="198">
        <f>'02 项目基础信息（输入）'!$C$54</f>
        <v>0</v>
      </c>
      <c r="O1510" s="198">
        <f t="shared" si="172"/>
        <v>0</v>
      </c>
      <c r="P1510" s="198">
        <f>'02 项目基础信息（输入）'!$I$54</f>
        <v>0</v>
      </c>
      <c r="Q1510" s="233">
        <f t="shared" si="173"/>
        <v>0</v>
      </c>
      <c r="S1510" s="217"/>
      <c r="U1510" s="220" t="s">
        <v>3299</v>
      </c>
    </row>
    <row r="1511" spans="1:21" ht="0" hidden="1" customHeight="1" outlineLevel="3">
      <c r="A1511" s="192" t="s">
        <v>1807</v>
      </c>
      <c r="B1511" s="192"/>
      <c r="C1511" s="197" t="s">
        <v>476</v>
      </c>
      <c r="D1511" s="198">
        <f>'02 项目基础信息（输入）'!$AF$54</f>
        <v>0</v>
      </c>
      <c r="E1511" s="199" t="s">
        <v>93</v>
      </c>
      <c r="F1511" s="197" t="s">
        <v>1803</v>
      </c>
      <c r="G1511" s="237">
        <v>0</v>
      </c>
      <c r="H1511" s="199" t="s">
        <v>123</v>
      </c>
      <c r="I1511" s="198">
        <f t="shared" si="176"/>
        <v>0</v>
      </c>
      <c r="J1511" s="199" t="s">
        <v>93</v>
      </c>
      <c r="K1511" s="188">
        <v>0</v>
      </c>
      <c r="L1511" s="209" t="s">
        <v>675</v>
      </c>
      <c r="M1511" s="207">
        <f t="shared" si="177"/>
        <v>0</v>
      </c>
      <c r="N1511" s="198">
        <f>'02 项目基础信息（输入）'!$C$54</f>
        <v>0</v>
      </c>
      <c r="O1511" s="198">
        <f t="shared" si="172"/>
        <v>0</v>
      </c>
      <c r="P1511" s="198">
        <f>'02 项目基础信息（输入）'!$I$54</f>
        <v>0</v>
      </c>
      <c r="Q1511" s="233">
        <f t="shared" si="173"/>
        <v>0</v>
      </c>
      <c r="S1511" s="217"/>
      <c r="U1511" s="220" t="s">
        <v>3300</v>
      </c>
    </row>
    <row r="1512" spans="1:21" ht="0" hidden="1" customHeight="1" outlineLevel="3">
      <c r="A1512" s="192" t="s">
        <v>1809</v>
      </c>
      <c r="B1512" s="192"/>
      <c r="C1512" s="197" t="s">
        <v>476</v>
      </c>
      <c r="D1512" s="198">
        <f>'02 项目基础信息（输入）'!$AF$54</f>
        <v>0</v>
      </c>
      <c r="E1512" s="199" t="s">
        <v>93</v>
      </c>
      <c r="F1512" s="197" t="s">
        <v>1803</v>
      </c>
      <c r="G1512" s="237">
        <v>0</v>
      </c>
      <c r="H1512" s="199" t="s">
        <v>123</v>
      </c>
      <c r="I1512" s="198">
        <f t="shared" si="176"/>
        <v>0</v>
      </c>
      <c r="J1512" s="199" t="s">
        <v>93</v>
      </c>
      <c r="K1512" s="188">
        <v>0</v>
      </c>
      <c r="L1512" s="209" t="s">
        <v>675</v>
      </c>
      <c r="M1512" s="207">
        <f t="shared" si="177"/>
        <v>0</v>
      </c>
      <c r="N1512" s="198">
        <f>'02 项目基础信息（输入）'!$C$54</f>
        <v>0</v>
      </c>
      <c r="O1512" s="198">
        <f t="shared" si="172"/>
        <v>0</v>
      </c>
      <c r="P1512" s="198">
        <f>'02 项目基础信息（输入）'!$I$54</f>
        <v>0</v>
      </c>
      <c r="Q1512" s="233">
        <f t="shared" si="173"/>
        <v>0</v>
      </c>
      <c r="S1512" s="217"/>
      <c r="U1512" s="220" t="s">
        <v>3301</v>
      </c>
    </row>
    <row r="1513" spans="1:21" ht="0" hidden="1" customHeight="1" outlineLevel="3">
      <c r="A1513" s="192" t="s">
        <v>1811</v>
      </c>
      <c r="B1513" s="192"/>
      <c r="C1513" s="197" t="s">
        <v>476</v>
      </c>
      <c r="D1513" s="198">
        <f>'02 项目基础信息（输入）'!$AF$54</f>
        <v>0</v>
      </c>
      <c r="E1513" s="199" t="s">
        <v>93</v>
      </c>
      <c r="F1513" s="197" t="s">
        <v>1803</v>
      </c>
      <c r="G1513" s="237">
        <v>0</v>
      </c>
      <c r="H1513" s="199" t="s">
        <v>123</v>
      </c>
      <c r="I1513" s="198">
        <f t="shared" si="176"/>
        <v>0</v>
      </c>
      <c r="J1513" s="199" t="s">
        <v>93</v>
      </c>
      <c r="K1513" s="188">
        <v>0</v>
      </c>
      <c r="L1513" s="209" t="s">
        <v>675</v>
      </c>
      <c r="M1513" s="207">
        <f t="shared" si="177"/>
        <v>0</v>
      </c>
      <c r="N1513" s="198">
        <f>'02 项目基础信息（输入）'!$C$54</f>
        <v>0</v>
      </c>
      <c r="O1513" s="198">
        <f t="shared" si="172"/>
        <v>0</v>
      </c>
      <c r="P1513" s="198">
        <f>'02 项目基础信息（输入）'!$I$54</f>
        <v>0</v>
      </c>
      <c r="Q1513" s="233">
        <f t="shared" si="173"/>
        <v>0</v>
      </c>
      <c r="S1513" s="217"/>
      <c r="U1513" s="220" t="s">
        <v>3302</v>
      </c>
    </row>
    <row r="1514" spans="1:21" ht="0" hidden="1" customHeight="1" outlineLevel="3">
      <c r="A1514" s="192" t="s">
        <v>1813</v>
      </c>
      <c r="B1514" s="192"/>
      <c r="C1514" s="197" t="s">
        <v>476</v>
      </c>
      <c r="D1514" s="198">
        <f>'02 项目基础信息（输入）'!$AF$54</f>
        <v>0</v>
      </c>
      <c r="E1514" s="199" t="s">
        <v>93</v>
      </c>
      <c r="F1514" s="197" t="s">
        <v>1803</v>
      </c>
      <c r="G1514" s="237">
        <v>0</v>
      </c>
      <c r="H1514" s="199" t="s">
        <v>123</v>
      </c>
      <c r="I1514" s="198">
        <f t="shared" si="176"/>
        <v>0</v>
      </c>
      <c r="J1514" s="199" t="s">
        <v>93</v>
      </c>
      <c r="K1514" s="188">
        <v>0</v>
      </c>
      <c r="L1514" s="209" t="s">
        <v>675</v>
      </c>
      <c r="M1514" s="207">
        <f t="shared" si="177"/>
        <v>0</v>
      </c>
      <c r="N1514" s="198">
        <f>'02 项目基础信息（输入）'!$C$54</f>
        <v>0</v>
      </c>
      <c r="O1514" s="198">
        <f t="shared" si="172"/>
        <v>0</v>
      </c>
      <c r="P1514" s="198">
        <f>'02 项目基础信息（输入）'!$I$54</f>
        <v>0</v>
      </c>
      <c r="Q1514" s="233">
        <f t="shared" si="173"/>
        <v>0</v>
      </c>
      <c r="S1514" s="217"/>
      <c r="U1514" s="220" t="s">
        <v>3303</v>
      </c>
    </row>
    <row r="1515" spans="1:21" ht="0" hidden="1" customHeight="1" outlineLevel="3">
      <c r="A1515" s="192" t="s">
        <v>1815</v>
      </c>
      <c r="B1515" s="192"/>
      <c r="C1515" s="197" t="s">
        <v>476</v>
      </c>
      <c r="D1515" s="198">
        <f>'02 项目基础信息（输入）'!$AF$54</f>
        <v>0</v>
      </c>
      <c r="E1515" s="199" t="s">
        <v>93</v>
      </c>
      <c r="F1515" s="197" t="s">
        <v>1803</v>
      </c>
      <c r="G1515" s="237">
        <v>0</v>
      </c>
      <c r="H1515" s="199" t="s">
        <v>123</v>
      </c>
      <c r="I1515" s="198">
        <f t="shared" si="176"/>
        <v>0</v>
      </c>
      <c r="J1515" s="199" t="s">
        <v>93</v>
      </c>
      <c r="K1515" s="188">
        <v>0</v>
      </c>
      <c r="L1515" s="209" t="s">
        <v>675</v>
      </c>
      <c r="M1515" s="207">
        <f t="shared" si="177"/>
        <v>0</v>
      </c>
      <c r="N1515" s="198">
        <f>'02 项目基础信息（输入）'!$C$54</f>
        <v>0</v>
      </c>
      <c r="O1515" s="198">
        <f t="shared" si="172"/>
        <v>0</v>
      </c>
      <c r="P1515" s="198">
        <f>'02 项目基础信息（输入）'!$I$54</f>
        <v>0</v>
      </c>
      <c r="Q1515" s="233">
        <f t="shared" si="173"/>
        <v>0</v>
      </c>
      <c r="S1515" s="217"/>
      <c r="U1515" s="220" t="s">
        <v>3304</v>
      </c>
    </row>
    <row r="1516" spans="1:21" ht="0" hidden="1" customHeight="1" outlineLevel="3">
      <c r="A1516" s="192" t="s">
        <v>1817</v>
      </c>
      <c r="B1516" s="192"/>
      <c r="C1516" s="197" t="s">
        <v>476</v>
      </c>
      <c r="D1516" s="198">
        <f>'02 项目基础信息（输入）'!$AF$54</f>
        <v>0</v>
      </c>
      <c r="E1516" s="199" t="s">
        <v>93</v>
      </c>
      <c r="F1516" s="197" t="s">
        <v>1803</v>
      </c>
      <c r="G1516" s="237">
        <v>0</v>
      </c>
      <c r="H1516" s="199" t="s">
        <v>123</v>
      </c>
      <c r="I1516" s="198">
        <f t="shared" si="176"/>
        <v>0</v>
      </c>
      <c r="J1516" s="199" t="s">
        <v>93</v>
      </c>
      <c r="K1516" s="188">
        <v>0</v>
      </c>
      <c r="L1516" s="209" t="s">
        <v>675</v>
      </c>
      <c r="M1516" s="207">
        <f t="shared" si="177"/>
        <v>0</v>
      </c>
      <c r="N1516" s="198">
        <f>'02 项目基础信息（输入）'!$C$54</f>
        <v>0</v>
      </c>
      <c r="O1516" s="198">
        <f t="shared" si="172"/>
        <v>0</v>
      </c>
      <c r="P1516" s="198">
        <f>'02 项目基础信息（输入）'!$I$54</f>
        <v>0</v>
      </c>
      <c r="Q1516" s="233">
        <f t="shared" si="173"/>
        <v>0</v>
      </c>
      <c r="S1516" s="217"/>
      <c r="U1516" s="220" t="s">
        <v>3305</v>
      </c>
    </row>
    <row r="1517" spans="1:21" ht="0" hidden="1" customHeight="1" outlineLevel="3">
      <c r="A1517" s="192" t="s">
        <v>1819</v>
      </c>
      <c r="B1517" s="192"/>
      <c r="C1517" s="197" t="s">
        <v>476</v>
      </c>
      <c r="D1517" s="198">
        <f>'02 项目基础信息（输入）'!$AF$54</f>
        <v>0</v>
      </c>
      <c r="E1517" s="199" t="s">
        <v>93</v>
      </c>
      <c r="F1517" s="197" t="s">
        <v>1803</v>
      </c>
      <c r="G1517" s="237">
        <v>0</v>
      </c>
      <c r="H1517" s="199" t="s">
        <v>123</v>
      </c>
      <c r="I1517" s="198">
        <f t="shared" si="176"/>
        <v>0</v>
      </c>
      <c r="J1517" s="199" t="s">
        <v>93</v>
      </c>
      <c r="K1517" s="188">
        <v>0</v>
      </c>
      <c r="L1517" s="209" t="s">
        <v>675</v>
      </c>
      <c r="M1517" s="207">
        <f t="shared" si="177"/>
        <v>0</v>
      </c>
      <c r="N1517" s="198">
        <f>'02 项目基础信息（输入）'!$C$54</f>
        <v>0</v>
      </c>
      <c r="O1517" s="198">
        <f t="shared" si="172"/>
        <v>0</v>
      </c>
      <c r="P1517" s="198">
        <f>'02 项目基础信息（输入）'!$I$54</f>
        <v>0</v>
      </c>
      <c r="Q1517" s="233">
        <f t="shared" si="173"/>
        <v>0</v>
      </c>
      <c r="S1517" s="217"/>
      <c r="U1517" s="220" t="s">
        <v>3306</v>
      </c>
    </row>
    <row r="1518" spans="1:21" ht="0" hidden="1" customHeight="1" outlineLevel="3">
      <c r="A1518" s="192" t="s">
        <v>1821</v>
      </c>
      <c r="B1518" s="192"/>
      <c r="C1518" s="197" t="s">
        <v>476</v>
      </c>
      <c r="D1518" s="198">
        <f>'02 项目基础信息（输入）'!$AF$54</f>
        <v>0</v>
      </c>
      <c r="E1518" s="199" t="s">
        <v>93</v>
      </c>
      <c r="F1518" s="197" t="s">
        <v>1803</v>
      </c>
      <c r="G1518" s="237">
        <v>0</v>
      </c>
      <c r="H1518" s="199" t="s">
        <v>123</v>
      </c>
      <c r="I1518" s="198">
        <f t="shared" si="176"/>
        <v>0</v>
      </c>
      <c r="J1518" s="199" t="s">
        <v>93</v>
      </c>
      <c r="K1518" s="188">
        <v>0</v>
      </c>
      <c r="L1518" s="209" t="s">
        <v>675</v>
      </c>
      <c r="M1518" s="207">
        <f t="shared" si="177"/>
        <v>0</v>
      </c>
      <c r="N1518" s="198">
        <f>'02 项目基础信息（输入）'!$C$54</f>
        <v>0</v>
      </c>
      <c r="O1518" s="198">
        <f t="shared" si="172"/>
        <v>0</v>
      </c>
      <c r="P1518" s="198">
        <f>'02 项目基础信息（输入）'!$I$54</f>
        <v>0</v>
      </c>
      <c r="Q1518" s="233">
        <f t="shared" si="173"/>
        <v>0</v>
      </c>
      <c r="S1518" s="217"/>
      <c r="U1518" s="220" t="s">
        <v>3307</v>
      </c>
    </row>
    <row r="1519" spans="1:21" ht="0" hidden="1" customHeight="1" outlineLevel="3">
      <c r="A1519" s="192" t="s">
        <v>1823</v>
      </c>
      <c r="B1519" s="192"/>
      <c r="C1519" s="197" t="s">
        <v>476</v>
      </c>
      <c r="D1519" s="198">
        <f>'02 项目基础信息（输入）'!$AF$54</f>
        <v>0</v>
      </c>
      <c r="E1519" s="199" t="s">
        <v>93</v>
      </c>
      <c r="F1519" s="197" t="s">
        <v>1803</v>
      </c>
      <c r="G1519" s="237">
        <v>0</v>
      </c>
      <c r="H1519" s="199" t="s">
        <v>123</v>
      </c>
      <c r="I1519" s="198">
        <f t="shared" si="176"/>
        <v>0</v>
      </c>
      <c r="J1519" s="199" t="s">
        <v>93</v>
      </c>
      <c r="K1519" s="188">
        <v>0</v>
      </c>
      <c r="L1519" s="209" t="s">
        <v>675</v>
      </c>
      <c r="M1519" s="207">
        <f t="shared" si="177"/>
        <v>0</v>
      </c>
      <c r="N1519" s="198">
        <f>'02 项目基础信息（输入）'!$C$54</f>
        <v>0</v>
      </c>
      <c r="O1519" s="198">
        <f t="shared" si="172"/>
        <v>0</v>
      </c>
      <c r="P1519" s="198">
        <f>'02 项目基础信息（输入）'!$I$54</f>
        <v>0</v>
      </c>
      <c r="Q1519" s="233">
        <f t="shared" si="173"/>
        <v>0</v>
      </c>
      <c r="S1519" s="217"/>
      <c r="U1519" s="220" t="s">
        <v>3308</v>
      </c>
    </row>
    <row r="1520" spans="1:21" ht="0" hidden="1" customHeight="1" outlineLevel="3">
      <c r="A1520" s="192" t="s">
        <v>1825</v>
      </c>
      <c r="B1520" s="192"/>
      <c r="C1520" s="197" t="s">
        <v>476</v>
      </c>
      <c r="D1520" s="198">
        <f>'02 项目基础信息（输入）'!$AF$54</f>
        <v>0</v>
      </c>
      <c r="E1520" s="199" t="s">
        <v>93</v>
      </c>
      <c r="F1520" s="197" t="s">
        <v>1803</v>
      </c>
      <c r="G1520" s="237">
        <v>0</v>
      </c>
      <c r="H1520" s="199" t="s">
        <v>123</v>
      </c>
      <c r="I1520" s="198">
        <f t="shared" si="176"/>
        <v>0</v>
      </c>
      <c r="J1520" s="199" t="s">
        <v>93</v>
      </c>
      <c r="K1520" s="188">
        <v>0</v>
      </c>
      <c r="L1520" s="209" t="s">
        <v>675</v>
      </c>
      <c r="M1520" s="207">
        <f t="shared" si="177"/>
        <v>0</v>
      </c>
      <c r="N1520" s="198">
        <f>'02 项目基础信息（输入）'!$C$54</f>
        <v>0</v>
      </c>
      <c r="O1520" s="198">
        <f t="shared" si="172"/>
        <v>0</v>
      </c>
      <c r="P1520" s="198">
        <f>'02 项目基础信息（输入）'!$I$54</f>
        <v>0</v>
      </c>
      <c r="Q1520" s="233">
        <f t="shared" si="173"/>
        <v>0</v>
      </c>
      <c r="S1520" s="217"/>
      <c r="U1520" s="220" t="s">
        <v>3309</v>
      </c>
    </row>
    <row r="1521" spans="1:21" ht="0" hidden="1" customHeight="1" outlineLevel="3">
      <c r="A1521" s="192" t="s">
        <v>1827</v>
      </c>
      <c r="B1521" s="192"/>
      <c r="C1521" s="197" t="s">
        <v>476</v>
      </c>
      <c r="D1521" s="198">
        <f>'02 项目基础信息（输入）'!$AF$54</f>
        <v>0</v>
      </c>
      <c r="E1521" s="199" t="s">
        <v>93</v>
      </c>
      <c r="F1521" s="197" t="s">
        <v>1803</v>
      </c>
      <c r="G1521" s="237">
        <v>0</v>
      </c>
      <c r="H1521" s="199" t="s">
        <v>123</v>
      </c>
      <c r="I1521" s="198">
        <f t="shared" si="176"/>
        <v>0</v>
      </c>
      <c r="J1521" s="199" t="s">
        <v>93</v>
      </c>
      <c r="K1521" s="188">
        <v>0</v>
      </c>
      <c r="L1521" s="209" t="s">
        <v>675</v>
      </c>
      <c r="M1521" s="207">
        <f t="shared" si="177"/>
        <v>0</v>
      </c>
      <c r="N1521" s="198">
        <f>'02 项目基础信息（输入）'!$C$54</f>
        <v>0</v>
      </c>
      <c r="O1521" s="198">
        <f t="shared" si="172"/>
        <v>0</v>
      </c>
      <c r="P1521" s="198">
        <f>'02 项目基础信息（输入）'!$I$54</f>
        <v>0</v>
      </c>
      <c r="Q1521" s="233">
        <f t="shared" si="173"/>
        <v>0</v>
      </c>
      <c r="S1521" s="217"/>
      <c r="U1521" s="220" t="s">
        <v>3310</v>
      </c>
    </row>
    <row r="1522" spans="1:21" ht="0" hidden="1" customHeight="1" outlineLevel="3">
      <c r="A1522" s="192" t="s">
        <v>1829</v>
      </c>
      <c r="B1522" s="192"/>
      <c r="C1522" s="197" t="s">
        <v>476</v>
      </c>
      <c r="D1522" s="198">
        <f>'02 项目基础信息（输入）'!$AF$54</f>
        <v>0</v>
      </c>
      <c r="E1522" s="199" t="s">
        <v>93</v>
      </c>
      <c r="F1522" s="197" t="s">
        <v>1803</v>
      </c>
      <c r="G1522" s="237">
        <v>0</v>
      </c>
      <c r="H1522" s="199" t="s">
        <v>123</v>
      </c>
      <c r="I1522" s="198">
        <f t="shared" si="176"/>
        <v>0</v>
      </c>
      <c r="J1522" s="199" t="s">
        <v>93</v>
      </c>
      <c r="K1522" s="188">
        <v>0</v>
      </c>
      <c r="L1522" s="209" t="s">
        <v>675</v>
      </c>
      <c r="M1522" s="207">
        <f t="shared" si="177"/>
        <v>0</v>
      </c>
      <c r="N1522" s="198">
        <f>'02 项目基础信息（输入）'!$C$54</f>
        <v>0</v>
      </c>
      <c r="O1522" s="198">
        <f t="shared" si="172"/>
        <v>0</v>
      </c>
      <c r="P1522" s="198">
        <f>'02 项目基础信息（输入）'!$I$54</f>
        <v>0</v>
      </c>
      <c r="Q1522" s="233">
        <f t="shared" si="173"/>
        <v>0</v>
      </c>
      <c r="S1522" s="217"/>
      <c r="U1522" s="220" t="s">
        <v>3311</v>
      </c>
    </row>
    <row r="1523" spans="1:21" ht="0" hidden="1" customHeight="1" outlineLevel="3">
      <c r="A1523" s="192" t="s">
        <v>1831</v>
      </c>
      <c r="B1523" s="192"/>
      <c r="C1523" s="197" t="s">
        <v>1609</v>
      </c>
      <c r="D1523" s="198">
        <f>'02 项目基础信息（输入）'!$C$54</f>
        <v>0</v>
      </c>
      <c r="E1523" s="199" t="s">
        <v>93</v>
      </c>
      <c r="F1523" s="197" t="s">
        <v>1609</v>
      </c>
      <c r="G1523" s="199">
        <v>1</v>
      </c>
      <c r="H1523" s="199" t="s">
        <v>298</v>
      </c>
      <c r="I1523" s="198">
        <f>G1523*D1523</f>
        <v>0</v>
      </c>
      <c r="J1523" s="199" t="s">
        <v>93</v>
      </c>
      <c r="K1523" s="188">
        <v>0</v>
      </c>
      <c r="L1523" s="209" t="s">
        <v>675</v>
      </c>
      <c r="M1523" s="207">
        <f t="shared" si="177"/>
        <v>0</v>
      </c>
      <c r="N1523" s="198">
        <f>'02 项目基础信息（输入）'!$C$54</f>
        <v>0</v>
      </c>
      <c r="O1523" s="198">
        <f t="shared" si="172"/>
        <v>0</v>
      </c>
      <c r="P1523" s="198">
        <f>'02 项目基础信息（输入）'!$I$54</f>
        <v>0</v>
      </c>
      <c r="Q1523" s="233">
        <f t="shared" si="173"/>
        <v>0</v>
      </c>
      <c r="S1523" s="217"/>
      <c r="U1523" s="220" t="s">
        <v>3312</v>
      </c>
    </row>
    <row r="1524" spans="1:21" ht="0" hidden="1" customHeight="1" outlineLevel="3">
      <c r="A1524" s="192" t="s">
        <v>1833</v>
      </c>
      <c r="B1524" s="192"/>
      <c r="C1524" s="197" t="s">
        <v>1609</v>
      </c>
      <c r="D1524" s="198">
        <f>'02 项目基础信息（输入）'!$C$54</f>
        <v>0</v>
      </c>
      <c r="E1524" s="199" t="s">
        <v>93</v>
      </c>
      <c r="F1524" s="197" t="s">
        <v>1609</v>
      </c>
      <c r="G1524" s="199">
        <v>1</v>
      </c>
      <c r="H1524" s="199" t="s">
        <v>298</v>
      </c>
      <c r="I1524" s="198">
        <f>G1524*D1524</f>
        <v>0</v>
      </c>
      <c r="J1524" s="199" t="s">
        <v>93</v>
      </c>
      <c r="K1524" s="188">
        <v>0</v>
      </c>
      <c r="L1524" s="209" t="s">
        <v>675</v>
      </c>
      <c r="M1524" s="207">
        <f t="shared" si="177"/>
        <v>0</v>
      </c>
      <c r="N1524" s="198">
        <f>'02 项目基础信息（输入）'!$C$54</f>
        <v>0</v>
      </c>
      <c r="O1524" s="198">
        <f t="shared" si="172"/>
        <v>0</v>
      </c>
      <c r="P1524" s="198">
        <f>'02 项目基础信息（输入）'!$I$54</f>
        <v>0</v>
      </c>
      <c r="Q1524" s="233">
        <f t="shared" si="173"/>
        <v>0</v>
      </c>
      <c r="S1524" s="217"/>
      <c r="U1524" s="220" t="s">
        <v>3313</v>
      </c>
    </row>
    <row r="1525" spans="1:21" ht="0" hidden="1" customHeight="1" outlineLevel="2">
      <c r="A1525" s="192" t="s">
        <v>1835</v>
      </c>
      <c r="B1525" s="192"/>
      <c r="C1525" s="197" t="s">
        <v>1609</v>
      </c>
      <c r="D1525" s="198">
        <f>'02 项目基础信息（输入）'!$C$54</f>
        <v>0</v>
      </c>
      <c r="E1525" s="199" t="s">
        <v>93</v>
      </c>
      <c r="F1525" s="197"/>
      <c r="G1525" s="199"/>
      <c r="H1525" s="199"/>
      <c r="I1525" s="197"/>
      <c r="J1525" s="199"/>
      <c r="K1525" s="198"/>
      <c r="L1525" s="209"/>
      <c r="M1525" s="198">
        <f>ROUND(SUM(M1526:M1529),6)</f>
        <v>0</v>
      </c>
      <c r="N1525" s="198">
        <f>'02 项目基础信息（输入）'!$C$54</f>
        <v>0</v>
      </c>
      <c r="O1525" s="198">
        <f t="shared" si="172"/>
        <v>0</v>
      </c>
      <c r="P1525" s="198">
        <f>'02 项目基础信息（输入）'!$I$54</f>
        <v>0</v>
      </c>
      <c r="Q1525" s="233">
        <f t="shared" si="173"/>
        <v>0</v>
      </c>
      <c r="S1525" s="217" t="s">
        <v>1314</v>
      </c>
      <c r="U1525" s="220" t="s">
        <v>3314</v>
      </c>
    </row>
    <row r="1526" spans="1:21" ht="0" hidden="1" customHeight="1" outlineLevel="3">
      <c r="A1526" s="192" t="s">
        <v>2110</v>
      </c>
      <c r="B1526" s="192"/>
      <c r="C1526" s="197" t="s">
        <v>309</v>
      </c>
      <c r="D1526" s="198">
        <f>'02 项目基础信息（输入）'!$AC$54</f>
        <v>0</v>
      </c>
      <c r="E1526" s="199" t="s">
        <v>310</v>
      </c>
      <c r="F1526" s="197" t="s">
        <v>1843</v>
      </c>
      <c r="G1526" s="82">
        <v>0</v>
      </c>
      <c r="H1526" s="199" t="s">
        <v>789</v>
      </c>
      <c r="I1526" s="198">
        <f>G1526*D1526</f>
        <v>0</v>
      </c>
      <c r="J1526" s="199" t="s">
        <v>131</v>
      </c>
      <c r="K1526" s="188">
        <v>0</v>
      </c>
      <c r="L1526" s="209" t="s">
        <v>792</v>
      </c>
      <c r="M1526" s="207">
        <f>ROUND(K1526*I1526/10000,6)</f>
        <v>0</v>
      </c>
      <c r="N1526" s="198">
        <f>'02 项目基础信息（输入）'!$C$54</f>
        <v>0</v>
      </c>
      <c r="O1526" s="198">
        <f t="shared" si="172"/>
        <v>0</v>
      </c>
      <c r="P1526" s="198">
        <f>'02 项目基础信息（输入）'!$I$54</f>
        <v>0</v>
      </c>
      <c r="Q1526" s="233">
        <f t="shared" si="173"/>
        <v>0</v>
      </c>
      <c r="S1526" s="217"/>
      <c r="U1526" s="220" t="s">
        <v>3315</v>
      </c>
    </row>
    <row r="1527" spans="1:21" ht="0" hidden="1" customHeight="1" outlineLevel="3">
      <c r="A1527" s="192" t="s">
        <v>2112</v>
      </c>
      <c r="B1527" s="192"/>
      <c r="C1527" s="197" t="s">
        <v>309</v>
      </c>
      <c r="D1527" s="198">
        <f>'02 项目基础信息（输入）'!$AC$54</f>
        <v>0</v>
      </c>
      <c r="E1527" s="199" t="s">
        <v>310</v>
      </c>
      <c r="F1527" s="197" t="s">
        <v>1843</v>
      </c>
      <c r="G1527" s="82">
        <v>0</v>
      </c>
      <c r="H1527" s="199" t="s">
        <v>789</v>
      </c>
      <c r="I1527" s="198">
        <f>G1527*D1527</f>
        <v>0</v>
      </c>
      <c r="J1527" s="199" t="s">
        <v>131</v>
      </c>
      <c r="K1527" s="188">
        <v>0</v>
      </c>
      <c r="L1527" s="209" t="s">
        <v>792</v>
      </c>
      <c r="M1527" s="207">
        <f>ROUND(K1527*I1527/10000,6)</f>
        <v>0</v>
      </c>
      <c r="N1527" s="198">
        <f>'02 项目基础信息（输入）'!$C$54</f>
        <v>0</v>
      </c>
      <c r="O1527" s="198">
        <f t="shared" si="172"/>
        <v>0</v>
      </c>
      <c r="P1527" s="198">
        <f>'02 项目基础信息（输入）'!$I$54</f>
        <v>0</v>
      </c>
      <c r="Q1527" s="233">
        <f t="shared" si="173"/>
        <v>0</v>
      </c>
      <c r="S1527" s="217"/>
      <c r="U1527" s="220" t="s">
        <v>3316</v>
      </c>
    </row>
    <row r="1528" spans="1:21" ht="0" hidden="1" customHeight="1" outlineLevel="3">
      <c r="A1528" s="192" t="s">
        <v>1837</v>
      </c>
      <c r="B1528" s="192"/>
      <c r="C1528" s="197" t="s">
        <v>472</v>
      </c>
      <c r="D1528" s="198">
        <f>'02 项目基础信息（输入）'!$AA$54</f>
        <v>0</v>
      </c>
      <c r="E1528" s="199" t="s">
        <v>1838</v>
      </c>
      <c r="F1528" s="197" t="s">
        <v>1839</v>
      </c>
      <c r="G1528" s="82">
        <v>0</v>
      </c>
      <c r="H1528" s="199" t="s">
        <v>1840</v>
      </c>
      <c r="I1528" s="198">
        <f>G1528*D1528</f>
        <v>0</v>
      </c>
      <c r="J1528" s="199" t="s">
        <v>131</v>
      </c>
      <c r="K1528" s="188">
        <v>0</v>
      </c>
      <c r="L1528" s="209" t="s">
        <v>792</v>
      </c>
      <c r="M1528" s="207">
        <f>ROUND(K1528*I1528/10000,6)</f>
        <v>0</v>
      </c>
      <c r="N1528" s="198">
        <f>'02 项目基础信息（输入）'!$C$54</f>
        <v>0</v>
      </c>
      <c r="O1528" s="198">
        <f t="shared" si="172"/>
        <v>0</v>
      </c>
      <c r="P1528" s="198">
        <f>'02 项目基础信息（输入）'!$I$54</f>
        <v>0</v>
      </c>
      <c r="Q1528" s="233">
        <f t="shared" si="173"/>
        <v>0</v>
      </c>
      <c r="S1528" s="217"/>
      <c r="U1528" s="220" t="s">
        <v>3317</v>
      </c>
    </row>
    <row r="1529" spans="1:21" ht="0" hidden="1" customHeight="1" outlineLevel="3">
      <c r="A1529" s="192" t="s">
        <v>1842</v>
      </c>
      <c r="B1529" s="192"/>
      <c r="C1529" s="197" t="s">
        <v>309</v>
      </c>
      <c r="D1529" s="198">
        <f>'02 项目基础信息（输入）'!$AC$54</f>
        <v>0</v>
      </c>
      <c r="E1529" s="199" t="s">
        <v>310</v>
      </c>
      <c r="F1529" s="197" t="s">
        <v>1843</v>
      </c>
      <c r="G1529" s="82">
        <v>0</v>
      </c>
      <c r="H1529" s="199" t="s">
        <v>789</v>
      </c>
      <c r="I1529" s="198">
        <f>G1529*D1529</f>
        <v>0</v>
      </c>
      <c r="J1529" s="199" t="s">
        <v>131</v>
      </c>
      <c r="K1529" s="188">
        <v>0</v>
      </c>
      <c r="L1529" s="209" t="s">
        <v>792</v>
      </c>
      <c r="M1529" s="207">
        <f>ROUND(K1529*I1529/10000,6)</f>
        <v>0</v>
      </c>
      <c r="N1529" s="198">
        <f>'02 项目基础信息（输入）'!$C$54</f>
        <v>0</v>
      </c>
      <c r="O1529" s="198">
        <f t="shared" si="172"/>
        <v>0</v>
      </c>
      <c r="P1529" s="198">
        <f>'02 项目基础信息（输入）'!$I$54</f>
        <v>0</v>
      </c>
      <c r="Q1529" s="233">
        <f t="shared" si="173"/>
        <v>0</v>
      </c>
      <c r="S1529" s="217"/>
      <c r="U1529" s="220" t="s">
        <v>3318</v>
      </c>
    </row>
    <row r="1530" spans="1:21" ht="0" hidden="1" customHeight="1" outlineLevel="2">
      <c r="A1530" s="192" t="s">
        <v>1845</v>
      </c>
      <c r="B1530" s="192"/>
      <c r="C1530" s="197" t="s">
        <v>1609</v>
      </c>
      <c r="D1530" s="198">
        <f>'02 项目基础信息（输入）'!$C$54</f>
        <v>0</v>
      </c>
      <c r="E1530" s="199" t="s">
        <v>93</v>
      </c>
      <c r="F1530" s="197"/>
      <c r="G1530" s="199"/>
      <c r="H1530" s="199"/>
      <c r="I1530" s="197"/>
      <c r="J1530" s="199"/>
      <c r="K1530" s="198"/>
      <c r="L1530" s="209"/>
      <c r="M1530" s="198">
        <f>ROUND(M1531+M1540+M1549+M1550+M1551,6)</f>
        <v>0</v>
      </c>
      <c r="N1530" s="198">
        <f>'02 项目基础信息（输入）'!$C$54</f>
        <v>0</v>
      </c>
      <c r="O1530" s="198">
        <f t="shared" si="172"/>
        <v>0</v>
      </c>
      <c r="P1530" s="198">
        <f>'02 项目基础信息（输入）'!$I$54</f>
        <v>0</v>
      </c>
      <c r="Q1530" s="233">
        <f t="shared" si="173"/>
        <v>0</v>
      </c>
      <c r="S1530" s="217" t="s">
        <v>1314</v>
      </c>
      <c r="U1530" s="220" t="s">
        <v>3319</v>
      </c>
    </row>
    <row r="1531" spans="1:21" ht="0" hidden="1" customHeight="1" outlineLevel="3">
      <c r="A1531" s="192" t="s">
        <v>2117</v>
      </c>
      <c r="B1531" s="192"/>
      <c r="C1531" s="197"/>
      <c r="D1531" s="197">
        <v>0</v>
      </c>
      <c r="E1531" s="199"/>
      <c r="F1531" s="197"/>
      <c r="G1531" s="199"/>
      <c r="H1531" s="199"/>
      <c r="I1531" s="197">
        <v>0</v>
      </c>
      <c r="J1531" s="199"/>
      <c r="K1531" s="198"/>
      <c r="L1531" s="209"/>
      <c r="M1531" s="198">
        <f>ROUND(SUM(M1532:M1539),6)</f>
        <v>0</v>
      </c>
      <c r="N1531" s="198">
        <f>'02 项目基础信息（输入）'!$C$54</f>
        <v>0</v>
      </c>
      <c r="O1531" s="198">
        <f t="shared" si="172"/>
        <v>0</v>
      </c>
      <c r="P1531" s="198">
        <f>'02 项目基础信息（输入）'!$I$54</f>
        <v>0</v>
      </c>
      <c r="Q1531" s="233">
        <f t="shared" si="173"/>
        <v>0</v>
      </c>
      <c r="S1531" s="217"/>
      <c r="U1531" s="220" t="s">
        <v>3320</v>
      </c>
    </row>
    <row r="1532" spans="1:21" ht="0" hidden="1" customHeight="1" outlineLevel="4">
      <c r="A1532" s="192" t="s">
        <v>1849</v>
      </c>
      <c r="B1532" s="192"/>
      <c r="C1532" s="197" t="s">
        <v>1850</v>
      </c>
      <c r="D1532" s="198">
        <f>'02 项目基础信息（输入）'!$N$54</f>
        <v>0</v>
      </c>
      <c r="E1532" s="199" t="s">
        <v>411</v>
      </c>
      <c r="F1532" s="197" t="s">
        <v>460</v>
      </c>
      <c r="G1532" s="235">
        <f>'02 项目基础信息（输入）'!$O$54</f>
        <v>0</v>
      </c>
      <c r="H1532" s="199" t="s">
        <v>400</v>
      </c>
      <c r="I1532" s="198">
        <f t="shared" ref="I1532:I1539" si="178">G1532*D1532</f>
        <v>0</v>
      </c>
      <c r="J1532" s="199" t="s">
        <v>93</v>
      </c>
      <c r="K1532" s="188">
        <v>0</v>
      </c>
      <c r="L1532" s="209" t="s">
        <v>675</v>
      </c>
      <c r="M1532" s="207">
        <f t="shared" ref="M1532:M1539" si="179">ROUND(K1532*I1532/10000,6)</f>
        <v>0</v>
      </c>
      <c r="N1532" s="198">
        <f>'02 项目基础信息（输入）'!$C$54</f>
        <v>0</v>
      </c>
      <c r="O1532" s="198">
        <f t="shared" si="172"/>
        <v>0</v>
      </c>
      <c r="P1532" s="198">
        <f>'02 项目基础信息（输入）'!$I$54</f>
        <v>0</v>
      </c>
      <c r="Q1532" s="233">
        <f t="shared" si="173"/>
        <v>0</v>
      </c>
      <c r="S1532" s="217"/>
      <c r="U1532" s="220" t="s">
        <v>3321</v>
      </c>
    </row>
    <row r="1533" spans="1:21" ht="0" hidden="1" customHeight="1" outlineLevel="4">
      <c r="A1533" s="192" t="s">
        <v>1852</v>
      </c>
      <c r="B1533" s="192"/>
      <c r="C1533" s="197" t="s">
        <v>1850</v>
      </c>
      <c r="D1533" s="198">
        <f>'02 项目基础信息（输入）'!$N$54</f>
        <v>0</v>
      </c>
      <c r="E1533" s="199" t="s">
        <v>411</v>
      </c>
      <c r="F1533" s="197" t="s">
        <v>460</v>
      </c>
      <c r="G1533" s="235">
        <f>'02 项目基础信息（输入）'!$O$54</f>
        <v>0</v>
      </c>
      <c r="H1533" s="199" t="s">
        <v>400</v>
      </c>
      <c r="I1533" s="198">
        <f t="shared" si="178"/>
        <v>0</v>
      </c>
      <c r="J1533" s="199" t="s">
        <v>93</v>
      </c>
      <c r="K1533" s="188">
        <v>0</v>
      </c>
      <c r="L1533" s="209" t="s">
        <v>675</v>
      </c>
      <c r="M1533" s="207">
        <f t="shared" si="179"/>
        <v>0</v>
      </c>
      <c r="N1533" s="198">
        <f>'02 项目基础信息（输入）'!$C$54</f>
        <v>0</v>
      </c>
      <c r="O1533" s="198">
        <f t="shared" si="172"/>
        <v>0</v>
      </c>
      <c r="P1533" s="198">
        <f>'02 项目基础信息（输入）'!$I$54</f>
        <v>0</v>
      </c>
      <c r="Q1533" s="233">
        <f t="shared" si="173"/>
        <v>0</v>
      </c>
      <c r="S1533" s="217"/>
      <c r="U1533" s="220" t="s">
        <v>3322</v>
      </c>
    </row>
    <row r="1534" spans="1:21" ht="0" hidden="1" customHeight="1" outlineLevel="4">
      <c r="A1534" s="192" t="s">
        <v>1854</v>
      </c>
      <c r="B1534" s="192"/>
      <c r="C1534" s="197" t="s">
        <v>1850</v>
      </c>
      <c r="D1534" s="198">
        <f>'02 项目基础信息（输入）'!$N$54</f>
        <v>0</v>
      </c>
      <c r="E1534" s="199" t="s">
        <v>411</v>
      </c>
      <c r="F1534" s="197" t="s">
        <v>460</v>
      </c>
      <c r="G1534" s="235">
        <f>'02 项目基础信息（输入）'!$O$54</f>
        <v>0</v>
      </c>
      <c r="H1534" s="199" t="s">
        <v>400</v>
      </c>
      <c r="I1534" s="198">
        <f t="shared" si="178"/>
        <v>0</v>
      </c>
      <c r="J1534" s="199" t="s">
        <v>93</v>
      </c>
      <c r="K1534" s="188">
        <v>0</v>
      </c>
      <c r="L1534" s="209" t="s">
        <v>675</v>
      </c>
      <c r="M1534" s="207">
        <f t="shared" si="179"/>
        <v>0</v>
      </c>
      <c r="N1534" s="198">
        <f>'02 项目基础信息（输入）'!$C$54</f>
        <v>0</v>
      </c>
      <c r="O1534" s="198">
        <f t="shared" si="172"/>
        <v>0</v>
      </c>
      <c r="P1534" s="198">
        <f>'02 项目基础信息（输入）'!$I$54</f>
        <v>0</v>
      </c>
      <c r="Q1534" s="233">
        <f t="shared" si="173"/>
        <v>0</v>
      </c>
      <c r="S1534" s="217"/>
      <c r="U1534" s="220" t="s">
        <v>3323</v>
      </c>
    </row>
    <row r="1535" spans="1:21" ht="0" hidden="1" customHeight="1" outlineLevel="4">
      <c r="A1535" s="192" t="s">
        <v>1856</v>
      </c>
      <c r="B1535" s="192"/>
      <c r="C1535" s="197" t="s">
        <v>1850</v>
      </c>
      <c r="D1535" s="198">
        <f>'02 项目基础信息（输入）'!$N$54</f>
        <v>0</v>
      </c>
      <c r="E1535" s="199" t="s">
        <v>411</v>
      </c>
      <c r="F1535" s="197" t="s">
        <v>460</v>
      </c>
      <c r="G1535" s="235">
        <f>'02 项目基础信息（输入）'!$O$54</f>
        <v>0</v>
      </c>
      <c r="H1535" s="199" t="s">
        <v>400</v>
      </c>
      <c r="I1535" s="198">
        <f t="shared" si="178"/>
        <v>0</v>
      </c>
      <c r="J1535" s="199" t="s">
        <v>93</v>
      </c>
      <c r="K1535" s="188">
        <v>0</v>
      </c>
      <c r="L1535" s="209" t="s">
        <v>675</v>
      </c>
      <c r="M1535" s="207">
        <f t="shared" si="179"/>
        <v>0</v>
      </c>
      <c r="N1535" s="198">
        <f>'02 项目基础信息（输入）'!$C$54</f>
        <v>0</v>
      </c>
      <c r="O1535" s="198">
        <f t="shared" si="172"/>
        <v>0</v>
      </c>
      <c r="P1535" s="198">
        <f>'02 项目基础信息（输入）'!$I$54</f>
        <v>0</v>
      </c>
      <c r="Q1535" s="233">
        <f t="shared" si="173"/>
        <v>0</v>
      </c>
      <c r="S1535" s="217"/>
      <c r="U1535" s="220" t="s">
        <v>3324</v>
      </c>
    </row>
    <row r="1536" spans="1:21" ht="0" hidden="1" customHeight="1" outlineLevel="4">
      <c r="A1536" s="192" t="s">
        <v>1858</v>
      </c>
      <c r="B1536" s="192"/>
      <c r="C1536" s="197" t="s">
        <v>1850</v>
      </c>
      <c r="D1536" s="198">
        <f>'02 项目基础信息（输入）'!$N$54</f>
        <v>0</v>
      </c>
      <c r="E1536" s="199" t="s">
        <v>411</v>
      </c>
      <c r="F1536" s="197" t="s">
        <v>460</v>
      </c>
      <c r="G1536" s="235">
        <f>'02 项目基础信息（输入）'!$O$54</f>
        <v>0</v>
      </c>
      <c r="H1536" s="199" t="s">
        <v>400</v>
      </c>
      <c r="I1536" s="198">
        <f t="shared" si="178"/>
        <v>0</v>
      </c>
      <c r="J1536" s="199" t="s">
        <v>93</v>
      </c>
      <c r="K1536" s="188">
        <v>0</v>
      </c>
      <c r="L1536" s="209" t="s">
        <v>675</v>
      </c>
      <c r="M1536" s="207">
        <f t="shared" si="179"/>
        <v>0</v>
      </c>
      <c r="N1536" s="198">
        <f>'02 项目基础信息（输入）'!$C$54</f>
        <v>0</v>
      </c>
      <c r="O1536" s="198">
        <f t="shared" si="172"/>
        <v>0</v>
      </c>
      <c r="P1536" s="198">
        <f>'02 项目基础信息（输入）'!$I$54</f>
        <v>0</v>
      </c>
      <c r="Q1536" s="233">
        <f t="shared" si="173"/>
        <v>0</v>
      </c>
      <c r="S1536" s="217"/>
      <c r="U1536" s="220" t="s">
        <v>3325</v>
      </c>
    </row>
    <row r="1537" spans="1:21" ht="0" hidden="1" customHeight="1" outlineLevel="4">
      <c r="A1537" s="192" t="s">
        <v>1860</v>
      </c>
      <c r="B1537" s="192"/>
      <c r="C1537" s="197" t="s">
        <v>1850</v>
      </c>
      <c r="D1537" s="198">
        <f>'02 项目基础信息（输入）'!$N$54</f>
        <v>0</v>
      </c>
      <c r="E1537" s="199" t="s">
        <v>411</v>
      </c>
      <c r="F1537" s="197" t="s">
        <v>460</v>
      </c>
      <c r="G1537" s="235">
        <f>'02 项目基础信息（输入）'!$O$54</f>
        <v>0</v>
      </c>
      <c r="H1537" s="199" t="s">
        <v>400</v>
      </c>
      <c r="I1537" s="198">
        <f t="shared" si="178"/>
        <v>0</v>
      </c>
      <c r="J1537" s="199" t="s">
        <v>93</v>
      </c>
      <c r="K1537" s="188">
        <v>0</v>
      </c>
      <c r="L1537" s="209" t="s">
        <v>675</v>
      </c>
      <c r="M1537" s="207">
        <f t="shared" si="179"/>
        <v>0</v>
      </c>
      <c r="N1537" s="198">
        <f>'02 项目基础信息（输入）'!$C$54</f>
        <v>0</v>
      </c>
      <c r="O1537" s="198">
        <f t="shared" si="172"/>
        <v>0</v>
      </c>
      <c r="P1537" s="198">
        <f>'02 项目基础信息（输入）'!$I$54</f>
        <v>0</v>
      </c>
      <c r="Q1537" s="233">
        <f t="shared" si="173"/>
        <v>0</v>
      </c>
      <c r="S1537" s="217"/>
      <c r="U1537" s="220" t="s">
        <v>3326</v>
      </c>
    </row>
    <row r="1538" spans="1:21" ht="0" hidden="1" customHeight="1" outlineLevel="4">
      <c r="A1538" s="192" t="s">
        <v>1862</v>
      </c>
      <c r="B1538" s="192"/>
      <c r="C1538" s="197" t="s">
        <v>1850</v>
      </c>
      <c r="D1538" s="198">
        <f>'02 项目基础信息（输入）'!$N$54</f>
        <v>0</v>
      </c>
      <c r="E1538" s="199" t="s">
        <v>411</v>
      </c>
      <c r="F1538" s="197" t="s">
        <v>460</v>
      </c>
      <c r="G1538" s="235">
        <f>'02 项目基础信息（输入）'!$O$54</f>
        <v>0</v>
      </c>
      <c r="H1538" s="199" t="s">
        <v>400</v>
      </c>
      <c r="I1538" s="198">
        <f t="shared" si="178"/>
        <v>0</v>
      </c>
      <c r="J1538" s="199" t="s">
        <v>93</v>
      </c>
      <c r="K1538" s="188">
        <v>0</v>
      </c>
      <c r="L1538" s="209" t="s">
        <v>675</v>
      </c>
      <c r="M1538" s="207">
        <f t="shared" si="179"/>
        <v>0</v>
      </c>
      <c r="N1538" s="198">
        <f>'02 项目基础信息（输入）'!$C$54</f>
        <v>0</v>
      </c>
      <c r="O1538" s="198">
        <f t="shared" si="172"/>
        <v>0</v>
      </c>
      <c r="P1538" s="198">
        <f>'02 项目基础信息（输入）'!$I$54</f>
        <v>0</v>
      </c>
      <c r="Q1538" s="233">
        <f t="shared" si="173"/>
        <v>0</v>
      </c>
      <c r="S1538" s="217"/>
      <c r="U1538" s="220" t="s">
        <v>3327</v>
      </c>
    </row>
    <row r="1539" spans="1:21" ht="0" hidden="1" customHeight="1" outlineLevel="4">
      <c r="A1539" s="192" t="s">
        <v>1864</v>
      </c>
      <c r="B1539" s="192"/>
      <c r="C1539" s="197" t="s">
        <v>1850</v>
      </c>
      <c r="D1539" s="198">
        <f>'02 项目基础信息（输入）'!$N$54</f>
        <v>0</v>
      </c>
      <c r="E1539" s="199" t="s">
        <v>411</v>
      </c>
      <c r="F1539" s="197" t="s">
        <v>460</v>
      </c>
      <c r="G1539" s="235">
        <f>'02 项目基础信息（输入）'!$O$54</f>
        <v>0</v>
      </c>
      <c r="H1539" s="199" t="s">
        <v>400</v>
      </c>
      <c r="I1539" s="198">
        <f t="shared" si="178"/>
        <v>0</v>
      </c>
      <c r="J1539" s="199" t="s">
        <v>93</v>
      </c>
      <c r="K1539" s="188">
        <v>0</v>
      </c>
      <c r="L1539" s="209" t="s">
        <v>675</v>
      </c>
      <c r="M1539" s="207">
        <f t="shared" si="179"/>
        <v>0</v>
      </c>
      <c r="N1539" s="198">
        <f>'02 项目基础信息（输入）'!$C$54</f>
        <v>0</v>
      </c>
      <c r="O1539" s="198">
        <f t="shared" ref="O1539:O1602" si="180">ROUND(IFERROR(M1539*10000/N1539,0),2)</f>
        <v>0</v>
      </c>
      <c r="P1539" s="198">
        <f>'02 项目基础信息（输入）'!$I$54</f>
        <v>0</v>
      </c>
      <c r="Q1539" s="233">
        <f t="shared" ref="Q1539:Q1602" si="181">ROUND(IFERROR(M1539*10000/P1539,0),2)</f>
        <v>0</v>
      </c>
      <c r="S1539" s="217"/>
      <c r="U1539" s="220" t="s">
        <v>3328</v>
      </c>
    </row>
    <row r="1540" spans="1:21" ht="0" hidden="1" customHeight="1" outlineLevel="3">
      <c r="A1540" s="192" t="s">
        <v>2127</v>
      </c>
      <c r="B1540" s="192"/>
      <c r="C1540" s="197"/>
      <c r="D1540" s="197">
        <v>0</v>
      </c>
      <c r="E1540" s="199"/>
      <c r="F1540" s="197"/>
      <c r="G1540" s="199"/>
      <c r="H1540" s="199"/>
      <c r="I1540" s="197">
        <v>0</v>
      </c>
      <c r="J1540" s="199"/>
      <c r="K1540" s="198"/>
      <c r="L1540" s="209"/>
      <c r="M1540" s="198">
        <f>ROUND(SUM(M1541:M1548),6)</f>
        <v>0</v>
      </c>
      <c r="N1540" s="198">
        <f>'02 项目基础信息（输入）'!$C$54</f>
        <v>0</v>
      </c>
      <c r="O1540" s="198">
        <f t="shared" si="180"/>
        <v>0</v>
      </c>
      <c r="P1540" s="198">
        <f>'02 项目基础信息（输入）'!$I$54</f>
        <v>0</v>
      </c>
      <c r="Q1540" s="233">
        <f t="shared" si="181"/>
        <v>0</v>
      </c>
      <c r="S1540" s="217"/>
      <c r="U1540" s="220" t="s">
        <v>3329</v>
      </c>
    </row>
    <row r="1541" spans="1:21" ht="0" hidden="1" customHeight="1" outlineLevel="4">
      <c r="A1541" s="192" t="s">
        <v>2129</v>
      </c>
      <c r="B1541" s="192"/>
      <c r="C1541" s="197" t="s">
        <v>2130</v>
      </c>
      <c r="D1541" s="198">
        <f>'02 项目基础信息（输入）'!$K$54</f>
        <v>0</v>
      </c>
      <c r="E1541" s="199" t="s">
        <v>411</v>
      </c>
      <c r="F1541" s="197" t="s">
        <v>457</v>
      </c>
      <c r="G1541" s="235">
        <f>'02 项目基础信息（输入）'!$L$54</f>
        <v>0</v>
      </c>
      <c r="H1541" s="199" t="s">
        <v>400</v>
      </c>
      <c r="I1541" s="198">
        <f t="shared" ref="I1541:I1551" si="182">G1541*D1541</f>
        <v>0</v>
      </c>
      <c r="J1541" s="199" t="s">
        <v>93</v>
      </c>
      <c r="K1541" s="188">
        <v>0</v>
      </c>
      <c r="L1541" s="209" t="s">
        <v>675</v>
      </c>
      <c r="M1541" s="198">
        <f t="shared" ref="M1541:M1551" si="183">ROUND(K1541*I1541/10000,6)</f>
        <v>0</v>
      </c>
      <c r="N1541" s="198">
        <f>'02 项目基础信息（输入）'!$C$54</f>
        <v>0</v>
      </c>
      <c r="O1541" s="198">
        <f t="shared" si="180"/>
        <v>0</v>
      </c>
      <c r="P1541" s="198">
        <f>'02 项目基础信息（输入）'!$I$54</f>
        <v>0</v>
      </c>
      <c r="Q1541" s="233">
        <f t="shared" si="181"/>
        <v>0</v>
      </c>
      <c r="S1541" s="217"/>
      <c r="U1541" s="220" t="s">
        <v>3330</v>
      </c>
    </row>
    <row r="1542" spans="1:21" ht="0" hidden="1" customHeight="1" outlineLevel="4">
      <c r="A1542" s="192" t="s">
        <v>2132</v>
      </c>
      <c r="B1542" s="192"/>
      <c r="C1542" s="197" t="s">
        <v>2130</v>
      </c>
      <c r="D1542" s="198">
        <f>'02 项目基础信息（输入）'!$K$54</f>
        <v>0</v>
      </c>
      <c r="E1542" s="199" t="s">
        <v>411</v>
      </c>
      <c r="F1542" s="197" t="s">
        <v>457</v>
      </c>
      <c r="G1542" s="235">
        <f>'02 项目基础信息（输入）'!$L$54</f>
        <v>0</v>
      </c>
      <c r="H1542" s="199" t="s">
        <v>400</v>
      </c>
      <c r="I1542" s="198">
        <f t="shared" si="182"/>
        <v>0</v>
      </c>
      <c r="J1542" s="199" t="s">
        <v>93</v>
      </c>
      <c r="K1542" s="188">
        <v>0</v>
      </c>
      <c r="L1542" s="209" t="s">
        <v>675</v>
      </c>
      <c r="M1542" s="198">
        <f t="shared" si="183"/>
        <v>0</v>
      </c>
      <c r="N1542" s="198">
        <f>'02 项目基础信息（输入）'!$C$54</f>
        <v>0</v>
      </c>
      <c r="O1542" s="198">
        <f t="shared" si="180"/>
        <v>0</v>
      </c>
      <c r="P1542" s="198">
        <f>'02 项目基础信息（输入）'!$I$54</f>
        <v>0</v>
      </c>
      <c r="Q1542" s="233">
        <f t="shared" si="181"/>
        <v>0</v>
      </c>
      <c r="S1542" s="217"/>
      <c r="U1542" s="220" t="s">
        <v>3331</v>
      </c>
    </row>
    <row r="1543" spans="1:21" ht="0" hidden="1" customHeight="1" outlineLevel="4">
      <c r="A1543" s="192" t="s">
        <v>2134</v>
      </c>
      <c r="B1543" s="192"/>
      <c r="C1543" s="197" t="s">
        <v>2130</v>
      </c>
      <c r="D1543" s="198">
        <f>'02 项目基础信息（输入）'!$K$54</f>
        <v>0</v>
      </c>
      <c r="E1543" s="199" t="s">
        <v>411</v>
      </c>
      <c r="F1543" s="197" t="s">
        <v>457</v>
      </c>
      <c r="G1543" s="235">
        <f>'02 项目基础信息（输入）'!$L$54</f>
        <v>0</v>
      </c>
      <c r="H1543" s="199" t="s">
        <v>400</v>
      </c>
      <c r="I1543" s="198">
        <f t="shared" si="182"/>
        <v>0</v>
      </c>
      <c r="J1543" s="199" t="s">
        <v>93</v>
      </c>
      <c r="K1543" s="188">
        <v>0</v>
      </c>
      <c r="L1543" s="209" t="s">
        <v>675</v>
      </c>
      <c r="M1543" s="198">
        <f t="shared" si="183"/>
        <v>0</v>
      </c>
      <c r="N1543" s="198">
        <f>'02 项目基础信息（输入）'!$C$54</f>
        <v>0</v>
      </c>
      <c r="O1543" s="198">
        <f t="shared" si="180"/>
        <v>0</v>
      </c>
      <c r="P1543" s="198">
        <f>'02 项目基础信息（输入）'!$I$54</f>
        <v>0</v>
      </c>
      <c r="Q1543" s="233">
        <f t="shared" si="181"/>
        <v>0</v>
      </c>
      <c r="S1543" s="217"/>
      <c r="U1543" s="220" t="s">
        <v>3332</v>
      </c>
    </row>
    <row r="1544" spans="1:21" ht="0" hidden="1" customHeight="1" outlineLevel="4">
      <c r="A1544" s="192" t="s">
        <v>2136</v>
      </c>
      <c r="B1544" s="192"/>
      <c r="C1544" s="197" t="s">
        <v>2130</v>
      </c>
      <c r="D1544" s="198">
        <f>'02 项目基础信息（输入）'!$K$54</f>
        <v>0</v>
      </c>
      <c r="E1544" s="199" t="s">
        <v>411</v>
      </c>
      <c r="F1544" s="197" t="s">
        <v>457</v>
      </c>
      <c r="G1544" s="235">
        <f>'02 项目基础信息（输入）'!$L$54</f>
        <v>0</v>
      </c>
      <c r="H1544" s="199" t="s">
        <v>400</v>
      </c>
      <c r="I1544" s="198">
        <f t="shared" si="182"/>
        <v>0</v>
      </c>
      <c r="J1544" s="199" t="s">
        <v>93</v>
      </c>
      <c r="K1544" s="188">
        <v>0</v>
      </c>
      <c r="L1544" s="209" t="s">
        <v>675</v>
      </c>
      <c r="M1544" s="198">
        <f t="shared" si="183"/>
        <v>0</v>
      </c>
      <c r="N1544" s="198">
        <f>'02 项目基础信息（输入）'!$C$54</f>
        <v>0</v>
      </c>
      <c r="O1544" s="198">
        <f t="shared" si="180"/>
        <v>0</v>
      </c>
      <c r="P1544" s="198">
        <f>'02 项目基础信息（输入）'!$I$54</f>
        <v>0</v>
      </c>
      <c r="Q1544" s="233">
        <f t="shared" si="181"/>
        <v>0</v>
      </c>
      <c r="S1544" s="217"/>
      <c r="U1544" s="220" t="s">
        <v>3333</v>
      </c>
    </row>
    <row r="1545" spans="1:21" ht="0" hidden="1" customHeight="1" outlineLevel="4">
      <c r="A1545" s="192" t="s">
        <v>2138</v>
      </c>
      <c r="B1545" s="192"/>
      <c r="C1545" s="197" t="s">
        <v>2130</v>
      </c>
      <c r="D1545" s="198">
        <f>'02 项目基础信息（输入）'!$K$54</f>
        <v>0</v>
      </c>
      <c r="E1545" s="199" t="s">
        <v>411</v>
      </c>
      <c r="F1545" s="197" t="s">
        <v>457</v>
      </c>
      <c r="G1545" s="235">
        <f>'02 项目基础信息（输入）'!$L$54</f>
        <v>0</v>
      </c>
      <c r="H1545" s="199" t="s">
        <v>400</v>
      </c>
      <c r="I1545" s="198">
        <f t="shared" si="182"/>
        <v>0</v>
      </c>
      <c r="J1545" s="199" t="s">
        <v>93</v>
      </c>
      <c r="K1545" s="188">
        <v>0</v>
      </c>
      <c r="L1545" s="209" t="s">
        <v>675</v>
      </c>
      <c r="M1545" s="198">
        <f t="shared" si="183"/>
        <v>0</v>
      </c>
      <c r="N1545" s="198">
        <f>'02 项目基础信息（输入）'!$C$54</f>
        <v>0</v>
      </c>
      <c r="O1545" s="198">
        <f t="shared" si="180"/>
        <v>0</v>
      </c>
      <c r="P1545" s="198">
        <f>'02 项目基础信息（输入）'!$I$54</f>
        <v>0</v>
      </c>
      <c r="Q1545" s="233">
        <f t="shared" si="181"/>
        <v>0</v>
      </c>
      <c r="S1545" s="217"/>
      <c r="U1545" s="220" t="s">
        <v>3334</v>
      </c>
    </row>
    <row r="1546" spans="1:21" ht="0" hidden="1" customHeight="1" outlineLevel="4">
      <c r="A1546" s="192" t="s">
        <v>2140</v>
      </c>
      <c r="B1546" s="192"/>
      <c r="C1546" s="197" t="s">
        <v>2130</v>
      </c>
      <c r="D1546" s="198">
        <f>'02 项目基础信息（输入）'!$K$54</f>
        <v>0</v>
      </c>
      <c r="E1546" s="199" t="s">
        <v>411</v>
      </c>
      <c r="F1546" s="197" t="s">
        <v>457</v>
      </c>
      <c r="G1546" s="235">
        <f>'02 项目基础信息（输入）'!$L$54</f>
        <v>0</v>
      </c>
      <c r="H1546" s="199" t="s">
        <v>400</v>
      </c>
      <c r="I1546" s="198">
        <f t="shared" si="182"/>
        <v>0</v>
      </c>
      <c r="J1546" s="199" t="s">
        <v>93</v>
      </c>
      <c r="K1546" s="188">
        <v>0</v>
      </c>
      <c r="L1546" s="209" t="s">
        <v>675</v>
      </c>
      <c r="M1546" s="198">
        <f t="shared" si="183"/>
        <v>0</v>
      </c>
      <c r="N1546" s="198">
        <f>'02 项目基础信息（输入）'!$C$54</f>
        <v>0</v>
      </c>
      <c r="O1546" s="198">
        <f t="shared" si="180"/>
        <v>0</v>
      </c>
      <c r="P1546" s="198">
        <f>'02 项目基础信息（输入）'!$I$54</f>
        <v>0</v>
      </c>
      <c r="Q1546" s="233">
        <f t="shared" si="181"/>
        <v>0</v>
      </c>
      <c r="S1546" s="217"/>
      <c r="U1546" s="220" t="s">
        <v>3335</v>
      </c>
    </row>
    <row r="1547" spans="1:21" ht="0" hidden="1" customHeight="1" outlineLevel="4">
      <c r="A1547" s="192" t="s">
        <v>2142</v>
      </c>
      <c r="B1547" s="192"/>
      <c r="C1547" s="197" t="s">
        <v>2130</v>
      </c>
      <c r="D1547" s="198">
        <f>'02 项目基础信息（输入）'!$K$54</f>
        <v>0</v>
      </c>
      <c r="E1547" s="199" t="s">
        <v>411</v>
      </c>
      <c r="F1547" s="197" t="s">
        <v>457</v>
      </c>
      <c r="G1547" s="235">
        <f>'02 项目基础信息（输入）'!$L$54</f>
        <v>0</v>
      </c>
      <c r="H1547" s="199" t="s">
        <v>400</v>
      </c>
      <c r="I1547" s="198">
        <f t="shared" si="182"/>
        <v>0</v>
      </c>
      <c r="J1547" s="199" t="s">
        <v>93</v>
      </c>
      <c r="K1547" s="188">
        <v>0</v>
      </c>
      <c r="L1547" s="209" t="s">
        <v>675</v>
      </c>
      <c r="M1547" s="198">
        <f t="shared" si="183"/>
        <v>0</v>
      </c>
      <c r="N1547" s="198">
        <f>'02 项目基础信息（输入）'!$C$54</f>
        <v>0</v>
      </c>
      <c r="O1547" s="198">
        <f t="shared" si="180"/>
        <v>0</v>
      </c>
      <c r="P1547" s="198">
        <f>'02 项目基础信息（输入）'!$I$54</f>
        <v>0</v>
      </c>
      <c r="Q1547" s="233">
        <f t="shared" si="181"/>
        <v>0</v>
      </c>
      <c r="S1547" s="217"/>
      <c r="U1547" s="220" t="s">
        <v>3336</v>
      </c>
    </row>
    <row r="1548" spans="1:21" ht="0" hidden="1" customHeight="1" outlineLevel="4">
      <c r="A1548" s="192" t="s">
        <v>2144</v>
      </c>
      <c r="B1548" s="192"/>
      <c r="C1548" s="197" t="s">
        <v>2130</v>
      </c>
      <c r="D1548" s="198">
        <f>'02 项目基础信息（输入）'!$K$54</f>
        <v>0</v>
      </c>
      <c r="E1548" s="199" t="s">
        <v>411</v>
      </c>
      <c r="F1548" s="197" t="s">
        <v>457</v>
      </c>
      <c r="G1548" s="235">
        <f>'02 项目基础信息（输入）'!$L$54</f>
        <v>0</v>
      </c>
      <c r="H1548" s="199" t="s">
        <v>400</v>
      </c>
      <c r="I1548" s="198">
        <f t="shared" si="182"/>
        <v>0</v>
      </c>
      <c r="J1548" s="199" t="s">
        <v>93</v>
      </c>
      <c r="K1548" s="188">
        <v>0</v>
      </c>
      <c r="L1548" s="209" t="s">
        <v>675</v>
      </c>
      <c r="M1548" s="198">
        <f t="shared" si="183"/>
        <v>0</v>
      </c>
      <c r="N1548" s="198">
        <f>'02 项目基础信息（输入）'!$C$54</f>
        <v>0</v>
      </c>
      <c r="O1548" s="198">
        <f t="shared" si="180"/>
        <v>0</v>
      </c>
      <c r="P1548" s="198">
        <f>'02 项目基础信息（输入）'!$I$54</f>
        <v>0</v>
      </c>
      <c r="Q1548" s="233">
        <f t="shared" si="181"/>
        <v>0</v>
      </c>
      <c r="S1548" s="217"/>
      <c r="U1548" s="220" t="s">
        <v>3337</v>
      </c>
    </row>
    <row r="1549" spans="1:21" ht="0" hidden="1" customHeight="1" outlineLevel="3">
      <c r="A1549" s="192" t="s">
        <v>2146</v>
      </c>
      <c r="B1549" s="192"/>
      <c r="C1549" s="197" t="s">
        <v>455</v>
      </c>
      <c r="D1549" s="198">
        <f>'02 项目基础信息（输入）'!$J$54</f>
        <v>0</v>
      </c>
      <c r="E1549" s="199" t="s">
        <v>400</v>
      </c>
      <c r="F1549" s="197" t="s">
        <v>455</v>
      </c>
      <c r="G1549" s="199">
        <v>1</v>
      </c>
      <c r="H1549" s="199" t="s">
        <v>1748</v>
      </c>
      <c r="I1549" s="198">
        <f t="shared" si="182"/>
        <v>0</v>
      </c>
      <c r="J1549" s="199" t="s">
        <v>400</v>
      </c>
      <c r="K1549" s="188">
        <v>0</v>
      </c>
      <c r="L1549" s="209" t="s">
        <v>1749</v>
      </c>
      <c r="M1549" s="198">
        <f t="shared" si="183"/>
        <v>0</v>
      </c>
      <c r="N1549" s="198">
        <f>'02 项目基础信息（输入）'!$C$54</f>
        <v>0</v>
      </c>
      <c r="O1549" s="198">
        <f t="shared" si="180"/>
        <v>0</v>
      </c>
      <c r="P1549" s="198">
        <f>'02 项目基础信息（输入）'!$I$54</f>
        <v>0</v>
      </c>
      <c r="Q1549" s="233">
        <f t="shared" si="181"/>
        <v>0</v>
      </c>
      <c r="S1549" s="217"/>
      <c r="U1549" s="220" t="s">
        <v>3338</v>
      </c>
    </row>
    <row r="1550" spans="1:21" ht="0" hidden="1" customHeight="1" outlineLevel="3">
      <c r="A1550" s="192" t="s">
        <v>2148</v>
      </c>
      <c r="B1550" s="192"/>
      <c r="C1550" s="197" t="s">
        <v>309</v>
      </c>
      <c r="D1550" s="198">
        <f>'02 项目基础信息（输入）'!$AC$54</f>
        <v>0</v>
      </c>
      <c r="E1550" s="199" t="s">
        <v>310</v>
      </c>
      <c r="F1550" s="197" t="s">
        <v>2149</v>
      </c>
      <c r="G1550" s="199">
        <v>1</v>
      </c>
      <c r="H1550" s="199" t="s">
        <v>2150</v>
      </c>
      <c r="I1550" s="198">
        <f t="shared" si="182"/>
        <v>0</v>
      </c>
      <c r="J1550" s="199" t="s">
        <v>400</v>
      </c>
      <c r="K1550" s="188">
        <v>0</v>
      </c>
      <c r="L1550" s="209" t="s">
        <v>1749</v>
      </c>
      <c r="M1550" s="207">
        <f t="shared" si="183"/>
        <v>0</v>
      </c>
      <c r="N1550" s="198">
        <f>'02 项目基础信息（输入）'!$C$54</f>
        <v>0</v>
      </c>
      <c r="O1550" s="198">
        <f t="shared" si="180"/>
        <v>0</v>
      </c>
      <c r="P1550" s="198">
        <f>'02 项目基础信息（输入）'!$I$54</f>
        <v>0</v>
      </c>
      <c r="Q1550" s="233">
        <f t="shared" si="181"/>
        <v>0</v>
      </c>
      <c r="S1550" s="217"/>
      <c r="U1550" s="220" t="s">
        <v>3339</v>
      </c>
    </row>
    <row r="1551" spans="1:21" ht="0" hidden="1" customHeight="1" outlineLevel="3">
      <c r="A1551" s="192" t="s">
        <v>1868</v>
      </c>
      <c r="B1551" s="192"/>
      <c r="C1551" s="197" t="s">
        <v>1609</v>
      </c>
      <c r="D1551" s="198">
        <f>'02 项目基础信息（输入）'!$C$54</f>
        <v>0</v>
      </c>
      <c r="E1551" s="199" t="s">
        <v>93</v>
      </c>
      <c r="F1551" s="197" t="s">
        <v>1648</v>
      </c>
      <c r="G1551" s="82">
        <v>0</v>
      </c>
      <c r="H1551" s="199" t="s">
        <v>298</v>
      </c>
      <c r="I1551" s="198">
        <f t="shared" si="182"/>
        <v>0</v>
      </c>
      <c r="J1551" s="199" t="s">
        <v>93</v>
      </c>
      <c r="K1551" s="188">
        <v>0</v>
      </c>
      <c r="L1551" s="209" t="s">
        <v>675</v>
      </c>
      <c r="M1551" s="207">
        <f t="shared" si="183"/>
        <v>0</v>
      </c>
      <c r="N1551" s="198">
        <f>'02 项目基础信息（输入）'!$C$54</f>
        <v>0</v>
      </c>
      <c r="O1551" s="198">
        <f t="shared" si="180"/>
        <v>0</v>
      </c>
      <c r="P1551" s="198">
        <f>'02 项目基础信息（输入）'!$I$54</f>
        <v>0</v>
      </c>
      <c r="Q1551" s="233">
        <f t="shared" si="181"/>
        <v>0</v>
      </c>
      <c r="S1551" s="217"/>
      <c r="U1551" s="220" t="s">
        <v>3340</v>
      </c>
    </row>
    <row r="1552" spans="1:21" ht="0" hidden="1" customHeight="1" outlineLevel="2">
      <c r="A1552" s="192" t="s">
        <v>1870</v>
      </c>
      <c r="B1552" s="192"/>
      <c r="C1552" s="197" t="s">
        <v>1609</v>
      </c>
      <c r="D1552" s="198">
        <f>'02 项目基础信息（输入）'!$C$54</f>
        <v>0</v>
      </c>
      <c r="E1552" s="199" t="s">
        <v>93</v>
      </c>
      <c r="F1552" s="197"/>
      <c r="G1552" s="199"/>
      <c r="H1552" s="199"/>
      <c r="I1552" s="197"/>
      <c r="J1552" s="199"/>
      <c r="K1552" s="198"/>
      <c r="L1552" s="209"/>
      <c r="M1552" s="198">
        <f>ROUND(SUM(M1553),6)</f>
        <v>0</v>
      </c>
      <c r="N1552" s="198">
        <f>'02 项目基础信息（输入）'!$C$54</f>
        <v>0</v>
      </c>
      <c r="O1552" s="198">
        <f t="shared" si="180"/>
        <v>0</v>
      </c>
      <c r="P1552" s="198">
        <f>'02 项目基础信息（输入）'!$I$54</f>
        <v>0</v>
      </c>
      <c r="Q1552" s="233">
        <f t="shared" si="181"/>
        <v>0</v>
      </c>
      <c r="S1552" s="217" t="s">
        <v>1313</v>
      </c>
      <c r="U1552" s="220" t="s">
        <v>3341</v>
      </c>
    </row>
    <row r="1553" spans="1:21" ht="0" hidden="1" customHeight="1" outlineLevel="3">
      <c r="A1553" s="192" t="s">
        <v>1872</v>
      </c>
      <c r="B1553" s="192"/>
      <c r="C1553" s="197" t="s">
        <v>460</v>
      </c>
      <c r="D1553" s="198">
        <f>'02 项目基础信息（输入）'!$O$54</f>
        <v>0</v>
      </c>
      <c r="E1553" s="199" t="s">
        <v>400</v>
      </c>
      <c r="F1553" s="197" t="s">
        <v>460</v>
      </c>
      <c r="G1553" s="199">
        <v>1</v>
      </c>
      <c r="H1553" s="199" t="s">
        <v>1873</v>
      </c>
      <c r="I1553" s="198">
        <f>G1553*D1553</f>
        <v>0</v>
      </c>
      <c r="J1553" s="199" t="s">
        <v>1052</v>
      </c>
      <c r="K1553" s="188">
        <v>0</v>
      </c>
      <c r="L1553" s="209" t="s">
        <v>746</v>
      </c>
      <c r="M1553" s="207">
        <f>ROUND(K1553*I1553/10000,6)</f>
        <v>0</v>
      </c>
      <c r="N1553" s="198">
        <f>'02 项目基础信息（输入）'!$C$54</f>
        <v>0</v>
      </c>
      <c r="O1553" s="198">
        <f t="shared" si="180"/>
        <v>0</v>
      </c>
      <c r="P1553" s="198">
        <f>'02 项目基础信息（输入）'!$I$54</f>
        <v>0</v>
      </c>
      <c r="Q1553" s="233">
        <f t="shared" si="181"/>
        <v>0</v>
      </c>
      <c r="S1553" s="217"/>
      <c r="U1553" s="220" t="s">
        <v>3342</v>
      </c>
    </row>
    <row r="1554" spans="1:21" ht="0" hidden="1" customHeight="1" outlineLevel="2">
      <c r="A1554" s="192" t="s">
        <v>1875</v>
      </c>
      <c r="B1554" s="192"/>
      <c r="C1554" s="197" t="s">
        <v>1609</v>
      </c>
      <c r="D1554" s="198">
        <f>'02 项目基础信息（输入）'!$C$54</f>
        <v>0</v>
      </c>
      <c r="E1554" s="199" t="s">
        <v>93</v>
      </c>
      <c r="F1554" s="197"/>
      <c r="G1554" s="199"/>
      <c r="H1554" s="199"/>
      <c r="I1554" s="197"/>
      <c r="J1554" s="199"/>
      <c r="K1554" s="198"/>
      <c r="L1554" s="209"/>
      <c r="M1554" s="198">
        <f>ROUND(SUM(M1555:M1557),6)</f>
        <v>0</v>
      </c>
      <c r="N1554" s="198">
        <f>'02 项目基础信息（输入）'!$C$54</f>
        <v>0</v>
      </c>
      <c r="O1554" s="198">
        <f t="shared" si="180"/>
        <v>0</v>
      </c>
      <c r="P1554" s="198">
        <f>'02 项目基础信息（输入）'!$I$54</f>
        <v>0</v>
      </c>
      <c r="Q1554" s="233">
        <f t="shared" si="181"/>
        <v>0</v>
      </c>
      <c r="S1554" s="217" t="s">
        <v>1313</v>
      </c>
      <c r="U1554" s="220" t="s">
        <v>3343</v>
      </c>
    </row>
    <row r="1555" spans="1:21" ht="0" hidden="1" customHeight="1" outlineLevel="3">
      <c r="A1555" s="192" t="s">
        <v>1877</v>
      </c>
      <c r="B1555" s="192"/>
      <c r="C1555" s="197" t="s">
        <v>1609</v>
      </c>
      <c r="D1555" s="198">
        <f>'02 项目基础信息（输入）'!$C$54</f>
        <v>0</v>
      </c>
      <c r="E1555" s="199" t="s">
        <v>93</v>
      </c>
      <c r="F1555" s="197" t="s">
        <v>694</v>
      </c>
      <c r="G1555" s="82"/>
      <c r="H1555" s="199" t="s">
        <v>298</v>
      </c>
      <c r="I1555" s="198">
        <f>G1555*D1555</f>
        <v>0</v>
      </c>
      <c r="J1555" s="199" t="s">
        <v>93</v>
      </c>
      <c r="K1555" s="188">
        <v>0</v>
      </c>
      <c r="L1555" s="209" t="s">
        <v>675</v>
      </c>
      <c r="M1555" s="207">
        <f>ROUND(K1555*I1555/10000,6)</f>
        <v>0</v>
      </c>
      <c r="N1555" s="198">
        <f>'02 项目基础信息（输入）'!$C$54</f>
        <v>0</v>
      </c>
      <c r="O1555" s="198">
        <f t="shared" si="180"/>
        <v>0</v>
      </c>
      <c r="P1555" s="198">
        <f>'02 项目基础信息（输入）'!$I$54</f>
        <v>0</v>
      </c>
      <c r="Q1555" s="233">
        <f t="shared" si="181"/>
        <v>0</v>
      </c>
      <c r="S1555" s="217"/>
      <c r="U1555" s="220" t="s">
        <v>3344</v>
      </c>
    </row>
    <row r="1556" spans="1:21" ht="0" hidden="1" customHeight="1" outlineLevel="3">
      <c r="A1556" s="192" t="s">
        <v>1879</v>
      </c>
      <c r="B1556" s="192"/>
      <c r="C1556" s="197" t="s">
        <v>1609</v>
      </c>
      <c r="D1556" s="198">
        <f>'02 项目基础信息（输入）'!$C$54</f>
        <v>0</v>
      </c>
      <c r="E1556" s="199" t="s">
        <v>93</v>
      </c>
      <c r="F1556" s="197" t="s">
        <v>694</v>
      </c>
      <c r="G1556" s="82"/>
      <c r="H1556" s="199" t="s">
        <v>298</v>
      </c>
      <c r="I1556" s="198">
        <f>G1556*D1556</f>
        <v>0</v>
      </c>
      <c r="J1556" s="199" t="s">
        <v>93</v>
      </c>
      <c r="K1556" s="188">
        <v>0</v>
      </c>
      <c r="L1556" s="209" t="s">
        <v>675</v>
      </c>
      <c r="M1556" s="207">
        <f>ROUND(K1556*I1556/10000,6)</f>
        <v>0</v>
      </c>
      <c r="N1556" s="198">
        <f>'02 项目基础信息（输入）'!$C$54</f>
        <v>0</v>
      </c>
      <c r="O1556" s="198">
        <f t="shared" si="180"/>
        <v>0</v>
      </c>
      <c r="P1556" s="198">
        <f>'02 项目基础信息（输入）'!$I$54</f>
        <v>0</v>
      </c>
      <c r="Q1556" s="233">
        <f t="shared" si="181"/>
        <v>0</v>
      </c>
      <c r="S1556" s="217"/>
      <c r="U1556" s="220" t="s">
        <v>3345</v>
      </c>
    </row>
    <row r="1557" spans="1:21" ht="0" hidden="1" customHeight="1" outlineLevel="3">
      <c r="A1557" s="192" t="s">
        <v>1881</v>
      </c>
      <c r="B1557" s="192"/>
      <c r="C1557" s="197" t="s">
        <v>1609</v>
      </c>
      <c r="D1557" s="198">
        <f>'02 项目基础信息（输入）'!$C$54</f>
        <v>0</v>
      </c>
      <c r="E1557" s="199" t="s">
        <v>93</v>
      </c>
      <c r="F1557" s="197" t="s">
        <v>694</v>
      </c>
      <c r="G1557" s="82"/>
      <c r="H1557" s="199" t="s">
        <v>298</v>
      </c>
      <c r="I1557" s="198">
        <f>G1557*D1557</f>
        <v>0</v>
      </c>
      <c r="J1557" s="199" t="s">
        <v>93</v>
      </c>
      <c r="K1557" s="188">
        <v>0</v>
      </c>
      <c r="L1557" s="209" t="s">
        <v>675</v>
      </c>
      <c r="M1557" s="207">
        <f>ROUND(K1557*I1557/10000,6)</f>
        <v>0</v>
      </c>
      <c r="N1557" s="198">
        <f>'02 项目基础信息（输入）'!$C$54</f>
        <v>0</v>
      </c>
      <c r="O1557" s="198">
        <f t="shared" si="180"/>
        <v>0</v>
      </c>
      <c r="P1557" s="198">
        <f>'02 项目基础信息（输入）'!$I$54</f>
        <v>0</v>
      </c>
      <c r="Q1557" s="233">
        <f t="shared" si="181"/>
        <v>0</v>
      </c>
      <c r="S1557" s="217"/>
      <c r="U1557" s="220" t="s">
        <v>3346</v>
      </c>
    </row>
    <row r="1558" spans="1:21" ht="0" hidden="1" customHeight="1" outlineLevel="2">
      <c r="A1558" s="192" t="s">
        <v>2159</v>
      </c>
      <c r="B1558" s="192"/>
      <c r="C1558" s="197" t="s">
        <v>1609</v>
      </c>
      <c r="D1558" s="198">
        <f>'02 项目基础信息（输入）'!$C$54</f>
        <v>0</v>
      </c>
      <c r="E1558" s="199" t="s">
        <v>93</v>
      </c>
      <c r="F1558" s="197"/>
      <c r="G1558" s="199"/>
      <c r="H1558" s="199"/>
      <c r="I1558" s="197"/>
      <c r="J1558" s="199"/>
      <c r="K1558" s="198"/>
      <c r="L1558" s="209"/>
      <c r="M1558" s="198">
        <f>ROUND(SUM(M1559),6)</f>
        <v>0</v>
      </c>
      <c r="N1558" s="198">
        <f>'02 项目基础信息（输入）'!$C$54</f>
        <v>0</v>
      </c>
      <c r="O1558" s="198">
        <f t="shared" si="180"/>
        <v>0</v>
      </c>
      <c r="P1558" s="198">
        <f>'02 项目基础信息（输入）'!$I$54</f>
        <v>0</v>
      </c>
      <c r="Q1558" s="233">
        <f t="shared" si="181"/>
        <v>0</v>
      </c>
      <c r="S1558" s="217" t="s">
        <v>1313</v>
      </c>
      <c r="U1558" s="220" t="s">
        <v>3347</v>
      </c>
    </row>
    <row r="1559" spans="1:21" ht="0" hidden="1" customHeight="1" outlineLevel="3">
      <c r="A1559" s="192" t="s">
        <v>2161</v>
      </c>
      <c r="B1559" s="192"/>
      <c r="C1559" s="197" t="s">
        <v>1609</v>
      </c>
      <c r="D1559" s="198">
        <f>'02 项目基础信息（输入）'!$C$54</f>
        <v>0</v>
      </c>
      <c r="E1559" s="199" t="s">
        <v>93</v>
      </c>
      <c r="F1559" s="197" t="s">
        <v>1886</v>
      </c>
      <c r="G1559" s="199">
        <v>1</v>
      </c>
      <c r="H1559" s="199" t="s">
        <v>298</v>
      </c>
      <c r="I1559" s="198">
        <f>G1559*D1559</f>
        <v>0</v>
      </c>
      <c r="J1559" s="199" t="s">
        <v>93</v>
      </c>
      <c r="K1559" s="188">
        <v>0</v>
      </c>
      <c r="L1559" s="209" t="s">
        <v>675</v>
      </c>
      <c r="M1559" s="207">
        <f>ROUND(K1559*I1559/10000,6)</f>
        <v>0</v>
      </c>
      <c r="N1559" s="198">
        <f>'02 项目基础信息（输入）'!$C$54</f>
        <v>0</v>
      </c>
      <c r="O1559" s="198">
        <f t="shared" si="180"/>
        <v>0</v>
      </c>
      <c r="P1559" s="198">
        <f>'02 项目基础信息（输入）'!$I$54</f>
        <v>0</v>
      </c>
      <c r="Q1559" s="233">
        <f t="shared" si="181"/>
        <v>0</v>
      </c>
      <c r="S1559" s="217"/>
      <c r="U1559" s="220" t="s">
        <v>3348</v>
      </c>
    </row>
    <row r="1560" spans="1:21" ht="0" hidden="1" customHeight="1" outlineLevel="2">
      <c r="A1560" s="192" t="s">
        <v>1883</v>
      </c>
      <c r="B1560" s="192"/>
      <c r="C1560" s="197" t="s">
        <v>1609</v>
      </c>
      <c r="D1560" s="198">
        <f>'02 项目基础信息（输入）'!$C$54</f>
        <v>0</v>
      </c>
      <c r="E1560" s="199" t="s">
        <v>93</v>
      </c>
      <c r="F1560" s="197"/>
      <c r="G1560" s="199"/>
      <c r="H1560" s="199"/>
      <c r="I1560" s="197"/>
      <c r="J1560" s="199"/>
      <c r="K1560" s="198"/>
      <c r="L1560" s="209"/>
      <c r="M1560" s="198">
        <f>ROUND(SUM(M1561),6)</f>
        <v>0</v>
      </c>
      <c r="N1560" s="198">
        <f>'02 项目基础信息（输入）'!$C$54</f>
        <v>0</v>
      </c>
      <c r="O1560" s="198">
        <f t="shared" si="180"/>
        <v>0</v>
      </c>
      <c r="P1560" s="198">
        <f>'02 项目基础信息（输入）'!$I$54</f>
        <v>0</v>
      </c>
      <c r="Q1560" s="233">
        <f t="shared" si="181"/>
        <v>0</v>
      </c>
      <c r="S1560" s="217" t="s">
        <v>1313</v>
      </c>
      <c r="U1560" s="220" t="s">
        <v>3349</v>
      </c>
    </row>
    <row r="1561" spans="1:21" ht="0" hidden="1" customHeight="1" outlineLevel="3">
      <c r="A1561" s="192" t="s">
        <v>1885</v>
      </c>
      <c r="B1561" s="192"/>
      <c r="C1561" s="197" t="s">
        <v>1609</v>
      </c>
      <c r="D1561" s="198">
        <f>'02 项目基础信息（输入）'!$C$54</f>
        <v>0</v>
      </c>
      <c r="E1561" s="199" t="s">
        <v>93</v>
      </c>
      <c r="F1561" s="197" t="s">
        <v>1886</v>
      </c>
      <c r="G1561" s="199">
        <v>1</v>
      </c>
      <c r="H1561" s="199" t="s">
        <v>298</v>
      </c>
      <c r="I1561" s="198">
        <f>G1561*D1561</f>
        <v>0</v>
      </c>
      <c r="J1561" s="199" t="s">
        <v>93</v>
      </c>
      <c r="K1561" s="188">
        <v>0</v>
      </c>
      <c r="L1561" s="209" t="s">
        <v>675</v>
      </c>
      <c r="M1561" s="207">
        <f>ROUND(K1561*I1561/10000,6)</f>
        <v>0</v>
      </c>
      <c r="N1561" s="198">
        <f>'02 项目基础信息（输入）'!$C$54</f>
        <v>0</v>
      </c>
      <c r="O1561" s="198">
        <f t="shared" si="180"/>
        <v>0</v>
      </c>
      <c r="P1561" s="198">
        <f>'02 项目基础信息（输入）'!$I$54</f>
        <v>0</v>
      </c>
      <c r="Q1561" s="233">
        <f t="shared" si="181"/>
        <v>0</v>
      </c>
      <c r="S1561" s="217"/>
      <c r="U1561" s="220" t="s">
        <v>3350</v>
      </c>
    </row>
    <row r="1562" spans="1:21" ht="0" hidden="1" customHeight="1" outlineLevel="2">
      <c r="A1562" s="192" t="s">
        <v>1888</v>
      </c>
      <c r="B1562" s="192"/>
      <c r="C1562" s="197" t="s">
        <v>1609</v>
      </c>
      <c r="D1562" s="198">
        <f>'02 项目基础信息（输入）'!$C$54</f>
        <v>0</v>
      </c>
      <c r="E1562" s="199" t="s">
        <v>93</v>
      </c>
      <c r="F1562" s="197"/>
      <c r="G1562" s="199"/>
      <c r="H1562" s="199"/>
      <c r="I1562" s="197"/>
      <c r="J1562" s="199"/>
      <c r="K1562" s="198"/>
      <c r="L1562" s="209"/>
      <c r="M1562" s="198">
        <f>ROUND(SUM(M1563:M1567),6)</f>
        <v>0</v>
      </c>
      <c r="N1562" s="198">
        <f>'02 项目基础信息（输入）'!$C$54</f>
        <v>0</v>
      </c>
      <c r="O1562" s="198">
        <f t="shared" si="180"/>
        <v>0</v>
      </c>
      <c r="P1562" s="198">
        <f>'02 项目基础信息（输入）'!$I$54</f>
        <v>0</v>
      </c>
      <c r="Q1562" s="233">
        <f t="shared" si="181"/>
        <v>0</v>
      </c>
      <c r="S1562" s="217" t="s">
        <v>1313</v>
      </c>
      <c r="U1562" s="220" t="s">
        <v>3351</v>
      </c>
    </row>
    <row r="1563" spans="1:21" ht="0" hidden="1" customHeight="1" outlineLevel="3">
      <c r="A1563" s="192" t="s">
        <v>1890</v>
      </c>
      <c r="B1563" s="192"/>
      <c r="C1563" s="197" t="s">
        <v>1609</v>
      </c>
      <c r="D1563" s="198">
        <f>'02 项目基础信息（输入）'!$C$54</f>
        <v>0</v>
      </c>
      <c r="E1563" s="199" t="s">
        <v>93</v>
      </c>
      <c r="F1563" s="197" t="s">
        <v>1886</v>
      </c>
      <c r="G1563" s="199">
        <v>1</v>
      </c>
      <c r="H1563" s="199" t="s">
        <v>298</v>
      </c>
      <c r="I1563" s="198">
        <f>G1563*D1563</f>
        <v>0</v>
      </c>
      <c r="J1563" s="199" t="s">
        <v>93</v>
      </c>
      <c r="K1563" s="188">
        <v>0</v>
      </c>
      <c r="L1563" s="209" t="s">
        <v>675</v>
      </c>
      <c r="M1563" s="207">
        <f>ROUND(K1563*I1563/10000,6)</f>
        <v>0</v>
      </c>
      <c r="N1563" s="198">
        <f>'02 项目基础信息（输入）'!$C$54</f>
        <v>0</v>
      </c>
      <c r="O1563" s="198">
        <f t="shared" si="180"/>
        <v>0</v>
      </c>
      <c r="P1563" s="198">
        <f>'02 项目基础信息（输入）'!$I$54</f>
        <v>0</v>
      </c>
      <c r="Q1563" s="233">
        <f t="shared" si="181"/>
        <v>0</v>
      </c>
      <c r="S1563" s="217"/>
      <c r="U1563" s="220" t="s">
        <v>3352</v>
      </c>
    </row>
    <row r="1564" spans="1:21" ht="0" hidden="1" customHeight="1" outlineLevel="3">
      <c r="A1564" s="192" t="s">
        <v>1892</v>
      </c>
      <c r="B1564" s="192"/>
      <c r="C1564" s="197" t="s">
        <v>1609</v>
      </c>
      <c r="D1564" s="198">
        <f>'02 项目基础信息（输入）'!$C$54</f>
        <v>0</v>
      </c>
      <c r="E1564" s="199" t="s">
        <v>93</v>
      </c>
      <c r="F1564" s="197" t="s">
        <v>1886</v>
      </c>
      <c r="G1564" s="199">
        <v>1</v>
      </c>
      <c r="H1564" s="199" t="s">
        <v>298</v>
      </c>
      <c r="I1564" s="198">
        <f>G1564*D1564</f>
        <v>0</v>
      </c>
      <c r="J1564" s="199" t="s">
        <v>93</v>
      </c>
      <c r="K1564" s="188">
        <v>0</v>
      </c>
      <c r="L1564" s="209" t="s">
        <v>675</v>
      </c>
      <c r="M1564" s="207">
        <f>ROUND(K1564*I1564/10000,6)</f>
        <v>0</v>
      </c>
      <c r="N1564" s="198">
        <f>'02 项目基础信息（输入）'!$C$54</f>
        <v>0</v>
      </c>
      <c r="O1564" s="198">
        <f t="shared" si="180"/>
        <v>0</v>
      </c>
      <c r="P1564" s="198">
        <f>'02 项目基础信息（输入）'!$I$54</f>
        <v>0</v>
      </c>
      <c r="Q1564" s="233">
        <f t="shared" si="181"/>
        <v>0</v>
      </c>
      <c r="S1564" s="217"/>
      <c r="U1564" s="220" t="s">
        <v>3353</v>
      </c>
    </row>
    <row r="1565" spans="1:21" ht="0" hidden="1" customHeight="1" outlineLevel="3">
      <c r="A1565" s="192" t="s">
        <v>1894</v>
      </c>
      <c r="B1565" s="192"/>
      <c r="C1565" s="197" t="s">
        <v>1609</v>
      </c>
      <c r="D1565" s="198">
        <f>'02 项目基础信息（输入）'!$C$54</f>
        <v>0</v>
      </c>
      <c r="E1565" s="199" t="s">
        <v>93</v>
      </c>
      <c r="F1565" s="197" t="s">
        <v>1886</v>
      </c>
      <c r="G1565" s="199">
        <v>1</v>
      </c>
      <c r="H1565" s="199" t="s">
        <v>298</v>
      </c>
      <c r="I1565" s="198">
        <f>G1565*D1565</f>
        <v>0</v>
      </c>
      <c r="J1565" s="199" t="s">
        <v>93</v>
      </c>
      <c r="K1565" s="188">
        <v>0</v>
      </c>
      <c r="L1565" s="209" t="s">
        <v>675</v>
      </c>
      <c r="M1565" s="207">
        <f>ROUND(K1565*I1565/10000,6)</f>
        <v>0</v>
      </c>
      <c r="N1565" s="198">
        <f>'02 项目基础信息（输入）'!$C$54</f>
        <v>0</v>
      </c>
      <c r="O1565" s="198">
        <f t="shared" si="180"/>
        <v>0</v>
      </c>
      <c r="P1565" s="198">
        <f>'02 项目基础信息（输入）'!$I$54</f>
        <v>0</v>
      </c>
      <c r="Q1565" s="233">
        <f t="shared" si="181"/>
        <v>0</v>
      </c>
      <c r="S1565" s="217"/>
      <c r="U1565" s="220" t="s">
        <v>3354</v>
      </c>
    </row>
    <row r="1566" spans="1:21" ht="0" hidden="1" customHeight="1" outlineLevel="3">
      <c r="A1566" s="192" t="s">
        <v>1896</v>
      </c>
      <c r="B1566" s="192"/>
      <c r="C1566" s="197" t="s">
        <v>1609</v>
      </c>
      <c r="D1566" s="198">
        <f>'02 项目基础信息（输入）'!$C$54</f>
        <v>0</v>
      </c>
      <c r="E1566" s="199" t="s">
        <v>93</v>
      </c>
      <c r="F1566" s="197" t="s">
        <v>1886</v>
      </c>
      <c r="G1566" s="199">
        <v>1</v>
      </c>
      <c r="H1566" s="199" t="s">
        <v>298</v>
      </c>
      <c r="I1566" s="198">
        <f>G1566*D1566</f>
        <v>0</v>
      </c>
      <c r="J1566" s="199" t="s">
        <v>93</v>
      </c>
      <c r="K1566" s="188">
        <v>0</v>
      </c>
      <c r="L1566" s="209" t="s">
        <v>675</v>
      </c>
      <c r="M1566" s="207">
        <f>ROUND(K1566*I1566/10000,6)</f>
        <v>0</v>
      </c>
      <c r="N1566" s="198">
        <f>'02 项目基础信息（输入）'!$C$54</f>
        <v>0</v>
      </c>
      <c r="O1566" s="198">
        <f t="shared" si="180"/>
        <v>0</v>
      </c>
      <c r="P1566" s="198">
        <f>'02 项目基础信息（输入）'!$I$54</f>
        <v>0</v>
      </c>
      <c r="Q1566" s="233">
        <f t="shared" si="181"/>
        <v>0</v>
      </c>
      <c r="S1566" s="217"/>
      <c r="U1566" s="220" t="s">
        <v>3355</v>
      </c>
    </row>
    <row r="1567" spans="1:21" ht="0" hidden="1" customHeight="1" outlineLevel="3">
      <c r="A1567" s="192" t="s">
        <v>1898</v>
      </c>
      <c r="B1567" s="192"/>
      <c r="C1567" s="197" t="s">
        <v>1609</v>
      </c>
      <c r="D1567" s="198">
        <f>'02 项目基础信息（输入）'!$C$54</f>
        <v>0</v>
      </c>
      <c r="E1567" s="199" t="s">
        <v>93</v>
      </c>
      <c r="F1567" s="197" t="s">
        <v>1886</v>
      </c>
      <c r="G1567" s="199">
        <v>1</v>
      </c>
      <c r="H1567" s="199" t="s">
        <v>298</v>
      </c>
      <c r="I1567" s="198">
        <f>G1567*D1567</f>
        <v>0</v>
      </c>
      <c r="J1567" s="199" t="s">
        <v>93</v>
      </c>
      <c r="K1567" s="188">
        <v>0</v>
      </c>
      <c r="L1567" s="209" t="s">
        <v>675</v>
      </c>
      <c r="M1567" s="207">
        <f>ROUND(K1567*I1567/10000,6)</f>
        <v>0</v>
      </c>
      <c r="N1567" s="198">
        <f>'02 项目基础信息（输入）'!$C$54</f>
        <v>0</v>
      </c>
      <c r="O1567" s="198">
        <f t="shared" si="180"/>
        <v>0</v>
      </c>
      <c r="P1567" s="198">
        <f>'02 项目基础信息（输入）'!$I$54</f>
        <v>0</v>
      </c>
      <c r="Q1567" s="233">
        <f t="shared" si="181"/>
        <v>0</v>
      </c>
      <c r="S1567" s="217"/>
      <c r="U1567" s="220" t="s">
        <v>3356</v>
      </c>
    </row>
    <row r="1568" spans="1:21" ht="0" hidden="1" customHeight="1" outlineLevel="2">
      <c r="A1568" s="192" t="s">
        <v>1900</v>
      </c>
      <c r="B1568" s="192"/>
      <c r="C1568" s="197" t="s">
        <v>1609</v>
      </c>
      <c r="D1568" s="198">
        <f>'02 项目基础信息（输入）'!$C$54</f>
        <v>0</v>
      </c>
      <c r="E1568" s="199" t="s">
        <v>93</v>
      </c>
      <c r="F1568" s="197"/>
      <c r="G1568" s="199"/>
      <c r="H1568" s="199"/>
      <c r="I1568" s="197"/>
      <c r="J1568" s="199"/>
      <c r="K1568" s="198"/>
      <c r="L1568" s="209"/>
      <c r="M1568" s="198">
        <f>ROUND(SUM(M1569:M1574),6)</f>
        <v>0</v>
      </c>
      <c r="N1568" s="198">
        <f>'02 项目基础信息（输入）'!$C$54</f>
        <v>0</v>
      </c>
      <c r="O1568" s="198">
        <f t="shared" si="180"/>
        <v>0</v>
      </c>
      <c r="P1568" s="198">
        <f>'02 项目基础信息（输入）'!$I$54</f>
        <v>0</v>
      </c>
      <c r="Q1568" s="233">
        <f t="shared" si="181"/>
        <v>0</v>
      </c>
      <c r="S1568" s="217" t="s">
        <v>1314</v>
      </c>
      <c r="U1568" s="220" t="s">
        <v>3357</v>
      </c>
    </row>
    <row r="1569" spans="1:21" ht="0" hidden="1" customHeight="1" outlineLevel="3">
      <c r="A1569" s="192" t="s">
        <v>1902</v>
      </c>
      <c r="B1569" s="192"/>
      <c r="C1569" s="197" t="s">
        <v>309</v>
      </c>
      <c r="D1569" s="198">
        <f>'02 项目基础信息（输入）'!$AC$54</f>
        <v>0</v>
      </c>
      <c r="E1569" s="199" t="s">
        <v>310</v>
      </c>
      <c r="F1569" s="197" t="s">
        <v>309</v>
      </c>
      <c r="G1569" s="199">
        <v>1</v>
      </c>
      <c r="H1569" s="199" t="s">
        <v>1903</v>
      </c>
      <c r="I1569" s="198">
        <f t="shared" ref="I1569:I1574" si="184">G1569*D1569</f>
        <v>0</v>
      </c>
      <c r="J1569" s="199" t="s">
        <v>310</v>
      </c>
      <c r="K1569" s="188">
        <v>0</v>
      </c>
      <c r="L1569" s="209" t="s">
        <v>736</v>
      </c>
      <c r="M1569" s="207">
        <f t="shared" ref="M1569:M1574" si="185">ROUND(K1569*I1569/10000,6)</f>
        <v>0</v>
      </c>
      <c r="N1569" s="198">
        <f>'02 项目基础信息（输入）'!$C$54</f>
        <v>0</v>
      </c>
      <c r="O1569" s="198">
        <f t="shared" si="180"/>
        <v>0</v>
      </c>
      <c r="P1569" s="198">
        <f>'02 项目基础信息（输入）'!$I$54</f>
        <v>0</v>
      </c>
      <c r="Q1569" s="233">
        <f t="shared" si="181"/>
        <v>0</v>
      </c>
      <c r="S1569" s="217"/>
      <c r="U1569" s="220" t="s">
        <v>3358</v>
      </c>
    </row>
    <row r="1570" spans="1:21" ht="0" hidden="1" customHeight="1" outlineLevel="3">
      <c r="A1570" s="192" t="s">
        <v>1905</v>
      </c>
      <c r="B1570" s="192"/>
      <c r="C1570" s="197" t="s">
        <v>309</v>
      </c>
      <c r="D1570" s="198">
        <f>'02 项目基础信息（输入）'!$AC$54</f>
        <v>0</v>
      </c>
      <c r="E1570" s="199" t="s">
        <v>310</v>
      </c>
      <c r="F1570" s="197" t="s">
        <v>309</v>
      </c>
      <c r="G1570" s="199">
        <v>1</v>
      </c>
      <c r="H1570" s="199" t="s">
        <v>1903</v>
      </c>
      <c r="I1570" s="198">
        <f t="shared" si="184"/>
        <v>0</v>
      </c>
      <c r="J1570" s="199" t="s">
        <v>310</v>
      </c>
      <c r="K1570" s="188">
        <v>0</v>
      </c>
      <c r="L1570" s="209" t="s">
        <v>736</v>
      </c>
      <c r="M1570" s="207">
        <f t="shared" si="185"/>
        <v>0</v>
      </c>
      <c r="N1570" s="198">
        <f>'02 项目基础信息（输入）'!$C$54</f>
        <v>0</v>
      </c>
      <c r="O1570" s="198">
        <f t="shared" si="180"/>
        <v>0</v>
      </c>
      <c r="P1570" s="198">
        <f>'02 项目基础信息（输入）'!$I$54</f>
        <v>0</v>
      </c>
      <c r="Q1570" s="233">
        <f t="shared" si="181"/>
        <v>0</v>
      </c>
      <c r="S1570" s="217"/>
      <c r="U1570" s="220" t="s">
        <v>3359</v>
      </c>
    </row>
    <row r="1571" spans="1:21" ht="0" hidden="1" customHeight="1" outlineLevel="3">
      <c r="A1571" s="192" t="s">
        <v>1907</v>
      </c>
      <c r="B1571" s="192"/>
      <c r="C1571" s="197" t="s">
        <v>309</v>
      </c>
      <c r="D1571" s="198">
        <f>'02 项目基础信息（输入）'!$AC$54</f>
        <v>0</v>
      </c>
      <c r="E1571" s="199" t="s">
        <v>310</v>
      </c>
      <c r="F1571" s="197" t="s">
        <v>309</v>
      </c>
      <c r="G1571" s="199">
        <v>1</v>
      </c>
      <c r="H1571" s="199" t="s">
        <v>1903</v>
      </c>
      <c r="I1571" s="198">
        <f t="shared" si="184"/>
        <v>0</v>
      </c>
      <c r="J1571" s="199" t="s">
        <v>310</v>
      </c>
      <c r="K1571" s="188">
        <v>0</v>
      </c>
      <c r="L1571" s="209" t="s">
        <v>736</v>
      </c>
      <c r="M1571" s="207">
        <f t="shared" si="185"/>
        <v>0</v>
      </c>
      <c r="N1571" s="198">
        <f>'02 项目基础信息（输入）'!$C$54</f>
        <v>0</v>
      </c>
      <c r="O1571" s="198">
        <f t="shared" si="180"/>
        <v>0</v>
      </c>
      <c r="P1571" s="198">
        <f>'02 项目基础信息（输入）'!$I$54</f>
        <v>0</v>
      </c>
      <c r="Q1571" s="233">
        <f t="shared" si="181"/>
        <v>0</v>
      </c>
      <c r="S1571" s="217"/>
      <c r="U1571" s="220" t="s">
        <v>3360</v>
      </c>
    </row>
    <row r="1572" spans="1:21" ht="0" hidden="1" customHeight="1" outlineLevel="3">
      <c r="A1572" s="192" t="s">
        <v>1909</v>
      </c>
      <c r="B1572" s="192"/>
      <c r="C1572" s="197" t="s">
        <v>309</v>
      </c>
      <c r="D1572" s="198">
        <f>'02 项目基础信息（输入）'!$AC$54</f>
        <v>0</v>
      </c>
      <c r="E1572" s="199" t="s">
        <v>310</v>
      </c>
      <c r="F1572" s="197" t="s">
        <v>309</v>
      </c>
      <c r="G1572" s="199">
        <v>1</v>
      </c>
      <c r="H1572" s="199" t="s">
        <v>1903</v>
      </c>
      <c r="I1572" s="198">
        <f t="shared" si="184"/>
        <v>0</v>
      </c>
      <c r="J1572" s="199" t="s">
        <v>310</v>
      </c>
      <c r="K1572" s="188">
        <v>0</v>
      </c>
      <c r="L1572" s="209" t="s">
        <v>736</v>
      </c>
      <c r="M1572" s="207">
        <f t="shared" si="185"/>
        <v>0</v>
      </c>
      <c r="N1572" s="198">
        <f>'02 项目基础信息（输入）'!$C$54</f>
        <v>0</v>
      </c>
      <c r="O1572" s="198">
        <f t="shared" si="180"/>
        <v>0</v>
      </c>
      <c r="P1572" s="198">
        <f>'02 项目基础信息（输入）'!$I$54</f>
        <v>0</v>
      </c>
      <c r="Q1572" s="233">
        <f t="shared" si="181"/>
        <v>0</v>
      </c>
      <c r="S1572" s="217"/>
      <c r="U1572" s="220" t="s">
        <v>3361</v>
      </c>
    </row>
    <row r="1573" spans="1:21" ht="0" hidden="1" customHeight="1" outlineLevel="3">
      <c r="A1573" s="192" t="s">
        <v>1911</v>
      </c>
      <c r="B1573" s="192"/>
      <c r="C1573" s="197" t="s">
        <v>309</v>
      </c>
      <c r="D1573" s="198">
        <f>'02 项目基础信息（输入）'!$AC$54</f>
        <v>0</v>
      </c>
      <c r="E1573" s="199" t="s">
        <v>310</v>
      </c>
      <c r="F1573" s="197" t="s">
        <v>309</v>
      </c>
      <c r="G1573" s="199">
        <v>1</v>
      </c>
      <c r="H1573" s="199" t="s">
        <v>1903</v>
      </c>
      <c r="I1573" s="198">
        <f t="shared" si="184"/>
        <v>0</v>
      </c>
      <c r="J1573" s="199" t="s">
        <v>310</v>
      </c>
      <c r="K1573" s="188">
        <v>0</v>
      </c>
      <c r="L1573" s="209" t="s">
        <v>736</v>
      </c>
      <c r="M1573" s="207">
        <f t="shared" si="185"/>
        <v>0</v>
      </c>
      <c r="N1573" s="198">
        <f>'02 项目基础信息（输入）'!$C$54</f>
        <v>0</v>
      </c>
      <c r="O1573" s="198">
        <f t="shared" si="180"/>
        <v>0</v>
      </c>
      <c r="P1573" s="198">
        <f>'02 项目基础信息（输入）'!$I$54</f>
        <v>0</v>
      </c>
      <c r="Q1573" s="233">
        <f t="shared" si="181"/>
        <v>0</v>
      </c>
      <c r="S1573" s="217"/>
      <c r="U1573" s="220" t="s">
        <v>3362</v>
      </c>
    </row>
    <row r="1574" spans="1:21" ht="0" hidden="1" customHeight="1" outlineLevel="3">
      <c r="A1574" s="192" t="s">
        <v>1913</v>
      </c>
      <c r="B1574" s="192"/>
      <c r="C1574" s="197" t="s">
        <v>309</v>
      </c>
      <c r="D1574" s="198">
        <f>'02 项目基础信息（输入）'!$AC$54</f>
        <v>0</v>
      </c>
      <c r="E1574" s="199" t="s">
        <v>310</v>
      </c>
      <c r="F1574" s="197" t="s">
        <v>309</v>
      </c>
      <c r="G1574" s="199">
        <v>1</v>
      </c>
      <c r="H1574" s="199" t="s">
        <v>1903</v>
      </c>
      <c r="I1574" s="198">
        <f t="shared" si="184"/>
        <v>0</v>
      </c>
      <c r="J1574" s="199" t="s">
        <v>310</v>
      </c>
      <c r="K1574" s="188">
        <v>0</v>
      </c>
      <c r="L1574" s="209" t="s">
        <v>736</v>
      </c>
      <c r="M1574" s="207">
        <f t="shared" si="185"/>
        <v>0</v>
      </c>
      <c r="N1574" s="198">
        <f>'02 项目基础信息（输入）'!$C$54</f>
        <v>0</v>
      </c>
      <c r="O1574" s="198">
        <f t="shared" si="180"/>
        <v>0</v>
      </c>
      <c r="P1574" s="198">
        <f>'02 项目基础信息（输入）'!$I$54</f>
        <v>0</v>
      </c>
      <c r="Q1574" s="233">
        <f t="shared" si="181"/>
        <v>0</v>
      </c>
      <c r="S1574" s="217"/>
      <c r="U1574" s="220" t="s">
        <v>3363</v>
      </c>
    </row>
    <row r="1575" spans="1:21" ht="0" hidden="1" customHeight="1" outlineLevel="2">
      <c r="A1575" s="192" t="s">
        <v>2178</v>
      </c>
      <c r="B1575" s="192"/>
      <c r="C1575" s="197" t="s">
        <v>1609</v>
      </c>
      <c r="D1575" s="198">
        <f>'02 项目基础信息（输入）'!$C$54</f>
        <v>0</v>
      </c>
      <c r="E1575" s="199" t="s">
        <v>93</v>
      </c>
      <c r="F1575" s="197"/>
      <c r="G1575" s="199"/>
      <c r="H1575" s="199"/>
      <c r="I1575" s="197"/>
      <c r="J1575" s="199"/>
      <c r="K1575" s="198"/>
      <c r="L1575" s="209"/>
      <c r="M1575" s="198">
        <f>ROUND(SUM(M1576),6)</f>
        <v>0</v>
      </c>
      <c r="N1575" s="198">
        <f>'02 项目基础信息（输入）'!$C$54</f>
        <v>0</v>
      </c>
      <c r="O1575" s="198">
        <f t="shared" si="180"/>
        <v>0</v>
      </c>
      <c r="P1575" s="198">
        <f>'02 项目基础信息（输入）'!$I$54</f>
        <v>0</v>
      </c>
      <c r="Q1575" s="233">
        <f t="shared" si="181"/>
        <v>0</v>
      </c>
      <c r="S1575" s="217" t="s">
        <v>1313</v>
      </c>
      <c r="U1575" s="220" t="s">
        <v>3364</v>
      </c>
    </row>
    <row r="1576" spans="1:21" ht="0" hidden="1" customHeight="1" outlineLevel="3">
      <c r="A1576" s="192" t="s">
        <v>2180</v>
      </c>
      <c r="B1576" s="192"/>
      <c r="C1576" s="197" t="s">
        <v>309</v>
      </c>
      <c r="D1576" s="198">
        <f>'02 项目基础信息（输入）'!$AC$54</f>
        <v>0</v>
      </c>
      <c r="E1576" s="199" t="s">
        <v>310</v>
      </c>
      <c r="F1576" s="197" t="s">
        <v>309</v>
      </c>
      <c r="G1576" s="199">
        <v>1</v>
      </c>
      <c r="H1576" s="199" t="s">
        <v>1903</v>
      </c>
      <c r="I1576" s="198">
        <f>G1576*D1576</f>
        <v>0</v>
      </c>
      <c r="J1576" s="199" t="s">
        <v>310</v>
      </c>
      <c r="K1576" s="188">
        <v>0</v>
      </c>
      <c r="L1576" s="209" t="s">
        <v>736</v>
      </c>
      <c r="M1576" s="207">
        <f>ROUND(K1576*I1576/10000,6)</f>
        <v>0</v>
      </c>
      <c r="N1576" s="198">
        <f>'02 项目基础信息（输入）'!$C$54</f>
        <v>0</v>
      </c>
      <c r="O1576" s="198">
        <f t="shared" si="180"/>
        <v>0</v>
      </c>
      <c r="P1576" s="198">
        <f>'02 项目基础信息（输入）'!$I$54</f>
        <v>0</v>
      </c>
      <c r="Q1576" s="233">
        <f t="shared" si="181"/>
        <v>0</v>
      </c>
      <c r="S1576" s="217"/>
      <c r="U1576" s="220" t="s">
        <v>3365</v>
      </c>
    </row>
    <row r="1577" spans="1:21" ht="0" hidden="1" customHeight="1" outlineLevel="2">
      <c r="A1577" s="192" t="s">
        <v>2182</v>
      </c>
      <c r="B1577" s="192"/>
      <c r="C1577" s="197" t="s">
        <v>1609</v>
      </c>
      <c r="D1577" s="198">
        <f>'02 项目基础信息（输入）'!$C$54</f>
        <v>0</v>
      </c>
      <c r="E1577" s="199" t="s">
        <v>93</v>
      </c>
      <c r="F1577" s="197"/>
      <c r="G1577" s="199"/>
      <c r="H1577" s="199"/>
      <c r="I1577" s="197"/>
      <c r="J1577" s="199"/>
      <c r="K1577" s="198"/>
      <c r="L1577" s="209"/>
      <c r="M1577" s="198">
        <f>ROUND(SUM(M1578),6)</f>
        <v>0</v>
      </c>
      <c r="N1577" s="198">
        <f>'02 项目基础信息（输入）'!$C$54</f>
        <v>0</v>
      </c>
      <c r="O1577" s="198">
        <f t="shared" si="180"/>
        <v>0</v>
      </c>
      <c r="P1577" s="198">
        <f>'02 项目基础信息（输入）'!$I$54</f>
        <v>0</v>
      </c>
      <c r="Q1577" s="233">
        <f t="shared" si="181"/>
        <v>0</v>
      </c>
      <c r="S1577" s="217" t="s">
        <v>1313</v>
      </c>
      <c r="U1577" s="220" t="s">
        <v>3366</v>
      </c>
    </row>
    <row r="1578" spans="1:21" ht="0" hidden="1" customHeight="1" outlineLevel="3">
      <c r="A1578" s="192" t="s">
        <v>2184</v>
      </c>
      <c r="B1578" s="192"/>
      <c r="C1578" s="197" t="s">
        <v>309</v>
      </c>
      <c r="D1578" s="198">
        <f>'02 项目基础信息（输入）'!$AC$54</f>
        <v>0</v>
      </c>
      <c r="E1578" s="199" t="s">
        <v>310</v>
      </c>
      <c r="F1578" s="197" t="s">
        <v>309</v>
      </c>
      <c r="G1578" s="199">
        <v>1</v>
      </c>
      <c r="H1578" s="199" t="s">
        <v>1903</v>
      </c>
      <c r="I1578" s="198">
        <f>G1578*D1578</f>
        <v>0</v>
      </c>
      <c r="J1578" s="199" t="s">
        <v>310</v>
      </c>
      <c r="K1578" s="188">
        <v>0</v>
      </c>
      <c r="L1578" s="209" t="s">
        <v>736</v>
      </c>
      <c r="M1578" s="198">
        <f>ROUND(K1578*I1578/10000,6)</f>
        <v>0</v>
      </c>
      <c r="N1578" s="198">
        <f>'02 项目基础信息（输入）'!$C$54</f>
        <v>0</v>
      </c>
      <c r="O1578" s="198">
        <f t="shared" si="180"/>
        <v>0</v>
      </c>
      <c r="P1578" s="198">
        <f>'02 项目基础信息（输入）'!$I$54</f>
        <v>0</v>
      </c>
      <c r="Q1578" s="233">
        <f t="shared" si="181"/>
        <v>0</v>
      </c>
      <c r="S1578" s="217"/>
      <c r="U1578" s="220" t="s">
        <v>3367</v>
      </c>
    </row>
    <row r="1579" spans="1:21" ht="0" hidden="1" customHeight="1" outlineLevel="2">
      <c r="A1579" s="192" t="s">
        <v>1915</v>
      </c>
      <c r="B1579" s="192"/>
      <c r="C1579" s="197" t="s">
        <v>1609</v>
      </c>
      <c r="D1579" s="198">
        <f>'02 项目基础信息（输入）'!$C$54</f>
        <v>0</v>
      </c>
      <c r="E1579" s="199" t="s">
        <v>93</v>
      </c>
      <c r="F1579" s="197"/>
      <c r="G1579" s="199"/>
      <c r="H1579" s="199"/>
      <c r="I1579" s="197"/>
      <c r="J1579" s="199"/>
      <c r="K1579" s="198"/>
      <c r="L1579" s="209"/>
      <c r="M1579" s="198">
        <f>ROUND(SUM(M1580:M1582),6)</f>
        <v>0</v>
      </c>
      <c r="N1579" s="198">
        <f>'02 项目基础信息（输入）'!$C$54</f>
        <v>0</v>
      </c>
      <c r="O1579" s="198">
        <f t="shared" si="180"/>
        <v>0</v>
      </c>
      <c r="P1579" s="198">
        <f>'02 项目基础信息（输入）'!$I$54</f>
        <v>0</v>
      </c>
      <c r="Q1579" s="233">
        <f t="shared" si="181"/>
        <v>0</v>
      </c>
      <c r="S1579" s="217" t="s">
        <v>1314</v>
      </c>
      <c r="U1579" s="220" t="s">
        <v>3368</v>
      </c>
    </row>
    <row r="1580" spans="1:21" ht="0" hidden="1" customHeight="1" outlineLevel="3">
      <c r="A1580" s="192" t="s">
        <v>1917</v>
      </c>
      <c r="B1580" s="192"/>
      <c r="C1580" s="197" t="s">
        <v>455</v>
      </c>
      <c r="D1580" s="198">
        <f>'02 项目基础信息（输入）'!$J$54</f>
        <v>0</v>
      </c>
      <c r="E1580" s="199" t="s">
        <v>400</v>
      </c>
      <c r="F1580" s="197" t="s">
        <v>455</v>
      </c>
      <c r="G1580" s="199">
        <v>1</v>
      </c>
      <c r="H1580" s="199" t="s">
        <v>1918</v>
      </c>
      <c r="I1580" s="198">
        <f>G1580*D1580</f>
        <v>0</v>
      </c>
      <c r="J1580" s="199" t="s">
        <v>1082</v>
      </c>
      <c r="K1580" s="188">
        <v>0</v>
      </c>
      <c r="L1580" s="209" t="s">
        <v>1087</v>
      </c>
      <c r="M1580" s="207">
        <f>ROUND(K1580*I1580/10000,6)</f>
        <v>0</v>
      </c>
      <c r="N1580" s="198">
        <f>'02 项目基础信息（输入）'!$C$54</f>
        <v>0</v>
      </c>
      <c r="O1580" s="198">
        <f t="shared" si="180"/>
        <v>0</v>
      </c>
      <c r="P1580" s="198">
        <f>'02 项目基础信息（输入）'!$I$54</f>
        <v>0</v>
      </c>
      <c r="Q1580" s="233">
        <f t="shared" si="181"/>
        <v>0</v>
      </c>
      <c r="S1580" s="217"/>
      <c r="U1580" s="220" t="s">
        <v>3369</v>
      </c>
    </row>
    <row r="1581" spans="1:21" ht="0" hidden="1" customHeight="1" outlineLevel="3">
      <c r="A1581" s="192" t="s">
        <v>1920</v>
      </c>
      <c r="B1581" s="192"/>
      <c r="C1581" s="197" t="s">
        <v>455</v>
      </c>
      <c r="D1581" s="198">
        <f>'02 项目基础信息（输入）'!$J$54</f>
        <v>0</v>
      </c>
      <c r="E1581" s="199" t="s">
        <v>400</v>
      </c>
      <c r="F1581" s="197" t="s">
        <v>455</v>
      </c>
      <c r="G1581" s="199">
        <v>1</v>
      </c>
      <c r="H1581" s="199" t="s">
        <v>1918</v>
      </c>
      <c r="I1581" s="198">
        <f>G1581*D1581</f>
        <v>0</v>
      </c>
      <c r="J1581" s="199" t="s">
        <v>1082</v>
      </c>
      <c r="K1581" s="188">
        <v>0</v>
      </c>
      <c r="L1581" s="209" t="s">
        <v>1087</v>
      </c>
      <c r="M1581" s="207">
        <f>ROUND(K1581*I1581/10000,6)</f>
        <v>0</v>
      </c>
      <c r="N1581" s="198">
        <f>'02 项目基础信息（输入）'!$C$54</f>
        <v>0</v>
      </c>
      <c r="O1581" s="198">
        <f t="shared" si="180"/>
        <v>0</v>
      </c>
      <c r="P1581" s="198">
        <f>'02 项目基础信息（输入）'!$I$54</f>
        <v>0</v>
      </c>
      <c r="Q1581" s="233">
        <f t="shared" si="181"/>
        <v>0</v>
      </c>
      <c r="S1581" s="217"/>
      <c r="U1581" s="220" t="s">
        <v>3370</v>
      </c>
    </row>
    <row r="1582" spans="1:21" ht="0" hidden="1" customHeight="1" outlineLevel="3">
      <c r="A1582" s="192" t="s">
        <v>1922</v>
      </c>
      <c r="B1582" s="192"/>
      <c r="C1582" s="197" t="s">
        <v>455</v>
      </c>
      <c r="D1582" s="198">
        <f>'02 项目基础信息（输入）'!$J$54</f>
        <v>0</v>
      </c>
      <c r="E1582" s="199" t="s">
        <v>400</v>
      </c>
      <c r="F1582" s="197" t="s">
        <v>455</v>
      </c>
      <c r="G1582" s="199">
        <v>1</v>
      </c>
      <c r="H1582" s="199" t="s">
        <v>1918</v>
      </c>
      <c r="I1582" s="198">
        <f>G1582*D1582</f>
        <v>0</v>
      </c>
      <c r="J1582" s="199" t="s">
        <v>1082</v>
      </c>
      <c r="K1582" s="188">
        <v>0</v>
      </c>
      <c r="L1582" s="209" t="s">
        <v>1087</v>
      </c>
      <c r="M1582" s="207">
        <f>ROUND(K1582*I1582/10000,6)</f>
        <v>0</v>
      </c>
      <c r="N1582" s="198">
        <f>'02 项目基础信息（输入）'!$C$54</f>
        <v>0</v>
      </c>
      <c r="O1582" s="198">
        <f t="shared" si="180"/>
        <v>0</v>
      </c>
      <c r="P1582" s="198">
        <f>'02 项目基础信息（输入）'!$I$54</f>
        <v>0</v>
      </c>
      <c r="Q1582" s="233">
        <f t="shared" si="181"/>
        <v>0</v>
      </c>
      <c r="S1582" s="217"/>
      <c r="U1582" s="220" t="s">
        <v>3371</v>
      </c>
    </row>
    <row r="1583" spans="1:21" ht="0" hidden="1" customHeight="1" outlineLevel="2">
      <c r="A1583" s="192" t="s">
        <v>1924</v>
      </c>
      <c r="B1583" s="192"/>
      <c r="C1583" s="197" t="s">
        <v>1609</v>
      </c>
      <c r="D1583" s="198">
        <f>'02 项目基础信息（输入）'!$C$54</f>
        <v>0</v>
      </c>
      <c r="E1583" s="199" t="s">
        <v>93</v>
      </c>
      <c r="F1583" s="197"/>
      <c r="G1583" s="199"/>
      <c r="H1583" s="199"/>
      <c r="I1583" s="197"/>
      <c r="J1583" s="199"/>
      <c r="K1583" s="198"/>
      <c r="L1583" s="209"/>
      <c r="M1583" s="198">
        <f>ROUND(SUM(M1584),6)</f>
        <v>0</v>
      </c>
      <c r="N1583" s="198">
        <f>'02 项目基础信息（输入）'!$C$54</f>
        <v>0</v>
      </c>
      <c r="O1583" s="198">
        <f t="shared" si="180"/>
        <v>0</v>
      </c>
      <c r="P1583" s="198">
        <f>'02 项目基础信息（输入）'!$I$54</f>
        <v>0</v>
      </c>
      <c r="Q1583" s="233">
        <f t="shared" si="181"/>
        <v>0</v>
      </c>
      <c r="S1583" s="217" t="s">
        <v>1313</v>
      </c>
      <c r="U1583" s="220" t="s">
        <v>3372</v>
      </c>
    </row>
    <row r="1584" spans="1:21" ht="0" hidden="1" customHeight="1" outlineLevel="3">
      <c r="A1584" s="192" t="s">
        <v>1926</v>
      </c>
      <c r="B1584" s="192"/>
      <c r="C1584" s="197" t="s">
        <v>1609</v>
      </c>
      <c r="D1584" s="198">
        <f>'02 项目基础信息（输入）'!$C$54</f>
        <v>0</v>
      </c>
      <c r="E1584" s="199" t="s">
        <v>93</v>
      </c>
      <c r="F1584" s="197" t="s">
        <v>1927</v>
      </c>
      <c r="G1584" s="82">
        <v>0</v>
      </c>
      <c r="H1584" s="199" t="s">
        <v>298</v>
      </c>
      <c r="I1584" s="198">
        <f>G1584*D1584</f>
        <v>0</v>
      </c>
      <c r="J1584" s="199" t="s">
        <v>93</v>
      </c>
      <c r="K1584" s="188">
        <v>0</v>
      </c>
      <c r="L1584" s="209" t="s">
        <v>675</v>
      </c>
      <c r="M1584" s="207">
        <f>ROUND(K1584*I1584/10000,6)</f>
        <v>0</v>
      </c>
      <c r="N1584" s="198">
        <f>'02 项目基础信息（输入）'!$C$54</f>
        <v>0</v>
      </c>
      <c r="O1584" s="198">
        <f t="shared" si="180"/>
        <v>0</v>
      </c>
      <c r="P1584" s="198">
        <f>'02 项目基础信息（输入）'!$I$54</f>
        <v>0</v>
      </c>
      <c r="Q1584" s="233">
        <f t="shared" si="181"/>
        <v>0</v>
      </c>
      <c r="S1584" s="217"/>
      <c r="U1584" s="220" t="s">
        <v>3373</v>
      </c>
    </row>
    <row r="1585" spans="1:21" ht="0" hidden="1" customHeight="1" outlineLevel="2">
      <c r="A1585" s="192" t="s">
        <v>1931</v>
      </c>
      <c r="B1585" s="192"/>
      <c r="C1585" s="197" t="s">
        <v>1609</v>
      </c>
      <c r="D1585" s="198">
        <f>'02 项目基础信息（输入）'!$C$54</f>
        <v>0</v>
      </c>
      <c r="E1585" s="199" t="s">
        <v>93</v>
      </c>
      <c r="F1585" s="197"/>
      <c r="G1585" s="199"/>
      <c r="H1585" s="199"/>
      <c r="I1585" s="197"/>
      <c r="J1585" s="199"/>
      <c r="K1585" s="198"/>
      <c r="L1585" s="209"/>
      <c r="M1585" s="198">
        <f>ROUND(SUM(M1586),6)</f>
        <v>0</v>
      </c>
      <c r="N1585" s="198">
        <f>'02 项目基础信息（输入）'!$C$54</f>
        <v>0</v>
      </c>
      <c r="O1585" s="198">
        <f t="shared" si="180"/>
        <v>0</v>
      </c>
      <c r="P1585" s="198">
        <f>'02 项目基础信息（输入）'!$I$54</f>
        <v>0</v>
      </c>
      <c r="Q1585" s="233">
        <f t="shared" si="181"/>
        <v>0</v>
      </c>
      <c r="S1585" s="217" t="s">
        <v>1313</v>
      </c>
      <c r="U1585" s="220" t="s">
        <v>3374</v>
      </c>
    </row>
    <row r="1586" spans="1:21" ht="0" hidden="1" customHeight="1" outlineLevel="3">
      <c r="A1586" s="192" t="s">
        <v>1933</v>
      </c>
      <c r="B1586" s="192"/>
      <c r="C1586" s="197" t="s">
        <v>1609</v>
      </c>
      <c r="D1586" s="198">
        <f>'02 项目基础信息（输入）'!$C$54</f>
        <v>0</v>
      </c>
      <c r="E1586" s="199" t="s">
        <v>93</v>
      </c>
      <c r="F1586" s="197" t="s">
        <v>1886</v>
      </c>
      <c r="G1586" s="199">
        <v>1</v>
      </c>
      <c r="H1586" s="199" t="s">
        <v>298</v>
      </c>
      <c r="I1586" s="198">
        <f>G1586*D1586</f>
        <v>0</v>
      </c>
      <c r="J1586" s="199" t="s">
        <v>93</v>
      </c>
      <c r="K1586" s="188">
        <v>0</v>
      </c>
      <c r="L1586" s="209" t="s">
        <v>675</v>
      </c>
      <c r="M1586" s="207">
        <f>ROUND(K1586*I1586/10000,6)</f>
        <v>0</v>
      </c>
      <c r="N1586" s="198">
        <f>'02 项目基础信息（输入）'!$C$54</f>
        <v>0</v>
      </c>
      <c r="O1586" s="198">
        <f t="shared" si="180"/>
        <v>0</v>
      </c>
      <c r="P1586" s="198">
        <f>'02 项目基础信息（输入）'!$I$54</f>
        <v>0</v>
      </c>
      <c r="Q1586" s="233">
        <f t="shared" si="181"/>
        <v>0</v>
      </c>
      <c r="S1586" s="217"/>
      <c r="U1586" s="220" t="s">
        <v>3375</v>
      </c>
    </row>
    <row r="1587" spans="1:21" ht="0" hidden="1" customHeight="1" outlineLevel="2">
      <c r="A1587" s="192" t="s">
        <v>1935</v>
      </c>
      <c r="B1587" s="192"/>
      <c r="C1587" s="197" t="s">
        <v>1609</v>
      </c>
      <c r="D1587" s="198">
        <f>'02 项目基础信息（输入）'!$C$54</f>
        <v>0</v>
      </c>
      <c r="E1587" s="199" t="s">
        <v>93</v>
      </c>
      <c r="F1587" s="197"/>
      <c r="G1587" s="199"/>
      <c r="H1587" s="199"/>
      <c r="I1587" s="197"/>
      <c r="J1587" s="199"/>
      <c r="K1587" s="198"/>
      <c r="L1587" s="209"/>
      <c r="M1587" s="198">
        <f>ROUND(SUM(M1588:M1590),6)</f>
        <v>0</v>
      </c>
      <c r="N1587" s="198">
        <f>'02 项目基础信息（输入）'!$C$54</f>
        <v>0</v>
      </c>
      <c r="O1587" s="198">
        <f t="shared" si="180"/>
        <v>0</v>
      </c>
      <c r="P1587" s="198">
        <f>'02 项目基础信息（输入）'!$I$54</f>
        <v>0</v>
      </c>
      <c r="Q1587" s="233">
        <f t="shared" si="181"/>
        <v>0</v>
      </c>
      <c r="S1587" s="217" t="s">
        <v>1313</v>
      </c>
      <c r="U1587" s="220" t="s">
        <v>3376</v>
      </c>
    </row>
    <row r="1588" spans="1:21" ht="0" hidden="1" customHeight="1" outlineLevel="3">
      <c r="A1588" s="192" t="s">
        <v>2195</v>
      </c>
      <c r="B1588" s="192"/>
      <c r="C1588" s="197" t="s">
        <v>309</v>
      </c>
      <c r="D1588" s="198">
        <f>'02 项目基础信息（输入）'!$AC$54</f>
        <v>0</v>
      </c>
      <c r="E1588" s="199" t="s">
        <v>310</v>
      </c>
      <c r="F1588" s="197" t="s">
        <v>2196</v>
      </c>
      <c r="G1588" s="82">
        <v>0</v>
      </c>
      <c r="H1588" s="199" t="s">
        <v>2197</v>
      </c>
      <c r="I1588" s="198">
        <f>G1588*D1588</f>
        <v>0</v>
      </c>
      <c r="J1588" s="199" t="s">
        <v>2198</v>
      </c>
      <c r="K1588" s="188">
        <v>0</v>
      </c>
      <c r="L1588" s="209" t="s">
        <v>841</v>
      </c>
      <c r="M1588" s="207">
        <f>ROUND(K1588*I1588/10000,6)</f>
        <v>0</v>
      </c>
      <c r="N1588" s="198">
        <f>'02 项目基础信息（输入）'!$C$54</f>
        <v>0</v>
      </c>
      <c r="O1588" s="198">
        <f t="shared" si="180"/>
        <v>0</v>
      </c>
      <c r="P1588" s="198">
        <f>'02 项目基础信息（输入）'!$I$54</f>
        <v>0</v>
      </c>
      <c r="Q1588" s="233">
        <f t="shared" si="181"/>
        <v>0</v>
      </c>
      <c r="S1588" s="217"/>
      <c r="U1588" s="220" t="s">
        <v>3377</v>
      </c>
    </row>
    <row r="1589" spans="1:21" ht="0" hidden="1" customHeight="1" outlineLevel="3">
      <c r="A1589" s="192" t="s">
        <v>2200</v>
      </c>
      <c r="B1589" s="192"/>
      <c r="C1589" s="197" t="s">
        <v>309</v>
      </c>
      <c r="D1589" s="198">
        <f>'02 项目基础信息（输入）'!$AC$54</f>
        <v>0</v>
      </c>
      <c r="E1589" s="199" t="s">
        <v>310</v>
      </c>
      <c r="F1589" s="197" t="s">
        <v>2196</v>
      </c>
      <c r="G1589" s="82">
        <v>0</v>
      </c>
      <c r="H1589" s="199" t="s">
        <v>2197</v>
      </c>
      <c r="I1589" s="198">
        <f>G1589*D1589</f>
        <v>0</v>
      </c>
      <c r="J1589" s="199" t="s">
        <v>2198</v>
      </c>
      <c r="K1589" s="188">
        <v>0</v>
      </c>
      <c r="L1589" s="209" t="s">
        <v>841</v>
      </c>
      <c r="M1589" s="207">
        <f>ROUND(K1589*I1589/10000,6)</f>
        <v>0</v>
      </c>
      <c r="N1589" s="198">
        <f>'02 项目基础信息（输入）'!$C$54</f>
        <v>0</v>
      </c>
      <c r="O1589" s="198">
        <f t="shared" si="180"/>
        <v>0</v>
      </c>
      <c r="P1589" s="198">
        <f>'02 项目基础信息（输入）'!$I$54</f>
        <v>0</v>
      </c>
      <c r="Q1589" s="233">
        <f t="shared" si="181"/>
        <v>0</v>
      </c>
      <c r="S1589" s="217"/>
      <c r="U1589" s="220" t="s">
        <v>3378</v>
      </c>
    </row>
    <row r="1590" spans="1:21" ht="0" hidden="1" customHeight="1" outlineLevel="3">
      <c r="A1590" s="192" t="s">
        <v>2202</v>
      </c>
      <c r="B1590" s="192"/>
      <c r="C1590" s="197" t="s">
        <v>309</v>
      </c>
      <c r="D1590" s="198">
        <f>'02 项目基础信息（输入）'!$AC$54</f>
        <v>0</v>
      </c>
      <c r="E1590" s="199" t="s">
        <v>310</v>
      </c>
      <c r="F1590" s="197" t="s">
        <v>2196</v>
      </c>
      <c r="G1590" s="82">
        <v>0</v>
      </c>
      <c r="H1590" s="199" t="s">
        <v>2197</v>
      </c>
      <c r="I1590" s="198">
        <f>G1590*D1590</f>
        <v>0</v>
      </c>
      <c r="J1590" s="199" t="s">
        <v>2198</v>
      </c>
      <c r="K1590" s="188">
        <v>0</v>
      </c>
      <c r="L1590" s="209" t="s">
        <v>841</v>
      </c>
      <c r="M1590" s="207">
        <f>ROUND(K1590*I1590/10000,6)</f>
        <v>0</v>
      </c>
      <c r="N1590" s="198">
        <f>'02 项目基础信息（输入）'!$C$54</f>
        <v>0</v>
      </c>
      <c r="O1590" s="198">
        <f t="shared" si="180"/>
        <v>0</v>
      </c>
      <c r="P1590" s="198">
        <f>'02 项目基础信息（输入）'!$I$54</f>
        <v>0</v>
      </c>
      <c r="Q1590" s="233">
        <f t="shared" si="181"/>
        <v>0</v>
      </c>
      <c r="S1590" s="217"/>
      <c r="U1590" s="220" t="s">
        <v>3379</v>
      </c>
    </row>
    <row r="1591" spans="1:21" ht="0" hidden="1" customHeight="1" outlineLevel="2">
      <c r="A1591" s="192" t="s">
        <v>1937</v>
      </c>
      <c r="B1591" s="192"/>
      <c r="C1591" s="197" t="s">
        <v>1609</v>
      </c>
      <c r="D1591" s="198">
        <f>'02 项目基础信息（输入）'!$C$54</f>
        <v>0</v>
      </c>
      <c r="E1591" s="199" t="s">
        <v>93</v>
      </c>
      <c r="F1591" s="197"/>
      <c r="G1591" s="199"/>
      <c r="H1591" s="199"/>
      <c r="I1591" s="197"/>
      <c r="J1591" s="199"/>
      <c r="K1591" s="198"/>
      <c r="L1591" s="209"/>
      <c r="M1591" s="198">
        <f>ROUND(SUM(M1592),6)</f>
        <v>0</v>
      </c>
      <c r="N1591" s="198">
        <f>'02 项目基础信息（输入）'!$C$54</f>
        <v>0</v>
      </c>
      <c r="O1591" s="198">
        <f t="shared" si="180"/>
        <v>0</v>
      </c>
      <c r="P1591" s="198">
        <f>'02 项目基础信息（输入）'!$I$54</f>
        <v>0</v>
      </c>
      <c r="Q1591" s="233">
        <f t="shared" si="181"/>
        <v>0</v>
      </c>
      <c r="S1591" s="217" t="s">
        <v>1313</v>
      </c>
      <c r="U1591" s="220" t="s">
        <v>3380</v>
      </c>
    </row>
    <row r="1592" spans="1:21" ht="0" hidden="1" customHeight="1" outlineLevel="3">
      <c r="A1592" s="192" t="s">
        <v>2205</v>
      </c>
      <c r="B1592" s="192"/>
      <c r="C1592" s="197" t="s">
        <v>1609</v>
      </c>
      <c r="D1592" s="198">
        <f>'02 项目基础信息（输入）'!$C$54</f>
        <v>0</v>
      </c>
      <c r="E1592" s="199" t="s">
        <v>93</v>
      </c>
      <c r="F1592" s="197" t="s">
        <v>1609</v>
      </c>
      <c r="G1592" s="199">
        <v>1</v>
      </c>
      <c r="H1592" s="199" t="s">
        <v>298</v>
      </c>
      <c r="I1592" s="198">
        <f>G1592*D1592</f>
        <v>0</v>
      </c>
      <c r="J1592" s="199" t="s">
        <v>93</v>
      </c>
      <c r="K1592" s="188">
        <v>0</v>
      </c>
      <c r="L1592" s="209" t="s">
        <v>675</v>
      </c>
      <c r="M1592" s="207">
        <f>ROUND(K1592*I1592/10000,6)</f>
        <v>0</v>
      </c>
      <c r="N1592" s="198">
        <f>'02 项目基础信息（输入）'!$C$54</f>
        <v>0</v>
      </c>
      <c r="O1592" s="198">
        <f t="shared" si="180"/>
        <v>0</v>
      </c>
      <c r="P1592" s="198">
        <f>'02 项目基础信息（输入）'!$I$54</f>
        <v>0</v>
      </c>
      <c r="Q1592" s="233">
        <f t="shared" si="181"/>
        <v>0</v>
      </c>
      <c r="S1592" s="217"/>
      <c r="U1592" s="220" t="s">
        <v>3381</v>
      </c>
    </row>
    <row r="1593" spans="1:21" ht="0" hidden="1" customHeight="1" outlineLevel="2">
      <c r="A1593" s="192" t="s">
        <v>1939</v>
      </c>
      <c r="B1593" s="192"/>
      <c r="C1593" s="197" t="s">
        <v>1609</v>
      </c>
      <c r="D1593" s="198">
        <f>'02 项目基础信息（输入）'!$C$54</f>
        <v>0</v>
      </c>
      <c r="E1593" s="199" t="s">
        <v>93</v>
      </c>
      <c r="F1593" s="197"/>
      <c r="G1593" s="199"/>
      <c r="H1593" s="199"/>
      <c r="I1593" s="197"/>
      <c r="J1593" s="199"/>
      <c r="K1593" s="198"/>
      <c r="L1593" s="209"/>
      <c r="M1593" s="198">
        <f>ROUND(SUM(M1594),6)</f>
        <v>0</v>
      </c>
      <c r="N1593" s="198">
        <f>'02 项目基础信息（输入）'!$C$54</f>
        <v>0</v>
      </c>
      <c r="O1593" s="198">
        <f t="shared" si="180"/>
        <v>0</v>
      </c>
      <c r="P1593" s="198">
        <f>'02 项目基础信息（输入）'!$I$54</f>
        <v>0</v>
      </c>
      <c r="Q1593" s="233">
        <f t="shared" si="181"/>
        <v>0</v>
      </c>
      <c r="S1593" s="217" t="s">
        <v>1313</v>
      </c>
      <c r="U1593" s="220" t="s">
        <v>3382</v>
      </c>
    </row>
    <row r="1594" spans="1:21" ht="0" hidden="1" customHeight="1" outlineLevel="3">
      <c r="A1594" s="192" t="s">
        <v>2208</v>
      </c>
      <c r="B1594" s="192"/>
      <c r="C1594" s="197" t="s">
        <v>477</v>
      </c>
      <c r="D1594" s="198">
        <f>'02 项目基础信息（输入）'!$AG$54</f>
        <v>0</v>
      </c>
      <c r="E1594" s="199" t="s">
        <v>2209</v>
      </c>
      <c r="F1594" s="197" t="s">
        <v>477</v>
      </c>
      <c r="G1594" s="199">
        <v>1</v>
      </c>
      <c r="H1594" s="199" t="s">
        <v>2210</v>
      </c>
      <c r="I1594" s="198">
        <f>G1594*D1594</f>
        <v>0</v>
      </c>
      <c r="J1594" s="199" t="s">
        <v>2209</v>
      </c>
      <c r="K1594" s="188">
        <v>0</v>
      </c>
      <c r="L1594" s="209" t="s">
        <v>2211</v>
      </c>
      <c r="M1594" s="207">
        <f>ROUND(K1594*I1594/10000,6)</f>
        <v>0</v>
      </c>
      <c r="N1594" s="198">
        <f>'02 项目基础信息（输入）'!$C$54</f>
        <v>0</v>
      </c>
      <c r="O1594" s="198">
        <f t="shared" si="180"/>
        <v>0</v>
      </c>
      <c r="P1594" s="198">
        <f>'02 项目基础信息（输入）'!$I$54</f>
        <v>0</v>
      </c>
      <c r="Q1594" s="233">
        <f t="shared" si="181"/>
        <v>0</v>
      </c>
      <c r="S1594" s="217"/>
      <c r="U1594" s="220" t="s">
        <v>3383</v>
      </c>
    </row>
    <row r="1595" spans="1:21" ht="0" hidden="1" customHeight="1" outlineLevel="2">
      <c r="A1595" s="192" t="s">
        <v>1941</v>
      </c>
      <c r="B1595" s="192"/>
      <c r="C1595" s="197" t="s">
        <v>1609</v>
      </c>
      <c r="D1595" s="198">
        <f>'02 项目基础信息（输入）'!$C$54</f>
        <v>0</v>
      </c>
      <c r="E1595" s="199" t="s">
        <v>93</v>
      </c>
      <c r="F1595" s="197"/>
      <c r="G1595" s="199"/>
      <c r="H1595" s="199"/>
      <c r="I1595" s="197"/>
      <c r="J1595" s="199"/>
      <c r="K1595" s="198"/>
      <c r="L1595" s="209"/>
      <c r="M1595" s="197">
        <v>0</v>
      </c>
      <c r="N1595" s="198">
        <f>'02 项目基础信息（输入）'!$C$54</f>
        <v>0</v>
      </c>
      <c r="O1595" s="198">
        <f t="shared" si="180"/>
        <v>0</v>
      </c>
      <c r="P1595" s="198">
        <f>'02 项目基础信息（输入）'!$I$54</f>
        <v>0</v>
      </c>
      <c r="Q1595" s="233">
        <f t="shared" si="181"/>
        <v>0</v>
      </c>
      <c r="S1595" s="217" t="s">
        <v>1313</v>
      </c>
      <c r="U1595" s="220" t="s">
        <v>3384</v>
      </c>
    </row>
    <row r="1596" spans="1:21" ht="0" hidden="1" customHeight="1" outlineLevel="2">
      <c r="A1596" s="192" t="s">
        <v>1952</v>
      </c>
      <c r="B1596" s="192"/>
      <c r="C1596" s="197" t="s">
        <v>1609</v>
      </c>
      <c r="D1596" s="198">
        <f>'02 项目基础信息（输入）'!$C$54</f>
        <v>0</v>
      </c>
      <c r="E1596" s="199" t="s">
        <v>93</v>
      </c>
      <c r="F1596" s="197"/>
      <c r="G1596" s="199"/>
      <c r="H1596" s="199"/>
      <c r="I1596" s="197"/>
      <c r="J1596" s="199"/>
      <c r="K1596" s="198"/>
      <c r="L1596" s="209"/>
      <c r="M1596" s="197">
        <v>0</v>
      </c>
      <c r="N1596" s="198">
        <f>'02 项目基础信息（输入）'!$C$54</f>
        <v>0</v>
      </c>
      <c r="O1596" s="198">
        <f t="shared" si="180"/>
        <v>0</v>
      </c>
      <c r="P1596" s="198">
        <f>'02 项目基础信息（输入）'!$I$54</f>
        <v>0</v>
      </c>
      <c r="Q1596" s="233">
        <f t="shared" si="181"/>
        <v>0</v>
      </c>
      <c r="S1596" s="217" t="s">
        <v>1313</v>
      </c>
      <c r="U1596" s="220" t="s">
        <v>3385</v>
      </c>
    </row>
    <row r="1597" spans="1:21" ht="0" hidden="1" customHeight="1" outlineLevel="2">
      <c r="A1597" s="192" t="s">
        <v>1957</v>
      </c>
      <c r="B1597" s="192"/>
      <c r="C1597" s="197" t="s">
        <v>1609</v>
      </c>
      <c r="D1597" s="198">
        <f>'02 项目基础信息（输入）'!$C$54</f>
        <v>0</v>
      </c>
      <c r="E1597" s="199" t="s">
        <v>93</v>
      </c>
      <c r="F1597" s="197"/>
      <c r="G1597" s="199"/>
      <c r="H1597" s="199"/>
      <c r="I1597" s="197"/>
      <c r="J1597" s="199"/>
      <c r="K1597" s="198"/>
      <c r="L1597" s="209"/>
      <c r="M1597" s="198">
        <f>ROUND(SUM(M1598:M1601),6)</f>
        <v>0</v>
      </c>
      <c r="N1597" s="198">
        <f>'02 项目基础信息（输入）'!$C$54</f>
        <v>0</v>
      </c>
      <c r="O1597" s="198">
        <f t="shared" si="180"/>
        <v>0</v>
      </c>
      <c r="P1597" s="198">
        <f>'02 项目基础信息（输入）'!$I$54</f>
        <v>0</v>
      </c>
      <c r="Q1597" s="233">
        <f t="shared" si="181"/>
        <v>0</v>
      </c>
      <c r="S1597" s="217" t="s">
        <v>1313</v>
      </c>
      <c r="U1597" s="220" t="s">
        <v>3386</v>
      </c>
    </row>
    <row r="1598" spans="1:21" ht="0" hidden="1" customHeight="1" outlineLevel="3">
      <c r="A1598" s="192" t="s">
        <v>1959</v>
      </c>
      <c r="B1598" s="192"/>
      <c r="C1598" s="197" t="s">
        <v>1609</v>
      </c>
      <c r="D1598" s="198">
        <f>'02 项目基础信息（输入）'!$C$54</f>
        <v>0</v>
      </c>
      <c r="E1598" s="199" t="s">
        <v>93</v>
      </c>
      <c r="F1598" s="197" t="s">
        <v>1960</v>
      </c>
      <c r="G1598" s="82">
        <v>0</v>
      </c>
      <c r="H1598" s="199" t="s">
        <v>298</v>
      </c>
      <c r="I1598" s="198">
        <f>G1598*D1598</f>
        <v>0</v>
      </c>
      <c r="J1598" s="199" t="s">
        <v>93</v>
      </c>
      <c r="K1598" s="188">
        <v>0</v>
      </c>
      <c r="L1598" s="209" t="s">
        <v>675</v>
      </c>
      <c r="M1598" s="207">
        <f>ROUND(K1598*I1598/10000,6)</f>
        <v>0</v>
      </c>
      <c r="N1598" s="198">
        <f>'02 项目基础信息（输入）'!$C$54</f>
        <v>0</v>
      </c>
      <c r="O1598" s="198">
        <f t="shared" si="180"/>
        <v>0</v>
      </c>
      <c r="P1598" s="198">
        <f>'02 项目基础信息（输入）'!$I$54</f>
        <v>0</v>
      </c>
      <c r="Q1598" s="233">
        <f t="shared" si="181"/>
        <v>0</v>
      </c>
      <c r="S1598" s="217"/>
      <c r="U1598" s="220" t="s">
        <v>3387</v>
      </c>
    </row>
    <row r="1599" spans="1:21" ht="0" hidden="1" customHeight="1" outlineLevel="3">
      <c r="A1599" s="192" t="s">
        <v>1962</v>
      </c>
      <c r="B1599" s="192"/>
      <c r="C1599" s="197" t="s">
        <v>1609</v>
      </c>
      <c r="D1599" s="198">
        <f>'02 项目基础信息（输入）'!$C$54</f>
        <v>0</v>
      </c>
      <c r="E1599" s="199" t="s">
        <v>93</v>
      </c>
      <c r="F1599" s="197" t="s">
        <v>1960</v>
      </c>
      <c r="G1599" s="82">
        <v>0</v>
      </c>
      <c r="H1599" s="199" t="s">
        <v>298</v>
      </c>
      <c r="I1599" s="198">
        <f>G1599*D1599</f>
        <v>0</v>
      </c>
      <c r="J1599" s="199" t="s">
        <v>93</v>
      </c>
      <c r="K1599" s="188">
        <v>0</v>
      </c>
      <c r="L1599" s="209" t="s">
        <v>675</v>
      </c>
      <c r="M1599" s="207">
        <f>ROUND(K1599*I1599/10000,6)</f>
        <v>0</v>
      </c>
      <c r="N1599" s="198">
        <f>'02 项目基础信息（输入）'!$C$54</f>
        <v>0</v>
      </c>
      <c r="O1599" s="198">
        <f t="shared" si="180"/>
        <v>0</v>
      </c>
      <c r="P1599" s="198">
        <f>'02 项目基础信息（输入）'!$I$54</f>
        <v>0</v>
      </c>
      <c r="Q1599" s="233">
        <f t="shared" si="181"/>
        <v>0</v>
      </c>
      <c r="S1599" s="217"/>
      <c r="U1599" s="220" t="s">
        <v>3388</v>
      </c>
    </row>
    <row r="1600" spans="1:21" ht="0" hidden="1" customHeight="1" outlineLevel="3">
      <c r="A1600" s="192" t="s">
        <v>1964</v>
      </c>
      <c r="B1600" s="192"/>
      <c r="C1600" s="197" t="s">
        <v>1609</v>
      </c>
      <c r="D1600" s="198">
        <f>'02 项目基础信息（输入）'!$C$54</f>
        <v>0</v>
      </c>
      <c r="E1600" s="199" t="s">
        <v>93</v>
      </c>
      <c r="F1600" s="197" t="s">
        <v>1960</v>
      </c>
      <c r="G1600" s="82">
        <v>0</v>
      </c>
      <c r="H1600" s="199" t="s">
        <v>298</v>
      </c>
      <c r="I1600" s="198">
        <f>G1600*D1600</f>
        <v>0</v>
      </c>
      <c r="J1600" s="199" t="s">
        <v>93</v>
      </c>
      <c r="K1600" s="188">
        <v>0</v>
      </c>
      <c r="L1600" s="209" t="s">
        <v>675</v>
      </c>
      <c r="M1600" s="207">
        <f>ROUND(K1600*I1600/10000,6)</f>
        <v>0</v>
      </c>
      <c r="N1600" s="198">
        <f>'02 项目基础信息（输入）'!$C$54</f>
        <v>0</v>
      </c>
      <c r="O1600" s="198">
        <f t="shared" si="180"/>
        <v>0</v>
      </c>
      <c r="P1600" s="198">
        <f>'02 项目基础信息（输入）'!$I$54</f>
        <v>0</v>
      </c>
      <c r="Q1600" s="233">
        <f t="shared" si="181"/>
        <v>0</v>
      </c>
      <c r="S1600" s="217"/>
      <c r="U1600" s="220" t="s">
        <v>3389</v>
      </c>
    </row>
    <row r="1601" spans="1:21" ht="0" hidden="1" customHeight="1" outlineLevel="3">
      <c r="A1601" s="192" t="s">
        <v>1966</v>
      </c>
      <c r="B1601" s="192"/>
      <c r="C1601" s="197" t="s">
        <v>1609</v>
      </c>
      <c r="D1601" s="198">
        <f>'02 项目基础信息（输入）'!$C$54</f>
        <v>0</v>
      </c>
      <c r="E1601" s="199" t="s">
        <v>93</v>
      </c>
      <c r="F1601" s="197" t="s">
        <v>1960</v>
      </c>
      <c r="G1601" s="82">
        <v>0</v>
      </c>
      <c r="H1601" s="199" t="s">
        <v>298</v>
      </c>
      <c r="I1601" s="198">
        <f>G1601*D1601</f>
        <v>0</v>
      </c>
      <c r="J1601" s="199" t="s">
        <v>93</v>
      </c>
      <c r="K1601" s="188">
        <v>0</v>
      </c>
      <c r="L1601" s="209" t="s">
        <v>675</v>
      </c>
      <c r="M1601" s="207">
        <f>ROUND(K1601*I1601/10000,6)</f>
        <v>0</v>
      </c>
      <c r="N1601" s="198">
        <f>'02 项目基础信息（输入）'!$C$54</f>
        <v>0</v>
      </c>
      <c r="O1601" s="198">
        <f t="shared" si="180"/>
        <v>0</v>
      </c>
      <c r="P1601" s="198">
        <f>'02 项目基础信息（输入）'!$I$54</f>
        <v>0</v>
      </c>
      <c r="Q1601" s="233">
        <f t="shared" si="181"/>
        <v>0</v>
      </c>
      <c r="S1601" s="217"/>
      <c r="U1601" s="220" t="s">
        <v>3390</v>
      </c>
    </row>
    <row r="1602" spans="1:21" ht="0" hidden="1" customHeight="1" outlineLevel="2">
      <c r="A1602" s="192" t="s">
        <v>1968</v>
      </c>
      <c r="B1602" s="192"/>
      <c r="C1602" s="197" t="s">
        <v>1609</v>
      </c>
      <c r="D1602" s="198">
        <f>'02 项目基础信息（输入）'!$C$54</f>
        <v>0</v>
      </c>
      <c r="E1602" s="199" t="s">
        <v>93</v>
      </c>
      <c r="F1602" s="197"/>
      <c r="G1602" s="199"/>
      <c r="H1602" s="199"/>
      <c r="I1602" s="197"/>
      <c r="J1602" s="199"/>
      <c r="K1602" s="198"/>
      <c r="L1602" s="209"/>
      <c r="M1602" s="198">
        <f>ROUND(SUM(M1603),6)</f>
        <v>0</v>
      </c>
      <c r="N1602" s="198">
        <f>'02 项目基础信息（输入）'!$C$54</f>
        <v>0</v>
      </c>
      <c r="O1602" s="198">
        <f t="shared" si="180"/>
        <v>0</v>
      </c>
      <c r="P1602" s="198">
        <f>'02 项目基础信息（输入）'!$I$54</f>
        <v>0</v>
      </c>
      <c r="Q1602" s="233">
        <f t="shared" si="181"/>
        <v>0</v>
      </c>
      <c r="S1602" s="217" t="s">
        <v>1313</v>
      </c>
      <c r="U1602" s="220" t="s">
        <v>3391</v>
      </c>
    </row>
    <row r="1603" spans="1:21" ht="0" hidden="1" customHeight="1" outlineLevel="3">
      <c r="A1603" s="192" t="s">
        <v>1970</v>
      </c>
      <c r="B1603" s="192"/>
      <c r="C1603" s="197" t="s">
        <v>1609</v>
      </c>
      <c r="D1603" s="198">
        <f>'02 项目基础信息（输入）'!$C$54</f>
        <v>0</v>
      </c>
      <c r="E1603" s="199" t="s">
        <v>93</v>
      </c>
      <c r="F1603" s="197" t="s">
        <v>1609</v>
      </c>
      <c r="G1603" s="199">
        <v>1</v>
      </c>
      <c r="H1603" s="199" t="s">
        <v>298</v>
      </c>
      <c r="I1603" s="198">
        <f>G1603*D1603</f>
        <v>0</v>
      </c>
      <c r="J1603" s="199" t="s">
        <v>93</v>
      </c>
      <c r="K1603" s="188">
        <v>0</v>
      </c>
      <c r="L1603" s="209" t="s">
        <v>675</v>
      </c>
      <c r="M1603" s="207">
        <f>ROUND(K1603*I1603/10000,6)</f>
        <v>0</v>
      </c>
      <c r="N1603" s="198">
        <f>'02 项目基础信息（输入）'!$C$54</f>
        <v>0</v>
      </c>
      <c r="O1603" s="198">
        <f t="shared" ref="O1603:O1666" si="186">ROUND(IFERROR(M1603*10000/N1603,0),2)</f>
        <v>0</v>
      </c>
      <c r="P1603" s="198">
        <f>'02 项目基础信息（输入）'!$I$54</f>
        <v>0</v>
      </c>
      <c r="Q1603" s="233">
        <f t="shared" ref="Q1603:Q1666" si="187">ROUND(IFERROR(M1603*10000/P1603,0),2)</f>
        <v>0</v>
      </c>
      <c r="S1603" s="217"/>
      <c r="U1603" s="220" t="s">
        <v>3392</v>
      </c>
    </row>
    <row r="1604" spans="1:21" ht="0" hidden="1" customHeight="1" outlineLevel="2">
      <c r="A1604" s="192" t="s">
        <v>1972</v>
      </c>
      <c r="B1604" s="192"/>
      <c r="C1604" s="197" t="s">
        <v>1609</v>
      </c>
      <c r="D1604" s="198">
        <f>'02 项目基础信息（输入）'!$C$54</f>
        <v>0</v>
      </c>
      <c r="E1604" s="199" t="s">
        <v>93</v>
      </c>
      <c r="F1604" s="197"/>
      <c r="G1604" s="199"/>
      <c r="H1604" s="199"/>
      <c r="I1604" s="197"/>
      <c r="J1604" s="199"/>
      <c r="K1604" s="198"/>
      <c r="L1604" s="209"/>
      <c r="M1604" s="198">
        <f>ROUND(SUM(M1605),6)</f>
        <v>0</v>
      </c>
      <c r="N1604" s="198">
        <f>'02 项目基础信息（输入）'!$C$54</f>
        <v>0</v>
      </c>
      <c r="O1604" s="198">
        <f t="shared" si="186"/>
        <v>0</v>
      </c>
      <c r="P1604" s="198">
        <f>'02 项目基础信息（输入）'!$I$54</f>
        <v>0</v>
      </c>
      <c r="Q1604" s="233">
        <f t="shared" si="187"/>
        <v>0</v>
      </c>
      <c r="S1604" s="217" t="s">
        <v>1313</v>
      </c>
      <c r="U1604" s="220" t="s">
        <v>3393</v>
      </c>
    </row>
    <row r="1605" spans="1:21" ht="0" hidden="1" customHeight="1" outlineLevel="3">
      <c r="A1605" s="192" t="s">
        <v>1974</v>
      </c>
      <c r="B1605" s="192"/>
      <c r="C1605" s="197" t="s">
        <v>1609</v>
      </c>
      <c r="D1605" s="198">
        <f>'02 项目基础信息（输入）'!$C$54</f>
        <v>0</v>
      </c>
      <c r="E1605" s="199" t="s">
        <v>93</v>
      </c>
      <c r="F1605" s="197" t="s">
        <v>1609</v>
      </c>
      <c r="G1605" s="199">
        <v>1</v>
      </c>
      <c r="H1605" s="199" t="s">
        <v>298</v>
      </c>
      <c r="I1605" s="198">
        <f>G1605*D1605</f>
        <v>0</v>
      </c>
      <c r="J1605" s="199" t="s">
        <v>93</v>
      </c>
      <c r="K1605" s="188">
        <v>0</v>
      </c>
      <c r="L1605" s="209" t="s">
        <v>675</v>
      </c>
      <c r="M1605" s="207">
        <f>ROUND(K1605*I1605/10000,6)</f>
        <v>0</v>
      </c>
      <c r="N1605" s="198">
        <f>'02 项目基础信息（输入）'!$C$54</f>
        <v>0</v>
      </c>
      <c r="O1605" s="198">
        <f t="shared" si="186"/>
        <v>0</v>
      </c>
      <c r="P1605" s="198">
        <f>'02 项目基础信息（输入）'!$I$54</f>
        <v>0</v>
      </c>
      <c r="Q1605" s="233">
        <f t="shared" si="187"/>
        <v>0</v>
      </c>
      <c r="S1605" s="217"/>
      <c r="U1605" s="220" t="s">
        <v>3394</v>
      </c>
    </row>
    <row r="1606" spans="1:21" ht="0" hidden="1" customHeight="1" outlineLevel="1" collapsed="1">
      <c r="A1606" s="192" t="s">
        <v>520</v>
      </c>
      <c r="B1606" s="192"/>
      <c r="C1606" s="197" t="s">
        <v>1609</v>
      </c>
      <c r="D1606" s="198">
        <f>'02 项目基础信息（输入）'!$C$57</f>
        <v>0</v>
      </c>
      <c r="E1606" s="199" t="s">
        <v>93</v>
      </c>
      <c r="F1606" s="197"/>
      <c r="G1606" s="199"/>
      <c r="H1606" s="199"/>
      <c r="I1606" s="197"/>
      <c r="J1606" s="199"/>
      <c r="K1606" s="197"/>
      <c r="L1606" s="209"/>
      <c r="M1606" s="198">
        <f>ROUND(M1607+M1629+M1632+M1645+M1648+M1651+M1670+M1682+M1684+M1690+M1696+M1701+M1718+M1723+M1745+M1747+M1751+M1753+M1755+M1761+M1768+M1770+M1772+M1776+M1778+M1780+M1784+M1786+M1788+M1789+M1790+M1795+M1797,6)</f>
        <v>0</v>
      </c>
      <c r="N1606" s="198">
        <f>'02 项目基础信息（输入）'!$C$57</f>
        <v>0</v>
      </c>
      <c r="O1606" s="198">
        <f t="shared" si="186"/>
        <v>0</v>
      </c>
      <c r="P1606" s="198">
        <f>'02 项目基础信息（输入）'!$I$57</f>
        <v>0</v>
      </c>
      <c r="Q1606" s="233">
        <f t="shared" si="187"/>
        <v>0</v>
      </c>
      <c r="S1606" s="217"/>
      <c r="U1606" s="220" t="s">
        <v>3395</v>
      </c>
    </row>
    <row r="1607" spans="1:21" ht="0" hidden="1" customHeight="1" outlineLevel="2">
      <c r="A1607" s="192" t="s">
        <v>1611</v>
      </c>
      <c r="B1607" s="192"/>
      <c r="C1607" s="197" t="s">
        <v>1609</v>
      </c>
      <c r="D1607" s="198">
        <f>'02 项目基础信息（输入）'!$C$57</f>
        <v>0</v>
      </c>
      <c r="E1607" s="199" t="s">
        <v>93</v>
      </c>
      <c r="F1607" s="197"/>
      <c r="G1607" s="199"/>
      <c r="H1607" s="199"/>
      <c r="I1607" s="197"/>
      <c r="J1607" s="199"/>
      <c r="K1607" s="197"/>
      <c r="L1607" s="209"/>
      <c r="M1607" s="198">
        <f>ROUND(M1608+M1611+M1612+M1617+M1618+M1624+M1625+M1628,6)</f>
        <v>0</v>
      </c>
      <c r="N1607" s="198">
        <f>'02 项目基础信息（输入）'!$C$57</f>
        <v>0</v>
      </c>
      <c r="O1607" s="198">
        <f t="shared" si="186"/>
        <v>0</v>
      </c>
      <c r="P1607" s="198">
        <f>'02 项目基础信息（输入）'!$I$57</f>
        <v>0</v>
      </c>
      <c r="Q1607" s="233">
        <f t="shared" si="187"/>
        <v>0</v>
      </c>
      <c r="S1607" s="217" t="s">
        <v>1313</v>
      </c>
      <c r="U1607" s="220" t="s">
        <v>3396</v>
      </c>
    </row>
    <row r="1608" spans="1:21" ht="0" hidden="1" customHeight="1" outlineLevel="3">
      <c r="A1608" s="192" t="s">
        <v>1613</v>
      </c>
      <c r="B1608" s="192"/>
      <c r="C1608" s="197"/>
      <c r="D1608" s="198">
        <f>'02 项目基础信息（输入）'!$C$57</f>
        <v>0</v>
      </c>
      <c r="E1608" s="199"/>
      <c r="F1608" s="197"/>
      <c r="G1608" s="199"/>
      <c r="H1608" s="199"/>
      <c r="I1608" s="197">
        <v>0</v>
      </c>
      <c r="J1608" s="199"/>
      <c r="K1608" s="197"/>
      <c r="L1608" s="209"/>
      <c r="M1608" s="198">
        <f>ROUND(SUM(M1609:M1610),6)</f>
        <v>0</v>
      </c>
      <c r="N1608" s="198">
        <f>'02 项目基础信息（输入）'!$C$57</f>
        <v>0</v>
      </c>
      <c r="O1608" s="198">
        <f t="shared" si="186"/>
        <v>0</v>
      </c>
      <c r="P1608" s="198">
        <f>'02 项目基础信息（输入）'!$I$57</f>
        <v>0</v>
      </c>
      <c r="Q1608" s="233">
        <f t="shared" si="187"/>
        <v>0</v>
      </c>
      <c r="S1608" s="217"/>
      <c r="U1608" s="220" t="s">
        <v>3397</v>
      </c>
    </row>
    <row r="1609" spans="1:21" ht="0" hidden="1" customHeight="1" outlineLevel="4">
      <c r="A1609" s="192" t="s">
        <v>1615</v>
      </c>
      <c r="B1609" s="192"/>
      <c r="C1609" s="197" t="s">
        <v>1609</v>
      </c>
      <c r="D1609" s="198">
        <f>'02 项目基础信息（输入）'!$C$57</f>
        <v>0</v>
      </c>
      <c r="E1609" s="199" t="s">
        <v>93</v>
      </c>
      <c r="F1609" s="197" t="s">
        <v>1616</v>
      </c>
      <c r="G1609" s="82">
        <v>0</v>
      </c>
      <c r="H1609" s="199" t="s">
        <v>966</v>
      </c>
      <c r="I1609" s="198">
        <f>G1609*D1609</f>
        <v>0</v>
      </c>
      <c r="J1609" s="199" t="s">
        <v>1617</v>
      </c>
      <c r="K1609" s="188">
        <v>0</v>
      </c>
      <c r="L1609" s="209" t="s">
        <v>664</v>
      </c>
      <c r="M1609" s="198">
        <f>ROUND(K1609*I1609/10000,6)</f>
        <v>0</v>
      </c>
      <c r="N1609" s="198">
        <f>'02 项目基础信息（输入）'!$C$57</f>
        <v>0</v>
      </c>
      <c r="O1609" s="198">
        <f t="shared" si="186"/>
        <v>0</v>
      </c>
      <c r="P1609" s="198">
        <f>'02 项目基础信息（输入）'!$I$57</f>
        <v>0</v>
      </c>
      <c r="Q1609" s="233">
        <f t="shared" si="187"/>
        <v>0</v>
      </c>
      <c r="S1609" s="217"/>
      <c r="U1609" s="220" t="s">
        <v>3398</v>
      </c>
    </row>
    <row r="1610" spans="1:21" ht="0" hidden="1" customHeight="1" outlineLevel="4">
      <c r="A1610" s="192" t="s">
        <v>1619</v>
      </c>
      <c r="B1610" s="192"/>
      <c r="C1610" s="197" t="s">
        <v>1609</v>
      </c>
      <c r="D1610" s="198">
        <f>'02 项目基础信息（输入）'!$C$57</f>
        <v>0</v>
      </c>
      <c r="E1610" s="199" t="s">
        <v>93</v>
      </c>
      <c r="F1610" s="197" t="s">
        <v>1616</v>
      </c>
      <c r="G1610" s="82">
        <v>0</v>
      </c>
      <c r="H1610" s="199" t="s">
        <v>966</v>
      </c>
      <c r="I1610" s="198">
        <f>G1610*D1610</f>
        <v>0</v>
      </c>
      <c r="J1610" s="199" t="s">
        <v>1617</v>
      </c>
      <c r="K1610" s="188">
        <v>0</v>
      </c>
      <c r="L1610" s="209" t="s">
        <v>664</v>
      </c>
      <c r="M1610" s="198">
        <f>ROUND(K1610*I1610/10000,6)</f>
        <v>0</v>
      </c>
      <c r="N1610" s="198">
        <f>'02 项目基础信息（输入）'!$C$57</f>
        <v>0</v>
      </c>
      <c r="O1610" s="198">
        <f t="shared" si="186"/>
        <v>0</v>
      </c>
      <c r="P1610" s="198">
        <f>'02 项目基础信息（输入）'!$I$57</f>
        <v>0</v>
      </c>
      <c r="Q1610" s="233">
        <f t="shared" si="187"/>
        <v>0</v>
      </c>
      <c r="S1610" s="217"/>
      <c r="U1610" s="220" t="s">
        <v>3399</v>
      </c>
    </row>
    <row r="1611" spans="1:21" ht="0" hidden="1" customHeight="1" outlineLevel="3">
      <c r="A1611" s="192" t="s">
        <v>1621</v>
      </c>
      <c r="B1611" s="192"/>
      <c r="C1611" s="197" t="s">
        <v>1609</v>
      </c>
      <c r="D1611" s="198">
        <f>'02 项目基础信息（输入）'!$C$57</f>
        <v>0</v>
      </c>
      <c r="E1611" s="199" t="s">
        <v>93</v>
      </c>
      <c r="F1611" s="197" t="s">
        <v>1622</v>
      </c>
      <c r="G1611" s="82">
        <v>0</v>
      </c>
      <c r="H1611" s="199" t="s">
        <v>298</v>
      </c>
      <c r="I1611" s="198">
        <f>G1611*D1611</f>
        <v>0</v>
      </c>
      <c r="J1611" s="199" t="s">
        <v>93</v>
      </c>
      <c r="K1611" s="188">
        <v>0</v>
      </c>
      <c r="L1611" s="209" t="s">
        <v>675</v>
      </c>
      <c r="M1611" s="198">
        <f>ROUND(K1611*I1611/10000,6)</f>
        <v>0</v>
      </c>
      <c r="N1611" s="198">
        <f>'02 项目基础信息（输入）'!$C$57</f>
        <v>0</v>
      </c>
      <c r="O1611" s="198">
        <f t="shared" si="186"/>
        <v>0</v>
      </c>
      <c r="P1611" s="198">
        <f>'02 项目基础信息（输入）'!$I$57</f>
        <v>0</v>
      </c>
      <c r="Q1611" s="233">
        <f t="shared" si="187"/>
        <v>0</v>
      </c>
      <c r="S1611" s="217"/>
      <c r="U1611" s="220" t="s">
        <v>3400</v>
      </c>
    </row>
    <row r="1612" spans="1:21" ht="0" hidden="1" customHeight="1" outlineLevel="3">
      <c r="A1612" s="192" t="s">
        <v>1624</v>
      </c>
      <c r="B1612" s="192"/>
      <c r="C1612" s="197"/>
      <c r="D1612" s="198">
        <f>'02 项目基础信息（输入）'!$C$57</f>
        <v>0</v>
      </c>
      <c r="E1612" s="199"/>
      <c r="F1612" s="197"/>
      <c r="G1612" s="199"/>
      <c r="H1612" s="199"/>
      <c r="I1612" s="197">
        <v>0</v>
      </c>
      <c r="J1612" s="199"/>
      <c r="K1612" s="198"/>
      <c r="L1612" s="209"/>
      <c r="M1612" s="198">
        <f>ROUND(SUM(M1613:M1616),6)</f>
        <v>0</v>
      </c>
      <c r="N1612" s="198">
        <f>'02 项目基础信息（输入）'!$C$57</f>
        <v>0</v>
      </c>
      <c r="O1612" s="198">
        <f t="shared" si="186"/>
        <v>0</v>
      </c>
      <c r="P1612" s="198">
        <f>'02 项目基础信息（输入）'!$I$57</f>
        <v>0</v>
      </c>
      <c r="Q1612" s="233">
        <f t="shared" si="187"/>
        <v>0</v>
      </c>
      <c r="S1612" s="217"/>
      <c r="U1612" s="220" t="s">
        <v>3401</v>
      </c>
    </row>
    <row r="1613" spans="1:21" ht="0" hidden="1" customHeight="1" outlineLevel="4">
      <c r="A1613" s="192" t="s">
        <v>1626</v>
      </c>
      <c r="B1613" s="192"/>
      <c r="C1613" s="197" t="s">
        <v>1609</v>
      </c>
      <c r="D1613" s="198">
        <f>'02 项目基础信息（输入）'!$C$57</f>
        <v>0</v>
      </c>
      <c r="E1613" s="199" t="s">
        <v>93</v>
      </c>
      <c r="F1613" s="197" t="s">
        <v>1627</v>
      </c>
      <c r="G1613" s="82">
        <v>0</v>
      </c>
      <c r="H1613" s="199" t="s">
        <v>976</v>
      </c>
      <c r="I1613" s="198">
        <f>G1613*D1613</f>
        <v>0</v>
      </c>
      <c r="J1613" s="199" t="s">
        <v>1511</v>
      </c>
      <c r="K1613" s="188">
        <v>0</v>
      </c>
      <c r="L1613" s="209" t="s">
        <v>671</v>
      </c>
      <c r="M1613" s="198">
        <f>ROUND(K1613*I1613/10000,6)</f>
        <v>0</v>
      </c>
      <c r="N1613" s="198">
        <f>'02 项目基础信息（输入）'!$C$57</f>
        <v>0</v>
      </c>
      <c r="O1613" s="198">
        <f t="shared" si="186"/>
        <v>0</v>
      </c>
      <c r="P1613" s="198">
        <f>'02 项目基础信息（输入）'!$I$57</f>
        <v>0</v>
      </c>
      <c r="Q1613" s="233">
        <f t="shared" si="187"/>
        <v>0</v>
      </c>
      <c r="S1613" s="217"/>
      <c r="U1613" s="220" t="s">
        <v>3402</v>
      </c>
    </row>
    <row r="1614" spans="1:21" ht="0" hidden="1" customHeight="1" outlineLevel="4">
      <c r="A1614" s="192" t="s">
        <v>1629</v>
      </c>
      <c r="B1614" s="192"/>
      <c r="C1614" s="197" t="s">
        <v>1609</v>
      </c>
      <c r="D1614" s="198">
        <f>'02 项目基础信息（输入）'!$C$57</f>
        <v>0</v>
      </c>
      <c r="E1614" s="199" t="s">
        <v>93</v>
      </c>
      <c r="F1614" s="197" t="s">
        <v>1627</v>
      </c>
      <c r="G1614" s="82">
        <v>0</v>
      </c>
      <c r="H1614" s="199" t="s">
        <v>976</v>
      </c>
      <c r="I1614" s="198">
        <f>G1614*D1614</f>
        <v>0</v>
      </c>
      <c r="J1614" s="199" t="s">
        <v>1511</v>
      </c>
      <c r="K1614" s="188">
        <v>0</v>
      </c>
      <c r="L1614" s="209" t="s">
        <v>671</v>
      </c>
      <c r="M1614" s="198">
        <f>ROUND(K1614*I1614/10000,6)</f>
        <v>0</v>
      </c>
      <c r="N1614" s="198">
        <f>'02 项目基础信息（输入）'!$C$57</f>
        <v>0</v>
      </c>
      <c r="O1614" s="198">
        <f t="shared" si="186"/>
        <v>0</v>
      </c>
      <c r="P1614" s="198">
        <f>'02 项目基础信息（输入）'!$I$57</f>
        <v>0</v>
      </c>
      <c r="Q1614" s="233">
        <f t="shared" si="187"/>
        <v>0</v>
      </c>
      <c r="S1614" s="217"/>
      <c r="U1614" s="220" t="s">
        <v>3403</v>
      </c>
    </row>
    <row r="1615" spans="1:21" ht="0" hidden="1" customHeight="1" outlineLevel="4">
      <c r="A1615" s="192" t="s">
        <v>1631</v>
      </c>
      <c r="B1615" s="192"/>
      <c r="C1615" s="197" t="s">
        <v>1609</v>
      </c>
      <c r="D1615" s="198">
        <f>'02 项目基础信息（输入）'!$C$57</f>
        <v>0</v>
      </c>
      <c r="E1615" s="199" t="s">
        <v>93</v>
      </c>
      <c r="F1615" s="197" t="s">
        <v>1632</v>
      </c>
      <c r="G1615" s="82">
        <v>0</v>
      </c>
      <c r="H1615" s="199" t="s">
        <v>976</v>
      </c>
      <c r="I1615" s="198">
        <f>G1615*D1615</f>
        <v>0</v>
      </c>
      <c r="J1615" s="199" t="s">
        <v>93</v>
      </c>
      <c r="K1615" s="188">
        <v>0</v>
      </c>
      <c r="L1615" s="209" t="s">
        <v>675</v>
      </c>
      <c r="M1615" s="198">
        <f>ROUND(K1615*I1615/10000,6)</f>
        <v>0</v>
      </c>
      <c r="N1615" s="198">
        <f>'02 项目基础信息（输入）'!$C$57</f>
        <v>0</v>
      </c>
      <c r="O1615" s="198">
        <f t="shared" si="186"/>
        <v>0</v>
      </c>
      <c r="P1615" s="198">
        <f>'02 项目基础信息（输入）'!$I$57</f>
        <v>0</v>
      </c>
      <c r="Q1615" s="233">
        <f t="shared" si="187"/>
        <v>0</v>
      </c>
      <c r="S1615" s="217"/>
      <c r="U1615" s="220" t="s">
        <v>3404</v>
      </c>
    </row>
    <row r="1616" spans="1:21" ht="0" hidden="1" customHeight="1" outlineLevel="4">
      <c r="A1616" s="192" t="s">
        <v>1634</v>
      </c>
      <c r="B1616" s="192"/>
      <c r="C1616" s="197" t="s">
        <v>1609</v>
      </c>
      <c r="D1616" s="198">
        <f>'02 项目基础信息（输入）'!$C$57</f>
        <v>0</v>
      </c>
      <c r="E1616" s="199" t="s">
        <v>93</v>
      </c>
      <c r="F1616" s="197" t="s">
        <v>1632</v>
      </c>
      <c r="G1616" s="82">
        <v>0</v>
      </c>
      <c r="H1616" s="199" t="s">
        <v>976</v>
      </c>
      <c r="I1616" s="198">
        <f>G1616*D1616</f>
        <v>0</v>
      </c>
      <c r="J1616" s="199" t="s">
        <v>93</v>
      </c>
      <c r="K1616" s="188">
        <v>0</v>
      </c>
      <c r="L1616" s="209" t="s">
        <v>675</v>
      </c>
      <c r="M1616" s="198">
        <f>ROUND(K1616*I1616/10000,6)</f>
        <v>0</v>
      </c>
      <c r="N1616" s="198">
        <f>'02 项目基础信息（输入）'!$C$57</f>
        <v>0</v>
      </c>
      <c r="O1616" s="198">
        <f t="shared" si="186"/>
        <v>0</v>
      </c>
      <c r="P1616" s="198">
        <f>'02 项目基础信息（输入）'!$I$57</f>
        <v>0</v>
      </c>
      <c r="Q1616" s="233">
        <f t="shared" si="187"/>
        <v>0</v>
      </c>
      <c r="S1616" s="217"/>
      <c r="U1616" s="220" t="s">
        <v>3405</v>
      </c>
    </row>
    <row r="1617" spans="1:21" ht="0" hidden="1" customHeight="1" outlineLevel="3">
      <c r="A1617" s="192" t="s">
        <v>1636</v>
      </c>
      <c r="B1617" s="192"/>
      <c r="C1617" s="197" t="s">
        <v>1609</v>
      </c>
      <c r="D1617" s="198">
        <f>'02 项目基础信息（输入）'!$C$57</f>
        <v>0</v>
      </c>
      <c r="E1617" s="199" t="s">
        <v>93</v>
      </c>
      <c r="F1617" s="197" t="s">
        <v>1637</v>
      </c>
      <c r="G1617" s="82">
        <v>0</v>
      </c>
      <c r="H1617" s="199" t="s">
        <v>976</v>
      </c>
      <c r="I1617" s="198">
        <f>G1617*D1617</f>
        <v>0</v>
      </c>
      <c r="J1617" s="199" t="s">
        <v>1511</v>
      </c>
      <c r="K1617" s="188">
        <v>0</v>
      </c>
      <c r="L1617" s="209" t="s">
        <v>671</v>
      </c>
      <c r="M1617" s="198">
        <f>ROUND(K1617*I1617/10000,6)</f>
        <v>0</v>
      </c>
      <c r="N1617" s="198">
        <f>'02 项目基础信息（输入）'!$C$57</f>
        <v>0</v>
      </c>
      <c r="O1617" s="198">
        <f t="shared" si="186"/>
        <v>0</v>
      </c>
      <c r="P1617" s="198">
        <f>'02 项目基础信息（输入）'!$I$57</f>
        <v>0</v>
      </c>
      <c r="Q1617" s="233">
        <f t="shared" si="187"/>
        <v>0</v>
      </c>
      <c r="S1617" s="217"/>
      <c r="U1617" s="220" t="s">
        <v>3406</v>
      </c>
    </row>
    <row r="1618" spans="1:21" ht="0" hidden="1" customHeight="1" outlineLevel="3">
      <c r="A1618" s="192" t="s">
        <v>1640</v>
      </c>
      <c r="B1618" s="192"/>
      <c r="C1618" s="197"/>
      <c r="D1618" s="198">
        <f>'02 项目基础信息（输入）'!$C$57</f>
        <v>0</v>
      </c>
      <c r="E1618" s="199"/>
      <c r="F1618" s="197"/>
      <c r="G1618" s="199"/>
      <c r="H1618" s="199"/>
      <c r="I1618" s="197">
        <v>0</v>
      </c>
      <c r="J1618" s="199"/>
      <c r="K1618" s="197"/>
      <c r="L1618" s="209"/>
      <c r="M1618" s="198">
        <f>ROUND(SUM(M1619:M1623),6)</f>
        <v>0</v>
      </c>
      <c r="N1618" s="198">
        <f>'02 项目基础信息（输入）'!$C$57</f>
        <v>0</v>
      </c>
      <c r="O1618" s="198">
        <f t="shared" si="186"/>
        <v>0</v>
      </c>
      <c r="P1618" s="198">
        <f>'02 项目基础信息（输入）'!$I$57</f>
        <v>0</v>
      </c>
      <c r="Q1618" s="233">
        <f t="shared" si="187"/>
        <v>0</v>
      </c>
      <c r="S1618" s="217"/>
      <c r="U1618" s="220" t="s">
        <v>3407</v>
      </c>
    </row>
    <row r="1619" spans="1:21" ht="0" hidden="1" customHeight="1" outlineLevel="4">
      <c r="A1619" s="192" t="s">
        <v>1642</v>
      </c>
      <c r="B1619" s="192"/>
      <c r="C1619" s="197" t="s">
        <v>1609</v>
      </c>
      <c r="D1619" s="198">
        <f>'02 项目基础信息（输入）'!$C$57</f>
        <v>0</v>
      </c>
      <c r="E1619" s="199" t="s">
        <v>93</v>
      </c>
      <c r="F1619" s="197" t="s">
        <v>1609</v>
      </c>
      <c r="G1619" s="199">
        <v>1</v>
      </c>
      <c r="H1619" s="199" t="s">
        <v>298</v>
      </c>
      <c r="I1619" s="198">
        <f t="shared" ref="I1619:I1624" si="188">G1619*D1619</f>
        <v>0</v>
      </c>
      <c r="J1619" s="199" t="s">
        <v>93</v>
      </c>
      <c r="K1619" s="188">
        <v>0</v>
      </c>
      <c r="L1619" s="209" t="s">
        <v>675</v>
      </c>
      <c r="M1619" s="198">
        <f t="shared" ref="M1619:M1624" si="189">ROUND(K1619*I1619/10000,6)</f>
        <v>0</v>
      </c>
      <c r="N1619" s="198">
        <f>'02 项目基础信息（输入）'!$C$57</f>
        <v>0</v>
      </c>
      <c r="O1619" s="198">
        <f t="shared" si="186"/>
        <v>0</v>
      </c>
      <c r="P1619" s="198">
        <f>'02 项目基础信息（输入）'!$I$57</f>
        <v>0</v>
      </c>
      <c r="Q1619" s="233">
        <f t="shared" si="187"/>
        <v>0</v>
      </c>
      <c r="S1619" s="217"/>
      <c r="U1619" s="220" t="s">
        <v>3408</v>
      </c>
    </row>
    <row r="1620" spans="1:21" ht="0" hidden="1" customHeight="1" outlineLevel="4">
      <c r="A1620" s="192" t="s">
        <v>1645</v>
      </c>
      <c r="B1620" s="192"/>
      <c r="C1620" s="197" t="s">
        <v>1609</v>
      </c>
      <c r="D1620" s="198">
        <f>'02 项目基础信息（输入）'!$C$57</f>
        <v>0</v>
      </c>
      <c r="E1620" s="199" t="s">
        <v>93</v>
      </c>
      <c r="F1620" s="197" t="s">
        <v>1609</v>
      </c>
      <c r="G1620" s="199">
        <v>1</v>
      </c>
      <c r="H1620" s="199" t="s">
        <v>298</v>
      </c>
      <c r="I1620" s="198">
        <f t="shared" si="188"/>
        <v>0</v>
      </c>
      <c r="J1620" s="199" t="s">
        <v>93</v>
      </c>
      <c r="K1620" s="188">
        <v>0</v>
      </c>
      <c r="L1620" s="209" t="s">
        <v>675</v>
      </c>
      <c r="M1620" s="198">
        <f t="shared" si="189"/>
        <v>0</v>
      </c>
      <c r="N1620" s="198">
        <f>'02 项目基础信息（输入）'!$C$57</f>
        <v>0</v>
      </c>
      <c r="O1620" s="198">
        <f t="shared" si="186"/>
        <v>0</v>
      </c>
      <c r="P1620" s="198">
        <f>'02 项目基础信息（输入）'!$I$57</f>
        <v>0</v>
      </c>
      <c r="Q1620" s="233">
        <f t="shared" si="187"/>
        <v>0</v>
      </c>
      <c r="S1620" s="217"/>
      <c r="U1620" s="220" t="s">
        <v>3409</v>
      </c>
    </row>
    <row r="1621" spans="1:21" ht="0" hidden="1" customHeight="1" outlineLevel="4">
      <c r="A1621" s="192" t="s">
        <v>1647</v>
      </c>
      <c r="B1621" s="192"/>
      <c r="C1621" s="197" t="s">
        <v>1609</v>
      </c>
      <c r="D1621" s="198">
        <f>'02 项目基础信息（输入）'!$C$57</f>
        <v>0</v>
      </c>
      <c r="E1621" s="199" t="s">
        <v>93</v>
      </c>
      <c r="F1621" s="197" t="s">
        <v>1648</v>
      </c>
      <c r="G1621" s="82">
        <v>0</v>
      </c>
      <c r="H1621" s="199" t="s">
        <v>298</v>
      </c>
      <c r="I1621" s="198">
        <f t="shared" si="188"/>
        <v>0</v>
      </c>
      <c r="J1621" s="199" t="s">
        <v>93</v>
      </c>
      <c r="K1621" s="188">
        <v>0</v>
      </c>
      <c r="L1621" s="209" t="s">
        <v>675</v>
      </c>
      <c r="M1621" s="198">
        <f t="shared" si="189"/>
        <v>0</v>
      </c>
      <c r="N1621" s="198">
        <f>'02 项目基础信息（输入）'!$C$57</f>
        <v>0</v>
      </c>
      <c r="O1621" s="198">
        <f t="shared" si="186"/>
        <v>0</v>
      </c>
      <c r="P1621" s="198">
        <f>'02 项目基础信息（输入）'!$I$57</f>
        <v>0</v>
      </c>
      <c r="Q1621" s="233">
        <f t="shared" si="187"/>
        <v>0</v>
      </c>
      <c r="S1621" s="217"/>
      <c r="U1621" s="220" t="s">
        <v>3410</v>
      </c>
    </row>
    <row r="1622" spans="1:21" ht="0" hidden="1" customHeight="1" outlineLevel="4">
      <c r="A1622" s="192" t="s">
        <v>1993</v>
      </c>
      <c r="B1622" s="192"/>
      <c r="C1622" s="197" t="s">
        <v>1609</v>
      </c>
      <c r="D1622" s="198">
        <f>'02 项目基础信息（输入）'!$C$57</f>
        <v>0</v>
      </c>
      <c r="E1622" s="199" t="s">
        <v>93</v>
      </c>
      <c r="F1622" s="197" t="s">
        <v>1648</v>
      </c>
      <c r="G1622" s="82">
        <v>0</v>
      </c>
      <c r="H1622" s="199" t="s">
        <v>298</v>
      </c>
      <c r="I1622" s="198">
        <f t="shared" si="188"/>
        <v>0</v>
      </c>
      <c r="J1622" s="199" t="s">
        <v>93</v>
      </c>
      <c r="K1622" s="188">
        <v>0</v>
      </c>
      <c r="L1622" s="209" t="s">
        <v>675</v>
      </c>
      <c r="M1622" s="198">
        <f t="shared" si="189"/>
        <v>0</v>
      </c>
      <c r="N1622" s="198">
        <f>'02 项目基础信息（输入）'!$C$57</f>
        <v>0</v>
      </c>
      <c r="O1622" s="198">
        <f t="shared" si="186"/>
        <v>0</v>
      </c>
      <c r="P1622" s="198">
        <f>'02 项目基础信息（输入）'!$I$57</f>
        <v>0</v>
      </c>
      <c r="Q1622" s="233">
        <f t="shared" si="187"/>
        <v>0</v>
      </c>
      <c r="S1622" s="217"/>
      <c r="U1622" s="220" t="s">
        <v>3411</v>
      </c>
    </row>
    <row r="1623" spans="1:21" ht="0" hidden="1" customHeight="1" outlineLevel="4">
      <c r="A1623" s="192" t="s">
        <v>1650</v>
      </c>
      <c r="B1623" s="192"/>
      <c r="C1623" s="197" t="s">
        <v>1609</v>
      </c>
      <c r="D1623" s="198">
        <f>'02 项目基础信息（输入）'!$C$57</f>
        <v>0</v>
      </c>
      <c r="E1623" s="199" t="s">
        <v>93</v>
      </c>
      <c r="F1623" s="197" t="s">
        <v>1648</v>
      </c>
      <c r="G1623" s="82">
        <v>0</v>
      </c>
      <c r="H1623" s="199" t="s">
        <v>298</v>
      </c>
      <c r="I1623" s="198">
        <f t="shared" si="188"/>
        <v>0</v>
      </c>
      <c r="J1623" s="199" t="s">
        <v>93</v>
      </c>
      <c r="K1623" s="188">
        <v>0</v>
      </c>
      <c r="L1623" s="209" t="s">
        <v>675</v>
      </c>
      <c r="M1623" s="198">
        <f t="shared" si="189"/>
        <v>0</v>
      </c>
      <c r="N1623" s="198">
        <f>'02 项目基础信息（输入）'!$C$57</f>
        <v>0</v>
      </c>
      <c r="O1623" s="198">
        <f t="shared" si="186"/>
        <v>0</v>
      </c>
      <c r="P1623" s="198">
        <f>'02 项目基础信息（输入）'!$I$57</f>
        <v>0</v>
      </c>
      <c r="Q1623" s="233">
        <f t="shared" si="187"/>
        <v>0</v>
      </c>
      <c r="S1623" s="217"/>
      <c r="U1623" s="220" t="s">
        <v>3412</v>
      </c>
    </row>
    <row r="1624" spans="1:21" ht="0" hidden="1" customHeight="1" outlineLevel="3">
      <c r="A1624" s="192" t="s">
        <v>1652</v>
      </c>
      <c r="B1624" s="192"/>
      <c r="C1624" s="197" t="s">
        <v>1609</v>
      </c>
      <c r="D1624" s="198">
        <f>'02 项目基础信息（输入）'!$C$57</f>
        <v>0</v>
      </c>
      <c r="E1624" s="199" t="s">
        <v>93</v>
      </c>
      <c r="F1624" s="197" t="s">
        <v>1648</v>
      </c>
      <c r="G1624" s="82">
        <v>0</v>
      </c>
      <c r="H1624" s="199" t="s">
        <v>298</v>
      </c>
      <c r="I1624" s="198">
        <f t="shared" si="188"/>
        <v>0</v>
      </c>
      <c r="J1624" s="199" t="s">
        <v>93</v>
      </c>
      <c r="K1624" s="188">
        <v>0</v>
      </c>
      <c r="L1624" s="209" t="s">
        <v>675</v>
      </c>
      <c r="M1624" s="198">
        <f t="shared" si="189"/>
        <v>0</v>
      </c>
      <c r="N1624" s="198">
        <f>'02 项目基础信息（输入）'!$C$57</f>
        <v>0</v>
      </c>
      <c r="O1624" s="198">
        <f t="shared" si="186"/>
        <v>0</v>
      </c>
      <c r="P1624" s="198">
        <f>'02 项目基础信息（输入）'!$I$57</f>
        <v>0</v>
      </c>
      <c r="Q1624" s="233">
        <f t="shared" si="187"/>
        <v>0</v>
      </c>
      <c r="S1624" s="217"/>
      <c r="U1624" s="220" t="s">
        <v>3413</v>
      </c>
    </row>
    <row r="1625" spans="1:21" ht="0" hidden="1" customHeight="1" outlineLevel="3">
      <c r="A1625" s="192" t="s">
        <v>1654</v>
      </c>
      <c r="B1625" s="192"/>
      <c r="C1625" s="197"/>
      <c r="D1625" s="198">
        <f>'02 项目基础信息（输入）'!$C$57</f>
        <v>0</v>
      </c>
      <c r="E1625" s="199"/>
      <c r="F1625" s="197"/>
      <c r="G1625" s="199"/>
      <c r="H1625" s="199"/>
      <c r="I1625" s="197">
        <v>0</v>
      </c>
      <c r="J1625" s="199"/>
      <c r="K1625" s="197"/>
      <c r="L1625" s="209"/>
      <c r="M1625" s="198">
        <f>ROUND(SUM(M1626:M1627),6)</f>
        <v>0</v>
      </c>
      <c r="N1625" s="198">
        <f>'02 项目基础信息（输入）'!$C$57</f>
        <v>0</v>
      </c>
      <c r="O1625" s="198">
        <f t="shared" si="186"/>
        <v>0</v>
      </c>
      <c r="P1625" s="198">
        <f>'02 项目基础信息（输入）'!$I$57</f>
        <v>0</v>
      </c>
      <c r="Q1625" s="233">
        <f t="shared" si="187"/>
        <v>0</v>
      </c>
      <c r="S1625" s="217"/>
      <c r="U1625" s="220" t="s">
        <v>3414</v>
      </c>
    </row>
    <row r="1626" spans="1:21" ht="0" hidden="1" customHeight="1" outlineLevel="4">
      <c r="A1626" s="192" t="s">
        <v>1656</v>
      </c>
      <c r="B1626" s="192"/>
      <c r="C1626" s="197" t="s">
        <v>1609</v>
      </c>
      <c r="D1626" s="198">
        <f>'02 项目基础信息（输入）'!$C$57</f>
        <v>0</v>
      </c>
      <c r="E1626" s="199" t="s">
        <v>93</v>
      </c>
      <c r="F1626" s="197" t="s">
        <v>1657</v>
      </c>
      <c r="G1626" s="82">
        <v>0</v>
      </c>
      <c r="H1626" s="199" t="s">
        <v>1998</v>
      </c>
      <c r="I1626" s="198">
        <f>G1626*D1626</f>
        <v>0</v>
      </c>
      <c r="J1626" s="199" t="s">
        <v>93</v>
      </c>
      <c r="K1626" s="188">
        <v>0</v>
      </c>
      <c r="L1626" s="209" t="s">
        <v>675</v>
      </c>
      <c r="M1626" s="198">
        <f>ROUND(K1626*I1626/10000,6)</f>
        <v>0</v>
      </c>
      <c r="N1626" s="198">
        <f>'02 项目基础信息（输入）'!$C$57</f>
        <v>0</v>
      </c>
      <c r="O1626" s="198">
        <f t="shared" si="186"/>
        <v>0</v>
      </c>
      <c r="P1626" s="198">
        <f>'02 项目基础信息（输入）'!$I$57</f>
        <v>0</v>
      </c>
      <c r="Q1626" s="233">
        <f t="shared" si="187"/>
        <v>0</v>
      </c>
      <c r="S1626" s="217"/>
      <c r="U1626" s="220" t="s">
        <v>3415</v>
      </c>
    </row>
    <row r="1627" spans="1:21" ht="0" hidden="1" customHeight="1" outlineLevel="4">
      <c r="A1627" s="192" t="s">
        <v>1661</v>
      </c>
      <c r="B1627" s="192"/>
      <c r="C1627" s="197" t="s">
        <v>1609</v>
      </c>
      <c r="D1627" s="198">
        <f>'02 项目基础信息（输入）'!$C$57</f>
        <v>0</v>
      </c>
      <c r="E1627" s="199" t="s">
        <v>93</v>
      </c>
      <c r="F1627" s="197" t="s">
        <v>1609</v>
      </c>
      <c r="G1627" s="199">
        <v>1</v>
      </c>
      <c r="H1627" s="199" t="s">
        <v>298</v>
      </c>
      <c r="I1627" s="198">
        <f>G1627*D1627</f>
        <v>0</v>
      </c>
      <c r="J1627" s="199" t="s">
        <v>93</v>
      </c>
      <c r="K1627" s="188">
        <v>0</v>
      </c>
      <c r="L1627" s="209" t="s">
        <v>675</v>
      </c>
      <c r="M1627" s="198">
        <f>ROUND(K1627*I1627/10000,6)</f>
        <v>0</v>
      </c>
      <c r="N1627" s="198">
        <f>'02 项目基础信息（输入）'!$C$57</f>
        <v>0</v>
      </c>
      <c r="O1627" s="198">
        <f t="shared" si="186"/>
        <v>0</v>
      </c>
      <c r="P1627" s="198">
        <f>'02 项目基础信息（输入）'!$I$57</f>
        <v>0</v>
      </c>
      <c r="Q1627" s="233">
        <f t="shared" si="187"/>
        <v>0</v>
      </c>
      <c r="S1627" s="217"/>
      <c r="U1627" s="220" t="s">
        <v>3416</v>
      </c>
    </row>
    <row r="1628" spans="1:21" ht="0" hidden="1" customHeight="1" outlineLevel="3">
      <c r="A1628" s="192" t="s">
        <v>1664</v>
      </c>
      <c r="B1628" s="192"/>
      <c r="C1628" s="197" t="s">
        <v>1665</v>
      </c>
      <c r="D1628" s="198">
        <f>SUM(M1608+M1611+M1612+M1617+M1618+M1624+M1625)*10000</f>
        <v>0</v>
      </c>
      <c r="E1628" s="199" t="s">
        <v>1666</v>
      </c>
      <c r="F1628" s="197" t="s">
        <v>1667</v>
      </c>
      <c r="G1628" s="226">
        <f>IFERROR(I1628/D1628*100,0)</f>
        <v>0</v>
      </c>
      <c r="H1628" s="195" t="s">
        <v>123</v>
      </c>
      <c r="I1628" s="194">
        <f>K1628*N1628</f>
        <v>0</v>
      </c>
      <c r="J1628" s="195" t="s">
        <v>1666</v>
      </c>
      <c r="K1628" s="188">
        <v>0</v>
      </c>
      <c r="L1628" s="230" t="s">
        <v>1669</v>
      </c>
      <c r="M1628" s="231">
        <f>ROUND(I1628/10000,6)</f>
        <v>0</v>
      </c>
      <c r="N1628" s="198">
        <f>'02 项目基础信息（输入）'!$C$57</f>
        <v>0</v>
      </c>
      <c r="O1628" s="198">
        <f t="shared" si="186"/>
        <v>0</v>
      </c>
      <c r="P1628" s="198">
        <f>'02 项目基础信息（输入）'!$I$57</f>
        <v>0</v>
      </c>
      <c r="Q1628" s="233">
        <f t="shared" si="187"/>
        <v>0</v>
      </c>
      <c r="S1628" s="217"/>
      <c r="U1628" s="220" t="s">
        <v>3417</v>
      </c>
    </row>
    <row r="1629" spans="1:21" ht="0" hidden="1" customHeight="1" outlineLevel="2">
      <c r="A1629" s="192" t="s">
        <v>1671</v>
      </c>
      <c r="B1629" s="192"/>
      <c r="C1629" s="197" t="s">
        <v>1609</v>
      </c>
      <c r="D1629" s="198">
        <f>'02 项目基础信息（输入）'!$C$57</f>
        <v>0</v>
      </c>
      <c r="E1629" s="199" t="s">
        <v>93</v>
      </c>
      <c r="F1629" s="197"/>
      <c r="G1629" s="199"/>
      <c r="H1629" s="199"/>
      <c r="I1629" s="197"/>
      <c r="J1629" s="199"/>
      <c r="K1629" s="197"/>
      <c r="L1629" s="209"/>
      <c r="M1629" s="198">
        <f>ROUND(SUM(M1630:M1631),6)</f>
        <v>0</v>
      </c>
      <c r="N1629" s="198">
        <f>'02 项目基础信息（输入）'!$C$57</f>
        <v>0</v>
      </c>
      <c r="O1629" s="198">
        <f t="shared" si="186"/>
        <v>0</v>
      </c>
      <c r="P1629" s="198">
        <f>'02 项目基础信息（输入）'!$I$57</f>
        <v>0</v>
      </c>
      <c r="Q1629" s="233">
        <f t="shared" si="187"/>
        <v>0</v>
      </c>
      <c r="S1629" s="217" t="s">
        <v>1313</v>
      </c>
      <c r="U1629" s="220" t="s">
        <v>3418</v>
      </c>
    </row>
    <row r="1630" spans="1:21" ht="0" hidden="1" customHeight="1" outlineLevel="3">
      <c r="A1630" s="192" t="s">
        <v>1673</v>
      </c>
      <c r="B1630" s="192"/>
      <c r="C1630" s="197" t="s">
        <v>1609</v>
      </c>
      <c r="D1630" s="198">
        <f>'02 项目基础信息（输入）'!$C$57</f>
        <v>0</v>
      </c>
      <c r="E1630" s="199" t="s">
        <v>93</v>
      </c>
      <c r="F1630" s="197" t="s">
        <v>705</v>
      </c>
      <c r="G1630" s="199">
        <v>0</v>
      </c>
      <c r="H1630" s="199" t="s">
        <v>298</v>
      </c>
      <c r="I1630" s="198">
        <f>G1630*D1630</f>
        <v>0</v>
      </c>
      <c r="J1630" s="199" t="s">
        <v>93</v>
      </c>
      <c r="K1630" s="207">
        <v>0</v>
      </c>
      <c r="L1630" s="209" t="s">
        <v>675</v>
      </c>
      <c r="M1630" s="207">
        <f>ROUND(K1630*I1630/10000,6)</f>
        <v>0</v>
      </c>
      <c r="N1630" s="198">
        <f>'02 项目基础信息（输入）'!$C$57</f>
        <v>0</v>
      </c>
      <c r="O1630" s="198">
        <f t="shared" si="186"/>
        <v>0</v>
      </c>
      <c r="P1630" s="198">
        <f>'02 项目基础信息（输入）'!$I$57</f>
        <v>0</v>
      </c>
      <c r="Q1630" s="233">
        <f t="shared" si="187"/>
        <v>0</v>
      </c>
      <c r="S1630" s="217"/>
      <c r="U1630" s="220" t="s">
        <v>3419</v>
      </c>
    </row>
    <row r="1631" spans="1:21" ht="0" hidden="1" customHeight="1" outlineLevel="3">
      <c r="A1631" s="192" t="s">
        <v>1676</v>
      </c>
      <c r="B1631" s="192"/>
      <c r="C1631" s="197" t="s">
        <v>1609</v>
      </c>
      <c r="D1631" s="198">
        <f>'02 项目基础信息（输入）'!$C$57</f>
        <v>0</v>
      </c>
      <c r="E1631" s="199" t="s">
        <v>93</v>
      </c>
      <c r="F1631" s="197" t="s">
        <v>705</v>
      </c>
      <c r="G1631" s="199">
        <v>0</v>
      </c>
      <c r="H1631" s="199" t="s">
        <v>298</v>
      </c>
      <c r="I1631" s="198">
        <f>G1631*D1631</f>
        <v>0</v>
      </c>
      <c r="J1631" s="199" t="s">
        <v>93</v>
      </c>
      <c r="K1631" s="207">
        <v>0</v>
      </c>
      <c r="L1631" s="209" t="s">
        <v>675</v>
      </c>
      <c r="M1631" s="207">
        <f>ROUND(K1631*I1631/10000,6)</f>
        <v>0</v>
      </c>
      <c r="N1631" s="198">
        <f>'02 项目基础信息（输入）'!$C$57</f>
        <v>0</v>
      </c>
      <c r="O1631" s="198">
        <f t="shared" si="186"/>
        <v>0</v>
      </c>
      <c r="P1631" s="198">
        <f>'02 项目基础信息（输入）'!$I$57</f>
        <v>0</v>
      </c>
      <c r="Q1631" s="233">
        <f t="shared" si="187"/>
        <v>0</v>
      </c>
      <c r="S1631" s="217"/>
      <c r="U1631" s="220" t="s">
        <v>3420</v>
      </c>
    </row>
    <row r="1632" spans="1:21" ht="0" hidden="1" customHeight="1" outlineLevel="2">
      <c r="A1632" s="192" t="s">
        <v>1679</v>
      </c>
      <c r="B1632" s="192"/>
      <c r="C1632" s="197" t="s">
        <v>1609</v>
      </c>
      <c r="D1632" s="198">
        <f>'02 项目基础信息（输入）'!$C$57</f>
        <v>0</v>
      </c>
      <c r="E1632" s="199" t="s">
        <v>93</v>
      </c>
      <c r="F1632" s="197"/>
      <c r="G1632" s="199"/>
      <c r="H1632" s="199"/>
      <c r="I1632" s="197"/>
      <c r="J1632" s="199"/>
      <c r="K1632" s="197"/>
      <c r="L1632" s="209"/>
      <c r="M1632" s="198">
        <f>ROUND(SUM(M1633:M1644),6)</f>
        <v>0</v>
      </c>
      <c r="N1632" s="198">
        <f>'02 项目基础信息（输入）'!$C$57</f>
        <v>0</v>
      </c>
      <c r="O1632" s="198">
        <f t="shared" si="186"/>
        <v>0</v>
      </c>
      <c r="P1632" s="198">
        <f>'02 项目基础信息（输入）'!$I$57</f>
        <v>0</v>
      </c>
      <c r="Q1632" s="233">
        <f t="shared" si="187"/>
        <v>0</v>
      </c>
      <c r="S1632" s="217" t="s">
        <v>1313</v>
      </c>
      <c r="U1632" s="220" t="s">
        <v>3421</v>
      </c>
    </row>
    <row r="1633" spans="1:21" ht="0" hidden="1" customHeight="1" outlineLevel="3">
      <c r="A1633" s="192" t="s">
        <v>1681</v>
      </c>
      <c r="B1633" s="192"/>
      <c r="C1633" s="197" t="s">
        <v>1609</v>
      </c>
      <c r="D1633" s="198">
        <f>'02 项目基础信息（输入）'!$C$57</f>
        <v>0</v>
      </c>
      <c r="E1633" s="199" t="s">
        <v>93</v>
      </c>
      <c r="F1633" s="197" t="s">
        <v>1682</v>
      </c>
      <c r="G1633" s="82">
        <v>0</v>
      </c>
      <c r="H1633" s="199" t="s">
        <v>298</v>
      </c>
      <c r="I1633" s="198">
        <f t="shared" ref="I1633:I1644" si="190">G1633*D1633</f>
        <v>0</v>
      </c>
      <c r="J1633" s="199" t="s">
        <v>93</v>
      </c>
      <c r="K1633" s="188">
        <v>0</v>
      </c>
      <c r="L1633" s="209" t="s">
        <v>675</v>
      </c>
      <c r="M1633" s="207">
        <f t="shared" ref="M1633:M1644" si="191">ROUND(K1633*I1633/10000,6)</f>
        <v>0</v>
      </c>
      <c r="N1633" s="198">
        <f>'02 项目基础信息（输入）'!$C$57</f>
        <v>0</v>
      </c>
      <c r="O1633" s="198">
        <f t="shared" si="186"/>
        <v>0</v>
      </c>
      <c r="P1633" s="198">
        <f>'02 项目基础信息（输入）'!$I$57</f>
        <v>0</v>
      </c>
      <c r="Q1633" s="233">
        <f t="shared" si="187"/>
        <v>0</v>
      </c>
      <c r="S1633" s="217"/>
      <c r="U1633" s="220" t="s">
        <v>3422</v>
      </c>
    </row>
    <row r="1634" spans="1:21" ht="0" hidden="1" customHeight="1" outlineLevel="3">
      <c r="A1634" s="192" t="s">
        <v>1684</v>
      </c>
      <c r="B1634" s="192"/>
      <c r="C1634" s="197" t="s">
        <v>1609</v>
      </c>
      <c r="D1634" s="198">
        <f>'02 项目基础信息（输入）'!$C$57</f>
        <v>0</v>
      </c>
      <c r="E1634" s="199" t="s">
        <v>93</v>
      </c>
      <c r="F1634" s="197" t="s">
        <v>1682</v>
      </c>
      <c r="G1634" s="82">
        <v>0</v>
      </c>
      <c r="H1634" s="199" t="s">
        <v>298</v>
      </c>
      <c r="I1634" s="198">
        <f t="shared" si="190"/>
        <v>0</v>
      </c>
      <c r="J1634" s="199" t="s">
        <v>93</v>
      </c>
      <c r="K1634" s="188">
        <v>0</v>
      </c>
      <c r="L1634" s="209" t="s">
        <v>675</v>
      </c>
      <c r="M1634" s="207">
        <f t="shared" si="191"/>
        <v>0</v>
      </c>
      <c r="N1634" s="198">
        <f>'02 项目基础信息（输入）'!$C$57</f>
        <v>0</v>
      </c>
      <c r="O1634" s="198">
        <f t="shared" si="186"/>
        <v>0</v>
      </c>
      <c r="P1634" s="198">
        <f>'02 项目基础信息（输入）'!$I$57</f>
        <v>0</v>
      </c>
      <c r="Q1634" s="233">
        <f t="shared" si="187"/>
        <v>0</v>
      </c>
      <c r="S1634" s="217"/>
      <c r="U1634" s="220" t="s">
        <v>3423</v>
      </c>
    </row>
    <row r="1635" spans="1:21" ht="0" hidden="1" customHeight="1" outlineLevel="3">
      <c r="A1635" s="192" t="s">
        <v>2008</v>
      </c>
      <c r="B1635" s="192"/>
      <c r="C1635" s="197" t="s">
        <v>1609</v>
      </c>
      <c r="D1635" s="198">
        <f>'02 项目基础信息（输入）'!$C$57</f>
        <v>0</v>
      </c>
      <c r="E1635" s="199" t="s">
        <v>93</v>
      </c>
      <c r="F1635" s="197" t="s">
        <v>1682</v>
      </c>
      <c r="G1635" s="82">
        <v>0</v>
      </c>
      <c r="H1635" s="199" t="s">
        <v>298</v>
      </c>
      <c r="I1635" s="198">
        <f t="shared" si="190"/>
        <v>0</v>
      </c>
      <c r="J1635" s="199" t="s">
        <v>93</v>
      </c>
      <c r="K1635" s="188">
        <v>0</v>
      </c>
      <c r="L1635" s="209" t="s">
        <v>675</v>
      </c>
      <c r="M1635" s="207">
        <f t="shared" si="191"/>
        <v>0</v>
      </c>
      <c r="N1635" s="198">
        <f>'02 项目基础信息（输入）'!$C$57</f>
        <v>0</v>
      </c>
      <c r="O1635" s="198">
        <f t="shared" si="186"/>
        <v>0</v>
      </c>
      <c r="P1635" s="198">
        <f>'02 项目基础信息（输入）'!$I$57</f>
        <v>0</v>
      </c>
      <c r="Q1635" s="233">
        <f t="shared" si="187"/>
        <v>0</v>
      </c>
      <c r="S1635" s="217"/>
      <c r="U1635" s="220" t="s">
        <v>3424</v>
      </c>
    </row>
    <row r="1636" spans="1:21" ht="0" hidden="1" customHeight="1" outlineLevel="3">
      <c r="A1636" s="192" t="s">
        <v>2010</v>
      </c>
      <c r="B1636" s="192"/>
      <c r="C1636" s="197" t="s">
        <v>1609</v>
      </c>
      <c r="D1636" s="198">
        <f>'02 项目基础信息（输入）'!$C$57</f>
        <v>0</v>
      </c>
      <c r="E1636" s="199" t="s">
        <v>93</v>
      </c>
      <c r="F1636" s="197" t="s">
        <v>1682</v>
      </c>
      <c r="G1636" s="82">
        <v>0</v>
      </c>
      <c r="H1636" s="199" t="s">
        <v>298</v>
      </c>
      <c r="I1636" s="198">
        <f t="shared" si="190"/>
        <v>0</v>
      </c>
      <c r="J1636" s="199" t="s">
        <v>93</v>
      </c>
      <c r="K1636" s="188">
        <v>0</v>
      </c>
      <c r="L1636" s="209" t="s">
        <v>675</v>
      </c>
      <c r="M1636" s="207">
        <f t="shared" si="191"/>
        <v>0</v>
      </c>
      <c r="N1636" s="198">
        <f>'02 项目基础信息（输入）'!$C$57</f>
        <v>0</v>
      </c>
      <c r="O1636" s="198">
        <f t="shared" si="186"/>
        <v>0</v>
      </c>
      <c r="P1636" s="198">
        <f>'02 项目基础信息（输入）'!$I$57</f>
        <v>0</v>
      </c>
      <c r="Q1636" s="233">
        <f t="shared" si="187"/>
        <v>0</v>
      </c>
      <c r="S1636" s="217"/>
      <c r="U1636" s="220" t="s">
        <v>3425</v>
      </c>
    </row>
    <row r="1637" spans="1:21" ht="0" hidden="1" customHeight="1" outlineLevel="3">
      <c r="A1637" s="192" t="s">
        <v>2012</v>
      </c>
      <c r="B1637" s="192"/>
      <c r="C1637" s="197" t="s">
        <v>474</v>
      </c>
      <c r="D1637" s="198">
        <f>'02 项目基础信息（输入）'!$AD$57</f>
        <v>0</v>
      </c>
      <c r="E1637" s="199" t="s">
        <v>400</v>
      </c>
      <c r="F1637" s="197" t="s">
        <v>1682</v>
      </c>
      <c r="G1637" s="82">
        <v>0</v>
      </c>
      <c r="H1637" s="199" t="s">
        <v>411</v>
      </c>
      <c r="I1637" s="198">
        <f t="shared" si="190"/>
        <v>0</v>
      </c>
      <c r="J1637" s="199" t="s">
        <v>93</v>
      </c>
      <c r="K1637" s="188">
        <v>0</v>
      </c>
      <c r="L1637" s="209" t="s">
        <v>675</v>
      </c>
      <c r="M1637" s="207">
        <f t="shared" si="191"/>
        <v>0</v>
      </c>
      <c r="N1637" s="198">
        <f>'02 项目基础信息（输入）'!$C$57</f>
        <v>0</v>
      </c>
      <c r="O1637" s="198">
        <f t="shared" si="186"/>
        <v>0</v>
      </c>
      <c r="P1637" s="198">
        <f>'02 项目基础信息（输入）'!$I$57</f>
        <v>0</v>
      </c>
      <c r="Q1637" s="233">
        <f t="shared" si="187"/>
        <v>0</v>
      </c>
      <c r="S1637" s="217"/>
      <c r="U1637" s="220" t="s">
        <v>3426</v>
      </c>
    </row>
    <row r="1638" spans="1:21" ht="0" hidden="1" customHeight="1" outlineLevel="3">
      <c r="A1638" s="192" t="s">
        <v>2014</v>
      </c>
      <c r="B1638" s="192"/>
      <c r="C1638" s="197" t="s">
        <v>474</v>
      </c>
      <c r="D1638" s="198">
        <f>'02 项目基础信息（输入）'!$AD$57</f>
        <v>0</v>
      </c>
      <c r="E1638" s="199" t="s">
        <v>400</v>
      </c>
      <c r="F1638" s="197" t="s">
        <v>1682</v>
      </c>
      <c r="G1638" s="82">
        <v>0</v>
      </c>
      <c r="H1638" s="199" t="s">
        <v>411</v>
      </c>
      <c r="I1638" s="198">
        <f t="shared" si="190"/>
        <v>0</v>
      </c>
      <c r="J1638" s="199" t="s">
        <v>93</v>
      </c>
      <c r="K1638" s="188">
        <v>0</v>
      </c>
      <c r="L1638" s="209" t="s">
        <v>675</v>
      </c>
      <c r="M1638" s="207">
        <f t="shared" si="191"/>
        <v>0</v>
      </c>
      <c r="N1638" s="198">
        <f>'02 项目基础信息（输入）'!$C$57</f>
        <v>0</v>
      </c>
      <c r="O1638" s="198">
        <f t="shared" si="186"/>
        <v>0</v>
      </c>
      <c r="P1638" s="198">
        <f>'02 项目基础信息（输入）'!$I$57</f>
        <v>0</v>
      </c>
      <c r="Q1638" s="233">
        <f t="shared" si="187"/>
        <v>0</v>
      </c>
      <c r="S1638" s="217"/>
      <c r="U1638" s="220" t="s">
        <v>3427</v>
      </c>
    </row>
    <row r="1639" spans="1:21" ht="0" hidden="1" customHeight="1" outlineLevel="3">
      <c r="A1639" s="192" t="s">
        <v>2016</v>
      </c>
      <c r="B1639" s="192"/>
      <c r="C1639" s="197" t="s">
        <v>1609</v>
      </c>
      <c r="D1639" s="198">
        <f>'02 项目基础信息（输入）'!$C$57</f>
        <v>0</v>
      </c>
      <c r="E1639" s="199" t="s">
        <v>93</v>
      </c>
      <c r="F1639" s="197" t="s">
        <v>1682</v>
      </c>
      <c r="G1639" s="82">
        <v>0</v>
      </c>
      <c r="H1639" s="199" t="s">
        <v>411</v>
      </c>
      <c r="I1639" s="198">
        <f t="shared" si="190"/>
        <v>0</v>
      </c>
      <c r="J1639" s="199" t="s">
        <v>93</v>
      </c>
      <c r="K1639" s="188">
        <v>0</v>
      </c>
      <c r="L1639" s="209" t="s">
        <v>675</v>
      </c>
      <c r="M1639" s="207">
        <f t="shared" si="191"/>
        <v>0</v>
      </c>
      <c r="N1639" s="198">
        <f>'02 项目基础信息（输入）'!$C$57</f>
        <v>0</v>
      </c>
      <c r="O1639" s="198">
        <f t="shared" si="186"/>
        <v>0</v>
      </c>
      <c r="P1639" s="198">
        <f>'02 项目基础信息（输入）'!$I$57</f>
        <v>0</v>
      </c>
      <c r="Q1639" s="233">
        <f t="shared" si="187"/>
        <v>0</v>
      </c>
      <c r="S1639" s="217"/>
      <c r="U1639" s="220" t="s">
        <v>3428</v>
      </c>
    </row>
    <row r="1640" spans="1:21" ht="0" hidden="1" customHeight="1" outlineLevel="3">
      <c r="A1640" s="192" t="s">
        <v>2018</v>
      </c>
      <c r="B1640" s="192"/>
      <c r="C1640" s="197" t="s">
        <v>1609</v>
      </c>
      <c r="D1640" s="198">
        <f>'02 项目基础信息（输入）'!$C$57</f>
        <v>0</v>
      </c>
      <c r="E1640" s="199" t="s">
        <v>93</v>
      </c>
      <c r="F1640" s="197" t="s">
        <v>1682</v>
      </c>
      <c r="G1640" s="82">
        <v>0</v>
      </c>
      <c r="H1640" s="199" t="s">
        <v>298</v>
      </c>
      <c r="I1640" s="198">
        <f t="shared" si="190"/>
        <v>0</v>
      </c>
      <c r="J1640" s="199" t="s">
        <v>93</v>
      </c>
      <c r="K1640" s="188">
        <v>0</v>
      </c>
      <c r="L1640" s="209" t="s">
        <v>675</v>
      </c>
      <c r="M1640" s="207">
        <f t="shared" si="191"/>
        <v>0</v>
      </c>
      <c r="N1640" s="198">
        <f>'02 项目基础信息（输入）'!$C$57</f>
        <v>0</v>
      </c>
      <c r="O1640" s="198">
        <f t="shared" si="186"/>
        <v>0</v>
      </c>
      <c r="P1640" s="198">
        <f>'02 项目基础信息（输入）'!$I$57</f>
        <v>0</v>
      </c>
      <c r="Q1640" s="233">
        <f t="shared" si="187"/>
        <v>0</v>
      </c>
      <c r="S1640" s="217"/>
      <c r="U1640" s="220" t="s">
        <v>3429</v>
      </c>
    </row>
    <row r="1641" spans="1:21" ht="0" hidden="1" customHeight="1" outlineLevel="3">
      <c r="A1641" s="192" t="s">
        <v>2020</v>
      </c>
      <c r="B1641" s="192"/>
      <c r="C1641" s="197" t="s">
        <v>1609</v>
      </c>
      <c r="D1641" s="198">
        <f>'02 项目基础信息（输入）'!$C$57</f>
        <v>0</v>
      </c>
      <c r="E1641" s="199" t="s">
        <v>93</v>
      </c>
      <c r="F1641" s="197" t="s">
        <v>1682</v>
      </c>
      <c r="G1641" s="82">
        <v>0</v>
      </c>
      <c r="H1641" s="199" t="s">
        <v>298</v>
      </c>
      <c r="I1641" s="198">
        <f t="shared" si="190"/>
        <v>0</v>
      </c>
      <c r="J1641" s="199" t="s">
        <v>93</v>
      </c>
      <c r="K1641" s="188">
        <v>0</v>
      </c>
      <c r="L1641" s="209" t="s">
        <v>675</v>
      </c>
      <c r="M1641" s="207">
        <f t="shared" si="191"/>
        <v>0</v>
      </c>
      <c r="N1641" s="198">
        <f>'02 项目基础信息（输入）'!$C$57</f>
        <v>0</v>
      </c>
      <c r="O1641" s="198">
        <f t="shared" si="186"/>
        <v>0</v>
      </c>
      <c r="P1641" s="198">
        <f>'02 项目基础信息（输入）'!$I$57</f>
        <v>0</v>
      </c>
      <c r="Q1641" s="233">
        <f t="shared" si="187"/>
        <v>0</v>
      </c>
      <c r="S1641" s="217"/>
      <c r="U1641" s="220" t="s">
        <v>3430</v>
      </c>
    </row>
    <row r="1642" spans="1:21" ht="0" hidden="1" customHeight="1" outlineLevel="3">
      <c r="A1642" s="192" t="s">
        <v>2022</v>
      </c>
      <c r="B1642" s="192"/>
      <c r="C1642" s="197" t="s">
        <v>1609</v>
      </c>
      <c r="D1642" s="198">
        <f>'02 项目基础信息（输入）'!$C$57</f>
        <v>0</v>
      </c>
      <c r="E1642" s="199" t="s">
        <v>93</v>
      </c>
      <c r="F1642" s="197" t="s">
        <v>1682</v>
      </c>
      <c r="G1642" s="82">
        <v>0</v>
      </c>
      <c r="H1642" s="199" t="s">
        <v>298</v>
      </c>
      <c r="I1642" s="198">
        <f t="shared" si="190"/>
        <v>0</v>
      </c>
      <c r="J1642" s="199" t="s">
        <v>93</v>
      </c>
      <c r="K1642" s="188">
        <v>0</v>
      </c>
      <c r="L1642" s="209" t="s">
        <v>675</v>
      </c>
      <c r="M1642" s="207">
        <f t="shared" si="191"/>
        <v>0</v>
      </c>
      <c r="N1642" s="198">
        <f>'02 项目基础信息（输入）'!$C$57</f>
        <v>0</v>
      </c>
      <c r="O1642" s="198">
        <f t="shared" si="186"/>
        <v>0</v>
      </c>
      <c r="P1642" s="198">
        <f>'02 项目基础信息（输入）'!$I$57</f>
        <v>0</v>
      </c>
      <c r="Q1642" s="233">
        <f t="shared" si="187"/>
        <v>0</v>
      </c>
      <c r="S1642" s="217"/>
      <c r="U1642" s="220" t="s">
        <v>3431</v>
      </c>
    </row>
    <row r="1643" spans="1:21" ht="0" hidden="1" customHeight="1" outlineLevel="3">
      <c r="A1643" s="192" t="s">
        <v>1694</v>
      </c>
      <c r="B1643" s="192"/>
      <c r="C1643" s="197" t="s">
        <v>1609</v>
      </c>
      <c r="D1643" s="198">
        <f>'02 项目基础信息（输入）'!$C$57</f>
        <v>0</v>
      </c>
      <c r="E1643" s="199" t="s">
        <v>93</v>
      </c>
      <c r="F1643" s="197" t="s">
        <v>1682</v>
      </c>
      <c r="G1643" s="82">
        <v>0</v>
      </c>
      <c r="H1643" s="199" t="s">
        <v>298</v>
      </c>
      <c r="I1643" s="198">
        <f t="shared" si="190"/>
        <v>0</v>
      </c>
      <c r="J1643" s="199" t="s">
        <v>93</v>
      </c>
      <c r="K1643" s="188">
        <v>0</v>
      </c>
      <c r="L1643" s="209" t="s">
        <v>675</v>
      </c>
      <c r="M1643" s="207">
        <f t="shared" si="191"/>
        <v>0</v>
      </c>
      <c r="N1643" s="198">
        <f>'02 项目基础信息（输入）'!$C$57</f>
        <v>0</v>
      </c>
      <c r="O1643" s="198">
        <f t="shared" si="186"/>
        <v>0</v>
      </c>
      <c r="P1643" s="198">
        <f>'02 项目基础信息（输入）'!$I$57</f>
        <v>0</v>
      </c>
      <c r="Q1643" s="233">
        <f t="shared" si="187"/>
        <v>0</v>
      </c>
      <c r="S1643" s="217"/>
      <c r="U1643" s="220" t="s">
        <v>3432</v>
      </c>
    </row>
    <row r="1644" spans="1:21" ht="0" hidden="1" customHeight="1" outlineLevel="3">
      <c r="A1644" s="192" t="s">
        <v>1696</v>
      </c>
      <c r="B1644" s="192"/>
      <c r="C1644" s="197" t="s">
        <v>1609</v>
      </c>
      <c r="D1644" s="198">
        <f>'02 项目基础信息（输入）'!$C$57</f>
        <v>0</v>
      </c>
      <c r="E1644" s="199" t="s">
        <v>93</v>
      </c>
      <c r="F1644" s="197" t="s">
        <v>1682</v>
      </c>
      <c r="G1644" s="82">
        <v>0</v>
      </c>
      <c r="H1644" s="199" t="s">
        <v>298</v>
      </c>
      <c r="I1644" s="198">
        <f t="shared" si="190"/>
        <v>0</v>
      </c>
      <c r="J1644" s="199" t="s">
        <v>93</v>
      </c>
      <c r="K1644" s="188">
        <v>0</v>
      </c>
      <c r="L1644" s="209" t="s">
        <v>675</v>
      </c>
      <c r="M1644" s="207">
        <f t="shared" si="191"/>
        <v>0</v>
      </c>
      <c r="N1644" s="198">
        <f>'02 项目基础信息（输入）'!$C$57</f>
        <v>0</v>
      </c>
      <c r="O1644" s="198">
        <f t="shared" si="186"/>
        <v>0</v>
      </c>
      <c r="P1644" s="198">
        <f>'02 项目基础信息（输入）'!$I$57</f>
        <v>0</v>
      </c>
      <c r="Q1644" s="233">
        <f t="shared" si="187"/>
        <v>0</v>
      </c>
      <c r="S1644" s="217"/>
      <c r="U1644" s="220" t="s">
        <v>3433</v>
      </c>
    </row>
    <row r="1645" spans="1:21" ht="0" hidden="1" customHeight="1" outlineLevel="2">
      <c r="A1645" s="192" t="s">
        <v>1698</v>
      </c>
      <c r="B1645" s="192"/>
      <c r="C1645" s="197" t="s">
        <v>1609</v>
      </c>
      <c r="D1645" s="198">
        <f>'02 项目基础信息（输入）'!$C$57</f>
        <v>0</v>
      </c>
      <c r="E1645" s="199" t="s">
        <v>93</v>
      </c>
      <c r="F1645" s="197"/>
      <c r="G1645" s="199"/>
      <c r="H1645" s="199"/>
      <c r="I1645" s="197"/>
      <c r="J1645" s="199"/>
      <c r="K1645" s="198"/>
      <c r="L1645" s="209"/>
      <c r="M1645" s="198">
        <f>ROUND(SUM(M1646:M1647),6)</f>
        <v>0</v>
      </c>
      <c r="N1645" s="198">
        <f>'02 项目基础信息（输入）'!$C$57</f>
        <v>0</v>
      </c>
      <c r="O1645" s="198">
        <f t="shared" si="186"/>
        <v>0</v>
      </c>
      <c r="P1645" s="198">
        <f>'02 项目基础信息（输入）'!$I$57</f>
        <v>0</v>
      </c>
      <c r="Q1645" s="233">
        <f t="shared" si="187"/>
        <v>0</v>
      </c>
      <c r="S1645" s="217" t="s">
        <v>1313</v>
      </c>
      <c r="U1645" s="220" t="s">
        <v>3434</v>
      </c>
    </row>
    <row r="1646" spans="1:21" ht="0" hidden="1" customHeight="1" outlineLevel="3">
      <c r="A1646" s="192" t="s">
        <v>1700</v>
      </c>
      <c r="B1646" s="192"/>
      <c r="C1646" s="197" t="s">
        <v>1609</v>
      </c>
      <c r="D1646" s="198">
        <f>'02 项目基础信息（输入）'!$C$57</f>
        <v>0</v>
      </c>
      <c r="E1646" s="199" t="s">
        <v>93</v>
      </c>
      <c r="F1646" s="197" t="s">
        <v>1701</v>
      </c>
      <c r="G1646" s="82">
        <v>0</v>
      </c>
      <c r="H1646" s="199" t="s">
        <v>298</v>
      </c>
      <c r="I1646" s="198">
        <f>G1646*D1646</f>
        <v>0</v>
      </c>
      <c r="J1646" s="199" t="s">
        <v>93</v>
      </c>
      <c r="K1646" s="188">
        <v>0</v>
      </c>
      <c r="L1646" s="209" t="s">
        <v>675</v>
      </c>
      <c r="M1646" s="207">
        <f>ROUND(K1646*I1646/10000,6)</f>
        <v>0</v>
      </c>
      <c r="N1646" s="198">
        <f>'02 项目基础信息（输入）'!$C$57</f>
        <v>0</v>
      </c>
      <c r="O1646" s="198">
        <f t="shared" si="186"/>
        <v>0</v>
      </c>
      <c r="P1646" s="198">
        <f>'02 项目基础信息（输入）'!$I$57</f>
        <v>0</v>
      </c>
      <c r="Q1646" s="233">
        <f t="shared" si="187"/>
        <v>0</v>
      </c>
      <c r="S1646" s="217"/>
      <c r="U1646" s="220" t="s">
        <v>3435</v>
      </c>
    </row>
    <row r="1647" spans="1:21" ht="0" hidden="1" customHeight="1" outlineLevel="3">
      <c r="A1647" s="192" t="s">
        <v>1703</v>
      </c>
      <c r="B1647" s="192"/>
      <c r="C1647" s="197" t="s">
        <v>1609</v>
      </c>
      <c r="D1647" s="198">
        <f>'02 项目基础信息（输入）'!$C$57</f>
        <v>0</v>
      </c>
      <c r="E1647" s="199" t="s">
        <v>93</v>
      </c>
      <c r="F1647" s="197" t="s">
        <v>1704</v>
      </c>
      <c r="G1647" s="82">
        <v>0</v>
      </c>
      <c r="H1647" s="199" t="s">
        <v>298</v>
      </c>
      <c r="I1647" s="198">
        <f>G1647*D1647</f>
        <v>0</v>
      </c>
      <c r="J1647" s="199" t="s">
        <v>93</v>
      </c>
      <c r="K1647" s="188">
        <v>0</v>
      </c>
      <c r="L1647" s="209" t="s">
        <v>675</v>
      </c>
      <c r="M1647" s="207">
        <f>ROUND(K1647*I1647/10000,6)</f>
        <v>0</v>
      </c>
      <c r="N1647" s="198">
        <f>'02 项目基础信息（输入）'!$C$57</f>
        <v>0</v>
      </c>
      <c r="O1647" s="198">
        <f t="shared" si="186"/>
        <v>0</v>
      </c>
      <c r="P1647" s="198">
        <f>'02 项目基础信息（输入）'!$I$57</f>
        <v>0</v>
      </c>
      <c r="Q1647" s="233">
        <f t="shared" si="187"/>
        <v>0</v>
      </c>
      <c r="S1647" s="217"/>
      <c r="U1647" s="220" t="s">
        <v>3436</v>
      </c>
    </row>
    <row r="1648" spans="1:21" ht="0" hidden="1" customHeight="1" outlineLevel="2">
      <c r="A1648" s="192" t="s">
        <v>1706</v>
      </c>
      <c r="B1648" s="192"/>
      <c r="C1648" s="197" t="s">
        <v>1609</v>
      </c>
      <c r="D1648" s="198">
        <f>'02 项目基础信息（输入）'!$C$57</f>
        <v>0</v>
      </c>
      <c r="E1648" s="199" t="s">
        <v>93</v>
      </c>
      <c r="F1648" s="197"/>
      <c r="G1648" s="199"/>
      <c r="H1648" s="199"/>
      <c r="I1648" s="197"/>
      <c r="J1648" s="199"/>
      <c r="K1648" s="198"/>
      <c r="L1648" s="209"/>
      <c r="M1648" s="198">
        <f>ROUND(SUM(M1649:M1650),6)</f>
        <v>0</v>
      </c>
      <c r="N1648" s="198">
        <f>'02 项目基础信息（输入）'!$C$57</f>
        <v>0</v>
      </c>
      <c r="O1648" s="198">
        <f t="shared" si="186"/>
        <v>0</v>
      </c>
      <c r="P1648" s="198">
        <f>'02 项目基础信息（输入）'!$I$57</f>
        <v>0</v>
      </c>
      <c r="Q1648" s="233">
        <f t="shared" si="187"/>
        <v>0</v>
      </c>
      <c r="S1648" s="217" t="s">
        <v>1313</v>
      </c>
      <c r="U1648" s="220" t="s">
        <v>3437</v>
      </c>
    </row>
    <row r="1649" spans="1:21" ht="0" hidden="1" customHeight="1" outlineLevel="3">
      <c r="A1649" s="192" t="s">
        <v>1708</v>
      </c>
      <c r="B1649" s="192"/>
      <c r="C1649" s="197" t="s">
        <v>1609</v>
      </c>
      <c r="D1649" s="198">
        <f>'02 项目基础信息（输入）'!$C$57</f>
        <v>0</v>
      </c>
      <c r="E1649" s="199" t="s">
        <v>93</v>
      </c>
      <c r="F1649" s="197" t="s">
        <v>1648</v>
      </c>
      <c r="G1649" s="82">
        <v>0</v>
      </c>
      <c r="H1649" s="199" t="s">
        <v>298</v>
      </c>
      <c r="I1649" s="198">
        <f>G1649*D1649</f>
        <v>0</v>
      </c>
      <c r="J1649" s="199" t="s">
        <v>93</v>
      </c>
      <c r="K1649" s="188">
        <v>0</v>
      </c>
      <c r="L1649" s="209" t="s">
        <v>675</v>
      </c>
      <c r="M1649" s="207">
        <f>ROUND(K1649*I1649/10000,6)</f>
        <v>0</v>
      </c>
      <c r="N1649" s="198">
        <f>'02 项目基础信息（输入）'!$C$57</f>
        <v>0</v>
      </c>
      <c r="O1649" s="198">
        <f t="shared" si="186"/>
        <v>0</v>
      </c>
      <c r="P1649" s="198">
        <f>'02 项目基础信息（输入）'!$I$57</f>
        <v>0</v>
      </c>
      <c r="Q1649" s="233">
        <f t="shared" si="187"/>
        <v>0</v>
      </c>
      <c r="S1649" s="217"/>
      <c r="U1649" s="220" t="s">
        <v>3438</v>
      </c>
    </row>
    <row r="1650" spans="1:21" ht="0" hidden="1" customHeight="1" outlineLevel="3">
      <c r="A1650" s="192" t="s">
        <v>1710</v>
      </c>
      <c r="B1650" s="192"/>
      <c r="C1650" s="197" t="s">
        <v>1609</v>
      </c>
      <c r="D1650" s="198">
        <f>'02 项目基础信息（输入）'!$C$57</f>
        <v>0</v>
      </c>
      <c r="E1650" s="199" t="s">
        <v>93</v>
      </c>
      <c r="F1650" s="197" t="s">
        <v>1648</v>
      </c>
      <c r="G1650" s="82">
        <v>0</v>
      </c>
      <c r="H1650" s="199" t="s">
        <v>298</v>
      </c>
      <c r="I1650" s="198">
        <f>G1650*D1650</f>
        <v>0</v>
      </c>
      <c r="J1650" s="199" t="s">
        <v>93</v>
      </c>
      <c r="K1650" s="188">
        <v>0</v>
      </c>
      <c r="L1650" s="209" t="s">
        <v>675</v>
      </c>
      <c r="M1650" s="207">
        <f>ROUND(K1650*I1650/10000,6)</f>
        <v>0</v>
      </c>
      <c r="N1650" s="198">
        <f>'02 项目基础信息（输入）'!$C$57</f>
        <v>0</v>
      </c>
      <c r="O1650" s="198">
        <f t="shared" si="186"/>
        <v>0</v>
      </c>
      <c r="P1650" s="198">
        <f>'02 项目基础信息（输入）'!$I$57</f>
        <v>0</v>
      </c>
      <c r="Q1650" s="233">
        <f t="shared" si="187"/>
        <v>0</v>
      </c>
      <c r="S1650" s="217"/>
      <c r="U1650" s="220" t="s">
        <v>3439</v>
      </c>
    </row>
    <row r="1651" spans="1:21" ht="0" hidden="1" customHeight="1" outlineLevel="2">
      <c r="A1651" s="192" t="s">
        <v>1712</v>
      </c>
      <c r="B1651" s="192"/>
      <c r="C1651" s="197" t="s">
        <v>1609</v>
      </c>
      <c r="D1651" s="198">
        <f>'02 项目基础信息（输入）'!$C$57</f>
        <v>0</v>
      </c>
      <c r="E1651" s="199" t="s">
        <v>93</v>
      </c>
      <c r="F1651" s="197"/>
      <c r="G1651" s="199"/>
      <c r="H1651" s="199"/>
      <c r="I1651" s="197"/>
      <c r="J1651" s="199"/>
      <c r="K1651" s="198"/>
      <c r="L1651" s="209"/>
      <c r="M1651" s="198">
        <f>ROUND(SUM(M1652:M1669),6)</f>
        <v>0</v>
      </c>
      <c r="N1651" s="198">
        <f>'02 项目基础信息（输入）'!$C$57</f>
        <v>0</v>
      </c>
      <c r="O1651" s="198">
        <f t="shared" si="186"/>
        <v>0</v>
      </c>
      <c r="P1651" s="198">
        <f>'02 项目基础信息（输入）'!$I$57</f>
        <v>0</v>
      </c>
      <c r="Q1651" s="233">
        <f t="shared" si="187"/>
        <v>0</v>
      </c>
      <c r="S1651" s="217" t="s">
        <v>1313</v>
      </c>
      <c r="U1651" s="220" t="s">
        <v>3440</v>
      </c>
    </row>
    <row r="1652" spans="1:21" ht="0" hidden="1" customHeight="1" outlineLevel="3">
      <c r="A1652" s="192" t="s">
        <v>1714</v>
      </c>
      <c r="B1652" s="192"/>
      <c r="C1652" s="197" t="s">
        <v>1609</v>
      </c>
      <c r="D1652" s="198">
        <f>'02 项目基础信息（输入）'!$C$57</f>
        <v>0</v>
      </c>
      <c r="E1652" s="199" t="s">
        <v>93</v>
      </c>
      <c r="F1652" s="197" t="s">
        <v>1609</v>
      </c>
      <c r="G1652" s="199">
        <v>1</v>
      </c>
      <c r="H1652" s="199" t="s">
        <v>298</v>
      </c>
      <c r="I1652" s="198">
        <f t="shared" ref="I1652:I1669" si="192">G1652*D1652</f>
        <v>0</v>
      </c>
      <c r="J1652" s="199" t="s">
        <v>93</v>
      </c>
      <c r="K1652" s="188">
        <v>0</v>
      </c>
      <c r="L1652" s="209" t="s">
        <v>675</v>
      </c>
      <c r="M1652" s="207">
        <f t="shared" ref="M1652:M1669" si="193">ROUND(K1652*I1652/10000,6)</f>
        <v>0</v>
      </c>
      <c r="N1652" s="198">
        <f>'02 项目基础信息（输入）'!$C$57</f>
        <v>0</v>
      </c>
      <c r="O1652" s="198">
        <f t="shared" si="186"/>
        <v>0</v>
      </c>
      <c r="P1652" s="198">
        <f>'02 项目基础信息（输入）'!$I$57</f>
        <v>0</v>
      </c>
      <c r="Q1652" s="233">
        <f t="shared" si="187"/>
        <v>0</v>
      </c>
      <c r="S1652" s="217"/>
      <c r="U1652" s="220" t="s">
        <v>3441</v>
      </c>
    </row>
    <row r="1653" spans="1:21" ht="0" hidden="1" customHeight="1" outlineLevel="3">
      <c r="A1653" s="192" t="s">
        <v>1717</v>
      </c>
      <c r="B1653" s="192"/>
      <c r="C1653" s="197" t="s">
        <v>1609</v>
      </c>
      <c r="D1653" s="198">
        <f>'02 项目基础信息（输入）'!$C$57</f>
        <v>0</v>
      </c>
      <c r="E1653" s="199" t="s">
        <v>93</v>
      </c>
      <c r="F1653" s="197" t="s">
        <v>1609</v>
      </c>
      <c r="G1653" s="199">
        <v>1</v>
      </c>
      <c r="H1653" s="199" t="s">
        <v>298</v>
      </c>
      <c r="I1653" s="198">
        <f t="shared" si="192"/>
        <v>0</v>
      </c>
      <c r="J1653" s="199" t="s">
        <v>93</v>
      </c>
      <c r="K1653" s="188">
        <v>0</v>
      </c>
      <c r="L1653" s="209" t="s">
        <v>675</v>
      </c>
      <c r="M1653" s="207">
        <f t="shared" si="193"/>
        <v>0</v>
      </c>
      <c r="N1653" s="198">
        <f>'02 项目基础信息（输入）'!$C$57</f>
        <v>0</v>
      </c>
      <c r="O1653" s="198">
        <f t="shared" si="186"/>
        <v>0</v>
      </c>
      <c r="P1653" s="198">
        <f>'02 项目基础信息（输入）'!$I$57</f>
        <v>0</v>
      </c>
      <c r="Q1653" s="233">
        <f t="shared" si="187"/>
        <v>0</v>
      </c>
      <c r="S1653" s="217"/>
      <c r="U1653" s="220" t="s">
        <v>3442</v>
      </c>
    </row>
    <row r="1654" spans="1:21" ht="0" hidden="1" customHeight="1" outlineLevel="3">
      <c r="A1654" s="192" t="s">
        <v>1719</v>
      </c>
      <c r="B1654" s="192"/>
      <c r="C1654" s="197" t="s">
        <v>1609</v>
      </c>
      <c r="D1654" s="198">
        <f>'02 项目基础信息（输入）'!$C$57</f>
        <v>0</v>
      </c>
      <c r="E1654" s="199" t="s">
        <v>93</v>
      </c>
      <c r="F1654" s="197" t="s">
        <v>1609</v>
      </c>
      <c r="G1654" s="199">
        <v>1</v>
      </c>
      <c r="H1654" s="199" t="s">
        <v>298</v>
      </c>
      <c r="I1654" s="198">
        <f t="shared" si="192"/>
        <v>0</v>
      </c>
      <c r="J1654" s="199" t="s">
        <v>93</v>
      </c>
      <c r="K1654" s="188">
        <v>0</v>
      </c>
      <c r="L1654" s="209" t="s">
        <v>675</v>
      </c>
      <c r="M1654" s="207">
        <f t="shared" si="193"/>
        <v>0</v>
      </c>
      <c r="N1654" s="198">
        <f>'02 项目基础信息（输入）'!$C$57</f>
        <v>0</v>
      </c>
      <c r="O1654" s="198">
        <f t="shared" si="186"/>
        <v>0</v>
      </c>
      <c r="P1654" s="198">
        <f>'02 项目基础信息（输入）'!$I$57</f>
        <v>0</v>
      </c>
      <c r="Q1654" s="233">
        <f t="shared" si="187"/>
        <v>0</v>
      </c>
      <c r="S1654" s="217"/>
      <c r="U1654" s="220" t="s">
        <v>3443</v>
      </c>
    </row>
    <row r="1655" spans="1:21" ht="0" hidden="1" customHeight="1" outlineLevel="3">
      <c r="A1655" s="192" t="s">
        <v>1721</v>
      </c>
      <c r="B1655" s="192"/>
      <c r="C1655" s="197" t="s">
        <v>1609</v>
      </c>
      <c r="D1655" s="198">
        <f>'02 项目基础信息（输入）'!$C$57</f>
        <v>0</v>
      </c>
      <c r="E1655" s="199" t="s">
        <v>93</v>
      </c>
      <c r="F1655" s="197" t="s">
        <v>1609</v>
      </c>
      <c r="G1655" s="199">
        <v>1</v>
      </c>
      <c r="H1655" s="199" t="s">
        <v>298</v>
      </c>
      <c r="I1655" s="198">
        <f t="shared" si="192"/>
        <v>0</v>
      </c>
      <c r="J1655" s="199" t="s">
        <v>93</v>
      </c>
      <c r="K1655" s="188">
        <v>0</v>
      </c>
      <c r="L1655" s="209" t="s">
        <v>675</v>
      </c>
      <c r="M1655" s="207">
        <f t="shared" si="193"/>
        <v>0</v>
      </c>
      <c r="N1655" s="198">
        <f>'02 项目基础信息（输入）'!$C$57</f>
        <v>0</v>
      </c>
      <c r="O1655" s="198">
        <f t="shared" si="186"/>
        <v>0</v>
      </c>
      <c r="P1655" s="198">
        <f>'02 项目基础信息（输入）'!$I$57</f>
        <v>0</v>
      </c>
      <c r="Q1655" s="233">
        <f t="shared" si="187"/>
        <v>0</v>
      </c>
      <c r="S1655" s="217"/>
      <c r="U1655" s="220" t="s">
        <v>3444</v>
      </c>
    </row>
    <row r="1656" spans="1:21" ht="0" hidden="1" customHeight="1" outlineLevel="3">
      <c r="A1656" s="192" t="s">
        <v>1723</v>
      </c>
      <c r="B1656" s="192"/>
      <c r="C1656" s="197" t="s">
        <v>1609</v>
      </c>
      <c r="D1656" s="198">
        <f>'02 项目基础信息（输入）'!$C$57</f>
        <v>0</v>
      </c>
      <c r="E1656" s="199" t="s">
        <v>93</v>
      </c>
      <c r="F1656" s="197" t="s">
        <v>1609</v>
      </c>
      <c r="G1656" s="199">
        <v>1</v>
      </c>
      <c r="H1656" s="199" t="s">
        <v>298</v>
      </c>
      <c r="I1656" s="198">
        <f t="shared" si="192"/>
        <v>0</v>
      </c>
      <c r="J1656" s="199" t="s">
        <v>93</v>
      </c>
      <c r="K1656" s="188">
        <v>0</v>
      </c>
      <c r="L1656" s="209" t="s">
        <v>675</v>
      </c>
      <c r="M1656" s="207">
        <f t="shared" si="193"/>
        <v>0</v>
      </c>
      <c r="N1656" s="198">
        <f>'02 项目基础信息（输入）'!$C$57</f>
        <v>0</v>
      </c>
      <c r="O1656" s="198">
        <f t="shared" si="186"/>
        <v>0</v>
      </c>
      <c r="P1656" s="198">
        <f>'02 项目基础信息（输入）'!$I$57</f>
        <v>0</v>
      </c>
      <c r="Q1656" s="233">
        <f t="shared" si="187"/>
        <v>0</v>
      </c>
      <c r="S1656" s="217"/>
      <c r="U1656" s="220" t="s">
        <v>3445</v>
      </c>
    </row>
    <row r="1657" spans="1:21" ht="0" hidden="1" customHeight="1" outlineLevel="3">
      <c r="A1657" s="192" t="s">
        <v>1725</v>
      </c>
      <c r="B1657" s="192"/>
      <c r="C1657" s="197" t="s">
        <v>1609</v>
      </c>
      <c r="D1657" s="198">
        <f>'02 项目基础信息（输入）'!$C$57</f>
        <v>0</v>
      </c>
      <c r="E1657" s="199" t="s">
        <v>93</v>
      </c>
      <c r="F1657" s="197" t="s">
        <v>1609</v>
      </c>
      <c r="G1657" s="199">
        <v>1</v>
      </c>
      <c r="H1657" s="199" t="s">
        <v>298</v>
      </c>
      <c r="I1657" s="198">
        <f t="shared" si="192"/>
        <v>0</v>
      </c>
      <c r="J1657" s="199" t="s">
        <v>93</v>
      </c>
      <c r="K1657" s="188">
        <v>0</v>
      </c>
      <c r="L1657" s="209" t="s">
        <v>675</v>
      </c>
      <c r="M1657" s="207">
        <f t="shared" si="193"/>
        <v>0</v>
      </c>
      <c r="N1657" s="198">
        <f>'02 项目基础信息（输入）'!$C$57</f>
        <v>0</v>
      </c>
      <c r="O1657" s="198">
        <f t="shared" si="186"/>
        <v>0</v>
      </c>
      <c r="P1657" s="198">
        <f>'02 项目基础信息（输入）'!$I$57</f>
        <v>0</v>
      </c>
      <c r="Q1657" s="233">
        <f t="shared" si="187"/>
        <v>0</v>
      </c>
      <c r="S1657" s="217"/>
      <c r="U1657" s="220" t="s">
        <v>3446</v>
      </c>
    </row>
    <row r="1658" spans="1:21" ht="0" hidden="1" customHeight="1" outlineLevel="3">
      <c r="A1658" s="192" t="s">
        <v>1727</v>
      </c>
      <c r="B1658" s="192"/>
      <c r="C1658" s="197" t="s">
        <v>1609</v>
      </c>
      <c r="D1658" s="198">
        <f>'02 项目基础信息（输入）'!$C$57</f>
        <v>0</v>
      </c>
      <c r="E1658" s="199" t="s">
        <v>93</v>
      </c>
      <c r="F1658" s="197" t="s">
        <v>1609</v>
      </c>
      <c r="G1658" s="199">
        <v>1</v>
      </c>
      <c r="H1658" s="199" t="s">
        <v>298</v>
      </c>
      <c r="I1658" s="198">
        <f t="shared" si="192"/>
        <v>0</v>
      </c>
      <c r="J1658" s="199" t="s">
        <v>93</v>
      </c>
      <c r="K1658" s="188">
        <v>0</v>
      </c>
      <c r="L1658" s="209" t="s">
        <v>675</v>
      </c>
      <c r="M1658" s="207">
        <f t="shared" si="193"/>
        <v>0</v>
      </c>
      <c r="N1658" s="198">
        <f>'02 项目基础信息（输入）'!$C$57</f>
        <v>0</v>
      </c>
      <c r="O1658" s="198">
        <f t="shared" si="186"/>
        <v>0</v>
      </c>
      <c r="P1658" s="198">
        <f>'02 项目基础信息（输入）'!$I$57</f>
        <v>0</v>
      </c>
      <c r="Q1658" s="233">
        <f t="shared" si="187"/>
        <v>0</v>
      </c>
      <c r="S1658" s="217"/>
      <c r="U1658" s="220" t="s">
        <v>3447</v>
      </c>
    </row>
    <row r="1659" spans="1:21" ht="0" hidden="1" customHeight="1" outlineLevel="3">
      <c r="A1659" s="192" t="s">
        <v>1729</v>
      </c>
      <c r="B1659" s="192"/>
      <c r="C1659" s="197" t="s">
        <v>1609</v>
      </c>
      <c r="D1659" s="198">
        <f>'02 项目基础信息（输入）'!$C$57</f>
        <v>0</v>
      </c>
      <c r="E1659" s="199" t="s">
        <v>93</v>
      </c>
      <c r="F1659" s="197" t="s">
        <v>1609</v>
      </c>
      <c r="G1659" s="199">
        <v>1</v>
      </c>
      <c r="H1659" s="199" t="s">
        <v>298</v>
      </c>
      <c r="I1659" s="198">
        <f t="shared" si="192"/>
        <v>0</v>
      </c>
      <c r="J1659" s="199" t="s">
        <v>93</v>
      </c>
      <c r="K1659" s="188">
        <v>0</v>
      </c>
      <c r="L1659" s="209" t="s">
        <v>675</v>
      </c>
      <c r="M1659" s="207">
        <f t="shared" si="193"/>
        <v>0</v>
      </c>
      <c r="N1659" s="198">
        <f>'02 项目基础信息（输入）'!$C$57</f>
        <v>0</v>
      </c>
      <c r="O1659" s="198">
        <f t="shared" si="186"/>
        <v>0</v>
      </c>
      <c r="P1659" s="198">
        <f>'02 项目基础信息（输入）'!$I$57</f>
        <v>0</v>
      </c>
      <c r="Q1659" s="233">
        <f t="shared" si="187"/>
        <v>0</v>
      </c>
      <c r="S1659" s="217"/>
      <c r="U1659" s="220" t="s">
        <v>3448</v>
      </c>
    </row>
    <row r="1660" spans="1:21" ht="0" hidden="1" customHeight="1" outlineLevel="3">
      <c r="A1660" s="192" t="s">
        <v>1731</v>
      </c>
      <c r="B1660" s="192"/>
      <c r="C1660" s="197" t="s">
        <v>1609</v>
      </c>
      <c r="D1660" s="198">
        <f>'02 项目基础信息（输入）'!$C$57</f>
        <v>0</v>
      </c>
      <c r="E1660" s="199" t="s">
        <v>93</v>
      </c>
      <c r="F1660" s="197" t="s">
        <v>1609</v>
      </c>
      <c r="G1660" s="199">
        <v>1</v>
      </c>
      <c r="H1660" s="199" t="s">
        <v>298</v>
      </c>
      <c r="I1660" s="198">
        <f t="shared" si="192"/>
        <v>0</v>
      </c>
      <c r="J1660" s="199" t="s">
        <v>93</v>
      </c>
      <c r="K1660" s="188">
        <v>0</v>
      </c>
      <c r="L1660" s="209" t="s">
        <v>675</v>
      </c>
      <c r="M1660" s="207">
        <f t="shared" si="193"/>
        <v>0</v>
      </c>
      <c r="N1660" s="198">
        <f>'02 项目基础信息（输入）'!$C$57</f>
        <v>0</v>
      </c>
      <c r="O1660" s="198">
        <f t="shared" si="186"/>
        <v>0</v>
      </c>
      <c r="P1660" s="198">
        <f>'02 项目基础信息（输入）'!$I$57</f>
        <v>0</v>
      </c>
      <c r="Q1660" s="233">
        <f t="shared" si="187"/>
        <v>0</v>
      </c>
      <c r="S1660" s="217"/>
      <c r="U1660" s="220" t="s">
        <v>3449</v>
      </c>
    </row>
    <row r="1661" spans="1:21" ht="0" hidden="1" customHeight="1" outlineLevel="3">
      <c r="A1661" s="192" t="s">
        <v>1733</v>
      </c>
      <c r="B1661" s="192"/>
      <c r="C1661" s="197" t="s">
        <v>1609</v>
      </c>
      <c r="D1661" s="198">
        <f>'02 项目基础信息（输入）'!$C$57</f>
        <v>0</v>
      </c>
      <c r="E1661" s="199" t="s">
        <v>93</v>
      </c>
      <c r="F1661" s="197" t="s">
        <v>1609</v>
      </c>
      <c r="G1661" s="199">
        <v>1</v>
      </c>
      <c r="H1661" s="199" t="s">
        <v>298</v>
      </c>
      <c r="I1661" s="198">
        <f t="shared" si="192"/>
        <v>0</v>
      </c>
      <c r="J1661" s="199" t="s">
        <v>93</v>
      </c>
      <c r="K1661" s="188">
        <v>0</v>
      </c>
      <c r="L1661" s="209" t="s">
        <v>675</v>
      </c>
      <c r="M1661" s="207">
        <f t="shared" si="193"/>
        <v>0</v>
      </c>
      <c r="N1661" s="198">
        <f>'02 项目基础信息（输入）'!$C$57</f>
        <v>0</v>
      </c>
      <c r="O1661" s="198">
        <f t="shared" si="186"/>
        <v>0</v>
      </c>
      <c r="P1661" s="198">
        <f>'02 项目基础信息（输入）'!$I$57</f>
        <v>0</v>
      </c>
      <c r="Q1661" s="233">
        <f t="shared" si="187"/>
        <v>0</v>
      </c>
      <c r="S1661" s="217"/>
      <c r="U1661" s="220" t="s">
        <v>3450</v>
      </c>
    </row>
    <row r="1662" spans="1:21" ht="0" hidden="1" customHeight="1" outlineLevel="3">
      <c r="A1662" s="192" t="s">
        <v>1735</v>
      </c>
      <c r="B1662" s="192"/>
      <c r="C1662" s="197" t="s">
        <v>1609</v>
      </c>
      <c r="D1662" s="198">
        <f>'02 项目基础信息（输入）'!$C$57</f>
        <v>0</v>
      </c>
      <c r="E1662" s="199" t="s">
        <v>93</v>
      </c>
      <c r="F1662" s="197" t="s">
        <v>1609</v>
      </c>
      <c r="G1662" s="199">
        <v>1</v>
      </c>
      <c r="H1662" s="199" t="s">
        <v>298</v>
      </c>
      <c r="I1662" s="198">
        <f t="shared" si="192"/>
        <v>0</v>
      </c>
      <c r="J1662" s="199" t="s">
        <v>93</v>
      </c>
      <c r="K1662" s="188">
        <v>0</v>
      </c>
      <c r="L1662" s="209" t="s">
        <v>675</v>
      </c>
      <c r="M1662" s="207">
        <f t="shared" si="193"/>
        <v>0</v>
      </c>
      <c r="N1662" s="198">
        <f>'02 项目基础信息（输入）'!$C$57</f>
        <v>0</v>
      </c>
      <c r="O1662" s="198">
        <f t="shared" si="186"/>
        <v>0</v>
      </c>
      <c r="P1662" s="198">
        <f>'02 项目基础信息（输入）'!$I$57</f>
        <v>0</v>
      </c>
      <c r="Q1662" s="233">
        <f t="shared" si="187"/>
        <v>0</v>
      </c>
      <c r="S1662" s="217"/>
      <c r="U1662" s="220" t="s">
        <v>3451</v>
      </c>
    </row>
    <row r="1663" spans="1:21" ht="0" hidden="1" customHeight="1" outlineLevel="3">
      <c r="A1663" s="192" t="s">
        <v>1737</v>
      </c>
      <c r="B1663" s="192"/>
      <c r="C1663" s="197" t="s">
        <v>1609</v>
      </c>
      <c r="D1663" s="198">
        <f>'02 项目基础信息（输入）'!$C$57</f>
        <v>0</v>
      </c>
      <c r="E1663" s="199" t="s">
        <v>93</v>
      </c>
      <c r="F1663" s="197" t="s">
        <v>1609</v>
      </c>
      <c r="G1663" s="199">
        <v>1</v>
      </c>
      <c r="H1663" s="199" t="s">
        <v>298</v>
      </c>
      <c r="I1663" s="198">
        <f t="shared" si="192"/>
        <v>0</v>
      </c>
      <c r="J1663" s="199" t="s">
        <v>93</v>
      </c>
      <c r="K1663" s="188">
        <v>0</v>
      </c>
      <c r="L1663" s="209" t="s">
        <v>675</v>
      </c>
      <c r="M1663" s="207">
        <f t="shared" si="193"/>
        <v>0</v>
      </c>
      <c r="N1663" s="198">
        <f>'02 项目基础信息（输入）'!$C$57</f>
        <v>0</v>
      </c>
      <c r="O1663" s="198">
        <f t="shared" si="186"/>
        <v>0</v>
      </c>
      <c r="P1663" s="198">
        <f>'02 项目基础信息（输入）'!$I$57</f>
        <v>0</v>
      </c>
      <c r="Q1663" s="233">
        <f t="shared" si="187"/>
        <v>0</v>
      </c>
      <c r="S1663" s="217"/>
      <c r="U1663" s="220" t="s">
        <v>3452</v>
      </c>
    </row>
    <row r="1664" spans="1:21" ht="0" hidden="1" customHeight="1" outlineLevel="3">
      <c r="A1664" s="192" t="s">
        <v>1739</v>
      </c>
      <c r="B1664" s="192"/>
      <c r="C1664" s="197" t="s">
        <v>1609</v>
      </c>
      <c r="D1664" s="198">
        <f>'02 项目基础信息（输入）'!$C$57</f>
        <v>0</v>
      </c>
      <c r="E1664" s="199" t="s">
        <v>93</v>
      </c>
      <c r="F1664" s="197" t="s">
        <v>1609</v>
      </c>
      <c r="G1664" s="199">
        <v>1</v>
      </c>
      <c r="H1664" s="199" t="s">
        <v>298</v>
      </c>
      <c r="I1664" s="198">
        <f t="shared" si="192"/>
        <v>0</v>
      </c>
      <c r="J1664" s="199" t="s">
        <v>93</v>
      </c>
      <c r="K1664" s="188">
        <v>0</v>
      </c>
      <c r="L1664" s="209" t="s">
        <v>675</v>
      </c>
      <c r="M1664" s="207">
        <f t="shared" si="193"/>
        <v>0</v>
      </c>
      <c r="N1664" s="198">
        <f>'02 项目基础信息（输入）'!$C$57</f>
        <v>0</v>
      </c>
      <c r="O1664" s="198">
        <f t="shared" si="186"/>
        <v>0</v>
      </c>
      <c r="P1664" s="198">
        <f>'02 项目基础信息（输入）'!$I$57</f>
        <v>0</v>
      </c>
      <c r="Q1664" s="233">
        <f t="shared" si="187"/>
        <v>0</v>
      </c>
      <c r="S1664" s="217"/>
      <c r="U1664" s="220" t="s">
        <v>3453</v>
      </c>
    </row>
    <row r="1665" spans="1:21" ht="0" hidden="1" customHeight="1" outlineLevel="3">
      <c r="A1665" s="192" t="s">
        <v>1741</v>
      </c>
      <c r="B1665" s="192"/>
      <c r="C1665" s="197" t="s">
        <v>1609</v>
      </c>
      <c r="D1665" s="198">
        <f>'02 项目基础信息（输入）'!$C$57</f>
        <v>0</v>
      </c>
      <c r="E1665" s="199" t="s">
        <v>93</v>
      </c>
      <c r="F1665" s="197" t="s">
        <v>1609</v>
      </c>
      <c r="G1665" s="199">
        <v>1</v>
      </c>
      <c r="H1665" s="199" t="s">
        <v>298</v>
      </c>
      <c r="I1665" s="198">
        <f t="shared" si="192"/>
        <v>0</v>
      </c>
      <c r="J1665" s="199" t="s">
        <v>93</v>
      </c>
      <c r="K1665" s="188">
        <v>0</v>
      </c>
      <c r="L1665" s="209" t="s">
        <v>675</v>
      </c>
      <c r="M1665" s="207">
        <f t="shared" si="193"/>
        <v>0</v>
      </c>
      <c r="N1665" s="198">
        <f>'02 项目基础信息（输入）'!$C$57</f>
        <v>0</v>
      </c>
      <c r="O1665" s="198">
        <f t="shared" si="186"/>
        <v>0</v>
      </c>
      <c r="P1665" s="198">
        <f>'02 项目基础信息（输入）'!$I$57</f>
        <v>0</v>
      </c>
      <c r="Q1665" s="233">
        <f t="shared" si="187"/>
        <v>0</v>
      </c>
      <c r="S1665" s="217"/>
      <c r="U1665" s="220" t="s">
        <v>3454</v>
      </c>
    </row>
    <row r="1666" spans="1:21" ht="0" hidden="1" customHeight="1" outlineLevel="3">
      <c r="A1666" s="192" t="s">
        <v>1743</v>
      </c>
      <c r="B1666" s="192"/>
      <c r="C1666" s="197" t="s">
        <v>1609</v>
      </c>
      <c r="D1666" s="198">
        <f>'02 项目基础信息（输入）'!$C$57</f>
        <v>0</v>
      </c>
      <c r="E1666" s="199" t="s">
        <v>93</v>
      </c>
      <c r="F1666" s="197" t="s">
        <v>1609</v>
      </c>
      <c r="G1666" s="199">
        <v>1</v>
      </c>
      <c r="H1666" s="199" t="s">
        <v>298</v>
      </c>
      <c r="I1666" s="198">
        <f t="shared" si="192"/>
        <v>0</v>
      </c>
      <c r="J1666" s="199" t="s">
        <v>93</v>
      </c>
      <c r="K1666" s="188">
        <v>0</v>
      </c>
      <c r="L1666" s="209" t="s">
        <v>675</v>
      </c>
      <c r="M1666" s="207">
        <f t="shared" si="193"/>
        <v>0</v>
      </c>
      <c r="N1666" s="198">
        <f>'02 项目基础信息（输入）'!$C$57</f>
        <v>0</v>
      </c>
      <c r="O1666" s="198">
        <f t="shared" si="186"/>
        <v>0</v>
      </c>
      <c r="P1666" s="198">
        <f>'02 项目基础信息（输入）'!$I$57</f>
        <v>0</v>
      </c>
      <c r="Q1666" s="233">
        <f t="shared" si="187"/>
        <v>0</v>
      </c>
      <c r="S1666" s="217"/>
      <c r="U1666" s="220" t="s">
        <v>3455</v>
      </c>
    </row>
    <row r="1667" spans="1:21" ht="0" hidden="1" customHeight="1" outlineLevel="3">
      <c r="A1667" s="192" t="s">
        <v>1745</v>
      </c>
      <c r="B1667" s="192"/>
      <c r="C1667" s="197" t="s">
        <v>1609</v>
      </c>
      <c r="D1667" s="198">
        <f>'02 项目基础信息（输入）'!$C$57</f>
        <v>0</v>
      </c>
      <c r="E1667" s="199" t="s">
        <v>93</v>
      </c>
      <c r="F1667" s="197" t="s">
        <v>1609</v>
      </c>
      <c r="G1667" s="199">
        <v>1</v>
      </c>
      <c r="H1667" s="199" t="s">
        <v>298</v>
      </c>
      <c r="I1667" s="198">
        <f t="shared" si="192"/>
        <v>0</v>
      </c>
      <c r="J1667" s="199" t="s">
        <v>93</v>
      </c>
      <c r="K1667" s="188">
        <v>0</v>
      </c>
      <c r="L1667" s="209" t="s">
        <v>675</v>
      </c>
      <c r="M1667" s="207">
        <f t="shared" si="193"/>
        <v>0</v>
      </c>
      <c r="N1667" s="198">
        <f>'02 项目基础信息（输入）'!$C$57</f>
        <v>0</v>
      </c>
      <c r="O1667" s="198">
        <f t="shared" ref="O1667:O1730" si="194">ROUND(IFERROR(M1667*10000/N1667,0),2)</f>
        <v>0</v>
      </c>
      <c r="P1667" s="198">
        <f>'02 项目基础信息（输入）'!$I$57</f>
        <v>0</v>
      </c>
      <c r="Q1667" s="233">
        <f t="shared" ref="Q1667:Q1730" si="195">ROUND(IFERROR(M1667*10000/P1667,0),2)</f>
        <v>0</v>
      </c>
      <c r="S1667" s="217"/>
      <c r="U1667" s="220" t="s">
        <v>3456</v>
      </c>
    </row>
    <row r="1668" spans="1:21" ht="0" hidden="1" customHeight="1" outlineLevel="3">
      <c r="A1668" s="192" t="s">
        <v>1747</v>
      </c>
      <c r="B1668" s="192"/>
      <c r="C1668" s="197" t="s">
        <v>416</v>
      </c>
      <c r="D1668" s="198">
        <f>'02 项目基础信息（输入）'!$AJ$57</f>
        <v>0</v>
      </c>
      <c r="E1668" s="199" t="s">
        <v>417</v>
      </c>
      <c r="F1668" s="197" t="s">
        <v>416</v>
      </c>
      <c r="G1668" s="199">
        <v>1</v>
      </c>
      <c r="H1668" s="199" t="s">
        <v>1748</v>
      </c>
      <c r="I1668" s="198">
        <f t="shared" si="192"/>
        <v>0</v>
      </c>
      <c r="J1668" s="199" t="s">
        <v>400</v>
      </c>
      <c r="K1668" s="188">
        <v>0</v>
      </c>
      <c r="L1668" s="209" t="s">
        <v>1749</v>
      </c>
      <c r="M1668" s="207">
        <f t="shared" si="193"/>
        <v>0</v>
      </c>
      <c r="N1668" s="198">
        <f>'02 项目基础信息（输入）'!$C$57</f>
        <v>0</v>
      </c>
      <c r="O1668" s="198">
        <f t="shared" si="194"/>
        <v>0</v>
      </c>
      <c r="P1668" s="198">
        <f>'02 项目基础信息（输入）'!$I$57</f>
        <v>0</v>
      </c>
      <c r="Q1668" s="233">
        <f t="shared" si="195"/>
        <v>0</v>
      </c>
      <c r="S1668" s="217"/>
      <c r="U1668" s="220" t="s">
        <v>3457</v>
      </c>
    </row>
    <row r="1669" spans="1:21" ht="0" hidden="1" customHeight="1" outlineLevel="3">
      <c r="A1669" s="192" t="s">
        <v>1751</v>
      </c>
      <c r="B1669" s="192"/>
      <c r="C1669" s="197" t="s">
        <v>1609</v>
      </c>
      <c r="D1669" s="198">
        <f>'02 项目基础信息（输入）'!$C$57</f>
        <v>0</v>
      </c>
      <c r="E1669" s="199" t="s">
        <v>93</v>
      </c>
      <c r="F1669" s="197" t="s">
        <v>1609</v>
      </c>
      <c r="G1669" s="199">
        <v>1</v>
      </c>
      <c r="H1669" s="199" t="s">
        <v>298</v>
      </c>
      <c r="I1669" s="198">
        <f t="shared" si="192"/>
        <v>0</v>
      </c>
      <c r="J1669" s="199" t="s">
        <v>93</v>
      </c>
      <c r="K1669" s="188">
        <v>0</v>
      </c>
      <c r="L1669" s="209" t="s">
        <v>675</v>
      </c>
      <c r="M1669" s="207">
        <f t="shared" si="193"/>
        <v>0</v>
      </c>
      <c r="N1669" s="198">
        <f>'02 项目基础信息（输入）'!$C$57</f>
        <v>0</v>
      </c>
      <c r="O1669" s="198">
        <f t="shared" si="194"/>
        <v>0</v>
      </c>
      <c r="P1669" s="198">
        <f>'02 项目基础信息（输入）'!$I$57</f>
        <v>0</v>
      </c>
      <c r="Q1669" s="233">
        <f t="shared" si="195"/>
        <v>0</v>
      </c>
      <c r="S1669" s="217"/>
      <c r="U1669" s="220" t="s">
        <v>3458</v>
      </c>
    </row>
    <row r="1670" spans="1:21" ht="0" hidden="1" customHeight="1" outlineLevel="2">
      <c r="A1670" s="192" t="s">
        <v>1753</v>
      </c>
      <c r="B1670" s="192"/>
      <c r="C1670" s="197" t="s">
        <v>1609</v>
      </c>
      <c r="D1670" s="198">
        <f>'02 项目基础信息（输入）'!$C$57</f>
        <v>0</v>
      </c>
      <c r="E1670" s="199" t="s">
        <v>93</v>
      </c>
      <c r="F1670" s="197"/>
      <c r="G1670" s="199"/>
      <c r="H1670" s="199"/>
      <c r="I1670" s="197"/>
      <c r="J1670" s="199"/>
      <c r="K1670" s="198"/>
      <c r="L1670" s="209"/>
      <c r="M1670" s="198">
        <f>ROUND(SUM(M1671:M1681),6)</f>
        <v>0</v>
      </c>
      <c r="N1670" s="198">
        <f>'02 项目基础信息（输入）'!$C$57</f>
        <v>0</v>
      </c>
      <c r="O1670" s="198">
        <f t="shared" si="194"/>
        <v>0</v>
      </c>
      <c r="P1670" s="198">
        <f>'02 项目基础信息（输入）'!$I$57</f>
        <v>0</v>
      </c>
      <c r="Q1670" s="233">
        <f t="shared" si="195"/>
        <v>0</v>
      </c>
      <c r="S1670" s="217" t="s">
        <v>1313</v>
      </c>
      <c r="U1670" s="220" t="s">
        <v>3459</v>
      </c>
    </row>
    <row r="1671" spans="1:21" ht="0" hidden="1" customHeight="1" outlineLevel="3">
      <c r="A1671" s="192" t="s">
        <v>1755</v>
      </c>
      <c r="B1671" s="192"/>
      <c r="C1671" s="197" t="s">
        <v>1609</v>
      </c>
      <c r="D1671" s="198">
        <f>'02 项目基础信息（输入）'!$C$57</f>
        <v>0</v>
      </c>
      <c r="E1671" s="199" t="s">
        <v>93</v>
      </c>
      <c r="F1671" s="197" t="s">
        <v>1609</v>
      </c>
      <c r="G1671" s="199">
        <v>1</v>
      </c>
      <c r="H1671" s="199" t="s">
        <v>298</v>
      </c>
      <c r="I1671" s="198">
        <f t="shared" ref="I1671:I1681" si="196">G1671*D1671</f>
        <v>0</v>
      </c>
      <c r="J1671" s="199" t="s">
        <v>93</v>
      </c>
      <c r="K1671" s="188">
        <v>0</v>
      </c>
      <c r="L1671" s="209" t="s">
        <v>675</v>
      </c>
      <c r="M1671" s="207">
        <f t="shared" ref="M1671:M1681" si="197">ROUND(K1671*I1671/10000,6)</f>
        <v>0</v>
      </c>
      <c r="N1671" s="198">
        <f>'02 项目基础信息（输入）'!$C$57</f>
        <v>0</v>
      </c>
      <c r="O1671" s="198">
        <f t="shared" si="194"/>
        <v>0</v>
      </c>
      <c r="P1671" s="198">
        <f>'02 项目基础信息（输入）'!$I$57</f>
        <v>0</v>
      </c>
      <c r="Q1671" s="233">
        <f t="shared" si="195"/>
        <v>0</v>
      </c>
      <c r="S1671" s="217"/>
      <c r="U1671" s="220" t="s">
        <v>3460</v>
      </c>
    </row>
    <row r="1672" spans="1:21" ht="0" hidden="1" customHeight="1" outlineLevel="3">
      <c r="A1672" s="192" t="s">
        <v>1757</v>
      </c>
      <c r="B1672" s="192"/>
      <c r="C1672" s="197" t="s">
        <v>1609</v>
      </c>
      <c r="D1672" s="198">
        <f>'02 项目基础信息（输入）'!$C$57</f>
        <v>0</v>
      </c>
      <c r="E1672" s="199" t="s">
        <v>93</v>
      </c>
      <c r="F1672" s="197" t="s">
        <v>1609</v>
      </c>
      <c r="G1672" s="199">
        <v>1</v>
      </c>
      <c r="H1672" s="199" t="s">
        <v>298</v>
      </c>
      <c r="I1672" s="198">
        <f t="shared" si="196"/>
        <v>0</v>
      </c>
      <c r="J1672" s="199" t="s">
        <v>93</v>
      </c>
      <c r="K1672" s="188">
        <v>0</v>
      </c>
      <c r="L1672" s="209" t="s">
        <v>675</v>
      </c>
      <c r="M1672" s="207">
        <f t="shared" si="197"/>
        <v>0</v>
      </c>
      <c r="N1672" s="198">
        <f>'02 项目基础信息（输入）'!$C$57</f>
        <v>0</v>
      </c>
      <c r="O1672" s="198">
        <f t="shared" si="194"/>
        <v>0</v>
      </c>
      <c r="P1672" s="198">
        <f>'02 项目基础信息（输入）'!$I$57</f>
        <v>0</v>
      </c>
      <c r="Q1672" s="233">
        <f t="shared" si="195"/>
        <v>0</v>
      </c>
      <c r="S1672" s="217"/>
      <c r="U1672" s="220" t="s">
        <v>3461</v>
      </c>
    </row>
    <row r="1673" spans="1:21" ht="0" hidden="1" customHeight="1" outlineLevel="3">
      <c r="A1673" s="192" t="s">
        <v>1759</v>
      </c>
      <c r="B1673" s="192"/>
      <c r="C1673" s="197" t="s">
        <v>1609</v>
      </c>
      <c r="D1673" s="198">
        <f>'02 项目基础信息（输入）'!$C$57</f>
        <v>0</v>
      </c>
      <c r="E1673" s="199" t="s">
        <v>93</v>
      </c>
      <c r="F1673" s="197" t="s">
        <v>1609</v>
      </c>
      <c r="G1673" s="199">
        <v>1</v>
      </c>
      <c r="H1673" s="199" t="s">
        <v>298</v>
      </c>
      <c r="I1673" s="198">
        <f t="shared" si="196"/>
        <v>0</v>
      </c>
      <c r="J1673" s="199" t="s">
        <v>93</v>
      </c>
      <c r="K1673" s="188">
        <v>0</v>
      </c>
      <c r="L1673" s="209" t="s">
        <v>675</v>
      </c>
      <c r="M1673" s="207">
        <f t="shared" si="197"/>
        <v>0</v>
      </c>
      <c r="N1673" s="198">
        <f>'02 项目基础信息（输入）'!$C$57</f>
        <v>0</v>
      </c>
      <c r="O1673" s="198">
        <f t="shared" si="194"/>
        <v>0</v>
      </c>
      <c r="P1673" s="198">
        <f>'02 项目基础信息（输入）'!$I$57</f>
        <v>0</v>
      </c>
      <c r="Q1673" s="233">
        <f t="shared" si="195"/>
        <v>0</v>
      </c>
      <c r="S1673" s="217"/>
      <c r="U1673" s="220" t="s">
        <v>3462</v>
      </c>
    </row>
    <row r="1674" spans="1:21" ht="0" hidden="1" customHeight="1" outlineLevel="3">
      <c r="A1674" s="192" t="s">
        <v>1761</v>
      </c>
      <c r="B1674" s="192"/>
      <c r="C1674" s="197" t="s">
        <v>1609</v>
      </c>
      <c r="D1674" s="198">
        <f>'02 项目基础信息（输入）'!$C$57</f>
        <v>0</v>
      </c>
      <c r="E1674" s="199" t="s">
        <v>93</v>
      </c>
      <c r="F1674" s="197" t="s">
        <v>1609</v>
      </c>
      <c r="G1674" s="199">
        <v>1</v>
      </c>
      <c r="H1674" s="199" t="s">
        <v>298</v>
      </c>
      <c r="I1674" s="198">
        <f t="shared" si="196"/>
        <v>0</v>
      </c>
      <c r="J1674" s="199" t="s">
        <v>93</v>
      </c>
      <c r="K1674" s="188">
        <v>0</v>
      </c>
      <c r="L1674" s="209" t="s">
        <v>675</v>
      </c>
      <c r="M1674" s="207">
        <f t="shared" si="197"/>
        <v>0</v>
      </c>
      <c r="N1674" s="198">
        <f>'02 项目基础信息（输入）'!$C$57</f>
        <v>0</v>
      </c>
      <c r="O1674" s="198">
        <f t="shared" si="194"/>
        <v>0</v>
      </c>
      <c r="P1674" s="198">
        <f>'02 项目基础信息（输入）'!$I$57</f>
        <v>0</v>
      </c>
      <c r="Q1674" s="233">
        <f t="shared" si="195"/>
        <v>0</v>
      </c>
      <c r="S1674" s="217"/>
      <c r="U1674" s="220" t="s">
        <v>3463</v>
      </c>
    </row>
    <row r="1675" spans="1:21" ht="0" hidden="1" customHeight="1" outlineLevel="3">
      <c r="A1675" s="192" t="s">
        <v>1763</v>
      </c>
      <c r="B1675" s="192"/>
      <c r="C1675" s="197" t="s">
        <v>1609</v>
      </c>
      <c r="D1675" s="198">
        <f>'02 项目基础信息（输入）'!$C$57</f>
        <v>0</v>
      </c>
      <c r="E1675" s="199" t="s">
        <v>93</v>
      </c>
      <c r="F1675" s="197" t="s">
        <v>1609</v>
      </c>
      <c r="G1675" s="199">
        <v>1</v>
      </c>
      <c r="H1675" s="199" t="s">
        <v>298</v>
      </c>
      <c r="I1675" s="198">
        <f t="shared" si="196"/>
        <v>0</v>
      </c>
      <c r="J1675" s="199" t="s">
        <v>93</v>
      </c>
      <c r="K1675" s="188">
        <v>0</v>
      </c>
      <c r="L1675" s="209" t="s">
        <v>675</v>
      </c>
      <c r="M1675" s="207">
        <f t="shared" si="197"/>
        <v>0</v>
      </c>
      <c r="N1675" s="198">
        <f>'02 项目基础信息（输入）'!$C$57</f>
        <v>0</v>
      </c>
      <c r="O1675" s="198">
        <f t="shared" si="194"/>
        <v>0</v>
      </c>
      <c r="P1675" s="198">
        <f>'02 项目基础信息（输入）'!$I$57</f>
        <v>0</v>
      </c>
      <c r="Q1675" s="233">
        <f t="shared" si="195"/>
        <v>0</v>
      </c>
      <c r="S1675" s="217"/>
      <c r="U1675" s="220" t="s">
        <v>3464</v>
      </c>
    </row>
    <row r="1676" spans="1:21" ht="0" hidden="1" customHeight="1" outlineLevel="3">
      <c r="A1676" s="192" t="s">
        <v>1765</v>
      </c>
      <c r="B1676" s="192"/>
      <c r="C1676" s="197" t="s">
        <v>1609</v>
      </c>
      <c r="D1676" s="198">
        <f>'02 项目基础信息（输入）'!$C$57</f>
        <v>0</v>
      </c>
      <c r="E1676" s="199" t="s">
        <v>93</v>
      </c>
      <c r="F1676" s="197" t="s">
        <v>1609</v>
      </c>
      <c r="G1676" s="199">
        <v>1</v>
      </c>
      <c r="H1676" s="199" t="s">
        <v>298</v>
      </c>
      <c r="I1676" s="198">
        <f t="shared" si="196"/>
        <v>0</v>
      </c>
      <c r="J1676" s="199" t="s">
        <v>93</v>
      </c>
      <c r="K1676" s="188">
        <v>0</v>
      </c>
      <c r="L1676" s="209" t="s">
        <v>675</v>
      </c>
      <c r="M1676" s="207">
        <f t="shared" si="197"/>
        <v>0</v>
      </c>
      <c r="N1676" s="198">
        <f>'02 项目基础信息（输入）'!$C$57</f>
        <v>0</v>
      </c>
      <c r="O1676" s="198">
        <f t="shared" si="194"/>
        <v>0</v>
      </c>
      <c r="P1676" s="198">
        <f>'02 项目基础信息（输入）'!$I$57</f>
        <v>0</v>
      </c>
      <c r="Q1676" s="233">
        <f t="shared" si="195"/>
        <v>0</v>
      </c>
      <c r="S1676" s="217"/>
      <c r="U1676" s="220" t="s">
        <v>3465</v>
      </c>
    </row>
    <row r="1677" spans="1:21" ht="0" hidden="1" customHeight="1" outlineLevel="3">
      <c r="A1677" s="192" t="s">
        <v>1767</v>
      </c>
      <c r="B1677" s="192"/>
      <c r="C1677" s="197" t="s">
        <v>1609</v>
      </c>
      <c r="D1677" s="198">
        <f>'02 项目基础信息（输入）'!$C$57</f>
        <v>0</v>
      </c>
      <c r="E1677" s="199" t="s">
        <v>93</v>
      </c>
      <c r="F1677" s="197" t="s">
        <v>1609</v>
      </c>
      <c r="G1677" s="199">
        <v>1</v>
      </c>
      <c r="H1677" s="199" t="s">
        <v>298</v>
      </c>
      <c r="I1677" s="198">
        <f t="shared" si="196"/>
        <v>0</v>
      </c>
      <c r="J1677" s="199" t="s">
        <v>93</v>
      </c>
      <c r="K1677" s="188">
        <v>0</v>
      </c>
      <c r="L1677" s="209" t="s">
        <v>675</v>
      </c>
      <c r="M1677" s="207">
        <f t="shared" si="197"/>
        <v>0</v>
      </c>
      <c r="N1677" s="198">
        <f>'02 项目基础信息（输入）'!$C$57</f>
        <v>0</v>
      </c>
      <c r="O1677" s="198">
        <f t="shared" si="194"/>
        <v>0</v>
      </c>
      <c r="P1677" s="198">
        <f>'02 项目基础信息（输入）'!$I$57</f>
        <v>0</v>
      </c>
      <c r="Q1677" s="233">
        <f t="shared" si="195"/>
        <v>0</v>
      </c>
      <c r="S1677" s="217"/>
      <c r="U1677" s="220" t="s">
        <v>3466</v>
      </c>
    </row>
    <row r="1678" spans="1:21" ht="0" hidden="1" customHeight="1" outlineLevel="3">
      <c r="A1678" s="192" t="s">
        <v>1769</v>
      </c>
      <c r="B1678" s="192"/>
      <c r="C1678" s="197" t="s">
        <v>1609</v>
      </c>
      <c r="D1678" s="198">
        <f>'02 项目基础信息（输入）'!$C$57</f>
        <v>0</v>
      </c>
      <c r="E1678" s="199" t="s">
        <v>93</v>
      </c>
      <c r="F1678" s="197" t="s">
        <v>1609</v>
      </c>
      <c r="G1678" s="199">
        <v>1</v>
      </c>
      <c r="H1678" s="199" t="s">
        <v>298</v>
      </c>
      <c r="I1678" s="198">
        <f t="shared" si="196"/>
        <v>0</v>
      </c>
      <c r="J1678" s="199" t="s">
        <v>93</v>
      </c>
      <c r="K1678" s="188">
        <v>0</v>
      </c>
      <c r="L1678" s="209" t="s">
        <v>675</v>
      </c>
      <c r="M1678" s="207">
        <f t="shared" si="197"/>
        <v>0</v>
      </c>
      <c r="N1678" s="198">
        <f>'02 项目基础信息（输入）'!$C$57</f>
        <v>0</v>
      </c>
      <c r="O1678" s="198">
        <f t="shared" si="194"/>
        <v>0</v>
      </c>
      <c r="P1678" s="198">
        <f>'02 项目基础信息（输入）'!$I$57</f>
        <v>0</v>
      </c>
      <c r="Q1678" s="233">
        <f t="shared" si="195"/>
        <v>0</v>
      </c>
      <c r="S1678" s="217"/>
      <c r="U1678" s="220" t="s">
        <v>3467</v>
      </c>
    </row>
    <row r="1679" spans="1:21" ht="0" hidden="1" customHeight="1" outlineLevel="3">
      <c r="A1679" s="192" t="s">
        <v>1771</v>
      </c>
      <c r="B1679" s="192"/>
      <c r="C1679" s="197" t="s">
        <v>1609</v>
      </c>
      <c r="D1679" s="198">
        <f>'02 项目基础信息（输入）'!$C$57</f>
        <v>0</v>
      </c>
      <c r="E1679" s="199" t="s">
        <v>93</v>
      </c>
      <c r="F1679" s="197" t="s">
        <v>1609</v>
      </c>
      <c r="G1679" s="199">
        <v>1</v>
      </c>
      <c r="H1679" s="199" t="s">
        <v>298</v>
      </c>
      <c r="I1679" s="198">
        <f t="shared" si="196"/>
        <v>0</v>
      </c>
      <c r="J1679" s="199" t="s">
        <v>93</v>
      </c>
      <c r="K1679" s="188">
        <v>0</v>
      </c>
      <c r="L1679" s="209" t="s">
        <v>675</v>
      </c>
      <c r="M1679" s="207">
        <f t="shared" si="197"/>
        <v>0</v>
      </c>
      <c r="N1679" s="198">
        <f>'02 项目基础信息（输入）'!$C$57</f>
        <v>0</v>
      </c>
      <c r="O1679" s="198">
        <f t="shared" si="194"/>
        <v>0</v>
      </c>
      <c r="P1679" s="198">
        <f>'02 项目基础信息（输入）'!$I$57</f>
        <v>0</v>
      </c>
      <c r="Q1679" s="233">
        <f t="shared" si="195"/>
        <v>0</v>
      </c>
      <c r="S1679" s="217"/>
      <c r="U1679" s="220" t="s">
        <v>3468</v>
      </c>
    </row>
    <row r="1680" spans="1:21" ht="0" hidden="1" customHeight="1" outlineLevel="3">
      <c r="A1680" s="192" t="s">
        <v>1773</v>
      </c>
      <c r="B1680" s="192"/>
      <c r="C1680" s="197" t="s">
        <v>1609</v>
      </c>
      <c r="D1680" s="198">
        <f>'02 项目基础信息（输入）'!$C$57</f>
        <v>0</v>
      </c>
      <c r="E1680" s="199" t="s">
        <v>93</v>
      </c>
      <c r="F1680" s="197" t="s">
        <v>1609</v>
      </c>
      <c r="G1680" s="199">
        <v>1</v>
      </c>
      <c r="H1680" s="199" t="s">
        <v>298</v>
      </c>
      <c r="I1680" s="198">
        <f t="shared" si="196"/>
        <v>0</v>
      </c>
      <c r="J1680" s="199" t="s">
        <v>93</v>
      </c>
      <c r="K1680" s="188">
        <v>0</v>
      </c>
      <c r="L1680" s="209" t="s">
        <v>675</v>
      </c>
      <c r="M1680" s="207">
        <f t="shared" si="197"/>
        <v>0</v>
      </c>
      <c r="N1680" s="198">
        <f>'02 项目基础信息（输入）'!$C$57</f>
        <v>0</v>
      </c>
      <c r="O1680" s="198">
        <f t="shared" si="194"/>
        <v>0</v>
      </c>
      <c r="P1680" s="198">
        <f>'02 项目基础信息（输入）'!$I$57</f>
        <v>0</v>
      </c>
      <c r="Q1680" s="233">
        <f t="shared" si="195"/>
        <v>0</v>
      </c>
      <c r="S1680" s="217"/>
      <c r="U1680" s="220" t="s">
        <v>3469</v>
      </c>
    </row>
    <row r="1681" spans="1:21" ht="0" hidden="1" customHeight="1" outlineLevel="3">
      <c r="A1681" s="192" t="s">
        <v>1775</v>
      </c>
      <c r="B1681" s="192"/>
      <c r="C1681" s="197" t="s">
        <v>1609</v>
      </c>
      <c r="D1681" s="198">
        <f>'02 项目基础信息（输入）'!$C$57</f>
        <v>0</v>
      </c>
      <c r="E1681" s="199" t="s">
        <v>93</v>
      </c>
      <c r="F1681" s="197" t="s">
        <v>1609</v>
      </c>
      <c r="G1681" s="199">
        <v>1</v>
      </c>
      <c r="H1681" s="199" t="s">
        <v>298</v>
      </c>
      <c r="I1681" s="198">
        <f t="shared" si="196"/>
        <v>0</v>
      </c>
      <c r="J1681" s="199" t="s">
        <v>93</v>
      </c>
      <c r="K1681" s="188">
        <v>0</v>
      </c>
      <c r="L1681" s="209" t="s">
        <v>675</v>
      </c>
      <c r="M1681" s="207">
        <f t="shared" si="197"/>
        <v>0</v>
      </c>
      <c r="N1681" s="198">
        <f>'02 项目基础信息（输入）'!$C$57</f>
        <v>0</v>
      </c>
      <c r="O1681" s="198">
        <f t="shared" si="194"/>
        <v>0</v>
      </c>
      <c r="P1681" s="198">
        <f>'02 项目基础信息（输入）'!$I$57</f>
        <v>0</v>
      </c>
      <c r="Q1681" s="233">
        <f t="shared" si="195"/>
        <v>0</v>
      </c>
      <c r="S1681" s="217"/>
      <c r="U1681" s="220" t="s">
        <v>3470</v>
      </c>
    </row>
    <row r="1682" spans="1:21" ht="0" hidden="1" customHeight="1" outlineLevel="2">
      <c r="A1682" s="192" t="s">
        <v>1777</v>
      </c>
      <c r="B1682" s="192"/>
      <c r="C1682" s="197" t="s">
        <v>1609</v>
      </c>
      <c r="D1682" s="198">
        <f>'02 项目基础信息（输入）'!$C$57</f>
        <v>0</v>
      </c>
      <c r="E1682" s="199" t="s">
        <v>93</v>
      </c>
      <c r="F1682" s="197"/>
      <c r="G1682" s="199"/>
      <c r="H1682" s="199"/>
      <c r="I1682" s="197"/>
      <c r="J1682" s="199"/>
      <c r="K1682" s="198"/>
      <c r="L1682" s="209"/>
      <c r="M1682" s="198">
        <f>ROUND(SUM(M1683),6)</f>
        <v>0</v>
      </c>
      <c r="N1682" s="198">
        <f>'02 项目基础信息（输入）'!$C$57</f>
        <v>0</v>
      </c>
      <c r="O1682" s="198">
        <f t="shared" si="194"/>
        <v>0</v>
      </c>
      <c r="P1682" s="198">
        <f>'02 项目基础信息（输入）'!$I$57</f>
        <v>0</v>
      </c>
      <c r="Q1682" s="233">
        <f t="shared" si="195"/>
        <v>0</v>
      </c>
      <c r="S1682" s="217" t="s">
        <v>1313</v>
      </c>
      <c r="U1682" s="220" t="s">
        <v>3471</v>
      </c>
    </row>
    <row r="1683" spans="1:21" ht="0" hidden="1" customHeight="1" outlineLevel="3">
      <c r="A1683" s="192" t="s">
        <v>1779</v>
      </c>
      <c r="B1683" s="192"/>
      <c r="C1683" s="197" t="s">
        <v>1609</v>
      </c>
      <c r="D1683" s="198">
        <f>'02 项目基础信息（输入）'!$C$57</f>
        <v>0</v>
      </c>
      <c r="E1683" s="199" t="s">
        <v>93</v>
      </c>
      <c r="F1683" s="197" t="s">
        <v>984</v>
      </c>
      <c r="G1683" s="82">
        <v>0</v>
      </c>
      <c r="H1683" s="199" t="s">
        <v>966</v>
      </c>
      <c r="I1683" s="198">
        <f>G1683*D1683</f>
        <v>0</v>
      </c>
      <c r="J1683" s="199" t="s">
        <v>1617</v>
      </c>
      <c r="K1683" s="188">
        <v>0</v>
      </c>
      <c r="L1683" s="209" t="s">
        <v>664</v>
      </c>
      <c r="M1683" s="207">
        <f>ROUND(K1683*I1683/10000,6)</f>
        <v>0</v>
      </c>
      <c r="N1683" s="198">
        <f>'02 项目基础信息（输入）'!$C$57</f>
        <v>0</v>
      </c>
      <c r="O1683" s="198">
        <f t="shared" si="194"/>
        <v>0</v>
      </c>
      <c r="P1683" s="198">
        <f>'02 项目基础信息（输入）'!$I$57</f>
        <v>0</v>
      </c>
      <c r="Q1683" s="233">
        <f t="shared" si="195"/>
        <v>0</v>
      </c>
      <c r="S1683" s="217"/>
      <c r="U1683" s="220" t="s">
        <v>3472</v>
      </c>
    </row>
    <row r="1684" spans="1:21" ht="0" hidden="1" customHeight="1" outlineLevel="2">
      <c r="A1684" s="192" t="s">
        <v>1781</v>
      </c>
      <c r="B1684" s="192"/>
      <c r="C1684" s="197" t="s">
        <v>1609</v>
      </c>
      <c r="D1684" s="198">
        <f>'02 项目基础信息（输入）'!$C$57</f>
        <v>0</v>
      </c>
      <c r="E1684" s="199" t="s">
        <v>93</v>
      </c>
      <c r="F1684" s="197"/>
      <c r="G1684" s="199"/>
      <c r="H1684" s="199"/>
      <c r="I1684" s="197"/>
      <c r="J1684" s="199"/>
      <c r="K1684" s="198"/>
      <c r="L1684" s="209"/>
      <c r="M1684" s="198">
        <f>ROUND(SUM(M1685:M1689),6)</f>
        <v>0</v>
      </c>
      <c r="N1684" s="198">
        <f>'02 项目基础信息（输入）'!$C$57</f>
        <v>0</v>
      </c>
      <c r="O1684" s="198">
        <f t="shared" si="194"/>
        <v>0</v>
      </c>
      <c r="P1684" s="198">
        <f>'02 项目基础信息（输入）'!$I$57</f>
        <v>0</v>
      </c>
      <c r="Q1684" s="233">
        <f t="shared" si="195"/>
        <v>0</v>
      </c>
      <c r="S1684" s="217" t="s">
        <v>1314</v>
      </c>
      <c r="U1684" s="220" t="s">
        <v>3473</v>
      </c>
    </row>
    <row r="1685" spans="1:21" ht="0" hidden="1" customHeight="1" outlineLevel="3">
      <c r="A1685" s="192" t="s">
        <v>2066</v>
      </c>
      <c r="B1685" s="192"/>
      <c r="C1685" s="197" t="s">
        <v>309</v>
      </c>
      <c r="D1685" s="198">
        <f>'02 项目基础信息（输入）'!$AC$57</f>
        <v>0</v>
      </c>
      <c r="E1685" s="199" t="s">
        <v>310</v>
      </c>
      <c r="F1685" s="197" t="s">
        <v>2067</v>
      </c>
      <c r="G1685" s="199">
        <v>1</v>
      </c>
      <c r="H1685" s="199" t="s">
        <v>2067</v>
      </c>
      <c r="I1685" s="198">
        <f>G1685*D1685</f>
        <v>0</v>
      </c>
      <c r="J1685" s="199" t="s">
        <v>1946</v>
      </c>
      <c r="K1685" s="188">
        <v>0</v>
      </c>
      <c r="L1685" s="209" t="s">
        <v>1948</v>
      </c>
      <c r="M1685" s="207">
        <f>ROUND(K1685*I1685/10000,6)</f>
        <v>0</v>
      </c>
      <c r="N1685" s="198">
        <f>'02 项目基础信息（输入）'!$C$57</f>
        <v>0</v>
      </c>
      <c r="O1685" s="198">
        <f t="shared" si="194"/>
        <v>0</v>
      </c>
      <c r="P1685" s="198">
        <f>'02 项目基础信息（输入）'!$I$57</f>
        <v>0</v>
      </c>
      <c r="Q1685" s="233">
        <f t="shared" si="195"/>
        <v>0</v>
      </c>
      <c r="S1685" s="217"/>
      <c r="U1685" s="220" t="s">
        <v>3474</v>
      </c>
    </row>
    <row r="1686" spans="1:21" ht="0" hidden="1" customHeight="1" outlineLevel="3">
      <c r="A1686" s="192" t="s">
        <v>2069</v>
      </c>
      <c r="B1686" s="192"/>
      <c r="C1686" s="197" t="s">
        <v>309</v>
      </c>
      <c r="D1686" s="198">
        <f>'02 项目基础信息（输入）'!$AC$57</f>
        <v>0</v>
      </c>
      <c r="E1686" s="199" t="s">
        <v>310</v>
      </c>
      <c r="F1686" s="197" t="s">
        <v>2067</v>
      </c>
      <c r="G1686" s="199">
        <v>1</v>
      </c>
      <c r="H1686" s="199" t="s">
        <v>2067</v>
      </c>
      <c r="I1686" s="198">
        <f>G1686*D1686</f>
        <v>0</v>
      </c>
      <c r="J1686" s="199" t="s">
        <v>1946</v>
      </c>
      <c r="K1686" s="188">
        <v>0</v>
      </c>
      <c r="L1686" s="209" t="s">
        <v>1948</v>
      </c>
      <c r="M1686" s="207">
        <f>ROUND(K1686*I1686/10000,6)</f>
        <v>0</v>
      </c>
      <c r="N1686" s="198">
        <f>'02 项目基础信息（输入）'!$C$57</f>
        <v>0</v>
      </c>
      <c r="O1686" s="198">
        <f t="shared" si="194"/>
        <v>0</v>
      </c>
      <c r="P1686" s="198">
        <f>'02 项目基础信息（输入）'!$I$57</f>
        <v>0</v>
      </c>
      <c r="Q1686" s="233">
        <f t="shared" si="195"/>
        <v>0</v>
      </c>
      <c r="S1686" s="217"/>
      <c r="U1686" s="220" t="s">
        <v>3475</v>
      </c>
    </row>
    <row r="1687" spans="1:21" ht="0" hidden="1" customHeight="1" outlineLevel="3">
      <c r="A1687" s="192" t="s">
        <v>2071</v>
      </c>
      <c r="B1687" s="192"/>
      <c r="C1687" s="197" t="s">
        <v>309</v>
      </c>
      <c r="D1687" s="198">
        <f>'02 项目基础信息（输入）'!$AC$57</f>
        <v>0</v>
      </c>
      <c r="E1687" s="199" t="s">
        <v>310</v>
      </c>
      <c r="F1687" s="197" t="s">
        <v>2067</v>
      </c>
      <c r="G1687" s="199">
        <v>1</v>
      </c>
      <c r="H1687" s="199" t="s">
        <v>2067</v>
      </c>
      <c r="I1687" s="198">
        <f>G1687*D1687</f>
        <v>0</v>
      </c>
      <c r="J1687" s="199" t="s">
        <v>1946</v>
      </c>
      <c r="K1687" s="188">
        <v>0</v>
      </c>
      <c r="L1687" s="209" t="s">
        <v>1948</v>
      </c>
      <c r="M1687" s="207">
        <f>ROUND(K1687*I1687/10000,6)</f>
        <v>0</v>
      </c>
      <c r="N1687" s="198">
        <f>'02 项目基础信息（输入）'!$C$57</f>
        <v>0</v>
      </c>
      <c r="O1687" s="198">
        <f t="shared" si="194"/>
        <v>0</v>
      </c>
      <c r="P1687" s="198">
        <f>'02 项目基础信息（输入）'!$I$57</f>
        <v>0</v>
      </c>
      <c r="Q1687" s="233">
        <f t="shared" si="195"/>
        <v>0</v>
      </c>
      <c r="S1687" s="217"/>
      <c r="U1687" s="220" t="s">
        <v>3476</v>
      </c>
    </row>
    <row r="1688" spans="1:21" ht="0" hidden="1" customHeight="1" outlineLevel="3">
      <c r="A1688" s="192" t="s">
        <v>2073</v>
      </c>
      <c r="B1688" s="192"/>
      <c r="C1688" s="197" t="s">
        <v>309</v>
      </c>
      <c r="D1688" s="198">
        <f>'02 项目基础信息（输入）'!$AC$57</f>
        <v>0</v>
      </c>
      <c r="E1688" s="199" t="s">
        <v>310</v>
      </c>
      <c r="F1688" s="197" t="s">
        <v>2067</v>
      </c>
      <c r="G1688" s="199">
        <v>1</v>
      </c>
      <c r="H1688" s="199" t="s">
        <v>1946</v>
      </c>
      <c r="I1688" s="198">
        <f>G1688*D1688</f>
        <v>0</v>
      </c>
      <c r="J1688" s="199" t="s">
        <v>1946</v>
      </c>
      <c r="K1688" s="188">
        <v>0</v>
      </c>
      <c r="L1688" s="209" t="s">
        <v>1948</v>
      </c>
      <c r="M1688" s="207">
        <f>ROUND(K1688*I1688/10000,6)</f>
        <v>0</v>
      </c>
      <c r="N1688" s="198">
        <f>'02 项目基础信息（输入）'!$C$57</f>
        <v>0</v>
      </c>
      <c r="O1688" s="198">
        <f t="shared" si="194"/>
        <v>0</v>
      </c>
      <c r="P1688" s="198">
        <f>'02 项目基础信息（输入）'!$I$57</f>
        <v>0</v>
      </c>
      <c r="Q1688" s="233">
        <f t="shared" si="195"/>
        <v>0</v>
      </c>
      <c r="S1688" s="217"/>
      <c r="U1688" s="220" t="s">
        <v>3477</v>
      </c>
    </row>
    <row r="1689" spans="1:21" ht="0" hidden="1" customHeight="1" outlineLevel="3">
      <c r="A1689" s="192" t="s">
        <v>1783</v>
      </c>
      <c r="B1689" s="192"/>
      <c r="C1689" s="197" t="s">
        <v>309</v>
      </c>
      <c r="D1689" s="198">
        <f>'02 项目基础信息（输入）'!$AC$57</f>
        <v>0</v>
      </c>
      <c r="E1689" s="199" t="s">
        <v>310</v>
      </c>
      <c r="F1689" s="197" t="s">
        <v>1784</v>
      </c>
      <c r="G1689" s="199">
        <v>1</v>
      </c>
      <c r="H1689" s="199" t="s">
        <v>1784</v>
      </c>
      <c r="I1689" s="198">
        <f>G1689*D1689</f>
        <v>0</v>
      </c>
      <c r="J1689" s="199" t="s">
        <v>1600</v>
      </c>
      <c r="K1689" s="188">
        <v>0</v>
      </c>
      <c r="L1689" s="209" t="s">
        <v>1601</v>
      </c>
      <c r="M1689" s="207">
        <f>ROUND(K1689*I1689/10000,6)</f>
        <v>0</v>
      </c>
      <c r="N1689" s="198">
        <f>'02 项目基础信息（输入）'!$C$57</f>
        <v>0</v>
      </c>
      <c r="O1689" s="198">
        <f t="shared" si="194"/>
        <v>0</v>
      </c>
      <c r="P1689" s="198">
        <f>'02 项目基础信息（输入）'!$I$57</f>
        <v>0</v>
      </c>
      <c r="Q1689" s="233">
        <f t="shared" si="195"/>
        <v>0</v>
      </c>
      <c r="S1689" s="217"/>
      <c r="U1689" s="220" t="s">
        <v>3478</v>
      </c>
    </row>
    <row r="1690" spans="1:21" ht="0" hidden="1" customHeight="1" outlineLevel="2">
      <c r="A1690" s="192" t="s">
        <v>1786</v>
      </c>
      <c r="B1690" s="192"/>
      <c r="C1690" s="197" t="s">
        <v>1609</v>
      </c>
      <c r="D1690" s="198">
        <f>'02 项目基础信息（输入）'!$C$57</f>
        <v>0</v>
      </c>
      <c r="E1690" s="199" t="s">
        <v>93</v>
      </c>
      <c r="F1690" s="197"/>
      <c r="G1690" s="199"/>
      <c r="H1690" s="199"/>
      <c r="I1690" s="197"/>
      <c r="J1690" s="199"/>
      <c r="K1690" s="198"/>
      <c r="L1690" s="209"/>
      <c r="M1690" s="198">
        <f>ROUND(SUM(M1691:M1695),6)</f>
        <v>0</v>
      </c>
      <c r="N1690" s="198">
        <f>'02 项目基础信息（输入）'!$C$57</f>
        <v>0</v>
      </c>
      <c r="O1690" s="198">
        <f t="shared" si="194"/>
        <v>0</v>
      </c>
      <c r="P1690" s="198">
        <f>'02 项目基础信息（输入）'!$I$57</f>
        <v>0</v>
      </c>
      <c r="Q1690" s="233">
        <f t="shared" si="195"/>
        <v>0</v>
      </c>
      <c r="S1690" s="217" t="s">
        <v>1314</v>
      </c>
      <c r="U1690" s="220" t="s">
        <v>3479</v>
      </c>
    </row>
    <row r="1691" spans="1:21" ht="0" hidden="1" customHeight="1" outlineLevel="3">
      <c r="A1691" s="192" t="s">
        <v>2077</v>
      </c>
      <c r="B1691" s="192"/>
      <c r="C1691" s="197" t="s">
        <v>1609</v>
      </c>
      <c r="D1691" s="198">
        <f>'02 项目基础信息（输入）'!$C$57</f>
        <v>0</v>
      </c>
      <c r="E1691" s="199" t="s">
        <v>93</v>
      </c>
      <c r="F1691" s="197" t="s">
        <v>754</v>
      </c>
      <c r="G1691" s="82">
        <v>0</v>
      </c>
      <c r="H1691" s="199" t="s">
        <v>298</v>
      </c>
      <c r="I1691" s="198">
        <f>G1691*D1691</f>
        <v>0</v>
      </c>
      <c r="J1691" s="199" t="s">
        <v>93</v>
      </c>
      <c r="K1691" s="188">
        <v>0</v>
      </c>
      <c r="L1691" s="209" t="s">
        <v>675</v>
      </c>
      <c r="M1691" s="207">
        <f>ROUND(K1691*I1691/10000,6)</f>
        <v>0</v>
      </c>
      <c r="N1691" s="198">
        <f>'02 项目基础信息（输入）'!$C$57</f>
        <v>0</v>
      </c>
      <c r="O1691" s="198">
        <f t="shared" si="194"/>
        <v>0</v>
      </c>
      <c r="P1691" s="198">
        <f>'02 项目基础信息（输入）'!$I$57</f>
        <v>0</v>
      </c>
      <c r="Q1691" s="233">
        <f t="shared" si="195"/>
        <v>0</v>
      </c>
      <c r="S1691" s="217"/>
      <c r="U1691" s="220" t="s">
        <v>3480</v>
      </c>
    </row>
    <row r="1692" spans="1:21" ht="0" hidden="1" customHeight="1" outlineLevel="3">
      <c r="A1692" s="192" t="s">
        <v>2079</v>
      </c>
      <c r="B1692" s="192"/>
      <c r="C1692" s="197" t="s">
        <v>1609</v>
      </c>
      <c r="D1692" s="198">
        <f>'02 项目基础信息（输入）'!$C$57</f>
        <v>0</v>
      </c>
      <c r="E1692" s="199" t="s">
        <v>93</v>
      </c>
      <c r="F1692" s="197" t="s">
        <v>754</v>
      </c>
      <c r="G1692" s="82">
        <v>0</v>
      </c>
      <c r="H1692" s="199" t="s">
        <v>298</v>
      </c>
      <c r="I1692" s="198">
        <f>G1692*D1692</f>
        <v>0</v>
      </c>
      <c r="J1692" s="199" t="s">
        <v>93</v>
      </c>
      <c r="K1692" s="188">
        <v>0</v>
      </c>
      <c r="L1692" s="209" t="s">
        <v>675</v>
      </c>
      <c r="M1692" s="207">
        <f>ROUND(K1692*I1692/10000,6)</f>
        <v>0</v>
      </c>
      <c r="N1692" s="198">
        <f>'02 项目基础信息（输入）'!$C$57</f>
        <v>0</v>
      </c>
      <c r="O1692" s="198">
        <f t="shared" si="194"/>
        <v>0</v>
      </c>
      <c r="P1692" s="198">
        <f>'02 项目基础信息（输入）'!$I$57</f>
        <v>0</v>
      </c>
      <c r="Q1692" s="233">
        <f t="shared" si="195"/>
        <v>0</v>
      </c>
      <c r="S1692" s="217"/>
      <c r="U1692" s="220" t="s">
        <v>3481</v>
      </c>
    </row>
    <row r="1693" spans="1:21" ht="0" hidden="1" customHeight="1" outlineLevel="3">
      <c r="A1693" s="192" t="s">
        <v>2081</v>
      </c>
      <c r="B1693" s="192"/>
      <c r="C1693" s="197" t="s">
        <v>1609</v>
      </c>
      <c r="D1693" s="198">
        <f>'02 项目基础信息（输入）'!$C$57</f>
        <v>0</v>
      </c>
      <c r="E1693" s="199" t="s">
        <v>93</v>
      </c>
      <c r="F1693" s="197" t="s">
        <v>754</v>
      </c>
      <c r="G1693" s="82">
        <v>0</v>
      </c>
      <c r="H1693" s="199" t="s">
        <v>298</v>
      </c>
      <c r="I1693" s="198">
        <f>G1693*D1693</f>
        <v>0</v>
      </c>
      <c r="J1693" s="199" t="s">
        <v>93</v>
      </c>
      <c r="K1693" s="188">
        <v>0</v>
      </c>
      <c r="L1693" s="209" t="s">
        <v>675</v>
      </c>
      <c r="M1693" s="207">
        <f>ROUND(K1693*I1693/10000,6)</f>
        <v>0</v>
      </c>
      <c r="N1693" s="198">
        <f>'02 项目基础信息（输入）'!$C$57</f>
        <v>0</v>
      </c>
      <c r="O1693" s="198">
        <f t="shared" si="194"/>
        <v>0</v>
      </c>
      <c r="P1693" s="198">
        <f>'02 项目基础信息（输入）'!$I$57</f>
        <v>0</v>
      </c>
      <c r="Q1693" s="233">
        <f t="shared" si="195"/>
        <v>0</v>
      </c>
      <c r="S1693" s="217"/>
      <c r="U1693" s="220" t="s">
        <v>3482</v>
      </c>
    </row>
    <row r="1694" spans="1:21" ht="0" hidden="1" customHeight="1" outlineLevel="3">
      <c r="A1694" s="192" t="s">
        <v>2083</v>
      </c>
      <c r="B1694" s="192"/>
      <c r="C1694" s="197" t="s">
        <v>1609</v>
      </c>
      <c r="D1694" s="198">
        <f>'02 项目基础信息（输入）'!$C$57</f>
        <v>0</v>
      </c>
      <c r="E1694" s="199" t="s">
        <v>93</v>
      </c>
      <c r="F1694" s="197" t="s">
        <v>2084</v>
      </c>
      <c r="G1694" s="82">
        <v>0</v>
      </c>
      <c r="H1694" s="199" t="s">
        <v>298</v>
      </c>
      <c r="I1694" s="198">
        <f>G1694*D1694</f>
        <v>0</v>
      </c>
      <c r="J1694" s="199" t="s">
        <v>93</v>
      </c>
      <c r="K1694" s="188">
        <v>0</v>
      </c>
      <c r="L1694" s="209" t="s">
        <v>675</v>
      </c>
      <c r="M1694" s="207">
        <f>ROUND(K1694*I1694/10000,6)</f>
        <v>0</v>
      </c>
      <c r="N1694" s="198">
        <f>'02 项目基础信息（输入）'!$C$57</f>
        <v>0</v>
      </c>
      <c r="O1694" s="198">
        <f t="shared" si="194"/>
        <v>0</v>
      </c>
      <c r="P1694" s="198">
        <f>'02 项目基础信息（输入）'!$I$57</f>
        <v>0</v>
      </c>
      <c r="Q1694" s="233">
        <f t="shared" si="195"/>
        <v>0</v>
      </c>
      <c r="S1694" s="217"/>
      <c r="U1694" s="220" t="s">
        <v>3483</v>
      </c>
    </row>
    <row r="1695" spans="1:21" ht="0" hidden="1" customHeight="1" outlineLevel="3">
      <c r="A1695" s="192" t="s">
        <v>1788</v>
      </c>
      <c r="B1695" s="192"/>
      <c r="C1695" s="197" t="s">
        <v>1609</v>
      </c>
      <c r="D1695" s="198">
        <f>'02 项目基础信息（输入）'!$C$57</f>
        <v>0</v>
      </c>
      <c r="E1695" s="199" t="s">
        <v>93</v>
      </c>
      <c r="F1695" s="197" t="s">
        <v>1609</v>
      </c>
      <c r="G1695" s="199">
        <v>1</v>
      </c>
      <c r="H1695" s="199" t="s">
        <v>298</v>
      </c>
      <c r="I1695" s="198">
        <f>G1695*D1695</f>
        <v>0</v>
      </c>
      <c r="J1695" s="199" t="s">
        <v>93</v>
      </c>
      <c r="K1695" s="188">
        <v>0</v>
      </c>
      <c r="L1695" s="209" t="s">
        <v>675</v>
      </c>
      <c r="M1695" s="207">
        <f>ROUND(K1695*I1695/10000,6)</f>
        <v>0</v>
      </c>
      <c r="N1695" s="198">
        <f>'02 项目基础信息（输入）'!$C$57</f>
        <v>0</v>
      </c>
      <c r="O1695" s="198">
        <f t="shared" si="194"/>
        <v>0</v>
      </c>
      <c r="P1695" s="198">
        <f>'02 项目基础信息（输入）'!$I$57</f>
        <v>0</v>
      </c>
      <c r="Q1695" s="233">
        <f t="shared" si="195"/>
        <v>0</v>
      </c>
      <c r="S1695" s="217"/>
      <c r="U1695" s="220" t="s">
        <v>3484</v>
      </c>
    </row>
    <row r="1696" spans="1:21" ht="0" hidden="1" customHeight="1" outlineLevel="2">
      <c r="A1696" s="192" t="s">
        <v>1790</v>
      </c>
      <c r="B1696" s="192"/>
      <c r="C1696" s="197" t="s">
        <v>1609</v>
      </c>
      <c r="D1696" s="198">
        <f>'02 项目基础信息（输入）'!$C$57</f>
        <v>0</v>
      </c>
      <c r="E1696" s="199" t="s">
        <v>93</v>
      </c>
      <c r="F1696" s="197"/>
      <c r="G1696" s="199"/>
      <c r="H1696" s="199"/>
      <c r="I1696" s="197"/>
      <c r="J1696" s="199"/>
      <c r="K1696" s="198"/>
      <c r="L1696" s="209"/>
      <c r="M1696" s="198">
        <f>ROUND(SUM(M1697:M1700),6)</f>
        <v>0</v>
      </c>
      <c r="N1696" s="198">
        <f>'02 项目基础信息（输入）'!$C$57</f>
        <v>0</v>
      </c>
      <c r="O1696" s="198">
        <f t="shared" si="194"/>
        <v>0</v>
      </c>
      <c r="P1696" s="198">
        <f>'02 项目基础信息（输入）'!$I$57</f>
        <v>0</v>
      </c>
      <c r="Q1696" s="233">
        <f t="shared" si="195"/>
        <v>0</v>
      </c>
      <c r="S1696" s="217" t="s">
        <v>1313</v>
      </c>
      <c r="U1696" s="220" t="s">
        <v>3485</v>
      </c>
    </row>
    <row r="1697" spans="1:21" ht="0" hidden="1" customHeight="1" outlineLevel="3">
      <c r="A1697" s="192" t="s">
        <v>1792</v>
      </c>
      <c r="B1697" s="192"/>
      <c r="C1697" s="197" t="s">
        <v>1609</v>
      </c>
      <c r="D1697" s="198">
        <f>'02 项目基础信息（输入）'!$C$57</f>
        <v>0</v>
      </c>
      <c r="E1697" s="199" t="s">
        <v>93</v>
      </c>
      <c r="F1697" s="197" t="s">
        <v>727</v>
      </c>
      <c r="G1697" s="82">
        <v>0</v>
      </c>
      <c r="H1697" s="199" t="s">
        <v>298</v>
      </c>
      <c r="I1697" s="198">
        <f>G1697*D1697</f>
        <v>0</v>
      </c>
      <c r="J1697" s="199" t="s">
        <v>93</v>
      </c>
      <c r="K1697" s="188">
        <v>0</v>
      </c>
      <c r="L1697" s="209" t="s">
        <v>675</v>
      </c>
      <c r="M1697" s="207">
        <f>ROUND(K1697*I1697/10000,6)</f>
        <v>0</v>
      </c>
      <c r="N1697" s="198">
        <f>'02 项目基础信息（输入）'!$C$57</f>
        <v>0</v>
      </c>
      <c r="O1697" s="198">
        <f t="shared" si="194"/>
        <v>0</v>
      </c>
      <c r="P1697" s="198">
        <f>'02 项目基础信息（输入）'!$I$57</f>
        <v>0</v>
      </c>
      <c r="Q1697" s="233">
        <f t="shared" si="195"/>
        <v>0</v>
      </c>
      <c r="S1697" s="217"/>
      <c r="U1697" s="220" t="s">
        <v>3486</v>
      </c>
    </row>
    <row r="1698" spans="1:21" ht="0" hidden="1" customHeight="1" outlineLevel="3">
      <c r="A1698" s="192" t="s">
        <v>1794</v>
      </c>
      <c r="B1698" s="192"/>
      <c r="C1698" s="197" t="s">
        <v>1609</v>
      </c>
      <c r="D1698" s="198">
        <f>'02 项目基础信息（输入）'!$C$57</f>
        <v>0</v>
      </c>
      <c r="E1698" s="199" t="s">
        <v>93</v>
      </c>
      <c r="F1698" s="197" t="s">
        <v>727</v>
      </c>
      <c r="G1698" s="82">
        <v>0</v>
      </c>
      <c r="H1698" s="199" t="s">
        <v>298</v>
      </c>
      <c r="I1698" s="198">
        <f>G1698*D1698</f>
        <v>0</v>
      </c>
      <c r="J1698" s="199" t="s">
        <v>93</v>
      </c>
      <c r="K1698" s="188">
        <v>0</v>
      </c>
      <c r="L1698" s="209" t="s">
        <v>675</v>
      </c>
      <c r="M1698" s="207">
        <f>ROUND(K1698*I1698/10000,6)</f>
        <v>0</v>
      </c>
      <c r="N1698" s="198">
        <f>'02 项目基础信息（输入）'!$C$57</f>
        <v>0</v>
      </c>
      <c r="O1698" s="198">
        <f t="shared" si="194"/>
        <v>0</v>
      </c>
      <c r="P1698" s="198">
        <f>'02 项目基础信息（输入）'!$I$57</f>
        <v>0</v>
      </c>
      <c r="Q1698" s="233">
        <f t="shared" si="195"/>
        <v>0</v>
      </c>
      <c r="S1698" s="217"/>
      <c r="U1698" s="220" t="s">
        <v>3487</v>
      </c>
    </row>
    <row r="1699" spans="1:21" ht="0" hidden="1" customHeight="1" outlineLevel="3">
      <c r="A1699" s="192" t="s">
        <v>1796</v>
      </c>
      <c r="B1699" s="192"/>
      <c r="C1699" s="197" t="s">
        <v>1609</v>
      </c>
      <c r="D1699" s="198">
        <f>'02 项目基础信息（输入）'!$C$57</f>
        <v>0</v>
      </c>
      <c r="E1699" s="199" t="s">
        <v>93</v>
      </c>
      <c r="F1699" s="197" t="s">
        <v>727</v>
      </c>
      <c r="G1699" s="82">
        <v>0</v>
      </c>
      <c r="H1699" s="199" t="s">
        <v>298</v>
      </c>
      <c r="I1699" s="198">
        <f>G1699*D1699</f>
        <v>0</v>
      </c>
      <c r="J1699" s="199" t="s">
        <v>93</v>
      </c>
      <c r="K1699" s="188">
        <v>0</v>
      </c>
      <c r="L1699" s="209" t="s">
        <v>675</v>
      </c>
      <c r="M1699" s="207">
        <f>ROUND(K1699*I1699/10000,6)</f>
        <v>0</v>
      </c>
      <c r="N1699" s="198">
        <f>'02 项目基础信息（输入）'!$C$57</f>
        <v>0</v>
      </c>
      <c r="O1699" s="198">
        <f t="shared" si="194"/>
        <v>0</v>
      </c>
      <c r="P1699" s="198">
        <f>'02 项目基础信息（输入）'!$I$57</f>
        <v>0</v>
      </c>
      <c r="Q1699" s="233">
        <f t="shared" si="195"/>
        <v>0</v>
      </c>
      <c r="S1699" s="217"/>
      <c r="U1699" s="220" t="s">
        <v>3488</v>
      </c>
    </row>
    <row r="1700" spans="1:21" ht="0" hidden="1" customHeight="1" outlineLevel="3">
      <c r="A1700" s="192" t="s">
        <v>1798</v>
      </c>
      <c r="B1700" s="192"/>
      <c r="C1700" s="197" t="s">
        <v>1609</v>
      </c>
      <c r="D1700" s="198">
        <f>'02 项目基础信息（输入）'!$C$57</f>
        <v>0</v>
      </c>
      <c r="E1700" s="199" t="s">
        <v>93</v>
      </c>
      <c r="F1700" s="197" t="s">
        <v>727</v>
      </c>
      <c r="G1700" s="82">
        <v>0</v>
      </c>
      <c r="H1700" s="199" t="s">
        <v>298</v>
      </c>
      <c r="I1700" s="198">
        <f>G1700*D1700</f>
        <v>0</v>
      </c>
      <c r="J1700" s="199" t="s">
        <v>93</v>
      </c>
      <c r="K1700" s="188">
        <v>0</v>
      </c>
      <c r="L1700" s="209" t="s">
        <v>675</v>
      </c>
      <c r="M1700" s="207">
        <f>ROUND(K1700*I1700/10000,6)</f>
        <v>0</v>
      </c>
      <c r="N1700" s="198">
        <f>'02 项目基础信息（输入）'!$C$57</f>
        <v>0</v>
      </c>
      <c r="O1700" s="198">
        <f t="shared" si="194"/>
        <v>0</v>
      </c>
      <c r="P1700" s="198">
        <f>'02 项目基础信息（输入）'!$I$57</f>
        <v>0</v>
      </c>
      <c r="Q1700" s="233">
        <f t="shared" si="195"/>
        <v>0</v>
      </c>
      <c r="S1700" s="217"/>
      <c r="U1700" s="220" t="s">
        <v>3489</v>
      </c>
    </row>
    <row r="1701" spans="1:21" ht="0" hidden="1" customHeight="1" outlineLevel="2">
      <c r="A1701" s="192" t="s">
        <v>1800</v>
      </c>
      <c r="B1701" s="192"/>
      <c r="C1701" s="197" t="s">
        <v>1609</v>
      </c>
      <c r="D1701" s="198">
        <f>'02 项目基础信息（输入）'!$C$57</f>
        <v>0</v>
      </c>
      <c r="E1701" s="199" t="s">
        <v>93</v>
      </c>
      <c r="F1701" s="197"/>
      <c r="G1701" s="199"/>
      <c r="H1701" s="199"/>
      <c r="I1701" s="197"/>
      <c r="J1701" s="199"/>
      <c r="K1701" s="198"/>
      <c r="L1701" s="209"/>
      <c r="M1701" s="198">
        <f>ROUND(SUM(M1702:M1717),6)</f>
        <v>0</v>
      </c>
      <c r="N1701" s="198">
        <f>'02 项目基础信息（输入）'!$C$57</f>
        <v>0</v>
      </c>
      <c r="O1701" s="198">
        <f t="shared" si="194"/>
        <v>0</v>
      </c>
      <c r="P1701" s="198">
        <f>'02 项目基础信息（输入）'!$I$57</f>
        <v>0</v>
      </c>
      <c r="Q1701" s="233">
        <f t="shared" si="195"/>
        <v>0</v>
      </c>
      <c r="S1701" s="217" t="s">
        <v>1314</v>
      </c>
      <c r="U1701" s="220" t="s">
        <v>3490</v>
      </c>
    </row>
    <row r="1702" spans="1:21" ht="0" hidden="1" customHeight="1" outlineLevel="3">
      <c r="A1702" s="192" t="s">
        <v>1802</v>
      </c>
      <c r="B1702" s="192"/>
      <c r="C1702" s="197" t="s">
        <v>476</v>
      </c>
      <c r="D1702" s="198">
        <f>'02 项目基础信息（输入）'!$AF$57</f>
        <v>0</v>
      </c>
      <c r="E1702" s="199" t="s">
        <v>93</v>
      </c>
      <c r="F1702" s="197" t="s">
        <v>1803</v>
      </c>
      <c r="G1702" s="237">
        <v>0</v>
      </c>
      <c r="H1702" s="199" t="s">
        <v>123</v>
      </c>
      <c r="I1702" s="198">
        <f t="shared" ref="I1702:I1715" si="198">G1702*D1702/100</f>
        <v>0</v>
      </c>
      <c r="J1702" s="199" t="s">
        <v>93</v>
      </c>
      <c r="K1702" s="188">
        <v>0</v>
      </c>
      <c r="L1702" s="209" t="s">
        <v>675</v>
      </c>
      <c r="M1702" s="207">
        <f t="shared" ref="M1702:M1717" si="199">ROUND(K1702*I1702/10000,6)</f>
        <v>0</v>
      </c>
      <c r="N1702" s="198">
        <f>'02 项目基础信息（输入）'!$C$57</f>
        <v>0</v>
      </c>
      <c r="O1702" s="198">
        <f t="shared" si="194"/>
        <v>0</v>
      </c>
      <c r="P1702" s="198">
        <f>'02 项目基础信息（输入）'!$I$57</f>
        <v>0</v>
      </c>
      <c r="Q1702" s="233">
        <f t="shared" si="195"/>
        <v>0</v>
      </c>
      <c r="S1702" s="217"/>
      <c r="U1702" s="220" t="s">
        <v>3491</v>
      </c>
    </row>
    <row r="1703" spans="1:21" ht="0" hidden="1" customHeight="1" outlineLevel="3">
      <c r="A1703" s="192" t="s">
        <v>1805</v>
      </c>
      <c r="B1703" s="192"/>
      <c r="C1703" s="197" t="s">
        <v>476</v>
      </c>
      <c r="D1703" s="198">
        <f>'02 项目基础信息（输入）'!$AF$57</f>
        <v>0</v>
      </c>
      <c r="E1703" s="199" t="s">
        <v>93</v>
      </c>
      <c r="F1703" s="197" t="s">
        <v>1803</v>
      </c>
      <c r="G1703" s="237">
        <v>0</v>
      </c>
      <c r="H1703" s="199" t="s">
        <v>123</v>
      </c>
      <c r="I1703" s="198">
        <f t="shared" si="198"/>
        <v>0</v>
      </c>
      <c r="J1703" s="199" t="s">
        <v>93</v>
      </c>
      <c r="K1703" s="188">
        <v>0</v>
      </c>
      <c r="L1703" s="209" t="s">
        <v>675</v>
      </c>
      <c r="M1703" s="207">
        <f t="shared" si="199"/>
        <v>0</v>
      </c>
      <c r="N1703" s="198">
        <f>'02 项目基础信息（输入）'!$C$57</f>
        <v>0</v>
      </c>
      <c r="O1703" s="198">
        <f t="shared" si="194"/>
        <v>0</v>
      </c>
      <c r="P1703" s="198">
        <f>'02 项目基础信息（输入）'!$I$57</f>
        <v>0</v>
      </c>
      <c r="Q1703" s="233">
        <f t="shared" si="195"/>
        <v>0</v>
      </c>
      <c r="S1703" s="217"/>
      <c r="U1703" s="220" t="s">
        <v>3492</v>
      </c>
    </row>
    <row r="1704" spans="1:21" ht="0" hidden="1" customHeight="1" outlineLevel="3">
      <c r="A1704" s="192" t="s">
        <v>1807</v>
      </c>
      <c r="B1704" s="192"/>
      <c r="C1704" s="197" t="s">
        <v>476</v>
      </c>
      <c r="D1704" s="198">
        <f>'02 项目基础信息（输入）'!$AF$57</f>
        <v>0</v>
      </c>
      <c r="E1704" s="199" t="s">
        <v>93</v>
      </c>
      <c r="F1704" s="197" t="s">
        <v>1803</v>
      </c>
      <c r="G1704" s="237">
        <v>0</v>
      </c>
      <c r="H1704" s="199" t="s">
        <v>123</v>
      </c>
      <c r="I1704" s="198">
        <f t="shared" si="198"/>
        <v>0</v>
      </c>
      <c r="J1704" s="199" t="s">
        <v>93</v>
      </c>
      <c r="K1704" s="188">
        <v>0</v>
      </c>
      <c r="L1704" s="209" t="s">
        <v>675</v>
      </c>
      <c r="M1704" s="207">
        <f t="shared" si="199"/>
        <v>0</v>
      </c>
      <c r="N1704" s="198">
        <f>'02 项目基础信息（输入）'!$C$57</f>
        <v>0</v>
      </c>
      <c r="O1704" s="198">
        <f t="shared" si="194"/>
        <v>0</v>
      </c>
      <c r="P1704" s="198">
        <f>'02 项目基础信息（输入）'!$I$57</f>
        <v>0</v>
      </c>
      <c r="Q1704" s="233">
        <f t="shared" si="195"/>
        <v>0</v>
      </c>
      <c r="S1704" s="217"/>
      <c r="U1704" s="220" t="s">
        <v>3493</v>
      </c>
    </row>
    <row r="1705" spans="1:21" ht="0" hidden="1" customHeight="1" outlineLevel="3">
      <c r="A1705" s="192" t="s">
        <v>1809</v>
      </c>
      <c r="B1705" s="192"/>
      <c r="C1705" s="197" t="s">
        <v>476</v>
      </c>
      <c r="D1705" s="198">
        <f>'02 项目基础信息（输入）'!$AF$57</f>
        <v>0</v>
      </c>
      <c r="E1705" s="199" t="s">
        <v>93</v>
      </c>
      <c r="F1705" s="197" t="s">
        <v>1803</v>
      </c>
      <c r="G1705" s="237">
        <v>0</v>
      </c>
      <c r="H1705" s="199" t="s">
        <v>123</v>
      </c>
      <c r="I1705" s="198">
        <f t="shared" si="198"/>
        <v>0</v>
      </c>
      <c r="J1705" s="199" t="s">
        <v>93</v>
      </c>
      <c r="K1705" s="188">
        <v>0</v>
      </c>
      <c r="L1705" s="209" t="s">
        <v>675</v>
      </c>
      <c r="M1705" s="207">
        <f t="shared" si="199"/>
        <v>0</v>
      </c>
      <c r="N1705" s="198">
        <f>'02 项目基础信息（输入）'!$C$57</f>
        <v>0</v>
      </c>
      <c r="O1705" s="198">
        <f t="shared" si="194"/>
        <v>0</v>
      </c>
      <c r="P1705" s="198">
        <f>'02 项目基础信息（输入）'!$I$57</f>
        <v>0</v>
      </c>
      <c r="Q1705" s="233">
        <f t="shared" si="195"/>
        <v>0</v>
      </c>
      <c r="S1705" s="217"/>
      <c r="U1705" s="220" t="s">
        <v>3494</v>
      </c>
    </row>
    <row r="1706" spans="1:21" ht="0" hidden="1" customHeight="1" outlineLevel="3">
      <c r="A1706" s="192" t="s">
        <v>1811</v>
      </c>
      <c r="B1706" s="192"/>
      <c r="C1706" s="197" t="s">
        <v>476</v>
      </c>
      <c r="D1706" s="198">
        <f>'02 项目基础信息（输入）'!$AF$57</f>
        <v>0</v>
      </c>
      <c r="E1706" s="199" t="s">
        <v>93</v>
      </c>
      <c r="F1706" s="197" t="s">
        <v>1803</v>
      </c>
      <c r="G1706" s="237">
        <v>0</v>
      </c>
      <c r="H1706" s="199" t="s">
        <v>123</v>
      </c>
      <c r="I1706" s="198">
        <f t="shared" si="198"/>
        <v>0</v>
      </c>
      <c r="J1706" s="199" t="s">
        <v>93</v>
      </c>
      <c r="K1706" s="188">
        <v>0</v>
      </c>
      <c r="L1706" s="209" t="s">
        <v>675</v>
      </c>
      <c r="M1706" s="207">
        <f t="shared" si="199"/>
        <v>0</v>
      </c>
      <c r="N1706" s="198">
        <f>'02 项目基础信息（输入）'!$C$57</f>
        <v>0</v>
      </c>
      <c r="O1706" s="198">
        <f t="shared" si="194"/>
        <v>0</v>
      </c>
      <c r="P1706" s="198">
        <f>'02 项目基础信息（输入）'!$I$57</f>
        <v>0</v>
      </c>
      <c r="Q1706" s="233">
        <f t="shared" si="195"/>
        <v>0</v>
      </c>
      <c r="S1706" s="217"/>
      <c r="U1706" s="220" t="s">
        <v>3495</v>
      </c>
    </row>
    <row r="1707" spans="1:21" ht="0" hidden="1" customHeight="1" outlineLevel="3">
      <c r="A1707" s="192" t="s">
        <v>1813</v>
      </c>
      <c r="B1707" s="192"/>
      <c r="C1707" s="197" t="s">
        <v>476</v>
      </c>
      <c r="D1707" s="198">
        <f>'02 项目基础信息（输入）'!$AF$57</f>
        <v>0</v>
      </c>
      <c r="E1707" s="199" t="s">
        <v>93</v>
      </c>
      <c r="F1707" s="197" t="s">
        <v>1803</v>
      </c>
      <c r="G1707" s="237">
        <v>0</v>
      </c>
      <c r="H1707" s="199" t="s">
        <v>123</v>
      </c>
      <c r="I1707" s="198">
        <f t="shared" si="198"/>
        <v>0</v>
      </c>
      <c r="J1707" s="199" t="s">
        <v>93</v>
      </c>
      <c r="K1707" s="188">
        <v>0</v>
      </c>
      <c r="L1707" s="209" t="s">
        <v>675</v>
      </c>
      <c r="M1707" s="207">
        <f t="shared" si="199"/>
        <v>0</v>
      </c>
      <c r="N1707" s="198">
        <f>'02 项目基础信息（输入）'!$C$57</f>
        <v>0</v>
      </c>
      <c r="O1707" s="198">
        <f t="shared" si="194"/>
        <v>0</v>
      </c>
      <c r="P1707" s="198">
        <f>'02 项目基础信息（输入）'!$I$57</f>
        <v>0</v>
      </c>
      <c r="Q1707" s="233">
        <f t="shared" si="195"/>
        <v>0</v>
      </c>
      <c r="S1707" s="217"/>
      <c r="U1707" s="220" t="s">
        <v>3496</v>
      </c>
    </row>
    <row r="1708" spans="1:21" ht="0" hidden="1" customHeight="1" outlineLevel="3">
      <c r="A1708" s="192" t="s">
        <v>1815</v>
      </c>
      <c r="B1708" s="192"/>
      <c r="C1708" s="197" t="s">
        <v>476</v>
      </c>
      <c r="D1708" s="198">
        <f>'02 项目基础信息（输入）'!$AF$57</f>
        <v>0</v>
      </c>
      <c r="E1708" s="199" t="s">
        <v>93</v>
      </c>
      <c r="F1708" s="197" t="s">
        <v>1803</v>
      </c>
      <c r="G1708" s="237">
        <v>0</v>
      </c>
      <c r="H1708" s="199" t="s">
        <v>123</v>
      </c>
      <c r="I1708" s="198">
        <f t="shared" si="198"/>
        <v>0</v>
      </c>
      <c r="J1708" s="199" t="s">
        <v>93</v>
      </c>
      <c r="K1708" s="188">
        <v>0</v>
      </c>
      <c r="L1708" s="209" t="s">
        <v>675</v>
      </c>
      <c r="M1708" s="207">
        <f t="shared" si="199"/>
        <v>0</v>
      </c>
      <c r="N1708" s="198">
        <f>'02 项目基础信息（输入）'!$C$57</f>
        <v>0</v>
      </c>
      <c r="O1708" s="198">
        <f t="shared" si="194"/>
        <v>0</v>
      </c>
      <c r="P1708" s="198">
        <f>'02 项目基础信息（输入）'!$I$57</f>
        <v>0</v>
      </c>
      <c r="Q1708" s="233">
        <f t="shared" si="195"/>
        <v>0</v>
      </c>
      <c r="S1708" s="217"/>
      <c r="U1708" s="220" t="s">
        <v>3497</v>
      </c>
    </row>
    <row r="1709" spans="1:21" ht="0" hidden="1" customHeight="1" outlineLevel="3">
      <c r="A1709" s="192" t="s">
        <v>1817</v>
      </c>
      <c r="B1709" s="192"/>
      <c r="C1709" s="197" t="s">
        <v>476</v>
      </c>
      <c r="D1709" s="198">
        <f>'02 项目基础信息（输入）'!$AF$57</f>
        <v>0</v>
      </c>
      <c r="E1709" s="199" t="s">
        <v>93</v>
      </c>
      <c r="F1709" s="197" t="s">
        <v>1803</v>
      </c>
      <c r="G1709" s="237">
        <v>0</v>
      </c>
      <c r="H1709" s="199" t="s">
        <v>123</v>
      </c>
      <c r="I1709" s="198">
        <f t="shared" si="198"/>
        <v>0</v>
      </c>
      <c r="J1709" s="199" t="s">
        <v>93</v>
      </c>
      <c r="K1709" s="188">
        <v>0</v>
      </c>
      <c r="L1709" s="209" t="s">
        <v>675</v>
      </c>
      <c r="M1709" s="207">
        <f t="shared" si="199"/>
        <v>0</v>
      </c>
      <c r="N1709" s="198">
        <f>'02 项目基础信息（输入）'!$C$57</f>
        <v>0</v>
      </c>
      <c r="O1709" s="198">
        <f t="shared" si="194"/>
        <v>0</v>
      </c>
      <c r="P1709" s="198">
        <f>'02 项目基础信息（输入）'!$I$57</f>
        <v>0</v>
      </c>
      <c r="Q1709" s="233">
        <f t="shared" si="195"/>
        <v>0</v>
      </c>
      <c r="S1709" s="217"/>
      <c r="U1709" s="220" t="s">
        <v>3498</v>
      </c>
    </row>
    <row r="1710" spans="1:21" ht="0" hidden="1" customHeight="1" outlineLevel="3">
      <c r="A1710" s="192" t="s">
        <v>1819</v>
      </c>
      <c r="B1710" s="192"/>
      <c r="C1710" s="197" t="s">
        <v>476</v>
      </c>
      <c r="D1710" s="198">
        <f>'02 项目基础信息（输入）'!$AF$57</f>
        <v>0</v>
      </c>
      <c r="E1710" s="199" t="s">
        <v>93</v>
      </c>
      <c r="F1710" s="197" t="s">
        <v>1803</v>
      </c>
      <c r="G1710" s="237">
        <v>0</v>
      </c>
      <c r="H1710" s="199" t="s">
        <v>123</v>
      </c>
      <c r="I1710" s="198">
        <f t="shared" si="198"/>
        <v>0</v>
      </c>
      <c r="J1710" s="199" t="s">
        <v>93</v>
      </c>
      <c r="K1710" s="188">
        <v>0</v>
      </c>
      <c r="L1710" s="209" t="s">
        <v>675</v>
      </c>
      <c r="M1710" s="207">
        <f t="shared" si="199"/>
        <v>0</v>
      </c>
      <c r="N1710" s="198">
        <f>'02 项目基础信息（输入）'!$C$57</f>
        <v>0</v>
      </c>
      <c r="O1710" s="198">
        <f t="shared" si="194"/>
        <v>0</v>
      </c>
      <c r="P1710" s="198">
        <f>'02 项目基础信息（输入）'!$I$57</f>
        <v>0</v>
      </c>
      <c r="Q1710" s="233">
        <f t="shared" si="195"/>
        <v>0</v>
      </c>
      <c r="S1710" s="217"/>
      <c r="U1710" s="220" t="s">
        <v>3499</v>
      </c>
    </row>
    <row r="1711" spans="1:21" ht="0" hidden="1" customHeight="1" outlineLevel="3">
      <c r="A1711" s="192" t="s">
        <v>1821</v>
      </c>
      <c r="B1711" s="192"/>
      <c r="C1711" s="197" t="s">
        <v>476</v>
      </c>
      <c r="D1711" s="198">
        <f>'02 项目基础信息（输入）'!$AF$57</f>
        <v>0</v>
      </c>
      <c r="E1711" s="199" t="s">
        <v>93</v>
      </c>
      <c r="F1711" s="197" t="s">
        <v>1803</v>
      </c>
      <c r="G1711" s="237">
        <v>0</v>
      </c>
      <c r="H1711" s="199" t="s">
        <v>123</v>
      </c>
      <c r="I1711" s="198">
        <f t="shared" si="198"/>
        <v>0</v>
      </c>
      <c r="J1711" s="199" t="s">
        <v>93</v>
      </c>
      <c r="K1711" s="188">
        <v>0</v>
      </c>
      <c r="L1711" s="209" t="s">
        <v>675</v>
      </c>
      <c r="M1711" s="207">
        <f t="shared" si="199"/>
        <v>0</v>
      </c>
      <c r="N1711" s="198">
        <f>'02 项目基础信息（输入）'!$C$57</f>
        <v>0</v>
      </c>
      <c r="O1711" s="198">
        <f t="shared" si="194"/>
        <v>0</v>
      </c>
      <c r="P1711" s="198">
        <f>'02 项目基础信息（输入）'!$I$57</f>
        <v>0</v>
      </c>
      <c r="Q1711" s="233">
        <f t="shared" si="195"/>
        <v>0</v>
      </c>
      <c r="S1711" s="217"/>
      <c r="U1711" s="220" t="s">
        <v>3500</v>
      </c>
    </row>
    <row r="1712" spans="1:21" ht="0" hidden="1" customHeight="1" outlineLevel="3">
      <c r="A1712" s="192" t="s">
        <v>1823</v>
      </c>
      <c r="B1712" s="192"/>
      <c r="C1712" s="197" t="s">
        <v>476</v>
      </c>
      <c r="D1712" s="198">
        <f>'02 项目基础信息（输入）'!$AF$57</f>
        <v>0</v>
      </c>
      <c r="E1712" s="199" t="s">
        <v>93</v>
      </c>
      <c r="F1712" s="197" t="s">
        <v>1803</v>
      </c>
      <c r="G1712" s="237">
        <v>0</v>
      </c>
      <c r="H1712" s="199" t="s">
        <v>123</v>
      </c>
      <c r="I1712" s="198">
        <f t="shared" si="198"/>
        <v>0</v>
      </c>
      <c r="J1712" s="199" t="s">
        <v>93</v>
      </c>
      <c r="K1712" s="188">
        <v>0</v>
      </c>
      <c r="L1712" s="209" t="s">
        <v>675</v>
      </c>
      <c r="M1712" s="207">
        <f t="shared" si="199"/>
        <v>0</v>
      </c>
      <c r="N1712" s="198">
        <f>'02 项目基础信息（输入）'!$C$57</f>
        <v>0</v>
      </c>
      <c r="O1712" s="198">
        <f t="shared" si="194"/>
        <v>0</v>
      </c>
      <c r="P1712" s="198">
        <f>'02 项目基础信息（输入）'!$I$57</f>
        <v>0</v>
      </c>
      <c r="Q1712" s="233">
        <f t="shared" si="195"/>
        <v>0</v>
      </c>
      <c r="S1712" s="217"/>
      <c r="U1712" s="220" t="s">
        <v>3501</v>
      </c>
    </row>
    <row r="1713" spans="1:21" ht="0" hidden="1" customHeight="1" outlineLevel="3">
      <c r="A1713" s="192" t="s">
        <v>1825</v>
      </c>
      <c r="B1713" s="192"/>
      <c r="C1713" s="197" t="s">
        <v>476</v>
      </c>
      <c r="D1713" s="198">
        <f>'02 项目基础信息（输入）'!$AF$57</f>
        <v>0</v>
      </c>
      <c r="E1713" s="199" t="s">
        <v>93</v>
      </c>
      <c r="F1713" s="197" t="s">
        <v>1803</v>
      </c>
      <c r="G1713" s="237">
        <v>0</v>
      </c>
      <c r="H1713" s="199" t="s">
        <v>123</v>
      </c>
      <c r="I1713" s="198">
        <f t="shared" si="198"/>
        <v>0</v>
      </c>
      <c r="J1713" s="199" t="s">
        <v>93</v>
      </c>
      <c r="K1713" s="188">
        <v>0</v>
      </c>
      <c r="L1713" s="209" t="s">
        <v>675</v>
      </c>
      <c r="M1713" s="207">
        <f t="shared" si="199"/>
        <v>0</v>
      </c>
      <c r="N1713" s="198">
        <f>'02 项目基础信息（输入）'!$C$57</f>
        <v>0</v>
      </c>
      <c r="O1713" s="198">
        <f t="shared" si="194"/>
        <v>0</v>
      </c>
      <c r="P1713" s="198">
        <f>'02 项目基础信息（输入）'!$I$57</f>
        <v>0</v>
      </c>
      <c r="Q1713" s="233">
        <f t="shared" si="195"/>
        <v>0</v>
      </c>
      <c r="S1713" s="217"/>
      <c r="U1713" s="220" t="s">
        <v>3502</v>
      </c>
    </row>
    <row r="1714" spans="1:21" ht="0" hidden="1" customHeight="1" outlineLevel="3">
      <c r="A1714" s="192" t="s">
        <v>1827</v>
      </c>
      <c r="B1714" s="192"/>
      <c r="C1714" s="197" t="s">
        <v>476</v>
      </c>
      <c r="D1714" s="198">
        <f>'02 项目基础信息（输入）'!$AF$57</f>
        <v>0</v>
      </c>
      <c r="E1714" s="199" t="s">
        <v>93</v>
      </c>
      <c r="F1714" s="197" t="s">
        <v>1803</v>
      </c>
      <c r="G1714" s="237">
        <v>0</v>
      </c>
      <c r="H1714" s="199" t="s">
        <v>123</v>
      </c>
      <c r="I1714" s="198">
        <f t="shared" si="198"/>
        <v>0</v>
      </c>
      <c r="J1714" s="199" t="s">
        <v>93</v>
      </c>
      <c r="K1714" s="188">
        <v>0</v>
      </c>
      <c r="L1714" s="209" t="s">
        <v>675</v>
      </c>
      <c r="M1714" s="207">
        <f t="shared" si="199"/>
        <v>0</v>
      </c>
      <c r="N1714" s="198">
        <f>'02 项目基础信息（输入）'!$C$57</f>
        <v>0</v>
      </c>
      <c r="O1714" s="198">
        <f t="shared" si="194"/>
        <v>0</v>
      </c>
      <c r="P1714" s="198">
        <f>'02 项目基础信息（输入）'!$I$57</f>
        <v>0</v>
      </c>
      <c r="Q1714" s="233">
        <f t="shared" si="195"/>
        <v>0</v>
      </c>
      <c r="S1714" s="217"/>
      <c r="U1714" s="220" t="s">
        <v>3503</v>
      </c>
    </row>
    <row r="1715" spans="1:21" ht="0" hidden="1" customHeight="1" outlineLevel="3">
      <c r="A1715" s="192" t="s">
        <v>1829</v>
      </c>
      <c r="B1715" s="192"/>
      <c r="C1715" s="197" t="s">
        <v>476</v>
      </c>
      <c r="D1715" s="198">
        <f>'02 项目基础信息（输入）'!$AF$57</f>
        <v>0</v>
      </c>
      <c r="E1715" s="199" t="s">
        <v>93</v>
      </c>
      <c r="F1715" s="197" t="s">
        <v>1803</v>
      </c>
      <c r="G1715" s="237">
        <v>0</v>
      </c>
      <c r="H1715" s="199" t="s">
        <v>123</v>
      </c>
      <c r="I1715" s="198">
        <f t="shared" si="198"/>
        <v>0</v>
      </c>
      <c r="J1715" s="199" t="s">
        <v>93</v>
      </c>
      <c r="K1715" s="188">
        <v>0</v>
      </c>
      <c r="L1715" s="209" t="s">
        <v>675</v>
      </c>
      <c r="M1715" s="207">
        <f t="shared" si="199"/>
        <v>0</v>
      </c>
      <c r="N1715" s="198">
        <f>'02 项目基础信息（输入）'!$C$57</f>
        <v>0</v>
      </c>
      <c r="O1715" s="198">
        <f t="shared" si="194"/>
        <v>0</v>
      </c>
      <c r="P1715" s="198">
        <f>'02 项目基础信息（输入）'!$I$57</f>
        <v>0</v>
      </c>
      <c r="Q1715" s="233">
        <f t="shared" si="195"/>
        <v>0</v>
      </c>
      <c r="S1715" s="217"/>
      <c r="U1715" s="220" t="s">
        <v>3504</v>
      </c>
    </row>
    <row r="1716" spans="1:21" ht="0" hidden="1" customHeight="1" outlineLevel="3">
      <c r="A1716" s="192" t="s">
        <v>1831</v>
      </c>
      <c r="B1716" s="192"/>
      <c r="C1716" s="197" t="s">
        <v>1609</v>
      </c>
      <c r="D1716" s="198">
        <f>'02 项目基础信息（输入）'!$C$57</f>
        <v>0</v>
      </c>
      <c r="E1716" s="199" t="s">
        <v>93</v>
      </c>
      <c r="F1716" s="197" t="s">
        <v>1609</v>
      </c>
      <c r="G1716" s="199">
        <v>1</v>
      </c>
      <c r="H1716" s="199" t="s">
        <v>298</v>
      </c>
      <c r="I1716" s="198">
        <f>G1716*D1716</f>
        <v>0</v>
      </c>
      <c r="J1716" s="199" t="s">
        <v>93</v>
      </c>
      <c r="K1716" s="188">
        <v>0</v>
      </c>
      <c r="L1716" s="209" t="s">
        <v>675</v>
      </c>
      <c r="M1716" s="207">
        <f t="shared" si="199"/>
        <v>0</v>
      </c>
      <c r="N1716" s="198">
        <f>'02 项目基础信息（输入）'!$C$57</f>
        <v>0</v>
      </c>
      <c r="O1716" s="198">
        <f t="shared" si="194"/>
        <v>0</v>
      </c>
      <c r="P1716" s="198">
        <f>'02 项目基础信息（输入）'!$I$57</f>
        <v>0</v>
      </c>
      <c r="Q1716" s="233">
        <f t="shared" si="195"/>
        <v>0</v>
      </c>
      <c r="S1716" s="217"/>
      <c r="U1716" s="220" t="s">
        <v>3505</v>
      </c>
    </row>
    <row r="1717" spans="1:21" ht="0" hidden="1" customHeight="1" outlineLevel="3">
      <c r="A1717" s="192" t="s">
        <v>1833</v>
      </c>
      <c r="B1717" s="192"/>
      <c r="C1717" s="197" t="s">
        <v>1609</v>
      </c>
      <c r="D1717" s="198">
        <f>'02 项目基础信息（输入）'!$C$57</f>
        <v>0</v>
      </c>
      <c r="E1717" s="199" t="s">
        <v>93</v>
      </c>
      <c r="F1717" s="197" t="s">
        <v>1609</v>
      </c>
      <c r="G1717" s="199">
        <v>1</v>
      </c>
      <c r="H1717" s="199" t="s">
        <v>298</v>
      </c>
      <c r="I1717" s="198">
        <f>G1717*D1717</f>
        <v>0</v>
      </c>
      <c r="J1717" s="199" t="s">
        <v>93</v>
      </c>
      <c r="K1717" s="188">
        <v>0</v>
      </c>
      <c r="L1717" s="209" t="s">
        <v>675</v>
      </c>
      <c r="M1717" s="207">
        <f t="shared" si="199"/>
        <v>0</v>
      </c>
      <c r="N1717" s="198">
        <f>'02 项目基础信息（输入）'!$C$57</f>
        <v>0</v>
      </c>
      <c r="O1717" s="198">
        <f t="shared" si="194"/>
        <v>0</v>
      </c>
      <c r="P1717" s="198">
        <f>'02 项目基础信息（输入）'!$I$57</f>
        <v>0</v>
      </c>
      <c r="Q1717" s="233">
        <f t="shared" si="195"/>
        <v>0</v>
      </c>
      <c r="S1717" s="217"/>
      <c r="U1717" s="220" t="s">
        <v>3506</v>
      </c>
    </row>
    <row r="1718" spans="1:21" ht="0" hidden="1" customHeight="1" outlineLevel="2">
      <c r="A1718" s="192" t="s">
        <v>1835</v>
      </c>
      <c r="B1718" s="192"/>
      <c r="C1718" s="197" t="s">
        <v>1609</v>
      </c>
      <c r="D1718" s="198">
        <f>'02 项目基础信息（输入）'!$C$57</f>
        <v>0</v>
      </c>
      <c r="E1718" s="199" t="s">
        <v>93</v>
      </c>
      <c r="F1718" s="197"/>
      <c r="G1718" s="199"/>
      <c r="H1718" s="199"/>
      <c r="I1718" s="197"/>
      <c r="J1718" s="199"/>
      <c r="K1718" s="198"/>
      <c r="L1718" s="209"/>
      <c r="M1718" s="198">
        <f>ROUND(SUM(M1719:M1722),6)</f>
        <v>0</v>
      </c>
      <c r="N1718" s="198">
        <f>'02 项目基础信息（输入）'!$C$57</f>
        <v>0</v>
      </c>
      <c r="O1718" s="198">
        <f t="shared" si="194"/>
        <v>0</v>
      </c>
      <c r="P1718" s="198">
        <f>'02 项目基础信息（输入）'!$I$57</f>
        <v>0</v>
      </c>
      <c r="Q1718" s="233">
        <f t="shared" si="195"/>
        <v>0</v>
      </c>
      <c r="S1718" s="217" t="s">
        <v>1314</v>
      </c>
      <c r="U1718" s="220" t="s">
        <v>3507</v>
      </c>
    </row>
    <row r="1719" spans="1:21" ht="0" hidden="1" customHeight="1" outlineLevel="3">
      <c r="A1719" s="192" t="s">
        <v>2110</v>
      </c>
      <c r="B1719" s="192"/>
      <c r="C1719" s="197" t="s">
        <v>309</v>
      </c>
      <c r="D1719" s="198">
        <f>'02 项目基础信息（输入）'!$AC$57</f>
        <v>0</v>
      </c>
      <c r="E1719" s="199" t="s">
        <v>310</v>
      </c>
      <c r="F1719" s="197" t="s">
        <v>1843</v>
      </c>
      <c r="G1719" s="82">
        <v>0</v>
      </c>
      <c r="H1719" s="199" t="s">
        <v>789</v>
      </c>
      <c r="I1719" s="198">
        <f>G1719*D1719</f>
        <v>0</v>
      </c>
      <c r="J1719" s="199" t="s">
        <v>131</v>
      </c>
      <c r="K1719" s="188">
        <v>0</v>
      </c>
      <c r="L1719" s="209" t="s">
        <v>792</v>
      </c>
      <c r="M1719" s="207">
        <f>ROUND(K1719*I1719/10000,6)</f>
        <v>0</v>
      </c>
      <c r="N1719" s="198">
        <f>'02 项目基础信息（输入）'!$C$57</f>
        <v>0</v>
      </c>
      <c r="O1719" s="198">
        <f t="shared" si="194"/>
        <v>0</v>
      </c>
      <c r="P1719" s="198">
        <f>'02 项目基础信息（输入）'!$I$57</f>
        <v>0</v>
      </c>
      <c r="Q1719" s="233">
        <f t="shared" si="195"/>
        <v>0</v>
      </c>
      <c r="S1719" s="217"/>
      <c r="U1719" s="220" t="s">
        <v>3508</v>
      </c>
    </row>
    <row r="1720" spans="1:21" ht="0" hidden="1" customHeight="1" outlineLevel="3">
      <c r="A1720" s="192" t="s">
        <v>2112</v>
      </c>
      <c r="B1720" s="192"/>
      <c r="C1720" s="197" t="s">
        <v>309</v>
      </c>
      <c r="D1720" s="198">
        <f>'02 项目基础信息（输入）'!$AC$57</f>
        <v>0</v>
      </c>
      <c r="E1720" s="199" t="s">
        <v>310</v>
      </c>
      <c r="F1720" s="197" t="s">
        <v>1843</v>
      </c>
      <c r="G1720" s="82">
        <v>0</v>
      </c>
      <c r="H1720" s="199" t="s">
        <v>789</v>
      </c>
      <c r="I1720" s="198">
        <f>G1720*D1720</f>
        <v>0</v>
      </c>
      <c r="J1720" s="199" t="s">
        <v>131</v>
      </c>
      <c r="K1720" s="188">
        <v>0</v>
      </c>
      <c r="L1720" s="209" t="s">
        <v>792</v>
      </c>
      <c r="M1720" s="207">
        <f>ROUND(K1720*I1720/10000,6)</f>
        <v>0</v>
      </c>
      <c r="N1720" s="198">
        <f>'02 项目基础信息（输入）'!$C$57</f>
        <v>0</v>
      </c>
      <c r="O1720" s="198">
        <f t="shared" si="194"/>
        <v>0</v>
      </c>
      <c r="P1720" s="198">
        <f>'02 项目基础信息（输入）'!$I$57</f>
        <v>0</v>
      </c>
      <c r="Q1720" s="233">
        <f t="shared" si="195"/>
        <v>0</v>
      </c>
      <c r="S1720" s="217"/>
      <c r="U1720" s="220" t="s">
        <v>3509</v>
      </c>
    </row>
    <row r="1721" spans="1:21" ht="0" hidden="1" customHeight="1" outlineLevel="3">
      <c r="A1721" s="192" t="s">
        <v>1837</v>
      </c>
      <c r="B1721" s="192"/>
      <c r="C1721" s="197" t="s">
        <v>472</v>
      </c>
      <c r="D1721" s="198">
        <f>'02 项目基础信息（输入）'!$AA$57</f>
        <v>0</v>
      </c>
      <c r="E1721" s="199" t="s">
        <v>1838</v>
      </c>
      <c r="F1721" s="197" t="s">
        <v>1839</v>
      </c>
      <c r="G1721" s="82">
        <v>0</v>
      </c>
      <c r="H1721" s="199" t="s">
        <v>1840</v>
      </c>
      <c r="I1721" s="198">
        <f>G1721*D1721</f>
        <v>0</v>
      </c>
      <c r="J1721" s="199" t="s">
        <v>131</v>
      </c>
      <c r="K1721" s="188">
        <v>0</v>
      </c>
      <c r="L1721" s="209" t="s">
        <v>792</v>
      </c>
      <c r="M1721" s="207">
        <f>ROUND(K1721*I1721/10000,6)</f>
        <v>0</v>
      </c>
      <c r="N1721" s="198">
        <f>'02 项目基础信息（输入）'!$C$57</f>
        <v>0</v>
      </c>
      <c r="O1721" s="198">
        <f t="shared" si="194"/>
        <v>0</v>
      </c>
      <c r="P1721" s="198">
        <f>'02 项目基础信息（输入）'!$I$57</f>
        <v>0</v>
      </c>
      <c r="Q1721" s="233">
        <f t="shared" si="195"/>
        <v>0</v>
      </c>
      <c r="S1721" s="217"/>
      <c r="U1721" s="220" t="s">
        <v>3510</v>
      </c>
    </row>
    <row r="1722" spans="1:21" ht="0" hidden="1" customHeight="1" outlineLevel="3">
      <c r="A1722" s="192" t="s">
        <v>1842</v>
      </c>
      <c r="B1722" s="192"/>
      <c r="C1722" s="197" t="s">
        <v>309</v>
      </c>
      <c r="D1722" s="198">
        <f>'02 项目基础信息（输入）'!$AC$57</f>
        <v>0</v>
      </c>
      <c r="E1722" s="199" t="s">
        <v>310</v>
      </c>
      <c r="F1722" s="197" t="s">
        <v>1843</v>
      </c>
      <c r="G1722" s="82">
        <v>0</v>
      </c>
      <c r="H1722" s="199" t="s">
        <v>789</v>
      </c>
      <c r="I1722" s="198">
        <f>G1722*D1722</f>
        <v>0</v>
      </c>
      <c r="J1722" s="199" t="s">
        <v>131</v>
      </c>
      <c r="K1722" s="188">
        <v>0</v>
      </c>
      <c r="L1722" s="209" t="s">
        <v>792</v>
      </c>
      <c r="M1722" s="207">
        <f>ROUND(K1722*I1722/10000,6)</f>
        <v>0</v>
      </c>
      <c r="N1722" s="198">
        <f>'02 项目基础信息（输入）'!$C$57</f>
        <v>0</v>
      </c>
      <c r="O1722" s="198">
        <f t="shared" si="194"/>
        <v>0</v>
      </c>
      <c r="P1722" s="198">
        <f>'02 项目基础信息（输入）'!$I$57</f>
        <v>0</v>
      </c>
      <c r="Q1722" s="233">
        <f t="shared" si="195"/>
        <v>0</v>
      </c>
      <c r="S1722" s="217"/>
      <c r="U1722" s="220" t="s">
        <v>3511</v>
      </c>
    </row>
    <row r="1723" spans="1:21" ht="0" hidden="1" customHeight="1" outlineLevel="2">
      <c r="A1723" s="192" t="s">
        <v>1845</v>
      </c>
      <c r="B1723" s="192"/>
      <c r="C1723" s="197" t="s">
        <v>1609</v>
      </c>
      <c r="D1723" s="198">
        <f>'02 项目基础信息（输入）'!$C$57</f>
        <v>0</v>
      </c>
      <c r="E1723" s="199" t="s">
        <v>93</v>
      </c>
      <c r="F1723" s="197"/>
      <c r="G1723" s="199"/>
      <c r="H1723" s="199"/>
      <c r="I1723" s="197"/>
      <c r="J1723" s="199"/>
      <c r="K1723" s="198"/>
      <c r="L1723" s="209"/>
      <c r="M1723" s="198">
        <f>ROUND(M1724+M1733+M1742+M1743+M1744,6)</f>
        <v>0</v>
      </c>
      <c r="N1723" s="198">
        <f>'02 项目基础信息（输入）'!$C$57</f>
        <v>0</v>
      </c>
      <c r="O1723" s="198">
        <f t="shared" si="194"/>
        <v>0</v>
      </c>
      <c r="P1723" s="198">
        <f>'02 项目基础信息（输入）'!$I$57</f>
        <v>0</v>
      </c>
      <c r="Q1723" s="233">
        <f t="shared" si="195"/>
        <v>0</v>
      </c>
      <c r="S1723" s="217" t="s">
        <v>1314</v>
      </c>
      <c r="U1723" s="220" t="s">
        <v>3512</v>
      </c>
    </row>
    <row r="1724" spans="1:21" ht="0" hidden="1" customHeight="1" outlineLevel="3">
      <c r="A1724" s="192" t="s">
        <v>2117</v>
      </c>
      <c r="B1724" s="192"/>
      <c r="C1724" s="197"/>
      <c r="D1724" s="197">
        <v>0</v>
      </c>
      <c r="E1724" s="199"/>
      <c r="F1724" s="197"/>
      <c r="G1724" s="199"/>
      <c r="H1724" s="199"/>
      <c r="I1724" s="197">
        <v>0</v>
      </c>
      <c r="J1724" s="199"/>
      <c r="K1724" s="198"/>
      <c r="L1724" s="209"/>
      <c r="M1724" s="198">
        <f>ROUND(SUM(M1725:M1732),6)</f>
        <v>0</v>
      </c>
      <c r="N1724" s="198">
        <f>'02 项目基础信息（输入）'!$C$57</f>
        <v>0</v>
      </c>
      <c r="O1724" s="198">
        <f t="shared" si="194"/>
        <v>0</v>
      </c>
      <c r="P1724" s="198">
        <f>'02 项目基础信息（输入）'!$I$57</f>
        <v>0</v>
      </c>
      <c r="Q1724" s="233">
        <f t="shared" si="195"/>
        <v>0</v>
      </c>
      <c r="S1724" s="217"/>
      <c r="U1724" s="220" t="s">
        <v>3513</v>
      </c>
    </row>
    <row r="1725" spans="1:21" ht="0" hidden="1" customHeight="1" outlineLevel="4">
      <c r="A1725" s="192" t="s">
        <v>1849</v>
      </c>
      <c r="B1725" s="192"/>
      <c r="C1725" s="197" t="s">
        <v>1850</v>
      </c>
      <c r="D1725" s="198">
        <f>'02 项目基础信息（输入）'!$N$57</f>
        <v>0</v>
      </c>
      <c r="E1725" s="199" t="s">
        <v>411</v>
      </c>
      <c r="F1725" s="197" t="s">
        <v>460</v>
      </c>
      <c r="G1725" s="235">
        <f>'02 项目基础信息（输入）'!$O$57</f>
        <v>0</v>
      </c>
      <c r="H1725" s="199" t="s">
        <v>400</v>
      </c>
      <c r="I1725" s="198">
        <f t="shared" ref="I1725:I1732" si="200">G1725*D1725</f>
        <v>0</v>
      </c>
      <c r="J1725" s="199" t="s">
        <v>93</v>
      </c>
      <c r="K1725" s="188">
        <v>0</v>
      </c>
      <c r="L1725" s="209" t="s">
        <v>675</v>
      </c>
      <c r="M1725" s="207">
        <f t="shared" ref="M1725:M1732" si="201">ROUND(K1725*I1725/10000,6)</f>
        <v>0</v>
      </c>
      <c r="N1725" s="198">
        <f>'02 项目基础信息（输入）'!$C$57</f>
        <v>0</v>
      </c>
      <c r="O1725" s="198">
        <f t="shared" si="194"/>
        <v>0</v>
      </c>
      <c r="P1725" s="198">
        <f>'02 项目基础信息（输入）'!$I$57</f>
        <v>0</v>
      </c>
      <c r="Q1725" s="233">
        <f t="shared" si="195"/>
        <v>0</v>
      </c>
      <c r="S1725" s="217"/>
      <c r="U1725" s="220" t="s">
        <v>3514</v>
      </c>
    </row>
    <row r="1726" spans="1:21" ht="0" hidden="1" customHeight="1" outlineLevel="4">
      <c r="A1726" s="192" t="s">
        <v>1852</v>
      </c>
      <c r="B1726" s="192"/>
      <c r="C1726" s="197" t="s">
        <v>1850</v>
      </c>
      <c r="D1726" s="198">
        <f>'02 项目基础信息（输入）'!$N$57</f>
        <v>0</v>
      </c>
      <c r="E1726" s="199" t="s">
        <v>411</v>
      </c>
      <c r="F1726" s="197" t="s">
        <v>460</v>
      </c>
      <c r="G1726" s="235">
        <f>'02 项目基础信息（输入）'!$O$57</f>
        <v>0</v>
      </c>
      <c r="H1726" s="199" t="s">
        <v>400</v>
      </c>
      <c r="I1726" s="198">
        <f t="shared" si="200"/>
        <v>0</v>
      </c>
      <c r="J1726" s="199" t="s">
        <v>93</v>
      </c>
      <c r="K1726" s="188">
        <v>0</v>
      </c>
      <c r="L1726" s="209" t="s">
        <v>675</v>
      </c>
      <c r="M1726" s="207">
        <f t="shared" si="201"/>
        <v>0</v>
      </c>
      <c r="N1726" s="198">
        <f>'02 项目基础信息（输入）'!$C$57</f>
        <v>0</v>
      </c>
      <c r="O1726" s="198">
        <f t="shared" si="194"/>
        <v>0</v>
      </c>
      <c r="P1726" s="198">
        <f>'02 项目基础信息（输入）'!$I$57</f>
        <v>0</v>
      </c>
      <c r="Q1726" s="233">
        <f t="shared" si="195"/>
        <v>0</v>
      </c>
      <c r="S1726" s="217"/>
      <c r="U1726" s="220" t="s">
        <v>3515</v>
      </c>
    </row>
    <row r="1727" spans="1:21" ht="0" hidden="1" customHeight="1" outlineLevel="4">
      <c r="A1727" s="192" t="s">
        <v>1854</v>
      </c>
      <c r="B1727" s="192"/>
      <c r="C1727" s="197" t="s">
        <v>1850</v>
      </c>
      <c r="D1727" s="198">
        <f>'02 项目基础信息（输入）'!$N$57</f>
        <v>0</v>
      </c>
      <c r="E1727" s="199" t="s">
        <v>411</v>
      </c>
      <c r="F1727" s="197" t="s">
        <v>460</v>
      </c>
      <c r="G1727" s="235">
        <f>'02 项目基础信息（输入）'!$O$57</f>
        <v>0</v>
      </c>
      <c r="H1727" s="199" t="s">
        <v>400</v>
      </c>
      <c r="I1727" s="198">
        <f t="shared" si="200"/>
        <v>0</v>
      </c>
      <c r="J1727" s="199" t="s">
        <v>93</v>
      </c>
      <c r="K1727" s="188">
        <v>0</v>
      </c>
      <c r="L1727" s="209" t="s">
        <v>675</v>
      </c>
      <c r="M1727" s="207">
        <f t="shared" si="201"/>
        <v>0</v>
      </c>
      <c r="N1727" s="198">
        <f>'02 项目基础信息（输入）'!$C$57</f>
        <v>0</v>
      </c>
      <c r="O1727" s="198">
        <f t="shared" si="194"/>
        <v>0</v>
      </c>
      <c r="P1727" s="198">
        <f>'02 项目基础信息（输入）'!$I$57</f>
        <v>0</v>
      </c>
      <c r="Q1727" s="233">
        <f t="shared" si="195"/>
        <v>0</v>
      </c>
      <c r="S1727" s="217"/>
      <c r="U1727" s="220" t="s">
        <v>3516</v>
      </c>
    </row>
    <row r="1728" spans="1:21" ht="0" hidden="1" customHeight="1" outlineLevel="4">
      <c r="A1728" s="192" t="s">
        <v>1856</v>
      </c>
      <c r="B1728" s="192"/>
      <c r="C1728" s="197" t="s">
        <v>1850</v>
      </c>
      <c r="D1728" s="198">
        <f>'02 项目基础信息（输入）'!$N$57</f>
        <v>0</v>
      </c>
      <c r="E1728" s="199" t="s">
        <v>411</v>
      </c>
      <c r="F1728" s="197" t="s">
        <v>460</v>
      </c>
      <c r="G1728" s="235">
        <f>'02 项目基础信息（输入）'!$O$57</f>
        <v>0</v>
      </c>
      <c r="H1728" s="199" t="s">
        <v>400</v>
      </c>
      <c r="I1728" s="198">
        <f t="shared" si="200"/>
        <v>0</v>
      </c>
      <c r="J1728" s="199" t="s">
        <v>93</v>
      </c>
      <c r="K1728" s="188">
        <v>0</v>
      </c>
      <c r="L1728" s="209" t="s">
        <v>675</v>
      </c>
      <c r="M1728" s="207">
        <f t="shared" si="201"/>
        <v>0</v>
      </c>
      <c r="N1728" s="198">
        <f>'02 项目基础信息（输入）'!$C$57</f>
        <v>0</v>
      </c>
      <c r="O1728" s="198">
        <f t="shared" si="194"/>
        <v>0</v>
      </c>
      <c r="P1728" s="198">
        <f>'02 项目基础信息（输入）'!$I$57</f>
        <v>0</v>
      </c>
      <c r="Q1728" s="233">
        <f t="shared" si="195"/>
        <v>0</v>
      </c>
      <c r="S1728" s="217"/>
      <c r="U1728" s="220" t="s">
        <v>3517</v>
      </c>
    </row>
    <row r="1729" spans="1:21" ht="0" hidden="1" customHeight="1" outlineLevel="4">
      <c r="A1729" s="192" t="s">
        <v>1858</v>
      </c>
      <c r="B1729" s="192"/>
      <c r="C1729" s="197" t="s">
        <v>1850</v>
      </c>
      <c r="D1729" s="198">
        <f>'02 项目基础信息（输入）'!$N$57</f>
        <v>0</v>
      </c>
      <c r="E1729" s="199" t="s">
        <v>411</v>
      </c>
      <c r="F1729" s="197" t="s">
        <v>460</v>
      </c>
      <c r="G1729" s="235">
        <f>'02 项目基础信息（输入）'!$O$57</f>
        <v>0</v>
      </c>
      <c r="H1729" s="199" t="s">
        <v>400</v>
      </c>
      <c r="I1729" s="198">
        <f t="shared" si="200"/>
        <v>0</v>
      </c>
      <c r="J1729" s="199" t="s">
        <v>93</v>
      </c>
      <c r="K1729" s="188">
        <v>0</v>
      </c>
      <c r="L1729" s="209" t="s">
        <v>675</v>
      </c>
      <c r="M1729" s="207">
        <f t="shared" si="201"/>
        <v>0</v>
      </c>
      <c r="N1729" s="198">
        <f>'02 项目基础信息（输入）'!$C$57</f>
        <v>0</v>
      </c>
      <c r="O1729" s="198">
        <f t="shared" si="194"/>
        <v>0</v>
      </c>
      <c r="P1729" s="198">
        <f>'02 项目基础信息（输入）'!$I$57</f>
        <v>0</v>
      </c>
      <c r="Q1729" s="233">
        <f t="shared" si="195"/>
        <v>0</v>
      </c>
      <c r="S1729" s="217"/>
      <c r="U1729" s="220" t="s">
        <v>3518</v>
      </c>
    </row>
    <row r="1730" spans="1:21" ht="0" hidden="1" customHeight="1" outlineLevel="4">
      <c r="A1730" s="192" t="s">
        <v>1860</v>
      </c>
      <c r="B1730" s="192"/>
      <c r="C1730" s="197" t="s">
        <v>1850</v>
      </c>
      <c r="D1730" s="198">
        <f>'02 项目基础信息（输入）'!$N$57</f>
        <v>0</v>
      </c>
      <c r="E1730" s="199" t="s">
        <v>411</v>
      </c>
      <c r="F1730" s="197" t="s">
        <v>460</v>
      </c>
      <c r="G1730" s="235">
        <f>'02 项目基础信息（输入）'!$O$57</f>
        <v>0</v>
      </c>
      <c r="H1730" s="199" t="s">
        <v>400</v>
      </c>
      <c r="I1730" s="198">
        <f t="shared" si="200"/>
        <v>0</v>
      </c>
      <c r="J1730" s="199" t="s">
        <v>93</v>
      </c>
      <c r="K1730" s="188">
        <v>0</v>
      </c>
      <c r="L1730" s="209" t="s">
        <v>675</v>
      </c>
      <c r="M1730" s="207">
        <f t="shared" si="201"/>
        <v>0</v>
      </c>
      <c r="N1730" s="198">
        <f>'02 项目基础信息（输入）'!$C$57</f>
        <v>0</v>
      </c>
      <c r="O1730" s="198">
        <f t="shared" si="194"/>
        <v>0</v>
      </c>
      <c r="P1730" s="198">
        <f>'02 项目基础信息（输入）'!$I$57</f>
        <v>0</v>
      </c>
      <c r="Q1730" s="233">
        <f t="shared" si="195"/>
        <v>0</v>
      </c>
      <c r="S1730" s="217"/>
      <c r="U1730" s="220" t="s">
        <v>3519</v>
      </c>
    </row>
    <row r="1731" spans="1:21" ht="0" hidden="1" customHeight="1" outlineLevel="4">
      <c r="A1731" s="192" t="s">
        <v>1862</v>
      </c>
      <c r="B1731" s="192"/>
      <c r="C1731" s="197" t="s">
        <v>1850</v>
      </c>
      <c r="D1731" s="198">
        <f>'02 项目基础信息（输入）'!$N$57</f>
        <v>0</v>
      </c>
      <c r="E1731" s="199" t="s">
        <v>411</v>
      </c>
      <c r="F1731" s="197" t="s">
        <v>460</v>
      </c>
      <c r="G1731" s="235">
        <f>'02 项目基础信息（输入）'!$O$57</f>
        <v>0</v>
      </c>
      <c r="H1731" s="199" t="s">
        <v>400</v>
      </c>
      <c r="I1731" s="198">
        <f t="shared" si="200"/>
        <v>0</v>
      </c>
      <c r="J1731" s="199" t="s">
        <v>93</v>
      </c>
      <c r="K1731" s="188">
        <v>0</v>
      </c>
      <c r="L1731" s="209" t="s">
        <v>675</v>
      </c>
      <c r="M1731" s="207">
        <f t="shared" si="201"/>
        <v>0</v>
      </c>
      <c r="N1731" s="198">
        <f>'02 项目基础信息（输入）'!$C$57</f>
        <v>0</v>
      </c>
      <c r="O1731" s="198">
        <f t="shared" ref="O1731:O1794" si="202">ROUND(IFERROR(M1731*10000/N1731,0),2)</f>
        <v>0</v>
      </c>
      <c r="P1731" s="198">
        <f>'02 项目基础信息（输入）'!$I$57</f>
        <v>0</v>
      </c>
      <c r="Q1731" s="233">
        <f t="shared" ref="Q1731:Q1794" si="203">ROUND(IFERROR(M1731*10000/P1731,0),2)</f>
        <v>0</v>
      </c>
      <c r="S1731" s="217"/>
      <c r="U1731" s="220" t="s">
        <v>3520</v>
      </c>
    </row>
    <row r="1732" spans="1:21" ht="0" hidden="1" customHeight="1" outlineLevel="4">
      <c r="A1732" s="192" t="s">
        <v>1864</v>
      </c>
      <c r="B1732" s="192"/>
      <c r="C1732" s="197" t="s">
        <v>1850</v>
      </c>
      <c r="D1732" s="198">
        <f>'02 项目基础信息（输入）'!$N$57</f>
        <v>0</v>
      </c>
      <c r="E1732" s="199" t="s">
        <v>411</v>
      </c>
      <c r="F1732" s="197" t="s">
        <v>460</v>
      </c>
      <c r="G1732" s="235">
        <f>'02 项目基础信息（输入）'!$O$57</f>
        <v>0</v>
      </c>
      <c r="H1732" s="199" t="s">
        <v>400</v>
      </c>
      <c r="I1732" s="198">
        <f t="shared" si="200"/>
        <v>0</v>
      </c>
      <c r="J1732" s="199" t="s">
        <v>93</v>
      </c>
      <c r="K1732" s="188">
        <v>0</v>
      </c>
      <c r="L1732" s="209" t="s">
        <v>675</v>
      </c>
      <c r="M1732" s="207">
        <f t="shared" si="201"/>
        <v>0</v>
      </c>
      <c r="N1732" s="198">
        <f>'02 项目基础信息（输入）'!$C$57</f>
        <v>0</v>
      </c>
      <c r="O1732" s="198">
        <f t="shared" si="202"/>
        <v>0</v>
      </c>
      <c r="P1732" s="198">
        <f>'02 项目基础信息（输入）'!$I$57</f>
        <v>0</v>
      </c>
      <c r="Q1732" s="233">
        <f t="shared" si="203"/>
        <v>0</v>
      </c>
      <c r="S1732" s="217"/>
      <c r="U1732" s="220" t="s">
        <v>3521</v>
      </c>
    </row>
    <row r="1733" spans="1:21" ht="0" hidden="1" customHeight="1" outlineLevel="3">
      <c r="A1733" s="192" t="s">
        <v>2127</v>
      </c>
      <c r="B1733" s="192"/>
      <c r="C1733" s="197"/>
      <c r="D1733" s="197">
        <v>0</v>
      </c>
      <c r="E1733" s="199"/>
      <c r="F1733" s="197"/>
      <c r="G1733" s="199"/>
      <c r="H1733" s="199"/>
      <c r="I1733" s="197">
        <v>0</v>
      </c>
      <c r="J1733" s="199"/>
      <c r="K1733" s="198"/>
      <c r="L1733" s="209"/>
      <c r="M1733" s="198">
        <f>ROUND(SUM(M1734:M1741),6)</f>
        <v>0</v>
      </c>
      <c r="N1733" s="198">
        <f>'02 项目基础信息（输入）'!$C$57</f>
        <v>0</v>
      </c>
      <c r="O1733" s="198">
        <f t="shared" si="202"/>
        <v>0</v>
      </c>
      <c r="P1733" s="198">
        <f>'02 项目基础信息（输入）'!$I$57</f>
        <v>0</v>
      </c>
      <c r="Q1733" s="233">
        <f t="shared" si="203"/>
        <v>0</v>
      </c>
      <c r="S1733" s="217"/>
      <c r="U1733" s="220" t="s">
        <v>3522</v>
      </c>
    </row>
    <row r="1734" spans="1:21" ht="0" hidden="1" customHeight="1" outlineLevel="4">
      <c r="A1734" s="192" t="s">
        <v>2129</v>
      </c>
      <c r="B1734" s="192"/>
      <c r="C1734" s="197" t="s">
        <v>2130</v>
      </c>
      <c r="D1734" s="198">
        <f>'02 项目基础信息（输入）'!$K$57</f>
        <v>0</v>
      </c>
      <c r="E1734" s="199" t="s">
        <v>411</v>
      </c>
      <c r="F1734" s="197" t="s">
        <v>457</v>
      </c>
      <c r="G1734" s="235">
        <f>'02 项目基础信息（输入）'!$L$57</f>
        <v>0</v>
      </c>
      <c r="H1734" s="199" t="s">
        <v>400</v>
      </c>
      <c r="I1734" s="198">
        <f t="shared" ref="I1734:I1744" si="204">G1734*D1734</f>
        <v>0</v>
      </c>
      <c r="J1734" s="199" t="s">
        <v>93</v>
      </c>
      <c r="K1734" s="188">
        <v>0</v>
      </c>
      <c r="L1734" s="209" t="s">
        <v>675</v>
      </c>
      <c r="M1734" s="198">
        <f t="shared" ref="M1734:M1744" si="205">ROUND(K1734*I1734/10000,6)</f>
        <v>0</v>
      </c>
      <c r="N1734" s="198">
        <f>'02 项目基础信息（输入）'!$C$57</f>
        <v>0</v>
      </c>
      <c r="O1734" s="198">
        <f t="shared" si="202"/>
        <v>0</v>
      </c>
      <c r="P1734" s="198">
        <f>'02 项目基础信息（输入）'!$I$57</f>
        <v>0</v>
      </c>
      <c r="Q1734" s="233">
        <f t="shared" si="203"/>
        <v>0</v>
      </c>
      <c r="S1734" s="217"/>
      <c r="U1734" s="220" t="s">
        <v>3523</v>
      </c>
    </row>
    <row r="1735" spans="1:21" ht="0" hidden="1" customHeight="1" outlineLevel="4">
      <c r="A1735" s="192" t="s">
        <v>2132</v>
      </c>
      <c r="B1735" s="192"/>
      <c r="C1735" s="197" t="s">
        <v>2130</v>
      </c>
      <c r="D1735" s="198">
        <f>'02 项目基础信息（输入）'!$K$57</f>
        <v>0</v>
      </c>
      <c r="E1735" s="199" t="s">
        <v>411</v>
      </c>
      <c r="F1735" s="197" t="s">
        <v>457</v>
      </c>
      <c r="G1735" s="235">
        <f>'02 项目基础信息（输入）'!$L$57</f>
        <v>0</v>
      </c>
      <c r="H1735" s="199" t="s">
        <v>400</v>
      </c>
      <c r="I1735" s="198">
        <f t="shared" si="204"/>
        <v>0</v>
      </c>
      <c r="J1735" s="199" t="s">
        <v>93</v>
      </c>
      <c r="K1735" s="188">
        <v>0</v>
      </c>
      <c r="L1735" s="209" t="s">
        <v>675</v>
      </c>
      <c r="M1735" s="198">
        <f t="shared" si="205"/>
        <v>0</v>
      </c>
      <c r="N1735" s="198">
        <f>'02 项目基础信息（输入）'!$C$57</f>
        <v>0</v>
      </c>
      <c r="O1735" s="198">
        <f t="shared" si="202"/>
        <v>0</v>
      </c>
      <c r="P1735" s="198">
        <f>'02 项目基础信息（输入）'!$I$57</f>
        <v>0</v>
      </c>
      <c r="Q1735" s="233">
        <f t="shared" si="203"/>
        <v>0</v>
      </c>
      <c r="S1735" s="217"/>
      <c r="U1735" s="220" t="s">
        <v>3524</v>
      </c>
    </row>
    <row r="1736" spans="1:21" ht="0" hidden="1" customHeight="1" outlineLevel="4">
      <c r="A1736" s="192" t="s">
        <v>2134</v>
      </c>
      <c r="B1736" s="192"/>
      <c r="C1736" s="197" t="s">
        <v>2130</v>
      </c>
      <c r="D1736" s="198">
        <f>'02 项目基础信息（输入）'!$K$57</f>
        <v>0</v>
      </c>
      <c r="E1736" s="199" t="s">
        <v>411</v>
      </c>
      <c r="F1736" s="197" t="s">
        <v>457</v>
      </c>
      <c r="G1736" s="235">
        <f>'02 项目基础信息（输入）'!$L$57</f>
        <v>0</v>
      </c>
      <c r="H1736" s="199" t="s">
        <v>400</v>
      </c>
      <c r="I1736" s="198">
        <f t="shared" si="204"/>
        <v>0</v>
      </c>
      <c r="J1736" s="199" t="s">
        <v>93</v>
      </c>
      <c r="K1736" s="188">
        <v>0</v>
      </c>
      <c r="L1736" s="209" t="s">
        <v>675</v>
      </c>
      <c r="M1736" s="198">
        <f t="shared" si="205"/>
        <v>0</v>
      </c>
      <c r="N1736" s="198">
        <f>'02 项目基础信息（输入）'!$C$57</f>
        <v>0</v>
      </c>
      <c r="O1736" s="198">
        <f t="shared" si="202"/>
        <v>0</v>
      </c>
      <c r="P1736" s="198">
        <f>'02 项目基础信息（输入）'!$I$57</f>
        <v>0</v>
      </c>
      <c r="Q1736" s="233">
        <f t="shared" si="203"/>
        <v>0</v>
      </c>
      <c r="S1736" s="217"/>
      <c r="U1736" s="220" t="s">
        <v>3525</v>
      </c>
    </row>
    <row r="1737" spans="1:21" ht="0" hidden="1" customHeight="1" outlineLevel="4">
      <c r="A1737" s="192" t="s">
        <v>2136</v>
      </c>
      <c r="B1737" s="192"/>
      <c r="C1737" s="197" t="s">
        <v>2130</v>
      </c>
      <c r="D1737" s="198">
        <f>'02 项目基础信息（输入）'!$K$57</f>
        <v>0</v>
      </c>
      <c r="E1737" s="199" t="s">
        <v>411</v>
      </c>
      <c r="F1737" s="197" t="s">
        <v>457</v>
      </c>
      <c r="G1737" s="235">
        <f>'02 项目基础信息（输入）'!$L$57</f>
        <v>0</v>
      </c>
      <c r="H1737" s="199" t="s">
        <v>400</v>
      </c>
      <c r="I1737" s="198">
        <f t="shared" si="204"/>
        <v>0</v>
      </c>
      <c r="J1737" s="199" t="s">
        <v>93</v>
      </c>
      <c r="K1737" s="188">
        <v>0</v>
      </c>
      <c r="L1737" s="209" t="s">
        <v>675</v>
      </c>
      <c r="M1737" s="198">
        <f t="shared" si="205"/>
        <v>0</v>
      </c>
      <c r="N1737" s="198">
        <f>'02 项目基础信息（输入）'!$C$57</f>
        <v>0</v>
      </c>
      <c r="O1737" s="198">
        <f t="shared" si="202"/>
        <v>0</v>
      </c>
      <c r="P1737" s="198">
        <f>'02 项目基础信息（输入）'!$I$57</f>
        <v>0</v>
      </c>
      <c r="Q1737" s="233">
        <f t="shared" si="203"/>
        <v>0</v>
      </c>
      <c r="S1737" s="217"/>
      <c r="U1737" s="220" t="s">
        <v>3526</v>
      </c>
    </row>
    <row r="1738" spans="1:21" ht="0" hidden="1" customHeight="1" outlineLevel="4">
      <c r="A1738" s="192" t="s">
        <v>2138</v>
      </c>
      <c r="B1738" s="192"/>
      <c r="C1738" s="197" t="s">
        <v>2130</v>
      </c>
      <c r="D1738" s="198">
        <f>'02 项目基础信息（输入）'!$K$57</f>
        <v>0</v>
      </c>
      <c r="E1738" s="199" t="s">
        <v>411</v>
      </c>
      <c r="F1738" s="197" t="s">
        <v>457</v>
      </c>
      <c r="G1738" s="235">
        <f>'02 项目基础信息（输入）'!$L$57</f>
        <v>0</v>
      </c>
      <c r="H1738" s="199" t="s">
        <v>400</v>
      </c>
      <c r="I1738" s="198">
        <f t="shared" si="204"/>
        <v>0</v>
      </c>
      <c r="J1738" s="199" t="s">
        <v>93</v>
      </c>
      <c r="K1738" s="188">
        <v>0</v>
      </c>
      <c r="L1738" s="209" t="s">
        <v>675</v>
      </c>
      <c r="M1738" s="198">
        <f t="shared" si="205"/>
        <v>0</v>
      </c>
      <c r="N1738" s="198">
        <f>'02 项目基础信息（输入）'!$C$57</f>
        <v>0</v>
      </c>
      <c r="O1738" s="198">
        <f t="shared" si="202"/>
        <v>0</v>
      </c>
      <c r="P1738" s="198">
        <f>'02 项目基础信息（输入）'!$I$57</f>
        <v>0</v>
      </c>
      <c r="Q1738" s="233">
        <f t="shared" si="203"/>
        <v>0</v>
      </c>
      <c r="S1738" s="217"/>
      <c r="U1738" s="220" t="s">
        <v>3527</v>
      </c>
    </row>
    <row r="1739" spans="1:21" ht="0" hidden="1" customHeight="1" outlineLevel="4">
      <c r="A1739" s="192" t="s">
        <v>2140</v>
      </c>
      <c r="B1739" s="192"/>
      <c r="C1739" s="197" t="s">
        <v>2130</v>
      </c>
      <c r="D1739" s="198">
        <f>'02 项目基础信息（输入）'!$K$57</f>
        <v>0</v>
      </c>
      <c r="E1739" s="199" t="s">
        <v>411</v>
      </c>
      <c r="F1739" s="197" t="s">
        <v>457</v>
      </c>
      <c r="G1739" s="235">
        <f>'02 项目基础信息（输入）'!$L$57</f>
        <v>0</v>
      </c>
      <c r="H1739" s="199" t="s">
        <v>400</v>
      </c>
      <c r="I1739" s="198">
        <f t="shared" si="204"/>
        <v>0</v>
      </c>
      <c r="J1739" s="199" t="s">
        <v>93</v>
      </c>
      <c r="K1739" s="188">
        <v>0</v>
      </c>
      <c r="L1739" s="209" t="s">
        <v>675</v>
      </c>
      <c r="M1739" s="198">
        <f t="shared" si="205"/>
        <v>0</v>
      </c>
      <c r="N1739" s="198">
        <f>'02 项目基础信息（输入）'!$C$57</f>
        <v>0</v>
      </c>
      <c r="O1739" s="198">
        <f t="shared" si="202"/>
        <v>0</v>
      </c>
      <c r="P1739" s="198">
        <f>'02 项目基础信息（输入）'!$I$57</f>
        <v>0</v>
      </c>
      <c r="Q1739" s="233">
        <f t="shared" si="203"/>
        <v>0</v>
      </c>
      <c r="S1739" s="217"/>
      <c r="U1739" s="220" t="s">
        <v>3528</v>
      </c>
    </row>
    <row r="1740" spans="1:21" ht="0" hidden="1" customHeight="1" outlineLevel="4">
      <c r="A1740" s="192" t="s">
        <v>2142</v>
      </c>
      <c r="B1740" s="192"/>
      <c r="C1740" s="197" t="s">
        <v>2130</v>
      </c>
      <c r="D1740" s="198">
        <f>'02 项目基础信息（输入）'!$K$57</f>
        <v>0</v>
      </c>
      <c r="E1740" s="199" t="s">
        <v>411</v>
      </c>
      <c r="F1740" s="197" t="s">
        <v>457</v>
      </c>
      <c r="G1740" s="235">
        <f>'02 项目基础信息（输入）'!$L$57</f>
        <v>0</v>
      </c>
      <c r="H1740" s="199" t="s">
        <v>400</v>
      </c>
      <c r="I1740" s="198">
        <f t="shared" si="204"/>
        <v>0</v>
      </c>
      <c r="J1740" s="199" t="s">
        <v>93</v>
      </c>
      <c r="K1740" s="188">
        <v>0</v>
      </c>
      <c r="L1740" s="209" t="s">
        <v>675</v>
      </c>
      <c r="M1740" s="198">
        <f t="shared" si="205"/>
        <v>0</v>
      </c>
      <c r="N1740" s="198">
        <f>'02 项目基础信息（输入）'!$C$57</f>
        <v>0</v>
      </c>
      <c r="O1740" s="198">
        <f t="shared" si="202"/>
        <v>0</v>
      </c>
      <c r="P1740" s="198">
        <f>'02 项目基础信息（输入）'!$I$57</f>
        <v>0</v>
      </c>
      <c r="Q1740" s="233">
        <f t="shared" si="203"/>
        <v>0</v>
      </c>
      <c r="S1740" s="217"/>
      <c r="U1740" s="220" t="s">
        <v>3529</v>
      </c>
    </row>
    <row r="1741" spans="1:21" ht="0" hidden="1" customHeight="1" outlineLevel="4">
      <c r="A1741" s="192" t="s">
        <v>2144</v>
      </c>
      <c r="B1741" s="192"/>
      <c r="C1741" s="197" t="s">
        <v>2130</v>
      </c>
      <c r="D1741" s="198">
        <f>'02 项目基础信息（输入）'!$K$57</f>
        <v>0</v>
      </c>
      <c r="E1741" s="199" t="s">
        <v>411</v>
      </c>
      <c r="F1741" s="197" t="s">
        <v>457</v>
      </c>
      <c r="G1741" s="235">
        <f>'02 项目基础信息（输入）'!$L$57</f>
        <v>0</v>
      </c>
      <c r="H1741" s="199" t="s">
        <v>400</v>
      </c>
      <c r="I1741" s="198">
        <f t="shared" si="204"/>
        <v>0</v>
      </c>
      <c r="J1741" s="199" t="s">
        <v>93</v>
      </c>
      <c r="K1741" s="188">
        <v>0</v>
      </c>
      <c r="L1741" s="209" t="s">
        <v>675</v>
      </c>
      <c r="M1741" s="198">
        <f t="shared" si="205"/>
        <v>0</v>
      </c>
      <c r="N1741" s="198">
        <f>'02 项目基础信息（输入）'!$C$57</f>
        <v>0</v>
      </c>
      <c r="O1741" s="198">
        <f t="shared" si="202"/>
        <v>0</v>
      </c>
      <c r="P1741" s="198">
        <f>'02 项目基础信息（输入）'!$I$57</f>
        <v>0</v>
      </c>
      <c r="Q1741" s="233">
        <f t="shared" si="203"/>
        <v>0</v>
      </c>
      <c r="S1741" s="217"/>
      <c r="U1741" s="220" t="s">
        <v>3530</v>
      </c>
    </row>
    <row r="1742" spans="1:21" ht="0" hidden="1" customHeight="1" outlineLevel="3">
      <c r="A1742" s="192" t="s">
        <v>2146</v>
      </c>
      <c r="B1742" s="192"/>
      <c r="C1742" s="197" t="s">
        <v>455</v>
      </c>
      <c r="D1742" s="198">
        <f>'02 项目基础信息（输入）'!$J$57</f>
        <v>0</v>
      </c>
      <c r="E1742" s="199" t="s">
        <v>400</v>
      </c>
      <c r="F1742" s="197" t="s">
        <v>455</v>
      </c>
      <c r="G1742" s="199">
        <v>1</v>
      </c>
      <c r="H1742" s="199" t="s">
        <v>1748</v>
      </c>
      <c r="I1742" s="198">
        <f t="shared" si="204"/>
        <v>0</v>
      </c>
      <c r="J1742" s="199" t="s">
        <v>400</v>
      </c>
      <c r="K1742" s="188">
        <v>0</v>
      </c>
      <c r="L1742" s="209" t="s">
        <v>1749</v>
      </c>
      <c r="M1742" s="198">
        <f t="shared" si="205"/>
        <v>0</v>
      </c>
      <c r="N1742" s="198">
        <f>'02 项目基础信息（输入）'!$C$57</f>
        <v>0</v>
      </c>
      <c r="O1742" s="198">
        <f t="shared" si="202"/>
        <v>0</v>
      </c>
      <c r="P1742" s="198">
        <f>'02 项目基础信息（输入）'!$I$57</f>
        <v>0</v>
      </c>
      <c r="Q1742" s="233">
        <f t="shared" si="203"/>
        <v>0</v>
      </c>
      <c r="S1742" s="217"/>
      <c r="U1742" s="220" t="s">
        <v>3531</v>
      </c>
    </row>
    <row r="1743" spans="1:21" ht="0" hidden="1" customHeight="1" outlineLevel="3">
      <c r="A1743" s="192" t="s">
        <v>2148</v>
      </c>
      <c r="B1743" s="192"/>
      <c r="C1743" s="197" t="s">
        <v>309</v>
      </c>
      <c r="D1743" s="198">
        <f>'02 项目基础信息（输入）'!$AC$57</f>
        <v>0</v>
      </c>
      <c r="E1743" s="199" t="s">
        <v>310</v>
      </c>
      <c r="F1743" s="197" t="s">
        <v>2149</v>
      </c>
      <c r="G1743" s="199">
        <v>1</v>
      </c>
      <c r="H1743" s="199" t="s">
        <v>2150</v>
      </c>
      <c r="I1743" s="198">
        <f t="shared" si="204"/>
        <v>0</v>
      </c>
      <c r="J1743" s="199" t="s">
        <v>400</v>
      </c>
      <c r="K1743" s="188">
        <v>0</v>
      </c>
      <c r="L1743" s="209" t="s">
        <v>1749</v>
      </c>
      <c r="M1743" s="207">
        <f t="shared" si="205"/>
        <v>0</v>
      </c>
      <c r="N1743" s="198">
        <f>'02 项目基础信息（输入）'!$C$57</f>
        <v>0</v>
      </c>
      <c r="O1743" s="198">
        <f t="shared" si="202"/>
        <v>0</v>
      </c>
      <c r="P1743" s="198">
        <f>'02 项目基础信息（输入）'!$I$57</f>
        <v>0</v>
      </c>
      <c r="Q1743" s="233">
        <f t="shared" si="203"/>
        <v>0</v>
      </c>
      <c r="S1743" s="217"/>
      <c r="U1743" s="220" t="s">
        <v>3532</v>
      </c>
    </row>
    <row r="1744" spans="1:21" ht="0" hidden="1" customHeight="1" outlineLevel="3">
      <c r="A1744" s="192" t="s">
        <v>1868</v>
      </c>
      <c r="B1744" s="192"/>
      <c r="C1744" s="197" t="s">
        <v>1609</v>
      </c>
      <c r="D1744" s="198">
        <f>'02 项目基础信息（输入）'!$C$57</f>
        <v>0</v>
      </c>
      <c r="E1744" s="199" t="s">
        <v>93</v>
      </c>
      <c r="F1744" s="197" t="s">
        <v>1648</v>
      </c>
      <c r="G1744" s="82">
        <v>0</v>
      </c>
      <c r="H1744" s="199" t="s">
        <v>298</v>
      </c>
      <c r="I1744" s="198">
        <f t="shared" si="204"/>
        <v>0</v>
      </c>
      <c r="J1744" s="199" t="s">
        <v>93</v>
      </c>
      <c r="K1744" s="188">
        <v>0</v>
      </c>
      <c r="L1744" s="209" t="s">
        <v>675</v>
      </c>
      <c r="M1744" s="207">
        <f t="shared" si="205"/>
        <v>0</v>
      </c>
      <c r="N1744" s="198">
        <f>'02 项目基础信息（输入）'!$C$57</f>
        <v>0</v>
      </c>
      <c r="O1744" s="198">
        <f t="shared" si="202"/>
        <v>0</v>
      </c>
      <c r="P1744" s="198">
        <f>'02 项目基础信息（输入）'!$I$57</f>
        <v>0</v>
      </c>
      <c r="Q1744" s="233">
        <f t="shared" si="203"/>
        <v>0</v>
      </c>
      <c r="S1744" s="217"/>
      <c r="U1744" s="220" t="s">
        <v>3533</v>
      </c>
    </row>
    <row r="1745" spans="1:21" ht="0" hidden="1" customHeight="1" outlineLevel="2">
      <c r="A1745" s="192" t="s">
        <v>1870</v>
      </c>
      <c r="B1745" s="192"/>
      <c r="C1745" s="197" t="s">
        <v>1609</v>
      </c>
      <c r="D1745" s="198">
        <f>'02 项目基础信息（输入）'!$C$57</f>
        <v>0</v>
      </c>
      <c r="E1745" s="199" t="s">
        <v>93</v>
      </c>
      <c r="F1745" s="197"/>
      <c r="G1745" s="199"/>
      <c r="H1745" s="199"/>
      <c r="I1745" s="197"/>
      <c r="J1745" s="199"/>
      <c r="K1745" s="198"/>
      <c r="L1745" s="209"/>
      <c r="M1745" s="198">
        <f>ROUND(SUM(M1746),6)</f>
        <v>0</v>
      </c>
      <c r="N1745" s="198">
        <f>'02 项目基础信息（输入）'!$C$57</f>
        <v>0</v>
      </c>
      <c r="O1745" s="198">
        <f t="shared" si="202"/>
        <v>0</v>
      </c>
      <c r="P1745" s="198">
        <f>'02 项目基础信息（输入）'!$I$57</f>
        <v>0</v>
      </c>
      <c r="Q1745" s="233">
        <f t="shared" si="203"/>
        <v>0</v>
      </c>
      <c r="S1745" s="217" t="s">
        <v>1313</v>
      </c>
      <c r="U1745" s="220" t="s">
        <v>3534</v>
      </c>
    </row>
    <row r="1746" spans="1:21" ht="0" hidden="1" customHeight="1" outlineLevel="3">
      <c r="A1746" s="192" t="s">
        <v>1872</v>
      </c>
      <c r="B1746" s="192"/>
      <c r="C1746" s="197" t="s">
        <v>460</v>
      </c>
      <c r="D1746" s="198">
        <f>'02 项目基础信息（输入）'!$O$57</f>
        <v>0</v>
      </c>
      <c r="E1746" s="199" t="s">
        <v>400</v>
      </c>
      <c r="F1746" s="197" t="s">
        <v>460</v>
      </c>
      <c r="G1746" s="199">
        <v>1</v>
      </c>
      <c r="H1746" s="199" t="s">
        <v>1873</v>
      </c>
      <c r="I1746" s="198">
        <f>G1746*D1746</f>
        <v>0</v>
      </c>
      <c r="J1746" s="199" t="s">
        <v>1052</v>
      </c>
      <c r="K1746" s="188">
        <v>0</v>
      </c>
      <c r="L1746" s="209" t="s">
        <v>746</v>
      </c>
      <c r="M1746" s="207">
        <f>ROUND(K1746*I1746/10000,6)</f>
        <v>0</v>
      </c>
      <c r="N1746" s="198">
        <f>'02 项目基础信息（输入）'!$C$57</f>
        <v>0</v>
      </c>
      <c r="O1746" s="198">
        <f t="shared" si="202"/>
        <v>0</v>
      </c>
      <c r="P1746" s="198">
        <f>'02 项目基础信息（输入）'!$I$57</f>
        <v>0</v>
      </c>
      <c r="Q1746" s="233">
        <f t="shared" si="203"/>
        <v>0</v>
      </c>
      <c r="S1746" s="217"/>
      <c r="U1746" s="220" t="s">
        <v>3535</v>
      </c>
    </row>
    <row r="1747" spans="1:21" ht="0" hidden="1" customHeight="1" outlineLevel="2">
      <c r="A1747" s="192" t="s">
        <v>1875</v>
      </c>
      <c r="B1747" s="192"/>
      <c r="C1747" s="197" t="s">
        <v>1609</v>
      </c>
      <c r="D1747" s="198">
        <f>'02 项目基础信息（输入）'!$C$57</f>
        <v>0</v>
      </c>
      <c r="E1747" s="199" t="s">
        <v>93</v>
      </c>
      <c r="F1747" s="197"/>
      <c r="G1747" s="199"/>
      <c r="H1747" s="199"/>
      <c r="I1747" s="197"/>
      <c r="J1747" s="199"/>
      <c r="K1747" s="198"/>
      <c r="L1747" s="209"/>
      <c r="M1747" s="198">
        <f>ROUND(SUM(M1748:M1750),6)</f>
        <v>0</v>
      </c>
      <c r="N1747" s="198">
        <f>'02 项目基础信息（输入）'!$C$57</f>
        <v>0</v>
      </c>
      <c r="O1747" s="198">
        <f t="shared" si="202"/>
        <v>0</v>
      </c>
      <c r="P1747" s="198">
        <f>'02 项目基础信息（输入）'!$I$57</f>
        <v>0</v>
      </c>
      <c r="Q1747" s="233">
        <f t="shared" si="203"/>
        <v>0</v>
      </c>
      <c r="S1747" s="217" t="s">
        <v>1313</v>
      </c>
      <c r="U1747" s="220" t="s">
        <v>3536</v>
      </c>
    </row>
    <row r="1748" spans="1:21" ht="0" hidden="1" customHeight="1" outlineLevel="3">
      <c r="A1748" s="192" t="s">
        <v>1877</v>
      </c>
      <c r="B1748" s="192"/>
      <c r="C1748" s="197" t="s">
        <v>1609</v>
      </c>
      <c r="D1748" s="198">
        <f>'02 项目基础信息（输入）'!$C$57</f>
        <v>0</v>
      </c>
      <c r="E1748" s="199" t="s">
        <v>93</v>
      </c>
      <c r="F1748" s="197" t="s">
        <v>694</v>
      </c>
      <c r="G1748" s="82"/>
      <c r="H1748" s="199" t="s">
        <v>298</v>
      </c>
      <c r="I1748" s="198">
        <f>G1748*D1748</f>
        <v>0</v>
      </c>
      <c r="J1748" s="199" t="s">
        <v>93</v>
      </c>
      <c r="K1748" s="188">
        <v>0</v>
      </c>
      <c r="L1748" s="209" t="s">
        <v>675</v>
      </c>
      <c r="M1748" s="207">
        <f>ROUND(K1748*I1748/10000,6)</f>
        <v>0</v>
      </c>
      <c r="N1748" s="198">
        <f>'02 项目基础信息（输入）'!$C$57</f>
        <v>0</v>
      </c>
      <c r="O1748" s="198">
        <f t="shared" si="202"/>
        <v>0</v>
      </c>
      <c r="P1748" s="198">
        <f>'02 项目基础信息（输入）'!$I$57</f>
        <v>0</v>
      </c>
      <c r="Q1748" s="233">
        <f t="shared" si="203"/>
        <v>0</v>
      </c>
      <c r="S1748" s="217"/>
      <c r="U1748" s="220" t="s">
        <v>3537</v>
      </c>
    </row>
    <row r="1749" spans="1:21" ht="0" hidden="1" customHeight="1" outlineLevel="3">
      <c r="A1749" s="192" t="s">
        <v>1879</v>
      </c>
      <c r="B1749" s="192"/>
      <c r="C1749" s="197" t="s">
        <v>1609</v>
      </c>
      <c r="D1749" s="198">
        <f>'02 项目基础信息（输入）'!$C$57</f>
        <v>0</v>
      </c>
      <c r="E1749" s="199" t="s">
        <v>93</v>
      </c>
      <c r="F1749" s="197" t="s">
        <v>694</v>
      </c>
      <c r="G1749" s="82"/>
      <c r="H1749" s="199" t="s">
        <v>298</v>
      </c>
      <c r="I1749" s="198">
        <f>G1749*D1749</f>
        <v>0</v>
      </c>
      <c r="J1749" s="199" t="s">
        <v>93</v>
      </c>
      <c r="K1749" s="188">
        <v>0</v>
      </c>
      <c r="L1749" s="209" t="s">
        <v>675</v>
      </c>
      <c r="M1749" s="207">
        <f>ROUND(K1749*I1749/10000,6)</f>
        <v>0</v>
      </c>
      <c r="N1749" s="198">
        <f>'02 项目基础信息（输入）'!$C$57</f>
        <v>0</v>
      </c>
      <c r="O1749" s="198">
        <f t="shared" si="202"/>
        <v>0</v>
      </c>
      <c r="P1749" s="198">
        <f>'02 项目基础信息（输入）'!$I$57</f>
        <v>0</v>
      </c>
      <c r="Q1749" s="233">
        <f t="shared" si="203"/>
        <v>0</v>
      </c>
      <c r="S1749" s="217"/>
      <c r="U1749" s="220" t="s">
        <v>3538</v>
      </c>
    </row>
    <row r="1750" spans="1:21" ht="0" hidden="1" customHeight="1" outlineLevel="3">
      <c r="A1750" s="192" t="s">
        <v>1881</v>
      </c>
      <c r="B1750" s="192"/>
      <c r="C1750" s="197" t="s">
        <v>1609</v>
      </c>
      <c r="D1750" s="198">
        <f>'02 项目基础信息（输入）'!$C$57</f>
        <v>0</v>
      </c>
      <c r="E1750" s="199" t="s">
        <v>93</v>
      </c>
      <c r="F1750" s="197" t="s">
        <v>694</v>
      </c>
      <c r="G1750" s="82"/>
      <c r="H1750" s="199" t="s">
        <v>298</v>
      </c>
      <c r="I1750" s="198">
        <f>G1750*D1750</f>
        <v>0</v>
      </c>
      <c r="J1750" s="199" t="s">
        <v>93</v>
      </c>
      <c r="K1750" s="188">
        <v>0</v>
      </c>
      <c r="L1750" s="209" t="s">
        <v>675</v>
      </c>
      <c r="M1750" s="207">
        <f>ROUND(K1750*I1750/10000,6)</f>
        <v>0</v>
      </c>
      <c r="N1750" s="198">
        <f>'02 项目基础信息（输入）'!$C$57</f>
        <v>0</v>
      </c>
      <c r="O1750" s="198">
        <f t="shared" si="202"/>
        <v>0</v>
      </c>
      <c r="P1750" s="198">
        <f>'02 项目基础信息（输入）'!$I$57</f>
        <v>0</v>
      </c>
      <c r="Q1750" s="233">
        <f t="shared" si="203"/>
        <v>0</v>
      </c>
      <c r="S1750" s="217"/>
      <c r="U1750" s="220" t="s">
        <v>3539</v>
      </c>
    </row>
    <row r="1751" spans="1:21" ht="0" hidden="1" customHeight="1" outlineLevel="2">
      <c r="A1751" s="192" t="s">
        <v>2159</v>
      </c>
      <c r="B1751" s="192"/>
      <c r="C1751" s="197" t="s">
        <v>1609</v>
      </c>
      <c r="D1751" s="198">
        <f>'02 项目基础信息（输入）'!$C$57</f>
        <v>0</v>
      </c>
      <c r="E1751" s="199" t="s">
        <v>93</v>
      </c>
      <c r="F1751" s="197"/>
      <c r="G1751" s="199"/>
      <c r="H1751" s="199"/>
      <c r="I1751" s="197"/>
      <c r="J1751" s="199"/>
      <c r="K1751" s="198"/>
      <c r="L1751" s="209"/>
      <c r="M1751" s="198">
        <f>ROUND(SUM(M1752),6)</f>
        <v>0</v>
      </c>
      <c r="N1751" s="198">
        <f>'02 项目基础信息（输入）'!$C$57</f>
        <v>0</v>
      </c>
      <c r="O1751" s="198">
        <f t="shared" si="202"/>
        <v>0</v>
      </c>
      <c r="P1751" s="198">
        <f>'02 项目基础信息（输入）'!$I$57</f>
        <v>0</v>
      </c>
      <c r="Q1751" s="233">
        <f t="shared" si="203"/>
        <v>0</v>
      </c>
      <c r="S1751" s="217" t="s">
        <v>1313</v>
      </c>
      <c r="U1751" s="220" t="s">
        <v>3540</v>
      </c>
    </row>
    <row r="1752" spans="1:21" ht="0" hidden="1" customHeight="1" outlineLevel="3">
      <c r="A1752" s="192" t="s">
        <v>2161</v>
      </c>
      <c r="B1752" s="192"/>
      <c r="C1752" s="197" t="s">
        <v>1609</v>
      </c>
      <c r="D1752" s="198">
        <f>'02 项目基础信息（输入）'!$C$57</f>
        <v>0</v>
      </c>
      <c r="E1752" s="199" t="s">
        <v>93</v>
      </c>
      <c r="F1752" s="197" t="s">
        <v>1886</v>
      </c>
      <c r="G1752" s="199">
        <v>1</v>
      </c>
      <c r="H1752" s="199" t="s">
        <v>298</v>
      </c>
      <c r="I1752" s="198">
        <f>G1752*D1752</f>
        <v>0</v>
      </c>
      <c r="J1752" s="199" t="s">
        <v>93</v>
      </c>
      <c r="K1752" s="188">
        <v>0</v>
      </c>
      <c r="L1752" s="209" t="s">
        <v>675</v>
      </c>
      <c r="M1752" s="207">
        <f>ROUND(K1752*I1752/10000,6)</f>
        <v>0</v>
      </c>
      <c r="N1752" s="198">
        <f>'02 项目基础信息（输入）'!$C$57</f>
        <v>0</v>
      </c>
      <c r="O1752" s="198">
        <f t="shared" si="202"/>
        <v>0</v>
      </c>
      <c r="P1752" s="198">
        <f>'02 项目基础信息（输入）'!$I$57</f>
        <v>0</v>
      </c>
      <c r="Q1752" s="233">
        <f t="shared" si="203"/>
        <v>0</v>
      </c>
      <c r="S1752" s="217"/>
      <c r="U1752" s="220" t="s">
        <v>3541</v>
      </c>
    </row>
    <row r="1753" spans="1:21" ht="0" hidden="1" customHeight="1" outlineLevel="2">
      <c r="A1753" s="192" t="s">
        <v>1883</v>
      </c>
      <c r="B1753" s="192"/>
      <c r="C1753" s="197" t="s">
        <v>1609</v>
      </c>
      <c r="D1753" s="198">
        <f>'02 项目基础信息（输入）'!$C$57</f>
        <v>0</v>
      </c>
      <c r="E1753" s="199" t="s">
        <v>93</v>
      </c>
      <c r="F1753" s="197"/>
      <c r="G1753" s="199"/>
      <c r="H1753" s="199"/>
      <c r="I1753" s="197"/>
      <c r="J1753" s="199"/>
      <c r="K1753" s="198"/>
      <c r="L1753" s="209"/>
      <c r="M1753" s="198">
        <f>ROUND(SUM(M1754),6)</f>
        <v>0</v>
      </c>
      <c r="N1753" s="198">
        <f>'02 项目基础信息（输入）'!$C$57</f>
        <v>0</v>
      </c>
      <c r="O1753" s="198">
        <f t="shared" si="202"/>
        <v>0</v>
      </c>
      <c r="P1753" s="198">
        <f>'02 项目基础信息（输入）'!$I$57</f>
        <v>0</v>
      </c>
      <c r="Q1753" s="233">
        <f t="shared" si="203"/>
        <v>0</v>
      </c>
      <c r="S1753" s="217" t="s">
        <v>1313</v>
      </c>
      <c r="U1753" s="220" t="s">
        <v>3542</v>
      </c>
    </row>
    <row r="1754" spans="1:21" ht="0" hidden="1" customHeight="1" outlineLevel="3">
      <c r="A1754" s="192" t="s">
        <v>1885</v>
      </c>
      <c r="B1754" s="192"/>
      <c r="C1754" s="197" t="s">
        <v>1609</v>
      </c>
      <c r="D1754" s="198">
        <f>'02 项目基础信息（输入）'!$C$57</f>
        <v>0</v>
      </c>
      <c r="E1754" s="199" t="s">
        <v>93</v>
      </c>
      <c r="F1754" s="197" t="s">
        <v>1886</v>
      </c>
      <c r="G1754" s="199">
        <v>1</v>
      </c>
      <c r="H1754" s="199" t="s">
        <v>298</v>
      </c>
      <c r="I1754" s="198">
        <f>G1754*D1754</f>
        <v>0</v>
      </c>
      <c r="J1754" s="199" t="s">
        <v>93</v>
      </c>
      <c r="K1754" s="188">
        <v>0</v>
      </c>
      <c r="L1754" s="209" t="s">
        <v>675</v>
      </c>
      <c r="M1754" s="207">
        <f>ROUND(K1754*I1754/10000,6)</f>
        <v>0</v>
      </c>
      <c r="N1754" s="198">
        <f>'02 项目基础信息（输入）'!$C$57</f>
        <v>0</v>
      </c>
      <c r="O1754" s="198">
        <f t="shared" si="202"/>
        <v>0</v>
      </c>
      <c r="P1754" s="198">
        <f>'02 项目基础信息（输入）'!$I$57</f>
        <v>0</v>
      </c>
      <c r="Q1754" s="233">
        <f t="shared" si="203"/>
        <v>0</v>
      </c>
      <c r="S1754" s="217"/>
      <c r="U1754" s="220" t="s">
        <v>3543</v>
      </c>
    </row>
    <row r="1755" spans="1:21" ht="0" hidden="1" customHeight="1" outlineLevel="2">
      <c r="A1755" s="192" t="s">
        <v>1888</v>
      </c>
      <c r="B1755" s="192"/>
      <c r="C1755" s="197" t="s">
        <v>1609</v>
      </c>
      <c r="D1755" s="198">
        <f>'02 项目基础信息（输入）'!$C$57</f>
        <v>0</v>
      </c>
      <c r="E1755" s="199" t="s">
        <v>93</v>
      </c>
      <c r="F1755" s="197"/>
      <c r="G1755" s="199"/>
      <c r="H1755" s="199"/>
      <c r="I1755" s="197"/>
      <c r="J1755" s="199"/>
      <c r="K1755" s="198"/>
      <c r="L1755" s="209"/>
      <c r="M1755" s="198">
        <f>ROUND(SUM(M1756:M1760),6)</f>
        <v>0</v>
      </c>
      <c r="N1755" s="198">
        <f>'02 项目基础信息（输入）'!$C$57</f>
        <v>0</v>
      </c>
      <c r="O1755" s="198">
        <f t="shared" si="202"/>
        <v>0</v>
      </c>
      <c r="P1755" s="198">
        <f>'02 项目基础信息（输入）'!$I$57</f>
        <v>0</v>
      </c>
      <c r="Q1755" s="233">
        <f t="shared" si="203"/>
        <v>0</v>
      </c>
      <c r="S1755" s="217" t="s">
        <v>1313</v>
      </c>
      <c r="U1755" s="220" t="s">
        <v>3544</v>
      </c>
    </row>
    <row r="1756" spans="1:21" ht="0" hidden="1" customHeight="1" outlineLevel="3">
      <c r="A1756" s="192" t="s">
        <v>1890</v>
      </c>
      <c r="B1756" s="192"/>
      <c r="C1756" s="197" t="s">
        <v>1609</v>
      </c>
      <c r="D1756" s="198">
        <f>'02 项目基础信息（输入）'!$C$57</f>
        <v>0</v>
      </c>
      <c r="E1756" s="199" t="s">
        <v>93</v>
      </c>
      <c r="F1756" s="197" t="s">
        <v>1886</v>
      </c>
      <c r="G1756" s="199">
        <v>1</v>
      </c>
      <c r="H1756" s="199" t="s">
        <v>298</v>
      </c>
      <c r="I1756" s="198">
        <f>G1756*D1756</f>
        <v>0</v>
      </c>
      <c r="J1756" s="199" t="s">
        <v>93</v>
      </c>
      <c r="K1756" s="188">
        <v>0</v>
      </c>
      <c r="L1756" s="209" t="s">
        <v>675</v>
      </c>
      <c r="M1756" s="207">
        <f>ROUND(K1756*I1756/10000,6)</f>
        <v>0</v>
      </c>
      <c r="N1756" s="198">
        <f>'02 项目基础信息（输入）'!$C$57</f>
        <v>0</v>
      </c>
      <c r="O1756" s="198">
        <f t="shared" si="202"/>
        <v>0</v>
      </c>
      <c r="P1756" s="198">
        <f>'02 项目基础信息（输入）'!$I$57</f>
        <v>0</v>
      </c>
      <c r="Q1756" s="233">
        <f t="shared" si="203"/>
        <v>0</v>
      </c>
      <c r="S1756" s="217"/>
      <c r="U1756" s="220" t="s">
        <v>3545</v>
      </c>
    </row>
    <row r="1757" spans="1:21" ht="0" hidden="1" customHeight="1" outlineLevel="3">
      <c r="A1757" s="192" t="s">
        <v>1892</v>
      </c>
      <c r="B1757" s="192"/>
      <c r="C1757" s="197" t="s">
        <v>1609</v>
      </c>
      <c r="D1757" s="198">
        <f>'02 项目基础信息（输入）'!$C$57</f>
        <v>0</v>
      </c>
      <c r="E1757" s="199" t="s">
        <v>93</v>
      </c>
      <c r="F1757" s="197" t="s">
        <v>1886</v>
      </c>
      <c r="G1757" s="199">
        <v>1</v>
      </c>
      <c r="H1757" s="199" t="s">
        <v>298</v>
      </c>
      <c r="I1757" s="198">
        <f>G1757*D1757</f>
        <v>0</v>
      </c>
      <c r="J1757" s="199" t="s">
        <v>93</v>
      </c>
      <c r="K1757" s="188">
        <v>0</v>
      </c>
      <c r="L1757" s="209" t="s">
        <v>675</v>
      </c>
      <c r="M1757" s="207">
        <f>ROUND(K1757*I1757/10000,6)</f>
        <v>0</v>
      </c>
      <c r="N1757" s="198">
        <f>'02 项目基础信息（输入）'!$C$57</f>
        <v>0</v>
      </c>
      <c r="O1757" s="198">
        <f t="shared" si="202"/>
        <v>0</v>
      </c>
      <c r="P1757" s="198">
        <f>'02 项目基础信息（输入）'!$I$57</f>
        <v>0</v>
      </c>
      <c r="Q1757" s="233">
        <f t="shared" si="203"/>
        <v>0</v>
      </c>
      <c r="S1757" s="217"/>
      <c r="U1757" s="220" t="s">
        <v>3546</v>
      </c>
    </row>
    <row r="1758" spans="1:21" ht="0" hidden="1" customHeight="1" outlineLevel="3">
      <c r="A1758" s="192" t="s">
        <v>1894</v>
      </c>
      <c r="B1758" s="192"/>
      <c r="C1758" s="197" t="s">
        <v>1609</v>
      </c>
      <c r="D1758" s="198">
        <f>'02 项目基础信息（输入）'!$C$57</f>
        <v>0</v>
      </c>
      <c r="E1758" s="199" t="s">
        <v>93</v>
      </c>
      <c r="F1758" s="197" t="s">
        <v>1886</v>
      </c>
      <c r="G1758" s="199">
        <v>1</v>
      </c>
      <c r="H1758" s="199" t="s">
        <v>298</v>
      </c>
      <c r="I1758" s="198">
        <f>G1758*D1758</f>
        <v>0</v>
      </c>
      <c r="J1758" s="199" t="s">
        <v>93</v>
      </c>
      <c r="K1758" s="188">
        <v>0</v>
      </c>
      <c r="L1758" s="209" t="s">
        <v>675</v>
      </c>
      <c r="M1758" s="207">
        <f>ROUND(K1758*I1758/10000,6)</f>
        <v>0</v>
      </c>
      <c r="N1758" s="198">
        <f>'02 项目基础信息（输入）'!$C$57</f>
        <v>0</v>
      </c>
      <c r="O1758" s="198">
        <f t="shared" si="202"/>
        <v>0</v>
      </c>
      <c r="P1758" s="198">
        <f>'02 项目基础信息（输入）'!$I$57</f>
        <v>0</v>
      </c>
      <c r="Q1758" s="233">
        <f t="shared" si="203"/>
        <v>0</v>
      </c>
      <c r="S1758" s="217"/>
      <c r="U1758" s="220" t="s">
        <v>3547</v>
      </c>
    </row>
    <row r="1759" spans="1:21" ht="0" hidden="1" customHeight="1" outlineLevel="3">
      <c r="A1759" s="192" t="s">
        <v>1896</v>
      </c>
      <c r="B1759" s="192"/>
      <c r="C1759" s="197" t="s">
        <v>1609</v>
      </c>
      <c r="D1759" s="198">
        <f>'02 项目基础信息（输入）'!$C$57</f>
        <v>0</v>
      </c>
      <c r="E1759" s="199" t="s">
        <v>93</v>
      </c>
      <c r="F1759" s="197" t="s">
        <v>1886</v>
      </c>
      <c r="G1759" s="199">
        <v>1</v>
      </c>
      <c r="H1759" s="199" t="s">
        <v>298</v>
      </c>
      <c r="I1759" s="198">
        <f>G1759*D1759</f>
        <v>0</v>
      </c>
      <c r="J1759" s="199" t="s">
        <v>93</v>
      </c>
      <c r="K1759" s="188">
        <v>0</v>
      </c>
      <c r="L1759" s="209" t="s">
        <v>675</v>
      </c>
      <c r="M1759" s="207">
        <f>ROUND(K1759*I1759/10000,6)</f>
        <v>0</v>
      </c>
      <c r="N1759" s="198">
        <f>'02 项目基础信息（输入）'!$C$57</f>
        <v>0</v>
      </c>
      <c r="O1759" s="198">
        <f t="shared" si="202"/>
        <v>0</v>
      </c>
      <c r="P1759" s="198">
        <f>'02 项目基础信息（输入）'!$I$57</f>
        <v>0</v>
      </c>
      <c r="Q1759" s="233">
        <f t="shared" si="203"/>
        <v>0</v>
      </c>
      <c r="S1759" s="217"/>
      <c r="U1759" s="220" t="s">
        <v>3548</v>
      </c>
    </row>
    <row r="1760" spans="1:21" ht="0" hidden="1" customHeight="1" outlineLevel="3">
      <c r="A1760" s="192" t="s">
        <v>1898</v>
      </c>
      <c r="B1760" s="192"/>
      <c r="C1760" s="197" t="s">
        <v>1609</v>
      </c>
      <c r="D1760" s="198">
        <f>'02 项目基础信息（输入）'!$C$57</f>
        <v>0</v>
      </c>
      <c r="E1760" s="199" t="s">
        <v>93</v>
      </c>
      <c r="F1760" s="197" t="s">
        <v>1886</v>
      </c>
      <c r="G1760" s="199">
        <v>1</v>
      </c>
      <c r="H1760" s="199" t="s">
        <v>298</v>
      </c>
      <c r="I1760" s="198">
        <f>G1760*D1760</f>
        <v>0</v>
      </c>
      <c r="J1760" s="199" t="s">
        <v>93</v>
      </c>
      <c r="K1760" s="188">
        <v>0</v>
      </c>
      <c r="L1760" s="209" t="s">
        <v>675</v>
      </c>
      <c r="M1760" s="207">
        <f>ROUND(K1760*I1760/10000,6)</f>
        <v>0</v>
      </c>
      <c r="N1760" s="198">
        <f>'02 项目基础信息（输入）'!$C$57</f>
        <v>0</v>
      </c>
      <c r="O1760" s="198">
        <f t="shared" si="202"/>
        <v>0</v>
      </c>
      <c r="P1760" s="198">
        <f>'02 项目基础信息（输入）'!$I$57</f>
        <v>0</v>
      </c>
      <c r="Q1760" s="233">
        <f t="shared" si="203"/>
        <v>0</v>
      </c>
      <c r="S1760" s="217"/>
      <c r="U1760" s="220" t="s">
        <v>3549</v>
      </c>
    </row>
    <row r="1761" spans="1:21" ht="0" hidden="1" customHeight="1" outlineLevel="2">
      <c r="A1761" s="192" t="s">
        <v>1900</v>
      </c>
      <c r="B1761" s="192"/>
      <c r="C1761" s="197" t="s">
        <v>1609</v>
      </c>
      <c r="D1761" s="198">
        <f>'02 项目基础信息（输入）'!$C$57</f>
        <v>0</v>
      </c>
      <c r="E1761" s="199" t="s">
        <v>93</v>
      </c>
      <c r="F1761" s="197"/>
      <c r="G1761" s="199"/>
      <c r="H1761" s="199"/>
      <c r="I1761" s="197"/>
      <c r="J1761" s="199"/>
      <c r="K1761" s="198"/>
      <c r="L1761" s="209"/>
      <c r="M1761" s="198">
        <f>ROUND(SUM(M1762:M1767),6)</f>
        <v>0</v>
      </c>
      <c r="N1761" s="198">
        <f>'02 项目基础信息（输入）'!$C$57</f>
        <v>0</v>
      </c>
      <c r="O1761" s="198">
        <f t="shared" si="202"/>
        <v>0</v>
      </c>
      <c r="P1761" s="198">
        <f>'02 项目基础信息（输入）'!$I$57</f>
        <v>0</v>
      </c>
      <c r="Q1761" s="233">
        <f t="shared" si="203"/>
        <v>0</v>
      </c>
      <c r="S1761" s="217" t="s">
        <v>1314</v>
      </c>
      <c r="U1761" s="220" t="s">
        <v>3550</v>
      </c>
    </row>
    <row r="1762" spans="1:21" ht="0" hidden="1" customHeight="1" outlineLevel="3">
      <c r="A1762" s="192" t="s">
        <v>1902</v>
      </c>
      <c r="B1762" s="192"/>
      <c r="C1762" s="197" t="s">
        <v>309</v>
      </c>
      <c r="D1762" s="198">
        <f>'02 项目基础信息（输入）'!$AC$57</f>
        <v>0</v>
      </c>
      <c r="E1762" s="199" t="s">
        <v>310</v>
      </c>
      <c r="F1762" s="197" t="s">
        <v>309</v>
      </c>
      <c r="G1762" s="199">
        <v>1</v>
      </c>
      <c r="H1762" s="199" t="s">
        <v>1903</v>
      </c>
      <c r="I1762" s="198">
        <f t="shared" ref="I1762:I1767" si="206">G1762*D1762</f>
        <v>0</v>
      </c>
      <c r="J1762" s="199" t="s">
        <v>310</v>
      </c>
      <c r="K1762" s="188">
        <v>0</v>
      </c>
      <c r="L1762" s="209" t="s">
        <v>736</v>
      </c>
      <c r="M1762" s="207">
        <f t="shared" ref="M1762:M1767" si="207">ROUND(K1762*I1762/10000,6)</f>
        <v>0</v>
      </c>
      <c r="N1762" s="198">
        <f>'02 项目基础信息（输入）'!$C$57</f>
        <v>0</v>
      </c>
      <c r="O1762" s="198">
        <f t="shared" si="202"/>
        <v>0</v>
      </c>
      <c r="P1762" s="198">
        <f>'02 项目基础信息（输入）'!$I$57</f>
        <v>0</v>
      </c>
      <c r="Q1762" s="233">
        <f t="shared" si="203"/>
        <v>0</v>
      </c>
      <c r="S1762" s="217"/>
      <c r="U1762" s="220" t="s">
        <v>3551</v>
      </c>
    </row>
    <row r="1763" spans="1:21" ht="0" hidden="1" customHeight="1" outlineLevel="3">
      <c r="A1763" s="192" t="s">
        <v>1905</v>
      </c>
      <c r="B1763" s="192"/>
      <c r="C1763" s="197" t="s">
        <v>309</v>
      </c>
      <c r="D1763" s="198">
        <f>'02 项目基础信息（输入）'!$AC$57</f>
        <v>0</v>
      </c>
      <c r="E1763" s="199" t="s">
        <v>310</v>
      </c>
      <c r="F1763" s="197" t="s">
        <v>309</v>
      </c>
      <c r="G1763" s="199">
        <v>1</v>
      </c>
      <c r="H1763" s="199" t="s">
        <v>1903</v>
      </c>
      <c r="I1763" s="198">
        <f t="shared" si="206"/>
        <v>0</v>
      </c>
      <c r="J1763" s="199" t="s">
        <v>310</v>
      </c>
      <c r="K1763" s="188">
        <v>0</v>
      </c>
      <c r="L1763" s="209" t="s">
        <v>736</v>
      </c>
      <c r="M1763" s="207">
        <f t="shared" si="207"/>
        <v>0</v>
      </c>
      <c r="N1763" s="198">
        <f>'02 项目基础信息（输入）'!$C$57</f>
        <v>0</v>
      </c>
      <c r="O1763" s="198">
        <f t="shared" si="202"/>
        <v>0</v>
      </c>
      <c r="P1763" s="198">
        <f>'02 项目基础信息（输入）'!$I$57</f>
        <v>0</v>
      </c>
      <c r="Q1763" s="233">
        <f t="shared" si="203"/>
        <v>0</v>
      </c>
      <c r="S1763" s="217"/>
      <c r="U1763" s="220" t="s">
        <v>3552</v>
      </c>
    </row>
    <row r="1764" spans="1:21" ht="0" hidden="1" customHeight="1" outlineLevel="3">
      <c r="A1764" s="192" t="s">
        <v>1907</v>
      </c>
      <c r="B1764" s="192"/>
      <c r="C1764" s="197" t="s">
        <v>309</v>
      </c>
      <c r="D1764" s="198">
        <f>'02 项目基础信息（输入）'!$AC$57</f>
        <v>0</v>
      </c>
      <c r="E1764" s="199" t="s">
        <v>310</v>
      </c>
      <c r="F1764" s="197" t="s">
        <v>309</v>
      </c>
      <c r="G1764" s="199">
        <v>1</v>
      </c>
      <c r="H1764" s="199" t="s">
        <v>1903</v>
      </c>
      <c r="I1764" s="198">
        <f t="shared" si="206"/>
        <v>0</v>
      </c>
      <c r="J1764" s="199" t="s">
        <v>310</v>
      </c>
      <c r="K1764" s="188">
        <v>0</v>
      </c>
      <c r="L1764" s="209" t="s">
        <v>736</v>
      </c>
      <c r="M1764" s="207">
        <f t="shared" si="207"/>
        <v>0</v>
      </c>
      <c r="N1764" s="198">
        <f>'02 项目基础信息（输入）'!$C$57</f>
        <v>0</v>
      </c>
      <c r="O1764" s="198">
        <f t="shared" si="202"/>
        <v>0</v>
      </c>
      <c r="P1764" s="198">
        <f>'02 项目基础信息（输入）'!$I$57</f>
        <v>0</v>
      </c>
      <c r="Q1764" s="233">
        <f t="shared" si="203"/>
        <v>0</v>
      </c>
      <c r="S1764" s="217"/>
      <c r="U1764" s="220" t="s">
        <v>3553</v>
      </c>
    </row>
    <row r="1765" spans="1:21" ht="0" hidden="1" customHeight="1" outlineLevel="3">
      <c r="A1765" s="192" t="s">
        <v>1909</v>
      </c>
      <c r="B1765" s="192"/>
      <c r="C1765" s="197" t="s">
        <v>309</v>
      </c>
      <c r="D1765" s="198">
        <f>'02 项目基础信息（输入）'!$AC$57</f>
        <v>0</v>
      </c>
      <c r="E1765" s="199" t="s">
        <v>310</v>
      </c>
      <c r="F1765" s="197" t="s">
        <v>309</v>
      </c>
      <c r="G1765" s="199">
        <v>1</v>
      </c>
      <c r="H1765" s="199" t="s">
        <v>1903</v>
      </c>
      <c r="I1765" s="198">
        <f t="shared" si="206"/>
        <v>0</v>
      </c>
      <c r="J1765" s="199" t="s">
        <v>310</v>
      </c>
      <c r="K1765" s="188">
        <v>0</v>
      </c>
      <c r="L1765" s="209" t="s">
        <v>736</v>
      </c>
      <c r="M1765" s="207">
        <f t="shared" si="207"/>
        <v>0</v>
      </c>
      <c r="N1765" s="198">
        <f>'02 项目基础信息（输入）'!$C$57</f>
        <v>0</v>
      </c>
      <c r="O1765" s="198">
        <f t="shared" si="202"/>
        <v>0</v>
      </c>
      <c r="P1765" s="198">
        <f>'02 项目基础信息（输入）'!$I$57</f>
        <v>0</v>
      </c>
      <c r="Q1765" s="233">
        <f t="shared" si="203"/>
        <v>0</v>
      </c>
      <c r="S1765" s="217"/>
      <c r="U1765" s="220" t="s">
        <v>3554</v>
      </c>
    </row>
    <row r="1766" spans="1:21" ht="0" hidden="1" customHeight="1" outlineLevel="3">
      <c r="A1766" s="192" t="s">
        <v>1911</v>
      </c>
      <c r="B1766" s="192"/>
      <c r="C1766" s="197" t="s">
        <v>309</v>
      </c>
      <c r="D1766" s="198">
        <f>'02 项目基础信息（输入）'!$AC$57</f>
        <v>0</v>
      </c>
      <c r="E1766" s="199" t="s">
        <v>310</v>
      </c>
      <c r="F1766" s="197" t="s">
        <v>309</v>
      </c>
      <c r="G1766" s="199">
        <v>1</v>
      </c>
      <c r="H1766" s="199" t="s">
        <v>1903</v>
      </c>
      <c r="I1766" s="198">
        <f t="shared" si="206"/>
        <v>0</v>
      </c>
      <c r="J1766" s="199" t="s">
        <v>310</v>
      </c>
      <c r="K1766" s="188">
        <v>0</v>
      </c>
      <c r="L1766" s="209" t="s">
        <v>736</v>
      </c>
      <c r="M1766" s="207">
        <f t="shared" si="207"/>
        <v>0</v>
      </c>
      <c r="N1766" s="198">
        <f>'02 项目基础信息（输入）'!$C$57</f>
        <v>0</v>
      </c>
      <c r="O1766" s="198">
        <f t="shared" si="202"/>
        <v>0</v>
      </c>
      <c r="P1766" s="198">
        <f>'02 项目基础信息（输入）'!$I$57</f>
        <v>0</v>
      </c>
      <c r="Q1766" s="233">
        <f t="shared" si="203"/>
        <v>0</v>
      </c>
      <c r="S1766" s="217"/>
      <c r="U1766" s="220" t="s">
        <v>3555</v>
      </c>
    </row>
    <row r="1767" spans="1:21" ht="0" hidden="1" customHeight="1" outlineLevel="3">
      <c r="A1767" s="192" t="s">
        <v>1913</v>
      </c>
      <c r="B1767" s="192"/>
      <c r="C1767" s="197" t="s">
        <v>309</v>
      </c>
      <c r="D1767" s="198">
        <f>'02 项目基础信息（输入）'!$AC$57</f>
        <v>0</v>
      </c>
      <c r="E1767" s="199" t="s">
        <v>310</v>
      </c>
      <c r="F1767" s="197" t="s">
        <v>309</v>
      </c>
      <c r="G1767" s="199">
        <v>1</v>
      </c>
      <c r="H1767" s="199" t="s">
        <v>1903</v>
      </c>
      <c r="I1767" s="198">
        <f t="shared" si="206"/>
        <v>0</v>
      </c>
      <c r="J1767" s="199" t="s">
        <v>310</v>
      </c>
      <c r="K1767" s="188">
        <v>0</v>
      </c>
      <c r="L1767" s="209" t="s">
        <v>736</v>
      </c>
      <c r="M1767" s="207">
        <f t="shared" si="207"/>
        <v>0</v>
      </c>
      <c r="N1767" s="198">
        <f>'02 项目基础信息（输入）'!$C$57</f>
        <v>0</v>
      </c>
      <c r="O1767" s="198">
        <f t="shared" si="202"/>
        <v>0</v>
      </c>
      <c r="P1767" s="198">
        <f>'02 项目基础信息（输入）'!$I$57</f>
        <v>0</v>
      </c>
      <c r="Q1767" s="233">
        <f t="shared" si="203"/>
        <v>0</v>
      </c>
      <c r="S1767" s="217"/>
      <c r="U1767" s="220" t="s">
        <v>3556</v>
      </c>
    </row>
    <row r="1768" spans="1:21" ht="0" hidden="1" customHeight="1" outlineLevel="2">
      <c r="A1768" s="192" t="s">
        <v>2178</v>
      </c>
      <c r="B1768" s="192"/>
      <c r="C1768" s="197" t="s">
        <v>1609</v>
      </c>
      <c r="D1768" s="198">
        <f>'02 项目基础信息（输入）'!$C$57</f>
        <v>0</v>
      </c>
      <c r="E1768" s="199" t="s">
        <v>93</v>
      </c>
      <c r="F1768" s="197"/>
      <c r="G1768" s="199"/>
      <c r="H1768" s="199"/>
      <c r="I1768" s="197"/>
      <c r="J1768" s="199"/>
      <c r="K1768" s="198"/>
      <c r="L1768" s="209"/>
      <c r="M1768" s="198">
        <f>ROUND(SUM(M1769),6)</f>
        <v>0</v>
      </c>
      <c r="N1768" s="198">
        <f>'02 项目基础信息（输入）'!$C$57</f>
        <v>0</v>
      </c>
      <c r="O1768" s="198">
        <f t="shared" si="202"/>
        <v>0</v>
      </c>
      <c r="P1768" s="198">
        <f>'02 项目基础信息（输入）'!$I$57</f>
        <v>0</v>
      </c>
      <c r="Q1768" s="233">
        <f t="shared" si="203"/>
        <v>0</v>
      </c>
      <c r="S1768" s="217" t="s">
        <v>1313</v>
      </c>
      <c r="U1768" s="220" t="s">
        <v>3557</v>
      </c>
    </row>
    <row r="1769" spans="1:21" ht="0" hidden="1" customHeight="1" outlineLevel="3">
      <c r="A1769" s="192" t="s">
        <v>2180</v>
      </c>
      <c r="B1769" s="192"/>
      <c r="C1769" s="197" t="s">
        <v>309</v>
      </c>
      <c r="D1769" s="198">
        <f>'02 项目基础信息（输入）'!$AC$57</f>
        <v>0</v>
      </c>
      <c r="E1769" s="199" t="s">
        <v>310</v>
      </c>
      <c r="F1769" s="197" t="s">
        <v>309</v>
      </c>
      <c r="G1769" s="199">
        <v>1</v>
      </c>
      <c r="H1769" s="199" t="s">
        <v>1903</v>
      </c>
      <c r="I1769" s="198">
        <f>G1769*D1769</f>
        <v>0</v>
      </c>
      <c r="J1769" s="199" t="s">
        <v>310</v>
      </c>
      <c r="K1769" s="188">
        <v>0</v>
      </c>
      <c r="L1769" s="209" t="s">
        <v>736</v>
      </c>
      <c r="M1769" s="207">
        <f>ROUND(K1769*I1769/10000,6)</f>
        <v>0</v>
      </c>
      <c r="N1769" s="198">
        <f>'02 项目基础信息（输入）'!$C$57</f>
        <v>0</v>
      </c>
      <c r="O1769" s="198">
        <f t="shared" si="202"/>
        <v>0</v>
      </c>
      <c r="P1769" s="198">
        <f>'02 项目基础信息（输入）'!$I$57</f>
        <v>0</v>
      </c>
      <c r="Q1769" s="233">
        <f t="shared" si="203"/>
        <v>0</v>
      </c>
      <c r="S1769" s="217"/>
      <c r="U1769" s="220" t="s">
        <v>3558</v>
      </c>
    </row>
    <row r="1770" spans="1:21" ht="0" hidden="1" customHeight="1" outlineLevel="2">
      <c r="A1770" s="192" t="s">
        <v>2182</v>
      </c>
      <c r="B1770" s="192"/>
      <c r="C1770" s="197" t="s">
        <v>1609</v>
      </c>
      <c r="D1770" s="198">
        <f>'02 项目基础信息（输入）'!$C$57</f>
        <v>0</v>
      </c>
      <c r="E1770" s="199" t="s">
        <v>93</v>
      </c>
      <c r="F1770" s="197"/>
      <c r="G1770" s="199"/>
      <c r="H1770" s="199"/>
      <c r="I1770" s="197"/>
      <c r="J1770" s="199"/>
      <c r="K1770" s="198"/>
      <c r="L1770" s="209"/>
      <c r="M1770" s="198">
        <f>ROUND(SUM(M1771),6)</f>
        <v>0</v>
      </c>
      <c r="N1770" s="198">
        <f>'02 项目基础信息（输入）'!$C$57</f>
        <v>0</v>
      </c>
      <c r="O1770" s="198">
        <f t="shared" si="202"/>
        <v>0</v>
      </c>
      <c r="P1770" s="198">
        <f>'02 项目基础信息（输入）'!$I$57</f>
        <v>0</v>
      </c>
      <c r="Q1770" s="233">
        <f t="shared" si="203"/>
        <v>0</v>
      </c>
      <c r="S1770" s="217" t="s">
        <v>1313</v>
      </c>
      <c r="U1770" s="220" t="s">
        <v>3559</v>
      </c>
    </row>
    <row r="1771" spans="1:21" ht="0" hidden="1" customHeight="1" outlineLevel="3">
      <c r="A1771" s="192" t="s">
        <v>2184</v>
      </c>
      <c r="B1771" s="192"/>
      <c r="C1771" s="197" t="s">
        <v>309</v>
      </c>
      <c r="D1771" s="198">
        <f>'02 项目基础信息（输入）'!$AC$57</f>
        <v>0</v>
      </c>
      <c r="E1771" s="199" t="s">
        <v>310</v>
      </c>
      <c r="F1771" s="197" t="s">
        <v>309</v>
      </c>
      <c r="G1771" s="199">
        <v>1</v>
      </c>
      <c r="H1771" s="199" t="s">
        <v>1903</v>
      </c>
      <c r="I1771" s="198">
        <f>G1771*D1771</f>
        <v>0</v>
      </c>
      <c r="J1771" s="199" t="s">
        <v>310</v>
      </c>
      <c r="K1771" s="188">
        <v>0</v>
      </c>
      <c r="L1771" s="209" t="s">
        <v>736</v>
      </c>
      <c r="M1771" s="198">
        <f>ROUND(K1771*I1771/10000,6)</f>
        <v>0</v>
      </c>
      <c r="N1771" s="198">
        <f>'02 项目基础信息（输入）'!$C$57</f>
        <v>0</v>
      </c>
      <c r="O1771" s="198">
        <f t="shared" si="202"/>
        <v>0</v>
      </c>
      <c r="P1771" s="198">
        <f>'02 项目基础信息（输入）'!$I$57</f>
        <v>0</v>
      </c>
      <c r="Q1771" s="233">
        <f t="shared" si="203"/>
        <v>0</v>
      </c>
      <c r="S1771" s="217"/>
      <c r="U1771" s="220" t="s">
        <v>3560</v>
      </c>
    </row>
    <row r="1772" spans="1:21" ht="0" hidden="1" customHeight="1" outlineLevel="2">
      <c r="A1772" s="192" t="s">
        <v>1915</v>
      </c>
      <c r="B1772" s="192"/>
      <c r="C1772" s="197" t="s">
        <v>1609</v>
      </c>
      <c r="D1772" s="198">
        <f>'02 项目基础信息（输入）'!$C$57</f>
        <v>0</v>
      </c>
      <c r="E1772" s="199" t="s">
        <v>93</v>
      </c>
      <c r="F1772" s="197"/>
      <c r="G1772" s="199"/>
      <c r="H1772" s="199"/>
      <c r="I1772" s="197"/>
      <c r="J1772" s="199"/>
      <c r="K1772" s="198"/>
      <c r="L1772" s="209"/>
      <c r="M1772" s="198">
        <f>ROUND(SUM(M1773:M1775),6)</f>
        <v>0</v>
      </c>
      <c r="N1772" s="198">
        <f>'02 项目基础信息（输入）'!$C$57</f>
        <v>0</v>
      </c>
      <c r="O1772" s="198">
        <f t="shared" si="202"/>
        <v>0</v>
      </c>
      <c r="P1772" s="198">
        <f>'02 项目基础信息（输入）'!$I$57</f>
        <v>0</v>
      </c>
      <c r="Q1772" s="233">
        <f t="shared" si="203"/>
        <v>0</v>
      </c>
      <c r="S1772" s="217" t="s">
        <v>1314</v>
      </c>
      <c r="U1772" s="220" t="s">
        <v>3561</v>
      </c>
    </row>
    <row r="1773" spans="1:21" ht="0" hidden="1" customHeight="1" outlineLevel="3">
      <c r="A1773" s="192" t="s">
        <v>1917</v>
      </c>
      <c r="B1773" s="192"/>
      <c r="C1773" s="197" t="s">
        <v>455</v>
      </c>
      <c r="D1773" s="198">
        <f>'02 项目基础信息（输入）'!$J$57</f>
        <v>0</v>
      </c>
      <c r="E1773" s="199" t="s">
        <v>400</v>
      </c>
      <c r="F1773" s="197" t="s">
        <v>455</v>
      </c>
      <c r="G1773" s="199">
        <v>1</v>
      </c>
      <c r="H1773" s="199" t="s">
        <v>1918</v>
      </c>
      <c r="I1773" s="198">
        <f>G1773*D1773</f>
        <v>0</v>
      </c>
      <c r="J1773" s="199" t="s">
        <v>1082</v>
      </c>
      <c r="K1773" s="188">
        <v>0</v>
      </c>
      <c r="L1773" s="209" t="s">
        <v>1087</v>
      </c>
      <c r="M1773" s="207">
        <f>ROUND(K1773*I1773/10000,6)</f>
        <v>0</v>
      </c>
      <c r="N1773" s="198">
        <f>'02 项目基础信息（输入）'!$C$57</f>
        <v>0</v>
      </c>
      <c r="O1773" s="198">
        <f t="shared" si="202"/>
        <v>0</v>
      </c>
      <c r="P1773" s="198">
        <f>'02 项目基础信息（输入）'!$I$57</f>
        <v>0</v>
      </c>
      <c r="Q1773" s="233">
        <f t="shared" si="203"/>
        <v>0</v>
      </c>
      <c r="S1773" s="217"/>
      <c r="U1773" s="220" t="s">
        <v>3562</v>
      </c>
    </row>
    <row r="1774" spans="1:21" ht="0" hidden="1" customHeight="1" outlineLevel="3">
      <c r="A1774" s="192" t="s">
        <v>1920</v>
      </c>
      <c r="B1774" s="192"/>
      <c r="C1774" s="197" t="s">
        <v>455</v>
      </c>
      <c r="D1774" s="198">
        <f>'02 项目基础信息（输入）'!$J$57</f>
        <v>0</v>
      </c>
      <c r="E1774" s="199" t="s">
        <v>400</v>
      </c>
      <c r="F1774" s="197" t="s">
        <v>455</v>
      </c>
      <c r="G1774" s="199">
        <v>1</v>
      </c>
      <c r="H1774" s="199" t="s">
        <v>1918</v>
      </c>
      <c r="I1774" s="198">
        <f>G1774*D1774</f>
        <v>0</v>
      </c>
      <c r="J1774" s="199" t="s">
        <v>1082</v>
      </c>
      <c r="K1774" s="188">
        <v>0</v>
      </c>
      <c r="L1774" s="209" t="s">
        <v>1087</v>
      </c>
      <c r="M1774" s="207">
        <f>ROUND(K1774*I1774/10000,6)</f>
        <v>0</v>
      </c>
      <c r="N1774" s="198">
        <f>'02 项目基础信息（输入）'!$C$57</f>
        <v>0</v>
      </c>
      <c r="O1774" s="198">
        <f t="shared" si="202"/>
        <v>0</v>
      </c>
      <c r="P1774" s="198">
        <f>'02 项目基础信息（输入）'!$I$57</f>
        <v>0</v>
      </c>
      <c r="Q1774" s="233">
        <f t="shared" si="203"/>
        <v>0</v>
      </c>
      <c r="S1774" s="217"/>
      <c r="U1774" s="220" t="s">
        <v>3563</v>
      </c>
    </row>
    <row r="1775" spans="1:21" ht="0" hidden="1" customHeight="1" outlineLevel="3">
      <c r="A1775" s="192" t="s">
        <v>1922</v>
      </c>
      <c r="B1775" s="192"/>
      <c r="C1775" s="197" t="s">
        <v>455</v>
      </c>
      <c r="D1775" s="198">
        <f>'02 项目基础信息（输入）'!$J$57</f>
        <v>0</v>
      </c>
      <c r="E1775" s="199" t="s">
        <v>400</v>
      </c>
      <c r="F1775" s="197" t="s">
        <v>455</v>
      </c>
      <c r="G1775" s="199">
        <v>1</v>
      </c>
      <c r="H1775" s="199" t="s">
        <v>1918</v>
      </c>
      <c r="I1775" s="198">
        <f>G1775*D1775</f>
        <v>0</v>
      </c>
      <c r="J1775" s="199" t="s">
        <v>1082</v>
      </c>
      <c r="K1775" s="188">
        <v>0</v>
      </c>
      <c r="L1775" s="209" t="s">
        <v>1087</v>
      </c>
      <c r="M1775" s="207">
        <f>ROUND(K1775*I1775/10000,6)</f>
        <v>0</v>
      </c>
      <c r="N1775" s="198">
        <f>'02 项目基础信息（输入）'!$C$57</f>
        <v>0</v>
      </c>
      <c r="O1775" s="198">
        <f t="shared" si="202"/>
        <v>0</v>
      </c>
      <c r="P1775" s="198">
        <f>'02 项目基础信息（输入）'!$I$57</f>
        <v>0</v>
      </c>
      <c r="Q1775" s="233">
        <f t="shared" si="203"/>
        <v>0</v>
      </c>
      <c r="S1775" s="217"/>
      <c r="U1775" s="220" t="s">
        <v>3564</v>
      </c>
    </row>
    <row r="1776" spans="1:21" ht="0" hidden="1" customHeight="1" outlineLevel="2">
      <c r="A1776" s="192" t="s">
        <v>1924</v>
      </c>
      <c r="B1776" s="192"/>
      <c r="C1776" s="197" t="s">
        <v>1609</v>
      </c>
      <c r="D1776" s="198">
        <f>'02 项目基础信息（输入）'!$C$57</f>
        <v>0</v>
      </c>
      <c r="E1776" s="199" t="s">
        <v>93</v>
      </c>
      <c r="F1776" s="197"/>
      <c r="G1776" s="199"/>
      <c r="H1776" s="199"/>
      <c r="I1776" s="197"/>
      <c r="J1776" s="199"/>
      <c r="K1776" s="198"/>
      <c r="L1776" s="209"/>
      <c r="M1776" s="198">
        <f>ROUND(SUM(M1777),6)</f>
        <v>0</v>
      </c>
      <c r="N1776" s="198">
        <f>'02 项目基础信息（输入）'!$C$57</f>
        <v>0</v>
      </c>
      <c r="O1776" s="198">
        <f t="shared" si="202"/>
        <v>0</v>
      </c>
      <c r="P1776" s="198">
        <f>'02 项目基础信息（输入）'!$I$57</f>
        <v>0</v>
      </c>
      <c r="Q1776" s="233">
        <f t="shared" si="203"/>
        <v>0</v>
      </c>
      <c r="S1776" s="217" t="s">
        <v>1313</v>
      </c>
      <c r="U1776" s="220" t="s">
        <v>3565</v>
      </c>
    </row>
    <row r="1777" spans="1:21" ht="0" hidden="1" customHeight="1" outlineLevel="3">
      <c r="A1777" s="192" t="s">
        <v>1926</v>
      </c>
      <c r="B1777" s="192"/>
      <c r="C1777" s="197" t="s">
        <v>1609</v>
      </c>
      <c r="D1777" s="198">
        <f>'02 项目基础信息（输入）'!$C$57</f>
        <v>0</v>
      </c>
      <c r="E1777" s="199" t="s">
        <v>93</v>
      </c>
      <c r="F1777" s="197" t="s">
        <v>1927</v>
      </c>
      <c r="G1777" s="82">
        <v>0</v>
      </c>
      <c r="H1777" s="199" t="s">
        <v>298</v>
      </c>
      <c r="I1777" s="198">
        <f>G1777*D1777</f>
        <v>0</v>
      </c>
      <c r="J1777" s="199" t="s">
        <v>93</v>
      </c>
      <c r="K1777" s="188">
        <v>0</v>
      </c>
      <c r="L1777" s="209" t="s">
        <v>675</v>
      </c>
      <c r="M1777" s="207">
        <f>ROUND(K1777*I1777/10000,6)</f>
        <v>0</v>
      </c>
      <c r="N1777" s="198">
        <f>'02 项目基础信息（输入）'!$C$57</f>
        <v>0</v>
      </c>
      <c r="O1777" s="198">
        <f t="shared" si="202"/>
        <v>0</v>
      </c>
      <c r="P1777" s="198">
        <f>'02 项目基础信息（输入）'!$I$57</f>
        <v>0</v>
      </c>
      <c r="Q1777" s="233">
        <f t="shared" si="203"/>
        <v>0</v>
      </c>
      <c r="S1777" s="217"/>
      <c r="U1777" s="220" t="s">
        <v>3566</v>
      </c>
    </row>
    <row r="1778" spans="1:21" ht="0" hidden="1" customHeight="1" outlineLevel="2">
      <c r="A1778" s="192" t="s">
        <v>1931</v>
      </c>
      <c r="B1778" s="192"/>
      <c r="C1778" s="197" t="s">
        <v>1609</v>
      </c>
      <c r="D1778" s="198">
        <f>'02 项目基础信息（输入）'!$C$57</f>
        <v>0</v>
      </c>
      <c r="E1778" s="199" t="s">
        <v>93</v>
      </c>
      <c r="F1778" s="197"/>
      <c r="G1778" s="199"/>
      <c r="H1778" s="199"/>
      <c r="I1778" s="197"/>
      <c r="J1778" s="199"/>
      <c r="K1778" s="198"/>
      <c r="L1778" s="209"/>
      <c r="M1778" s="198">
        <f>ROUND(SUM(M1779),6)</f>
        <v>0</v>
      </c>
      <c r="N1778" s="198">
        <f>'02 项目基础信息（输入）'!$C$57</f>
        <v>0</v>
      </c>
      <c r="O1778" s="198">
        <f t="shared" si="202"/>
        <v>0</v>
      </c>
      <c r="P1778" s="198">
        <f>'02 项目基础信息（输入）'!$I$57</f>
        <v>0</v>
      </c>
      <c r="Q1778" s="233">
        <f t="shared" si="203"/>
        <v>0</v>
      </c>
      <c r="S1778" s="217" t="s">
        <v>1313</v>
      </c>
      <c r="U1778" s="220" t="s">
        <v>3567</v>
      </c>
    </row>
    <row r="1779" spans="1:21" ht="0" hidden="1" customHeight="1" outlineLevel="3">
      <c r="A1779" s="192" t="s">
        <v>1933</v>
      </c>
      <c r="B1779" s="192"/>
      <c r="C1779" s="197" t="s">
        <v>1609</v>
      </c>
      <c r="D1779" s="198">
        <f>'02 项目基础信息（输入）'!$C$57</f>
        <v>0</v>
      </c>
      <c r="E1779" s="199" t="s">
        <v>93</v>
      </c>
      <c r="F1779" s="197" t="s">
        <v>1886</v>
      </c>
      <c r="G1779" s="199">
        <v>1</v>
      </c>
      <c r="H1779" s="199" t="s">
        <v>298</v>
      </c>
      <c r="I1779" s="198">
        <f>G1779*D1779</f>
        <v>0</v>
      </c>
      <c r="J1779" s="199" t="s">
        <v>93</v>
      </c>
      <c r="K1779" s="188">
        <v>0</v>
      </c>
      <c r="L1779" s="209" t="s">
        <v>675</v>
      </c>
      <c r="M1779" s="207">
        <f>ROUND(K1779*I1779/10000,6)</f>
        <v>0</v>
      </c>
      <c r="N1779" s="198">
        <f>'02 项目基础信息（输入）'!$C$57</f>
        <v>0</v>
      </c>
      <c r="O1779" s="198">
        <f t="shared" si="202"/>
        <v>0</v>
      </c>
      <c r="P1779" s="198">
        <f>'02 项目基础信息（输入）'!$I$57</f>
        <v>0</v>
      </c>
      <c r="Q1779" s="233">
        <f t="shared" si="203"/>
        <v>0</v>
      </c>
      <c r="S1779" s="217"/>
      <c r="U1779" s="220" t="s">
        <v>3568</v>
      </c>
    </row>
    <row r="1780" spans="1:21" ht="0" hidden="1" customHeight="1" outlineLevel="2">
      <c r="A1780" s="192" t="s">
        <v>1935</v>
      </c>
      <c r="B1780" s="192"/>
      <c r="C1780" s="197" t="s">
        <v>1609</v>
      </c>
      <c r="D1780" s="198">
        <f>'02 项目基础信息（输入）'!$C$57</f>
        <v>0</v>
      </c>
      <c r="E1780" s="199" t="s">
        <v>93</v>
      </c>
      <c r="F1780" s="197"/>
      <c r="G1780" s="199"/>
      <c r="H1780" s="199"/>
      <c r="I1780" s="197"/>
      <c r="J1780" s="199"/>
      <c r="K1780" s="198"/>
      <c r="L1780" s="209"/>
      <c r="M1780" s="198">
        <f>ROUND(SUM(M1781:M1783),6)</f>
        <v>0</v>
      </c>
      <c r="N1780" s="198">
        <f>'02 项目基础信息（输入）'!$C$57</f>
        <v>0</v>
      </c>
      <c r="O1780" s="198">
        <f t="shared" si="202"/>
        <v>0</v>
      </c>
      <c r="P1780" s="198">
        <f>'02 项目基础信息（输入）'!$I$57</f>
        <v>0</v>
      </c>
      <c r="Q1780" s="233">
        <f t="shared" si="203"/>
        <v>0</v>
      </c>
      <c r="S1780" s="217" t="s">
        <v>1313</v>
      </c>
      <c r="U1780" s="220" t="s">
        <v>3569</v>
      </c>
    </row>
    <row r="1781" spans="1:21" ht="0" hidden="1" customHeight="1" outlineLevel="3">
      <c r="A1781" s="192" t="s">
        <v>2195</v>
      </c>
      <c r="B1781" s="192"/>
      <c r="C1781" s="197" t="s">
        <v>309</v>
      </c>
      <c r="D1781" s="198">
        <f>'02 项目基础信息（输入）'!$AC$57</f>
        <v>0</v>
      </c>
      <c r="E1781" s="199" t="s">
        <v>310</v>
      </c>
      <c r="F1781" s="197" t="s">
        <v>2196</v>
      </c>
      <c r="G1781" s="82">
        <v>0</v>
      </c>
      <c r="H1781" s="199" t="s">
        <v>2197</v>
      </c>
      <c r="I1781" s="198">
        <f>G1781*D1781</f>
        <v>0</v>
      </c>
      <c r="J1781" s="199" t="s">
        <v>2198</v>
      </c>
      <c r="K1781" s="188">
        <v>0</v>
      </c>
      <c r="L1781" s="209" t="s">
        <v>841</v>
      </c>
      <c r="M1781" s="207">
        <f>ROUND(K1781*I1781/10000,6)</f>
        <v>0</v>
      </c>
      <c r="N1781" s="198">
        <f>'02 项目基础信息（输入）'!$C$57</f>
        <v>0</v>
      </c>
      <c r="O1781" s="198">
        <f t="shared" si="202"/>
        <v>0</v>
      </c>
      <c r="P1781" s="198">
        <f>'02 项目基础信息（输入）'!$I$57</f>
        <v>0</v>
      </c>
      <c r="Q1781" s="233">
        <f t="shared" si="203"/>
        <v>0</v>
      </c>
      <c r="S1781" s="217"/>
      <c r="U1781" s="220" t="s">
        <v>3570</v>
      </c>
    </row>
    <row r="1782" spans="1:21" ht="0" hidden="1" customHeight="1" outlineLevel="3">
      <c r="A1782" s="192" t="s">
        <v>2200</v>
      </c>
      <c r="B1782" s="192"/>
      <c r="C1782" s="197" t="s">
        <v>309</v>
      </c>
      <c r="D1782" s="198">
        <f>'02 项目基础信息（输入）'!$AC$57</f>
        <v>0</v>
      </c>
      <c r="E1782" s="199" t="s">
        <v>310</v>
      </c>
      <c r="F1782" s="197" t="s">
        <v>2196</v>
      </c>
      <c r="G1782" s="82">
        <v>0</v>
      </c>
      <c r="H1782" s="199" t="s">
        <v>2197</v>
      </c>
      <c r="I1782" s="198">
        <f>G1782*D1782</f>
        <v>0</v>
      </c>
      <c r="J1782" s="199" t="s">
        <v>2198</v>
      </c>
      <c r="K1782" s="188">
        <v>0</v>
      </c>
      <c r="L1782" s="209" t="s">
        <v>841</v>
      </c>
      <c r="M1782" s="207">
        <f>ROUND(K1782*I1782/10000,6)</f>
        <v>0</v>
      </c>
      <c r="N1782" s="198">
        <f>'02 项目基础信息（输入）'!$C$57</f>
        <v>0</v>
      </c>
      <c r="O1782" s="198">
        <f t="shared" si="202"/>
        <v>0</v>
      </c>
      <c r="P1782" s="198">
        <f>'02 项目基础信息（输入）'!$I$57</f>
        <v>0</v>
      </c>
      <c r="Q1782" s="233">
        <f t="shared" si="203"/>
        <v>0</v>
      </c>
      <c r="S1782" s="217"/>
      <c r="U1782" s="220" t="s">
        <v>3571</v>
      </c>
    </row>
    <row r="1783" spans="1:21" ht="0" hidden="1" customHeight="1" outlineLevel="3">
      <c r="A1783" s="192" t="s">
        <v>2202</v>
      </c>
      <c r="B1783" s="192"/>
      <c r="C1783" s="197" t="s">
        <v>309</v>
      </c>
      <c r="D1783" s="198">
        <f>'02 项目基础信息（输入）'!$AC$57</f>
        <v>0</v>
      </c>
      <c r="E1783" s="199" t="s">
        <v>310</v>
      </c>
      <c r="F1783" s="197" t="s">
        <v>2196</v>
      </c>
      <c r="G1783" s="82">
        <v>0</v>
      </c>
      <c r="H1783" s="199" t="s">
        <v>2197</v>
      </c>
      <c r="I1783" s="198">
        <f>G1783*D1783</f>
        <v>0</v>
      </c>
      <c r="J1783" s="199" t="s">
        <v>2198</v>
      </c>
      <c r="K1783" s="188">
        <v>0</v>
      </c>
      <c r="L1783" s="209" t="s">
        <v>841</v>
      </c>
      <c r="M1783" s="207">
        <f>ROUND(K1783*I1783/10000,6)</f>
        <v>0</v>
      </c>
      <c r="N1783" s="198">
        <f>'02 项目基础信息（输入）'!$C$57</f>
        <v>0</v>
      </c>
      <c r="O1783" s="198">
        <f t="shared" si="202"/>
        <v>0</v>
      </c>
      <c r="P1783" s="198">
        <f>'02 项目基础信息（输入）'!$I$57</f>
        <v>0</v>
      </c>
      <c r="Q1783" s="233">
        <f t="shared" si="203"/>
        <v>0</v>
      </c>
      <c r="S1783" s="217"/>
      <c r="U1783" s="220" t="s">
        <v>3572</v>
      </c>
    </row>
    <row r="1784" spans="1:21" ht="0" hidden="1" customHeight="1" outlineLevel="2">
      <c r="A1784" s="192" t="s">
        <v>1937</v>
      </c>
      <c r="B1784" s="192"/>
      <c r="C1784" s="197" t="s">
        <v>1609</v>
      </c>
      <c r="D1784" s="198">
        <f>'02 项目基础信息（输入）'!$C$57</f>
        <v>0</v>
      </c>
      <c r="E1784" s="199" t="s">
        <v>93</v>
      </c>
      <c r="F1784" s="197"/>
      <c r="G1784" s="199"/>
      <c r="H1784" s="199"/>
      <c r="I1784" s="197"/>
      <c r="J1784" s="199"/>
      <c r="K1784" s="198"/>
      <c r="L1784" s="209"/>
      <c r="M1784" s="198">
        <f>ROUND(SUM(M1785),6)</f>
        <v>0</v>
      </c>
      <c r="N1784" s="198">
        <f>'02 项目基础信息（输入）'!$C$57</f>
        <v>0</v>
      </c>
      <c r="O1784" s="198">
        <f t="shared" si="202"/>
        <v>0</v>
      </c>
      <c r="P1784" s="198">
        <f>'02 项目基础信息（输入）'!$I$57</f>
        <v>0</v>
      </c>
      <c r="Q1784" s="233">
        <f t="shared" si="203"/>
        <v>0</v>
      </c>
      <c r="S1784" s="217" t="s">
        <v>1313</v>
      </c>
      <c r="U1784" s="220" t="s">
        <v>3573</v>
      </c>
    </row>
    <row r="1785" spans="1:21" ht="0" hidden="1" customHeight="1" outlineLevel="3">
      <c r="A1785" s="192" t="s">
        <v>2205</v>
      </c>
      <c r="B1785" s="192"/>
      <c r="C1785" s="197" t="s">
        <v>1609</v>
      </c>
      <c r="D1785" s="198">
        <f>'02 项目基础信息（输入）'!$C$57</f>
        <v>0</v>
      </c>
      <c r="E1785" s="199" t="s">
        <v>93</v>
      </c>
      <c r="F1785" s="197" t="s">
        <v>1609</v>
      </c>
      <c r="G1785" s="199">
        <v>1</v>
      </c>
      <c r="H1785" s="199" t="s">
        <v>298</v>
      </c>
      <c r="I1785" s="198">
        <f>G1785*D1785</f>
        <v>0</v>
      </c>
      <c r="J1785" s="199" t="s">
        <v>93</v>
      </c>
      <c r="K1785" s="188">
        <v>0</v>
      </c>
      <c r="L1785" s="209" t="s">
        <v>675</v>
      </c>
      <c r="M1785" s="207">
        <f>ROUND(K1785*I1785/10000,6)</f>
        <v>0</v>
      </c>
      <c r="N1785" s="198">
        <f>'02 项目基础信息（输入）'!$C$57</f>
        <v>0</v>
      </c>
      <c r="O1785" s="198">
        <f t="shared" si="202"/>
        <v>0</v>
      </c>
      <c r="P1785" s="198">
        <f>'02 项目基础信息（输入）'!$I$57</f>
        <v>0</v>
      </c>
      <c r="Q1785" s="233">
        <f t="shared" si="203"/>
        <v>0</v>
      </c>
      <c r="S1785" s="217"/>
      <c r="U1785" s="220" t="s">
        <v>3574</v>
      </c>
    </row>
    <row r="1786" spans="1:21" ht="0" hidden="1" customHeight="1" outlineLevel="2">
      <c r="A1786" s="192" t="s">
        <v>1939</v>
      </c>
      <c r="B1786" s="192"/>
      <c r="C1786" s="197" t="s">
        <v>1609</v>
      </c>
      <c r="D1786" s="198">
        <f>'02 项目基础信息（输入）'!$C$57</f>
        <v>0</v>
      </c>
      <c r="E1786" s="199" t="s">
        <v>93</v>
      </c>
      <c r="F1786" s="197"/>
      <c r="G1786" s="199"/>
      <c r="H1786" s="199"/>
      <c r="I1786" s="197"/>
      <c r="J1786" s="199"/>
      <c r="K1786" s="198"/>
      <c r="L1786" s="209"/>
      <c r="M1786" s="198">
        <f>ROUND(SUM(M1787),6)</f>
        <v>0</v>
      </c>
      <c r="N1786" s="198">
        <f>'02 项目基础信息（输入）'!$C$57</f>
        <v>0</v>
      </c>
      <c r="O1786" s="198">
        <f t="shared" si="202"/>
        <v>0</v>
      </c>
      <c r="P1786" s="198">
        <f>'02 项目基础信息（输入）'!$I$57</f>
        <v>0</v>
      </c>
      <c r="Q1786" s="233">
        <f t="shared" si="203"/>
        <v>0</v>
      </c>
      <c r="S1786" s="217" t="s">
        <v>1313</v>
      </c>
      <c r="U1786" s="220" t="s">
        <v>3575</v>
      </c>
    </row>
    <row r="1787" spans="1:21" ht="0" hidden="1" customHeight="1" outlineLevel="3">
      <c r="A1787" s="192" t="s">
        <v>2208</v>
      </c>
      <c r="B1787" s="192"/>
      <c r="C1787" s="197" t="s">
        <v>477</v>
      </c>
      <c r="D1787" s="198">
        <f>'02 项目基础信息（输入）'!$AG$57</f>
        <v>0</v>
      </c>
      <c r="E1787" s="199" t="s">
        <v>2209</v>
      </c>
      <c r="F1787" s="197" t="s">
        <v>477</v>
      </c>
      <c r="G1787" s="199">
        <v>1</v>
      </c>
      <c r="H1787" s="199" t="s">
        <v>2210</v>
      </c>
      <c r="I1787" s="198">
        <f>G1787*D1787</f>
        <v>0</v>
      </c>
      <c r="J1787" s="199" t="s">
        <v>2209</v>
      </c>
      <c r="K1787" s="188">
        <v>0</v>
      </c>
      <c r="L1787" s="209" t="s">
        <v>2211</v>
      </c>
      <c r="M1787" s="207">
        <f>ROUND(K1787*I1787/10000,6)</f>
        <v>0</v>
      </c>
      <c r="N1787" s="198">
        <f>'02 项目基础信息（输入）'!$C$57</f>
        <v>0</v>
      </c>
      <c r="O1787" s="198">
        <f t="shared" si="202"/>
        <v>0</v>
      </c>
      <c r="P1787" s="198">
        <f>'02 项目基础信息（输入）'!$I$57</f>
        <v>0</v>
      </c>
      <c r="Q1787" s="233">
        <f t="shared" si="203"/>
        <v>0</v>
      </c>
      <c r="S1787" s="217"/>
      <c r="U1787" s="220" t="s">
        <v>3576</v>
      </c>
    </row>
    <row r="1788" spans="1:21" ht="0" hidden="1" customHeight="1" outlineLevel="2">
      <c r="A1788" s="192" t="s">
        <v>1941</v>
      </c>
      <c r="B1788" s="192"/>
      <c r="C1788" s="197" t="s">
        <v>1609</v>
      </c>
      <c r="D1788" s="198">
        <f>'02 项目基础信息（输入）'!$C$57</f>
        <v>0</v>
      </c>
      <c r="E1788" s="199" t="s">
        <v>93</v>
      </c>
      <c r="F1788" s="197"/>
      <c r="G1788" s="199"/>
      <c r="H1788" s="199"/>
      <c r="I1788" s="197"/>
      <c r="J1788" s="199"/>
      <c r="K1788" s="198"/>
      <c r="L1788" s="209"/>
      <c r="M1788" s="197">
        <v>0</v>
      </c>
      <c r="N1788" s="198">
        <f>'02 项目基础信息（输入）'!$C$57</f>
        <v>0</v>
      </c>
      <c r="O1788" s="198">
        <f t="shared" si="202"/>
        <v>0</v>
      </c>
      <c r="P1788" s="198">
        <f>'02 项目基础信息（输入）'!$I$57</f>
        <v>0</v>
      </c>
      <c r="Q1788" s="233">
        <f t="shared" si="203"/>
        <v>0</v>
      </c>
      <c r="S1788" s="217" t="s">
        <v>1313</v>
      </c>
      <c r="U1788" s="220" t="s">
        <v>3577</v>
      </c>
    </row>
    <row r="1789" spans="1:21" ht="0" hidden="1" customHeight="1" outlineLevel="2">
      <c r="A1789" s="192" t="s">
        <v>1952</v>
      </c>
      <c r="B1789" s="192"/>
      <c r="C1789" s="197" t="s">
        <v>1609</v>
      </c>
      <c r="D1789" s="198">
        <f>'02 项目基础信息（输入）'!$C$57</f>
        <v>0</v>
      </c>
      <c r="E1789" s="199" t="s">
        <v>93</v>
      </c>
      <c r="F1789" s="197"/>
      <c r="G1789" s="199"/>
      <c r="H1789" s="199"/>
      <c r="I1789" s="197"/>
      <c r="J1789" s="199"/>
      <c r="K1789" s="198"/>
      <c r="L1789" s="209"/>
      <c r="M1789" s="197">
        <v>0</v>
      </c>
      <c r="N1789" s="198">
        <f>'02 项目基础信息（输入）'!$C$57</f>
        <v>0</v>
      </c>
      <c r="O1789" s="198">
        <f t="shared" si="202"/>
        <v>0</v>
      </c>
      <c r="P1789" s="198">
        <f>'02 项目基础信息（输入）'!$I$57</f>
        <v>0</v>
      </c>
      <c r="Q1789" s="233">
        <f t="shared" si="203"/>
        <v>0</v>
      </c>
      <c r="S1789" s="217" t="s">
        <v>1313</v>
      </c>
      <c r="U1789" s="220" t="s">
        <v>3578</v>
      </c>
    </row>
    <row r="1790" spans="1:21" ht="0" hidden="1" customHeight="1" outlineLevel="2">
      <c r="A1790" s="192" t="s">
        <v>1957</v>
      </c>
      <c r="B1790" s="192"/>
      <c r="C1790" s="197" t="s">
        <v>1609</v>
      </c>
      <c r="D1790" s="198">
        <f>'02 项目基础信息（输入）'!$C$57</f>
        <v>0</v>
      </c>
      <c r="E1790" s="199" t="s">
        <v>93</v>
      </c>
      <c r="F1790" s="197"/>
      <c r="G1790" s="199"/>
      <c r="H1790" s="199"/>
      <c r="I1790" s="197"/>
      <c r="J1790" s="199"/>
      <c r="K1790" s="198"/>
      <c r="L1790" s="209"/>
      <c r="M1790" s="198">
        <f>ROUND(SUM(M1791:M1794),6)</f>
        <v>0</v>
      </c>
      <c r="N1790" s="198">
        <f>'02 项目基础信息（输入）'!$C$57</f>
        <v>0</v>
      </c>
      <c r="O1790" s="198">
        <f t="shared" si="202"/>
        <v>0</v>
      </c>
      <c r="P1790" s="198">
        <f>'02 项目基础信息（输入）'!$I$57</f>
        <v>0</v>
      </c>
      <c r="Q1790" s="233">
        <f t="shared" si="203"/>
        <v>0</v>
      </c>
      <c r="S1790" s="217" t="s">
        <v>1313</v>
      </c>
      <c r="U1790" s="220" t="s">
        <v>3579</v>
      </c>
    </row>
    <row r="1791" spans="1:21" ht="0" hidden="1" customHeight="1" outlineLevel="3">
      <c r="A1791" s="192" t="s">
        <v>1959</v>
      </c>
      <c r="B1791" s="192"/>
      <c r="C1791" s="197" t="s">
        <v>1609</v>
      </c>
      <c r="D1791" s="198">
        <f>'02 项目基础信息（输入）'!$C$57</f>
        <v>0</v>
      </c>
      <c r="E1791" s="199" t="s">
        <v>93</v>
      </c>
      <c r="F1791" s="197" t="s">
        <v>1960</v>
      </c>
      <c r="G1791" s="82">
        <v>0</v>
      </c>
      <c r="H1791" s="199" t="s">
        <v>298</v>
      </c>
      <c r="I1791" s="198">
        <f>G1791*D1791</f>
        <v>0</v>
      </c>
      <c r="J1791" s="199" t="s">
        <v>93</v>
      </c>
      <c r="K1791" s="188">
        <v>0</v>
      </c>
      <c r="L1791" s="209" t="s">
        <v>675</v>
      </c>
      <c r="M1791" s="207">
        <f>ROUND(K1791*I1791/10000,6)</f>
        <v>0</v>
      </c>
      <c r="N1791" s="198">
        <f>'02 项目基础信息（输入）'!$C$57</f>
        <v>0</v>
      </c>
      <c r="O1791" s="198">
        <f t="shared" si="202"/>
        <v>0</v>
      </c>
      <c r="P1791" s="198">
        <f>'02 项目基础信息（输入）'!$I$57</f>
        <v>0</v>
      </c>
      <c r="Q1791" s="233">
        <f t="shared" si="203"/>
        <v>0</v>
      </c>
      <c r="S1791" s="217"/>
      <c r="U1791" s="220" t="s">
        <v>3580</v>
      </c>
    </row>
    <row r="1792" spans="1:21" ht="0" hidden="1" customHeight="1" outlineLevel="3">
      <c r="A1792" s="192" t="s">
        <v>1962</v>
      </c>
      <c r="B1792" s="192"/>
      <c r="C1792" s="197" t="s">
        <v>1609</v>
      </c>
      <c r="D1792" s="198">
        <f>'02 项目基础信息（输入）'!$C$57</f>
        <v>0</v>
      </c>
      <c r="E1792" s="199" t="s">
        <v>93</v>
      </c>
      <c r="F1792" s="197" t="s">
        <v>1960</v>
      </c>
      <c r="G1792" s="82">
        <v>0</v>
      </c>
      <c r="H1792" s="199" t="s">
        <v>298</v>
      </c>
      <c r="I1792" s="198">
        <f>G1792*D1792</f>
        <v>0</v>
      </c>
      <c r="J1792" s="199" t="s">
        <v>93</v>
      </c>
      <c r="K1792" s="188">
        <v>0</v>
      </c>
      <c r="L1792" s="209" t="s">
        <v>675</v>
      </c>
      <c r="M1792" s="207">
        <f>ROUND(K1792*I1792/10000,6)</f>
        <v>0</v>
      </c>
      <c r="N1792" s="198">
        <f>'02 项目基础信息（输入）'!$C$57</f>
        <v>0</v>
      </c>
      <c r="O1792" s="198">
        <f t="shared" si="202"/>
        <v>0</v>
      </c>
      <c r="P1792" s="198">
        <f>'02 项目基础信息（输入）'!$I$57</f>
        <v>0</v>
      </c>
      <c r="Q1792" s="233">
        <f t="shared" si="203"/>
        <v>0</v>
      </c>
      <c r="S1792" s="217"/>
      <c r="U1792" s="220" t="s">
        <v>3581</v>
      </c>
    </row>
    <row r="1793" spans="1:21" ht="0" hidden="1" customHeight="1" outlineLevel="3">
      <c r="A1793" s="192" t="s">
        <v>1964</v>
      </c>
      <c r="B1793" s="192"/>
      <c r="C1793" s="197" t="s">
        <v>1609</v>
      </c>
      <c r="D1793" s="198">
        <f>'02 项目基础信息（输入）'!$C$57</f>
        <v>0</v>
      </c>
      <c r="E1793" s="199" t="s">
        <v>93</v>
      </c>
      <c r="F1793" s="197" t="s">
        <v>1960</v>
      </c>
      <c r="G1793" s="82">
        <v>0</v>
      </c>
      <c r="H1793" s="199" t="s">
        <v>298</v>
      </c>
      <c r="I1793" s="198">
        <f>G1793*D1793</f>
        <v>0</v>
      </c>
      <c r="J1793" s="199" t="s">
        <v>93</v>
      </c>
      <c r="K1793" s="188">
        <v>0</v>
      </c>
      <c r="L1793" s="209" t="s">
        <v>675</v>
      </c>
      <c r="M1793" s="207">
        <f>ROUND(K1793*I1793/10000,6)</f>
        <v>0</v>
      </c>
      <c r="N1793" s="198">
        <f>'02 项目基础信息（输入）'!$C$57</f>
        <v>0</v>
      </c>
      <c r="O1793" s="198">
        <f t="shared" si="202"/>
        <v>0</v>
      </c>
      <c r="P1793" s="198">
        <f>'02 项目基础信息（输入）'!$I$57</f>
        <v>0</v>
      </c>
      <c r="Q1793" s="233">
        <f t="shared" si="203"/>
        <v>0</v>
      </c>
      <c r="S1793" s="217"/>
      <c r="U1793" s="220" t="s">
        <v>3582</v>
      </c>
    </row>
    <row r="1794" spans="1:21" ht="0" hidden="1" customHeight="1" outlineLevel="3">
      <c r="A1794" s="192" t="s">
        <v>1966</v>
      </c>
      <c r="B1794" s="192"/>
      <c r="C1794" s="197" t="s">
        <v>1609</v>
      </c>
      <c r="D1794" s="198">
        <f>'02 项目基础信息（输入）'!$C$57</f>
        <v>0</v>
      </c>
      <c r="E1794" s="199" t="s">
        <v>93</v>
      </c>
      <c r="F1794" s="197" t="s">
        <v>1960</v>
      </c>
      <c r="G1794" s="82">
        <v>0</v>
      </c>
      <c r="H1794" s="199" t="s">
        <v>298</v>
      </c>
      <c r="I1794" s="198">
        <f>G1794*D1794</f>
        <v>0</v>
      </c>
      <c r="J1794" s="199" t="s">
        <v>93</v>
      </c>
      <c r="K1794" s="188">
        <v>0</v>
      </c>
      <c r="L1794" s="209" t="s">
        <v>675</v>
      </c>
      <c r="M1794" s="207">
        <f>ROUND(K1794*I1794/10000,6)</f>
        <v>0</v>
      </c>
      <c r="N1794" s="198">
        <f>'02 项目基础信息（输入）'!$C$57</f>
        <v>0</v>
      </c>
      <c r="O1794" s="198">
        <f t="shared" si="202"/>
        <v>0</v>
      </c>
      <c r="P1794" s="198">
        <f>'02 项目基础信息（输入）'!$I$57</f>
        <v>0</v>
      </c>
      <c r="Q1794" s="233">
        <f t="shared" si="203"/>
        <v>0</v>
      </c>
      <c r="S1794" s="217"/>
      <c r="U1794" s="220" t="s">
        <v>3583</v>
      </c>
    </row>
    <row r="1795" spans="1:21" ht="0" hidden="1" customHeight="1" outlineLevel="2">
      <c r="A1795" s="192" t="s">
        <v>1968</v>
      </c>
      <c r="B1795" s="192"/>
      <c r="C1795" s="197" t="s">
        <v>1609</v>
      </c>
      <c r="D1795" s="198">
        <f>'02 项目基础信息（输入）'!$C$57</f>
        <v>0</v>
      </c>
      <c r="E1795" s="199" t="s">
        <v>93</v>
      </c>
      <c r="F1795" s="197"/>
      <c r="G1795" s="199"/>
      <c r="H1795" s="199"/>
      <c r="I1795" s="197"/>
      <c r="J1795" s="199"/>
      <c r="K1795" s="198"/>
      <c r="L1795" s="209"/>
      <c r="M1795" s="198">
        <f>ROUND(SUM(M1796),6)</f>
        <v>0</v>
      </c>
      <c r="N1795" s="198">
        <f>'02 项目基础信息（输入）'!$C$57</f>
        <v>0</v>
      </c>
      <c r="O1795" s="198">
        <f t="shared" ref="O1795:O1858" si="208">ROUND(IFERROR(M1795*10000/N1795,0),2)</f>
        <v>0</v>
      </c>
      <c r="P1795" s="198">
        <f>'02 项目基础信息（输入）'!$I$57</f>
        <v>0</v>
      </c>
      <c r="Q1795" s="233">
        <f t="shared" ref="Q1795:Q1858" si="209">ROUND(IFERROR(M1795*10000/P1795,0),2)</f>
        <v>0</v>
      </c>
      <c r="S1795" s="217" t="s">
        <v>1313</v>
      </c>
      <c r="U1795" s="220" t="s">
        <v>3584</v>
      </c>
    </row>
    <row r="1796" spans="1:21" ht="0" hidden="1" customHeight="1" outlineLevel="3">
      <c r="A1796" s="192" t="s">
        <v>1970</v>
      </c>
      <c r="B1796" s="192"/>
      <c r="C1796" s="197" t="s">
        <v>1609</v>
      </c>
      <c r="D1796" s="198">
        <f>'02 项目基础信息（输入）'!$C$57</f>
        <v>0</v>
      </c>
      <c r="E1796" s="199" t="s">
        <v>93</v>
      </c>
      <c r="F1796" s="197" t="s">
        <v>1609</v>
      </c>
      <c r="G1796" s="199">
        <v>1</v>
      </c>
      <c r="H1796" s="199" t="s">
        <v>298</v>
      </c>
      <c r="I1796" s="198">
        <f>G1796*D1796</f>
        <v>0</v>
      </c>
      <c r="J1796" s="199" t="s">
        <v>93</v>
      </c>
      <c r="K1796" s="188">
        <v>0</v>
      </c>
      <c r="L1796" s="209" t="s">
        <v>675</v>
      </c>
      <c r="M1796" s="207">
        <f>ROUND(K1796*I1796/10000,6)</f>
        <v>0</v>
      </c>
      <c r="N1796" s="198">
        <f>'02 项目基础信息（输入）'!$C$57</f>
        <v>0</v>
      </c>
      <c r="O1796" s="198">
        <f t="shared" si="208"/>
        <v>0</v>
      </c>
      <c r="P1796" s="198">
        <f>'02 项目基础信息（输入）'!$I$57</f>
        <v>0</v>
      </c>
      <c r="Q1796" s="233">
        <f t="shared" si="209"/>
        <v>0</v>
      </c>
      <c r="S1796" s="217"/>
      <c r="U1796" s="220" t="s">
        <v>3585</v>
      </c>
    </row>
    <row r="1797" spans="1:21" ht="0" hidden="1" customHeight="1" outlineLevel="2">
      <c r="A1797" s="192" t="s">
        <v>1972</v>
      </c>
      <c r="B1797" s="192"/>
      <c r="C1797" s="197" t="s">
        <v>1609</v>
      </c>
      <c r="D1797" s="198">
        <f>'02 项目基础信息（输入）'!$C$57</f>
        <v>0</v>
      </c>
      <c r="E1797" s="199" t="s">
        <v>93</v>
      </c>
      <c r="F1797" s="197"/>
      <c r="G1797" s="199"/>
      <c r="H1797" s="199"/>
      <c r="I1797" s="197"/>
      <c r="J1797" s="199"/>
      <c r="K1797" s="198"/>
      <c r="L1797" s="209"/>
      <c r="M1797" s="198">
        <f>ROUND(SUM(M1798),6)</f>
        <v>0</v>
      </c>
      <c r="N1797" s="198">
        <f>'02 项目基础信息（输入）'!$C$57</f>
        <v>0</v>
      </c>
      <c r="O1797" s="198">
        <f t="shared" si="208"/>
        <v>0</v>
      </c>
      <c r="P1797" s="198">
        <f>'02 项目基础信息（输入）'!$I$57</f>
        <v>0</v>
      </c>
      <c r="Q1797" s="233">
        <f t="shared" si="209"/>
        <v>0</v>
      </c>
      <c r="S1797" s="217" t="s">
        <v>1313</v>
      </c>
      <c r="U1797" s="220" t="s">
        <v>3586</v>
      </c>
    </row>
    <row r="1798" spans="1:21" ht="0" hidden="1" customHeight="1" outlineLevel="3">
      <c r="A1798" s="192" t="s">
        <v>1974</v>
      </c>
      <c r="B1798" s="192"/>
      <c r="C1798" s="197" t="s">
        <v>1609</v>
      </c>
      <c r="D1798" s="198">
        <f>'02 项目基础信息（输入）'!$C$57</f>
        <v>0</v>
      </c>
      <c r="E1798" s="199" t="s">
        <v>93</v>
      </c>
      <c r="F1798" s="197" t="s">
        <v>1609</v>
      </c>
      <c r="G1798" s="199">
        <v>1</v>
      </c>
      <c r="H1798" s="199" t="s">
        <v>298</v>
      </c>
      <c r="I1798" s="198">
        <f>G1798*D1798</f>
        <v>0</v>
      </c>
      <c r="J1798" s="199" t="s">
        <v>93</v>
      </c>
      <c r="K1798" s="188">
        <v>0</v>
      </c>
      <c r="L1798" s="209" t="s">
        <v>675</v>
      </c>
      <c r="M1798" s="207">
        <f>ROUND(K1798*I1798/10000,6)</f>
        <v>0</v>
      </c>
      <c r="N1798" s="198">
        <f>'02 项目基础信息（输入）'!$C$57</f>
        <v>0</v>
      </c>
      <c r="O1798" s="198">
        <f t="shared" si="208"/>
        <v>0</v>
      </c>
      <c r="P1798" s="198">
        <f>'02 项目基础信息（输入）'!$I$57</f>
        <v>0</v>
      </c>
      <c r="Q1798" s="233">
        <f t="shared" si="209"/>
        <v>0</v>
      </c>
      <c r="S1798" s="217"/>
      <c r="U1798" s="220" t="s">
        <v>3587</v>
      </c>
    </row>
    <row r="1799" spans="1:21" ht="0" hidden="1" customHeight="1" outlineLevel="1" collapsed="1">
      <c r="A1799" s="192" t="s">
        <v>524</v>
      </c>
      <c r="B1799" s="192"/>
      <c r="C1799" s="197" t="s">
        <v>1609</v>
      </c>
      <c r="D1799" s="198">
        <f>'02 项目基础信息（输入）'!$C$60</f>
        <v>0</v>
      </c>
      <c r="E1799" s="199" t="s">
        <v>93</v>
      </c>
      <c r="F1799" s="197"/>
      <c r="G1799" s="199"/>
      <c r="H1799" s="199"/>
      <c r="I1799" s="197"/>
      <c r="J1799" s="199"/>
      <c r="K1799" s="197"/>
      <c r="L1799" s="209"/>
      <c r="M1799" s="198">
        <f>ROUND(M1800+M1822+M1825+M1838+M1841+M1844+M1863+M1875+M1877+M1883+M1889+M1894+M1911+M1916+M1938+M1940+M1944+M1946+M1948+M1954+M1961+M1963+M1965+M1969+M1971+M1973+M1977+M1979+M1981+M1982+M1983+M1988+M1990,6)</f>
        <v>0</v>
      </c>
      <c r="N1799" s="198">
        <f>'02 项目基础信息（输入）'!$C$60</f>
        <v>0</v>
      </c>
      <c r="O1799" s="198">
        <f t="shared" si="208"/>
        <v>0</v>
      </c>
      <c r="P1799" s="198">
        <f>'02 项目基础信息（输入）'!$I$60</f>
        <v>0</v>
      </c>
      <c r="Q1799" s="233">
        <f t="shared" si="209"/>
        <v>0</v>
      </c>
      <c r="S1799" s="217"/>
      <c r="U1799" s="220" t="s">
        <v>3588</v>
      </c>
    </row>
    <row r="1800" spans="1:21" ht="0" hidden="1" customHeight="1" outlineLevel="2">
      <c r="A1800" s="192" t="s">
        <v>1611</v>
      </c>
      <c r="B1800" s="192"/>
      <c r="C1800" s="197" t="s">
        <v>1609</v>
      </c>
      <c r="D1800" s="198">
        <f>'02 项目基础信息（输入）'!$C$60</f>
        <v>0</v>
      </c>
      <c r="E1800" s="199" t="s">
        <v>93</v>
      </c>
      <c r="F1800" s="197"/>
      <c r="G1800" s="199"/>
      <c r="H1800" s="199"/>
      <c r="I1800" s="197"/>
      <c r="J1800" s="199"/>
      <c r="K1800" s="197"/>
      <c r="L1800" s="209"/>
      <c r="M1800" s="198">
        <f>ROUND(M1801+M1804+M1805+M1810+M1811+M1817+M1818+M1821,6)</f>
        <v>0</v>
      </c>
      <c r="N1800" s="198">
        <f>'02 项目基础信息（输入）'!$C$60</f>
        <v>0</v>
      </c>
      <c r="O1800" s="198">
        <f t="shared" si="208"/>
        <v>0</v>
      </c>
      <c r="P1800" s="198">
        <f>'02 项目基础信息（输入）'!$I$60</f>
        <v>0</v>
      </c>
      <c r="Q1800" s="233">
        <f t="shared" si="209"/>
        <v>0</v>
      </c>
      <c r="S1800" s="217" t="s">
        <v>1313</v>
      </c>
      <c r="U1800" s="220" t="s">
        <v>3589</v>
      </c>
    </row>
    <row r="1801" spans="1:21" ht="0" hidden="1" customHeight="1" outlineLevel="3">
      <c r="A1801" s="192" t="s">
        <v>1613</v>
      </c>
      <c r="B1801" s="192"/>
      <c r="C1801" s="197"/>
      <c r="D1801" s="198">
        <f>'02 项目基础信息（输入）'!$C$60</f>
        <v>0</v>
      </c>
      <c r="E1801" s="199"/>
      <c r="F1801" s="197"/>
      <c r="G1801" s="199"/>
      <c r="H1801" s="199"/>
      <c r="I1801" s="197">
        <v>0</v>
      </c>
      <c r="J1801" s="199"/>
      <c r="K1801" s="197"/>
      <c r="L1801" s="209"/>
      <c r="M1801" s="198">
        <f>ROUND(SUM(M1802:M1803),6)</f>
        <v>0</v>
      </c>
      <c r="N1801" s="198">
        <f>'02 项目基础信息（输入）'!$C$60</f>
        <v>0</v>
      </c>
      <c r="O1801" s="198">
        <f t="shared" si="208"/>
        <v>0</v>
      </c>
      <c r="P1801" s="198">
        <f>'02 项目基础信息（输入）'!$I$60</f>
        <v>0</v>
      </c>
      <c r="Q1801" s="233">
        <f t="shared" si="209"/>
        <v>0</v>
      </c>
      <c r="S1801" s="217"/>
      <c r="U1801" s="220" t="s">
        <v>3590</v>
      </c>
    </row>
    <row r="1802" spans="1:21" ht="0" hidden="1" customHeight="1" outlineLevel="4">
      <c r="A1802" s="192" t="s">
        <v>1615</v>
      </c>
      <c r="B1802" s="192"/>
      <c r="C1802" s="197" t="s">
        <v>1609</v>
      </c>
      <c r="D1802" s="198">
        <f>'02 项目基础信息（输入）'!$C$60</f>
        <v>0</v>
      </c>
      <c r="E1802" s="199" t="s">
        <v>93</v>
      </c>
      <c r="F1802" s="197" t="s">
        <v>1616</v>
      </c>
      <c r="G1802" s="82">
        <v>0</v>
      </c>
      <c r="H1802" s="199" t="s">
        <v>966</v>
      </c>
      <c r="I1802" s="198">
        <f>G1802*D1802</f>
        <v>0</v>
      </c>
      <c r="J1802" s="199" t="s">
        <v>1617</v>
      </c>
      <c r="K1802" s="188">
        <v>0</v>
      </c>
      <c r="L1802" s="209" t="s">
        <v>664</v>
      </c>
      <c r="M1802" s="198">
        <f>ROUND(K1802*I1802/10000,6)</f>
        <v>0</v>
      </c>
      <c r="N1802" s="198">
        <f>'02 项目基础信息（输入）'!$C$60</f>
        <v>0</v>
      </c>
      <c r="O1802" s="198">
        <f t="shared" si="208"/>
        <v>0</v>
      </c>
      <c r="P1802" s="198">
        <f>'02 项目基础信息（输入）'!$I$60</f>
        <v>0</v>
      </c>
      <c r="Q1802" s="233">
        <f t="shared" si="209"/>
        <v>0</v>
      </c>
      <c r="S1802" s="217"/>
      <c r="U1802" s="220" t="s">
        <v>3591</v>
      </c>
    </row>
    <row r="1803" spans="1:21" ht="0" hidden="1" customHeight="1" outlineLevel="4">
      <c r="A1803" s="192" t="s">
        <v>1619</v>
      </c>
      <c r="B1803" s="192"/>
      <c r="C1803" s="197" t="s">
        <v>1609</v>
      </c>
      <c r="D1803" s="198">
        <f>'02 项目基础信息（输入）'!$C$60</f>
        <v>0</v>
      </c>
      <c r="E1803" s="199" t="s">
        <v>93</v>
      </c>
      <c r="F1803" s="197" t="s">
        <v>1616</v>
      </c>
      <c r="G1803" s="82">
        <v>0</v>
      </c>
      <c r="H1803" s="199" t="s">
        <v>966</v>
      </c>
      <c r="I1803" s="198">
        <f>G1803*D1803</f>
        <v>0</v>
      </c>
      <c r="J1803" s="199" t="s">
        <v>1617</v>
      </c>
      <c r="K1803" s="188">
        <v>0</v>
      </c>
      <c r="L1803" s="209" t="s">
        <v>664</v>
      </c>
      <c r="M1803" s="198">
        <f>ROUND(K1803*I1803/10000,6)</f>
        <v>0</v>
      </c>
      <c r="N1803" s="198">
        <f>'02 项目基础信息（输入）'!$C$60</f>
        <v>0</v>
      </c>
      <c r="O1803" s="198">
        <f t="shared" si="208"/>
        <v>0</v>
      </c>
      <c r="P1803" s="198">
        <f>'02 项目基础信息（输入）'!$I$60</f>
        <v>0</v>
      </c>
      <c r="Q1803" s="233">
        <f t="shared" si="209"/>
        <v>0</v>
      </c>
      <c r="S1803" s="217"/>
      <c r="U1803" s="220" t="s">
        <v>3592</v>
      </c>
    </row>
    <row r="1804" spans="1:21" ht="0" hidden="1" customHeight="1" outlineLevel="3">
      <c r="A1804" s="192" t="s">
        <v>1621</v>
      </c>
      <c r="B1804" s="192"/>
      <c r="C1804" s="197" t="s">
        <v>1609</v>
      </c>
      <c r="D1804" s="198">
        <f>'02 项目基础信息（输入）'!$C$60</f>
        <v>0</v>
      </c>
      <c r="E1804" s="199" t="s">
        <v>93</v>
      </c>
      <c r="F1804" s="197" t="s">
        <v>1622</v>
      </c>
      <c r="G1804" s="82">
        <v>0</v>
      </c>
      <c r="H1804" s="199" t="s">
        <v>298</v>
      </c>
      <c r="I1804" s="198">
        <f>G1804*D1804</f>
        <v>0</v>
      </c>
      <c r="J1804" s="199" t="s">
        <v>93</v>
      </c>
      <c r="K1804" s="188">
        <v>0</v>
      </c>
      <c r="L1804" s="209" t="s">
        <v>675</v>
      </c>
      <c r="M1804" s="198">
        <f>ROUND(K1804*I1804/10000,6)</f>
        <v>0</v>
      </c>
      <c r="N1804" s="198">
        <f>'02 项目基础信息（输入）'!$C$60</f>
        <v>0</v>
      </c>
      <c r="O1804" s="198">
        <f t="shared" si="208"/>
        <v>0</v>
      </c>
      <c r="P1804" s="198">
        <f>'02 项目基础信息（输入）'!$I$60</f>
        <v>0</v>
      </c>
      <c r="Q1804" s="233">
        <f t="shared" si="209"/>
        <v>0</v>
      </c>
      <c r="S1804" s="217"/>
      <c r="U1804" s="220" t="s">
        <v>3593</v>
      </c>
    </row>
    <row r="1805" spans="1:21" ht="0" hidden="1" customHeight="1" outlineLevel="3">
      <c r="A1805" s="192" t="s">
        <v>1624</v>
      </c>
      <c r="B1805" s="192"/>
      <c r="C1805" s="197"/>
      <c r="D1805" s="198">
        <f>'02 项目基础信息（输入）'!$C$60</f>
        <v>0</v>
      </c>
      <c r="E1805" s="199"/>
      <c r="F1805" s="197"/>
      <c r="G1805" s="199"/>
      <c r="H1805" s="199"/>
      <c r="I1805" s="197">
        <v>0</v>
      </c>
      <c r="J1805" s="199"/>
      <c r="K1805" s="198"/>
      <c r="L1805" s="209"/>
      <c r="M1805" s="198">
        <f>ROUND(SUM(M1806:M1809),6)</f>
        <v>0</v>
      </c>
      <c r="N1805" s="198">
        <f>'02 项目基础信息（输入）'!$C$60</f>
        <v>0</v>
      </c>
      <c r="O1805" s="198">
        <f t="shared" si="208"/>
        <v>0</v>
      </c>
      <c r="P1805" s="198">
        <f>'02 项目基础信息（输入）'!$I$60</f>
        <v>0</v>
      </c>
      <c r="Q1805" s="233">
        <f t="shared" si="209"/>
        <v>0</v>
      </c>
      <c r="S1805" s="217"/>
      <c r="U1805" s="220" t="s">
        <v>3594</v>
      </c>
    </row>
    <row r="1806" spans="1:21" ht="0" hidden="1" customHeight="1" outlineLevel="4">
      <c r="A1806" s="192" t="s">
        <v>1626</v>
      </c>
      <c r="B1806" s="192"/>
      <c r="C1806" s="197" t="s">
        <v>1609</v>
      </c>
      <c r="D1806" s="198">
        <f>'02 项目基础信息（输入）'!$C$60</f>
        <v>0</v>
      </c>
      <c r="E1806" s="199" t="s">
        <v>93</v>
      </c>
      <c r="F1806" s="197" t="s">
        <v>1627</v>
      </c>
      <c r="G1806" s="82">
        <v>0</v>
      </c>
      <c r="H1806" s="199" t="s">
        <v>976</v>
      </c>
      <c r="I1806" s="198">
        <f>G1806*D1806</f>
        <v>0</v>
      </c>
      <c r="J1806" s="199" t="s">
        <v>1511</v>
      </c>
      <c r="K1806" s="188">
        <v>0</v>
      </c>
      <c r="L1806" s="209" t="s">
        <v>671</v>
      </c>
      <c r="M1806" s="198">
        <f>ROUND(K1806*I1806/10000,6)</f>
        <v>0</v>
      </c>
      <c r="N1806" s="198">
        <f>'02 项目基础信息（输入）'!$C$60</f>
        <v>0</v>
      </c>
      <c r="O1806" s="198">
        <f t="shared" si="208"/>
        <v>0</v>
      </c>
      <c r="P1806" s="198">
        <f>'02 项目基础信息（输入）'!$I$60</f>
        <v>0</v>
      </c>
      <c r="Q1806" s="233">
        <f t="shared" si="209"/>
        <v>0</v>
      </c>
      <c r="S1806" s="217"/>
      <c r="U1806" s="220" t="s">
        <v>3595</v>
      </c>
    </row>
    <row r="1807" spans="1:21" ht="0" hidden="1" customHeight="1" outlineLevel="4">
      <c r="A1807" s="192" t="s">
        <v>1629</v>
      </c>
      <c r="B1807" s="192"/>
      <c r="C1807" s="197" t="s">
        <v>1609</v>
      </c>
      <c r="D1807" s="198">
        <f>'02 项目基础信息（输入）'!$C$60</f>
        <v>0</v>
      </c>
      <c r="E1807" s="199" t="s">
        <v>93</v>
      </c>
      <c r="F1807" s="197" t="s">
        <v>1627</v>
      </c>
      <c r="G1807" s="82">
        <v>0</v>
      </c>
      <c r="H1807" s="199" t="s">
        <v>976</v>
      </c>
      <c r="I1807" s="198">
        <f>G1807*D1807</f>
        <v>0</v>
      </c>
      <c r="J1807" s="199" t="s">
        <v>1511</v>
      </c>
      <c r="K1807" s="188">
        <v>0</v>
      </c>
      <c r="L1807" s="209" t="s">
        <v>671</v>
      </c>
      <c r="M1807" s="198">
        <f>ROUND(K1807*I1807/10000,6)</f>
        <v>0</v>
      </c>
      <c r="N1807" s="198">
        <f>'02 项目基础信息（输入）'!$C$60</f>
        <v>0</v>
      </c>
      <c r="O1807" s="198">
        <f t="shared" si="208"/>
        <v>0</v>
      </c>
      <c r="P1807" s="198">
        <f>'02 项目基础信息（输入）'!$I$60</f>
        <v>0</v>
      </c>
      <c r="Q1807" s="233">
        <f t="shared" si="209"/>
        <v>0</v>
      </c>
      <c r="S1807" s="217"/>
      <c r="U1807" s="220" t="s">
        <v>3596</v>
      </c>
    </row>
    <row r="1808" spans="1:21" ht="0" hidden="1" customHeight="1" outlineLevel="4">
      <c r="A1808" s="192" t="s">
        <v>1631</v>
      </c>
      <c r="B1808" s="192"/>
      <c r="C1808" s="197" t="s">
        <v>1609</v>
      </c>
      <c r="D1808" s="198">
        <f>'02 项目基础信息（输入）'!$C$60</f>
        <v>0</v>
      </c>
      <c r="E1808" s="199" t="s">
        <v>93</v>
      </c>
      <c r="F1808" s="197" t="s">
        <v>1632</v>
      </c>
      <c r="G1808" s="82">
        <v>0</v>
      </c>
      <c r="H1808" s="199" t="s">
        <v>976</v>
      </c>
      <c r="I1808" s="198">
        <f>G1808*D1808</f>
        <v>0</v>
      </c>
      <c r="J1808" s="199" t="s">
        <v>93</v>
      </c>
      <c r="K1808" s="188">
        <v>0</v>
      </c>
      <c r="L1808" s="209" t="s">
        <v>675</v>
      </c>
      <c r="M1808" s="198">
        <f>ROUND(K1808*I1808/10000,6)</f>
        <v>0</v>
      </c>
      <c r="N1808" s="198">
        <f>'02 项目基础信息（输入）'!$C$60</f>
        <v>0</v>
      </c>
      <c r="O1808" s="198">
        <f t="shared" si="208"/>
        <v>0</v>
      </c>
      <c r="P1808" s="198">
        <f>'02 项目基础信息（输入）'!$I$60</f>
        <v>0</v>
      </c>
      <c r="Q1808" s="233">
        <f t="shared" si="209"/>
        <v>0</v>
      </c>
      <c r="S1808" s="217"/>
      <c r="U1808" s="220" t="s">
        <v>3597</v>
      </c>
    </row>
    <row r="1809" spans="1:21" ht="0" hidden="1" customHeight="1" outlineLevel="4">
      <c r="A1809" s="192" t="s">
        <v>1634</v>
      </c>
      <c r="B1809" s="192"/>
      <c r="C1809" s="197" t="s">
        <v>1609</v>
      </c>
      <c r="D1809" s="198">
        <f>'02 项目基础信息（输入）'!$C$60</f>
        <v>0</v>
      </c>
      <c r="E1809" s="199" t="s">
        <v>93</v>
      </c>
      <c r="F1809" s="197" t="s">
        <v>1632</v>
      </c>
      <c r="G1809" s="82">
        <v>0</v>
      </c>
      <c r="H1809" s="199" t="s">
        <v>976</v>
      </c>
      <c r="I1809" s="198">
        <f>G1809*D1809</f>
        <v>0</v>
      </c>
      <c r="J1809" s="199" t="s">
        <v>93</v>
      </c>
      <c r="K1809" s="188">
        <v>0</v>
      </c>
      <c r="L1809" s="209" t="s">
        <v>675</v>
      </c>
      <c r="M1809" s="198">
        <f>ROUND(K1809*I1809/10000,6)</f>
        <v>0</v>
      </c>
      <c r="N1809" s="198">
        <f>'02 项目基础信息（输入）'!$C$60</f>
        <v>0</v>
      </c>
      <c r="O1809" s="198">
        <f t="shared" si="208"/>
        <v>0</v>
      </c>
      <c r="P1809" s="198">
        <f>'02 项目基础信息（输入）'!$I$60</f>
        <v>0</v>
      </c>
      <c r="Q1809" s="233">
        <f t="shared" si="209"/>
        <v>0</v>
      </c>
      <c r="S1809" s="217"/>
      <c r="U1809" s="220" t="s">
        <v>3598</v>
      </c>
    </row>
    <row r="1810" spans="1:21" ht="0" hidden="1" customHeight="1" outlineLevel="3">
      <c r="A1810" s="192" t="s">
        <v>1636</v>
      </c>
      <c r="B1810" s="192"/>
      <c r="C1810" s="197" t="s">
        <v>1609</v>
      </c>
      <c r="D1810" s="198">
        <f>'02 项目基础信息（输入）'!$C$60</f>
        <v>0</v>
      </c>
      <c r="E1810" s="199" t="s">
        <v>93</v>
      </c>
      <c r="F1810" s="197" t="s">
        <v>1637</v>
      </c>
      <c r="G1810" s="82">
        <v>0</v>
      </c>
      <c r="H1810" s="199" t="s">
        <v>976</v>
      </c>
      <c r="I1810" s="198">
        <f>G1810*D1810</f>
        <v>0</v>
      </c>
      <c r="J1810" s="199" t="s">
        <v>1511</v>
      </c>
      <c r="K1810" s="188">
        <v>0</v>
      </c>
      <c r="L1810" s="209" t="s">
        <v>671</v>
      </c>
      <c r="M1810" s="198">
        <f>ROUND(K1810*I1810/10000,6)</f>
        <v>0</v>
      </c>
      <c r="N1810" s="198">
        <f>'02 项目基础信息（输入）'!$C$60</f>
        <v>0</v>
      </c>
      <c r="O1810" s="198">
        <f t="shared" si="208"/>
        <v>0</v>
      </c>
      <c r="P1810" s="198">
        <f>'02 项目基础信息（输入）'!$I$60</f>
        <v>0</v>
      </c>
      <c r="Q1810" s="233">
        <f t="shared" si="209"/>
        <v>0</v>
      </c>
      <c r="S1810" s="217"/>
      <c r="U1810" s="220" t="s">
        <v>3599</v>
      </c>
    </row>
    <row r="1811" spans="1:21" ht="0" hidden="1" customHeight="1" outlineLevel="3">
      <c r="A1811" s="192" t="s">
        <v>1640</v>
      </c>
      <c r="B1811" s="192"/>
      <c r="C1811" s="197"/>
      <c r="D1811" s="198">
        <f>'02 项目基础信息（输入）'!$C$60</f>
        <v>0</v>
      </c>
      <c r="E1811" s="199"/>
      <c r="F1811" s="197"/>
      <c r="G1811" s="199"/>
      <c r="H1811" s="199"/>
      <c r="I1811" s="197">
        <v>0</v>
      </c>
      <c r="J1811" s="199"/>
      <c r="K1811" s="197"/>
      <c r="L1811" s="209"/>
      <c r="M1811" s="198">
        <f>ROUND(SUM(M1812:M1816),6)</f>
        <v>0</v>
      </c>
      <c r="N1811" s="198">
        <f>'02 项目基础信息（输入）'!$C$60</f>
        <v>0</v>
      </c>
      <c r="O1811" s="198">
        <f t="shared" si="208"/>
        <v>0</v>
      </c>
      <c r="P1811" s="198">
        <f>'02 项目基础信息（输入）'!$I$60</f>
        <v>0</v>
      </c>
      <c r="Q1811" s="233">
        <f t="shared" si="209"/>
        <v>0</v>
      </c>
      <c r="S1811" s="217"/>
      <c r="U1811" s="220" t="s">
        <v>3600</v>
      </c>
    </row>
    <row r="1812" spans="1:21" ht="0" hidden="1" customHeight="1" outlineLevel="4">
      <c r="A1812" s="192" t="s">
        <v>1642</v>
      </c>
      <c r="B1812" s="192"/>
      <c r="C1812" s="197" t="s">
        <v>1609</v>
      </c>
      <c r="D1812" s="198">
        <f>'02 项目基础信息（输入）'!$C$60</f>
        <v>0</v>
      </c>
      <c r="E1812" s="199" t="s">
        <v>93</v>
      </c>
      <c r="F1812" s="197" t="s">
        <v>1609</v>
      </c>
      <c r="G1812" s="199">
        <v>1</v>
      </c>
      <c r="H1812" s="199" t="s">
        <v>298</v>
      </c>
      <c r="I1812" s="198">
        <f t="shared" ref="I1812:I1817" si="210">G1812*D1812</f>
        <v>0</v>
      </c>
      <c r="J1812" s="199" t="s">
        <v>93</v>
      </c>
      <c r="K1812" s="188">
        <v>0</v>
      </c>
      <c r="L1812" s="209" t="s">
        <v>675</v>
      </c>
      <c r="M1812" s="198">
        <f t="shared" ref="M1812:M1817" si="211">ROUND(K1812*I1812/10000,6)</f>
        <v>0</v>
      </c>
      <c r="N1812" s="198">
        <f>'02 项目基础信息（输入）'!$C$60</f>
        <v>0</v>
      </c>
      <c r="O1812" s="198">
        <f t="shared" si="208"/>
        <v>0</v>
      </c>
      <c r="P1812" s="198">
        <f>'02 项目基础信息（输入）'!$I$60</f>
        <v>0</v>
      </c>
      <c r="Q1812" s="233">
        <f t="shared" si="209"/>
        <v>0</v>
      </c>
      <c r="S1812" s="217"/>
      <c r="U1812" s="220" t="s">
        <v>3601</v>
      </c>
    </row>
    <row r="1813" spans="1:21" ht="0" hidden="1" customHeight="1" outlineLevel="4">
      <c r="A1813" s="192" t="s">
        <v>1645</v>
      </c>
      <c r="B1813" s="192"/>
      <c r="C1813" s="197" t="s">
        <v>1609</v>
      </c>
      <c r="D1813" s="198">
        <f>'02 项目基础信息（输入）'!$C$60</f>
        <v>0</v>
      </c>
      <c r="E1813" s="199" t="s">
        <v>93</v>
      </c>
      <c r="F1813" s="197" t="s">
        <v>1609</v>
      </c>
      <c r="G1813" s="199">
        <v>1</v>
      </c>
      <c r="H1813" s="199" t="s">
        <v>298</v>
      </c>
      <c r="I1813" s="198">
        <f t="shared" si="210"/>
        <v>0</v>
      </c>
      <c r="J1813" s="199" t="s">
        <v>93</v>
      </c>
      <c r="K1813" s="188">
        <v>0</v>
      </c>
      <c r="L1813" s="209" t="s">
        <v>675</v>
      </c>
      <c r="M1813" s="198">
        <f t="shared" si="211"/>
        <v>0</v>
      </c>
      <c r="N1813" s="198">
        <f>'02 项目基础信息（输入）'!$C$60</f>
        <v>0</v>
      </c>
      <c r="O1813" s="198">
        <f t="shared" si="208"/>
        <v>0</v>
      </c>
      <c r="P1813" s="198">
        <f>'02 项目基础信息（输入）'!$I$60</f>
        <v>0</v>
      </c>
      <c r="Q1813" s="233">
        <f t="shared" si="209"/>
        <v>0</v>
      </c>
      <c r="S1813" s="217"/>
      <c r="U1813" s="220" t="s">
        <v>3602</v>
      </c>
    </row>
    <row r="1814" spans="1:21" ht="0" hidden="1" customHeight="1" outlineLevel="4">
      <c r="A1814" s="192" t="s">
        <v>1647</v>
      </c>
      <c r="B1814" s="192"/>
      <c r="C1814" s="197" t="s">
        <v>1609</v>
      </c>
      <c r="D1814" s="198">
        <f>'02 项目基础信息（输入）'!$C$60</f>
        <v>0</v>
      </c>
      <c r="E1814" s="199" t="s">
        <v>93</v>
      </c>
      <c r="F1814" s="197" t="s">
        <v>1648</v>
      </c>
      <c r="G1814" s="82">
        <v>0</v>
      </c>
      <c r="H1814" s="199" t="s">
        <v>298</v>
      </c>
      <c r="I1814" s="198">
        <f t="shared" si="210"/>
        <v>0</v>
      </c>
      <c r="J1814" s="199" t="s">
        <v>93</v>
      </c>
      <c r="K1814" s="188">
        <v>0</v>
      </c>
      <c r="L1814" s="209" t="s">
        <v>675</v>
      </c>
      <c r="M1814" s="198">
        <f t="shared" si="211"/>
        <v>0</v>
      </c>
      <c r="N1814" s="198">
        <f>'02 项目基础信息（输入）'!$C$60</f>
        <v>0</v>
      </c>
      <c r="O1814" s="198">
        <f t="shared" si="208"/>
        <v>0</v>
      </c>
      <c r="P1814" s="198">
        <f>'02 项目基础信息（输入）'!$I$60</f>
        <v>0</v>
      </c>
      <c r="Q1814" s="233">
        <f t="shared" si="209"/>
        <v>0</v>
      </c>
      <c r="S1814" s="217"/>
      <c r="U1814" s="220" t="s">
        <v>3603</v>
      </c>
    </row>
    <row r="1815" spans="1:21" ht="0" hidden="1" customHeight="1" outlineLevel="4">
      <c r="A1815" s="192" t="s">
        <v>1993</v>
      </c>
      <c r="B1815" s="192"/>
      <c r="C1815" s="197" t="s">
        <v>1609</v>
      </c>
      <c r="D1815" s="198">
        <f>'02 项目基础信息（输入）'!$C$60</f>
        <v>0</v>
      </c>
      <c r="E1815" s="199" t="s">
        <v>93</v>
      </c>
      <c r="F1815" s="197" t="s">
        <v>1648</v>
      </c>
      <c r="G1815" s="82">
        <v>0</v>
      </c>
      <c r="H1815" s="199" t="s">
        <v>298</v>
      </c>
      <c r="I1815" s="198">
        <f t="shared" si="210"/>
        <v>0</v>
      </c>
      <c r="J1815" s="199" t="s">
        <v>93</v>
      </c>
      <c r="K1815" s="188">
        <v>0</v>
      </c>
      <c r="L1815" s="209" t="s">
        <v>675</v>
      </c>
      <c r="M1815" s="198">
        <f t="shared" si="211"/>
        <v>0</v>
      </c>
      <c r="N1815" s="198">
        <f>'02 项目基础信息（输入）'!$C$60</f>
        <v>0</v>
      </c>
      <c r="O1815" s="198">
        <f t="shared" si="208"/>
        <v>0</v>
      </c>
      <c r="P1815" s="198">
        <f>'02 项目基础信息（输入）'!$I$60</f>
        <v>0</v>
      </c>
      <c r="Q1815" s="233">
        <f t="shared" si="209"/>
        <v>0</v>
      </c>
      <c r="S1815" s="217"/>
      <c r="U1815" s="220" t="s">
        <v>3604</v>
      </c>
    </row>
    <row r="1816" spans="1:21" ht="0" hidden="1" customHeight="1" outlineLevel="4">
      <c r="A1816" s="192" t="s">
        <v>1650</v>
      </c>
      <c r="B1816" s="192"/>
      <c r="C1816" s="197" t="s">
        <v>1609</v>
      </c>
      <c r="D1816" s="198">
        <f>'02 项目基础信息（输入）'!$C$60</f>
        <v>0</v>
      </c>
      <c r="E1816" s="199" t="s">
        <v>93</v>
      </c>
      <c r="F1816" s="197" t="s">
        <v>1648</v>
      </c>
      <c r="G1816" s="82">
        <v>0</v>
      </c>
      <c r="H1816" s="199" t="s">
        <v>298</v>
      </c>
      <c r="I1816" s="198">
        <f t="shared" si="210"/>
        <v>0</v>
      </c>
      <c r="J1816" s="199" t="s">
        <v>93</v>
      </c>
      <c r="K1816" s="188">
        <v>0</v>
      </c>
      <c r="L1816" s="209" t="s">
        <v>675</v>
      </c>
      <c r="M1816" s="198">
        <f t="shared" si="211"/>
        <v>0</v>
      </c>
      <c r="N1816" s="198">
        <f>'02 项目基础信息（输入）'!$C$60</f>
        <v>0</v>
      </c>
      <c r="O1816" s="198">
        <f t="shared" si="208"/>
        <v>0</v>
      </c>
      <c r="P1816" s="198">
        <f>'02 项目基础信息（输入）'!$I$60</f>
        <v>0</v>
      </c>
      <c r="Q1816" s="233">
        <f t="shared" si="209"/>
        <v>0</v>
      </c>
      <c r="S1816" s="217"/>
      <c r="U1816" s="220" t="s">
        <v>3605</v>
      </c>
    </row>
    <row r="1817" spans="1:21" ht="0" hidden="1" customHeight="1" outlineLevel="3">
      <c r="A1817" s="192" t="s">
        <v>1652</v>
      </c>
      <c r="B1817" s="192"/>
      <c r="C1817" s="197" t="s">
        <v>1609</v>
      </c>
      <c r="D1817" s="198">
        <f>'02 项目基础信息（输入）'!$C$60</f>
        <v>0</v>
      </c>
      <c r="E1817" s="199" t="s">
        <v>93</v>
      </c>
      <c r="F1817" s="197" t="s">
        <v>1648</v>
      </c>
      <c r="G1817" s="82">
        <v>0</v>
      </c>
      <c r="H1817" s="199" t="s">
        <v>298</v>
      </c>
      <c r="I1817" s="198">
        <f t="shared" si="210"/>
        <v>0</v>
      </c>
      <c r="J1817" s="199" t="s">
        <v>93</v>
      </c>
      <c r="K1817" s="188">
        <v>0</v>
      </c>
      <c r="L1817" s="209" t="s">
        <v>675</v>
      </c>
      <c r="M1817" s="198">
        <f t="shared" si="211"/>
        <v>0</v>
      </c>
      <c r="N1817" s="198">
        <f>'02 项目基础信息（输入）'!$C$60</f>
        <v>0</v>
      </c>
      <c r="O1817" s="198">
        <f t="shared" si="208"/>
        <v>0</v>
      </c>
      <c r="P1817" s="198">
        <f>'02 项目基础信息（输入）'!$I$60</f>
        <v>0</v>
      </c>
      <c r="Q1817" s="233">
        <f t="shared" si="209"/>
        <v>0</v>
      </c>
      <c r="S1817" s="217"/>
      <c r="U1817" s="220" t="s">
        <v>3606</v>
      </c>
    </row>
    <row r="1818" spans="1:21" ht="0" hidden="1" customHeight="1" outlineLevel="3">
      <c r="A1818" s="192" t="s">
        <v>1654</v>
      </c>
      <c r="B1818" s="192"/>
      <c r="C1818" s="197"/>
      <c r="D1818" s="198">
        <f>'02 项目基础信息（输入）'!$C$60</f>
        <v>0</v>
      </c>
      <c r="E1818" s="199"/>
      <c r="F1818" s="197"/>
      <c r="G1818" s="199"/>
      <c r="H1818" s="199"/>
      <c r="I1818" s="197">
        <v>0</v>
      </c>
      <c r="J1818" s="199"/>
      <c r="K1818" s="197"/>
      <c r="L1818" s="209"/>
      <c r="M1818" s="198">
        <f>ROUND(SUM(M1819:M1820),6)</f>
        <v>0</v>
      </c>
      <c r="N1818" s="198">
        <f>'02 项目基础信息（输入）'!$C$60</f>
        <v>0</v>
      </c>
      <c r="O1818" s="198">
        <f t="shared" si="208"/>
        <v>0</v>
      </c>
      <c r="P1818" s="198">
        <f>'02 项目基础信息（输入）'!$I$60</f>
        <v>0</v>
      </c>
      <c r="Q1818" s="233">
        <f t="shared" si="209"/>
        <v>0</v>
      </c>
      <c r="S1818" s="217"/>
      <c r="U1818" s="220" t="s">
        <v>3607</v>
      </c>
    </row>
    <row r="1819" spans="1:21" ht="0" hidden="1" customHeight="1" outlineLevel="4">
      <c r="A1819" s="192" t="s">
        <v>1656</v>
      </c>
      <c r="B1819" s="192"/>
      <c r="C1819" s="197" t="s">
        <v>1609</v>
      </c>
      <c r="D1819" s="198">
        <f>'02 项目基础信息（输入）'!$C$60</f>
        <v>0</v>
      </c>
      <c r="E1819" s="199" t="s">
        <v>93</v>
      </c>
      <c r="F1819" s="197" t="s">
        <v>1657</v>
      </c>
      <c r="G1819" s="82">
        <v>0</v>
      </c>
      <c r="H1819" s="199" t="s">
        <v>1998</v>
      </c>
      <c r="I1819" s="198">
        <f>G1819*D1819</f>
        <v>0</v>
      </c>
      <c r="J1819" s="199" t="s">
        <v>93</v>
      </c>
      <c r="K1819" s="188">
        <v>0</v>
      </c>
      <c r="L1819" s="209" t="s">
        <v>675</v>
      </c>
      <c r="M1819" s="198">
        <f>ROUND(K1819*I1819/10000,6)</f>
        <v>0</v>
      </c>
      <c r="N1819" s="198">
        <f>'02 项目基础信息（输入）'!$C$60</f>
        <v>0</v>
      </c>
      <c r="O1819" s="198">
        <f t="shared" si="208"/>
        <v>0</v>
      </c>
      <c r="P1819" s="198">
        <f>'02 项目基础信息（输入）'!$I$60</f>
        <v>0</v>
      </c>
      <c r="Q1819" s="233">
        <f t="shared" si="209"/>
        <v>0</v>
      </c>
      <c r="S1819" s="217"/>
      <c r="U1819" s="220" t="s">
        <v>3608</v>
      </c>
    </row>
    <row r="1820" spans="1:21" ht="0" hidden="1" customHeight="1" outlineLevel="4">
      <c r="A1820" s="192" t="s">
        <v>1661</v>
      </c>
      <c r="B1820" s="192"/>
      <c r="C1820" s="197" t="s">
        <v>1609</v>
      </c>
      <c r="D1820" s="198">
        <f>'02 项目基础信息（输入）'!$C$60</f>
        <v>0</v>
      </c>
      <c r="E1820" s="199" t="s">
        <v>93</v>
      </c>
      <c r="F1820" s="197" t="s">
        <v>1609</v>
      </c>
      <c r="G1820" s="199">
        <v>1</v>
      </c>
      <c r="H1820" s="199" t="s">
        <v>298</v>
      </c>
      <c r="I1820" s="198">
        <f>G1820*D1820</f>
        <v>0</v>
      </c>
      <c r="J1820" s="199" t="s">
        <v>93</v>
      </c>
      <c r="K1820" s="188">
        <v>0</v>
      </c>
      <c r="L1820" s="209" t="s">
        <v>675</v>
      </c>
      <c r="M1820" s="198">
        <f>ROUND(K1820*I1820/10000,6)</f>
        <v>0</v>
      </c>
      <c r="N1820" s="198">
        <f>'02 项目基础信息（输入）'!$C$60</f>
        <v>0</v>
      </c>
      <c r="O1820" s="198">
        <f t="shared" si="208"/>
        <v>0</v>
      </c>
      <c r="P1820" s="198">
        <f>'02 项目基础信息（输入）'!$I$60</f>
        <v>0</v>
      </c>
      <c r="Q1820" s="233">
        <f t="shared" si="209"/>
        <v>0</v>
      </c>
      <c r="S1820" s="217"/>
      <c r="U1820" s="220" t="s">
        <v>3609</v>
      </c>
    </row>
    <row r="1821" spans="1:21" ht="0" hidden="1" customHeight="1" outlineLevel="3">
      <c r="A1821" s="192" t="s">
        <v>1664</v>
      </c>
      <c r="B1821" s="192"/>
      <c r="C1821" s="197" t="s">
        <v>1665</v>
      </c>
      <c r="D1821" s="198">
        <f>SUM(M1801+M1804+M1805+M1810+M1811+M1817+M1818)*10000</f>
        <v>0</v>
      </c>
      <c r="E1821" s="199" t="s">
        <v>1666</v>
      </c>
      <c r="F1821" s="197" t="s">
        <v>1667</v>
      </c>
      <c r="G1821" s="226">
        <f>IFERROR(I1821/D1821*100,0)</f>
        <v>0</v>
      </c>
      <c r="H1821" s="195" t="s">
        <v>123</v>
      </c>
      <c r="I1821" s="194">
        <f>K1821*N1821</f>
        <v>0</v>
      </c>
      <c r="J1821" s="195" t="s">
        <v>1666</v>
      </c>
      <c r="K1821" s="188">
        <v>0</v>
      </c>
      <c r="L1821" s="230" t="s">
        <v>1669</v>
      </c>
      <c r="M1821" s="231">
        <f>ROUND(I1821/10000,6)</f>
        <v>0</v>
      </c>
      <c r="N1821" s="198">
        <f>'02 项目基础信息（输入）'!$C$60</f>
        <v>0</v>
      </c>
      <c r="O1821" s="198">
        <f t="shared" si="208"/>
        <v>0</v>
      </c>
      <c r="P1821" s="198">
        <f>'02 项目基础信息（输入）'!$I$60</f>
        <v>0</v>
      </c>
      <c r="Q1821" s="233">
        <f t="shared" si="209"/>
        <v>0</v>
      </c>
      <c r="S1821" s="217"/>
      <c r="U1821" s="220" t="s">
        <v>3610</v>
      </c>
    </row>
    <row r="1822" spans="1:21" ht="0" hidden="1" customHeight="1" outlineLevel="2">
      <c r="A1822" s="192" t="s">
        <v>1671</v>
      </c>
      <c r="B1822" s="192"/>
      <c r="C1822" s="197" t="s">
        <v>1609</v>
      </c>
      <c r="D1822" s="198">
        <f>'02 项目基础信息（输入）'!$C$60</f>
        <v>0</v>
      </c>
      <c r="E1822" s="199" t="s">
        <v>93</v>
      </c>
      <c r="F1822" s="197"/>
      <c r="G1822" s="199"/>
      <c r="H1822" s="199"/>
      <c r="I1822" s="197"/>
      <c r="J1822" s="199"/>
      <c r="K1822" s="197"/>
      <c r="L1822" s="209"/>
      <c r="M1822" s="198">
        <f>ROUND(SUM(M1823:M1824),6)</f>
        <v>0</v>
      </c>
      <c r="N1822" s="198">
        <f>'02 项目基础信息（输入）'!$C$60</f>
        <v>0</v>
      </c>
      <c r="O1822" s="198">
        <f t="shared" si="208"/>
        <v>0</v>
      </c>
      <c r="P1822" s="198">
        <f>'02 项目基础信息（输入）'!$I$60</f>
        <v>0</v>
      </c>
      <c r="Q1822" s="233">
        <f t="shared" si="209"/>
        <v>0</v>
      </c>
      <c r="S1822" s="217" t="s">
        <v>1313</v>
      </c>
      <c r="U1822" s="220" t="s">
        <v>3611</v>
      </c>
    </row>
    <row r="1823" spans="1:21" ht="0" hidden="1" customHeight="1" outlineLevel="3">
      <c r="A1823" s="192" t="s">
        <v>1673</v>
      </c>
      <c r="B1823" s="192"/>
      <c r="C1823" s="197" t="s">
        <v>1609</v>
      </c>
      <c r="D1823" s="198">
        <f>'02 项目基础信息（输入）'!$C$60</f>
        <v>0</v>
      </c>
      <c r="E1823" s="199" t="s">
        <v>93</v>
      </c>
      <c r="F1823" s="197" t="s">
        <v>705</v>
      </c>
      <c r="G1823" s="199">
        <v>0</v>
      </c>
      <c r="H1823" s="199" t="s">
        <v>298</v>
      </c>
      <c r="I1823" s="198">
        <f>G1823*D1823</f>
        <v>0</v>
      </c>
      <c r="J1823" s="199" t="s">
        <v>93</v>
      </c>
      <c r="K1823" s="207">
        <v>0</v>
      </c>
      <c r="L1823" s="209" t="s">
        <v>675</v>
      </c>
      <c r="M1823" s="207">
        <f>ROUND(K1823*I1823/10000,6)</f>
        <v>0</v>
      </c>
      <c r="N1823" s="198">
        <f>'02 项目基础信息（输入）'!$C$60</f>
        <v>0</v>
      </c>
      <c r="O1823" s="198">
        <f t="shared" si="208"/>
        <v>0</v>
      </c>
      <c r="P1823" s="198">
        <f>'02 项目基础信息（输入）'!$I$60</f>
        <v>0</v>
      </c>
      <c r="Q1823" s="233">
        <f t="shared" si="209"/>
        <v>0</v>
      </c>
      <c r="S1823" s="217"/>
      <c r="U1823" s="220" t="s">
        <v>3612</v>
      </c>
    </row>
    <row r="1824" spans="1:21" ht="0" hidden="1" customHeight="1" outlineLevel="3">
      <c r="A1824" s="192" t="s">
        <v>1676</v>
      </c>
      <c r="B1824" s="192"/>
      <c r="C1824" s="197" t="s">
        <v>1609</v>
      </c>
      <c r="D1824" s="198">
        <f>'02 项目基础信息（输入）'!$C$60</f>
        <v>0</v>
      </c>
      <c r="E1824" s="199" t="s">
        <v>93</v>
      </c>
      <c r="F1824" s="197" t="s">
        <v>705</v>
      </c>
      <c r="G1824" s="199">
        <v>0</v>
      </c>
      <c r="H1824" s="199" t="s">
        <v>298</v>
      </c>
      <c r="I1824" s="198">
        <f>G1824*D1824</f>
        <v>0</v>
      </c>
      <c r="J1824" s="199" t="s">
        <v>93</v>
      </c>
      <c r="K1824" s="207">
        <v>0</v>
      </c>
      <c r="L1824" s="209" t="s">
        <v>675</v>
      </c>
      <c r="M1824" s="207">
        <f>ROUND(K1824*I1824/10000,6)</f>
        <v>0</v>
      </c>
      <c r="N1824" s="198">
        <f>'02 项目基础信息（输入）'!$C$60</f>
        <v>0</v>
      </c>
      <c r="O1824" s="198">
        <f t="shared" si="208"/>
        <v>0</v>
      </c>
      <c r="P1824" s="198">
        <f>'02 项目基础信息（输入）'!$I$60</f>
        <v>0</v>
      </c>
      <c r="Q1824" s="233">
        <f t="shared" si="209"/>
        <v>0</v>
      </c>
      <c r="S1824" s="217"/>
      <c r="U1824" s="220" t="s">
        <v>3613</v>
      </c>
    </row>
    <row r="1825" spans="1:21" ht="0" hidden="1" customHeight="1" outlineLevel="2">
      <c r="A1825" s="192" t="s">
        <v>1679</v>
      </c>
      <c r="B1825" s="192"/>
      <c r="C1825" s="197" t="s">
        <v>1609</v>
      </c>
      <c r="D1825" s="198">
        <f>'02 项目基础信息（输入）'!$C$60</f>
        <v>0</v>
      </c>
      <c r="E1825" s="199" t="s">
        <v>93</v>
      </c>
      <c r="F1825" s="197"/>
      <c r="G1825" s="199"/>
      <c r="H1825" s="199"/>
      <c r="I1825" s="197"/>
      <c r="J1825" s="199"/>
      <c r="K1825" s="197"/>
      <c r="L1825" s="209"/>
      <c r="M1825" s="198">
        <f>ROUND(SUM(M1826:M1837),6)</f>
        <v>0</v>
      </c>
      <c r="N1825" s="198">
        <f>'02 项目基础信息（输入）'!$C$60</f>
        <v>0</v>
      </c>
      <c r="O1825" s="198">
        <f t="shared" si="208"/>
        <v>0</v>
      </c>
      <c r="P1825" s="198">
        <f>'02 项目基础信息（输入）'!$I$60</f>
        <v>0</v>
      </c>
      <c r="Q1825" s="233">
        <f t="shared" si="209"/>
        <v>0</v>
      </c>
      <c r="S1825" s="217" t="s">
        <v>1313</v>
      </c>
      <c r="U1825" s="220" t="s">
        <v>3614</v>
      </c>
    </row>
    <row r="1826" spans="1:21" ht="0" hidden="1" customHeight="1" outlineLevel="3">
      <c r="A1826" s="192" t="s">
        <v>1681</v>
      </c>
      <c r="B1826" s="192"/>
      <c r="C1826" s="197" t="s">
        <v>1609</v>
      </c>
      <c r="D1826" s="198">
        <f>'02 项目基础信息（输入）'!$C$60</f>
        <v>0</v>
      </c>
      <c r="E1826" s="199" t="s">
        <v>93</v>
      </c>
      <c r="F1826" s="197" t="s">
        <v>1682</v>
      </c>
      <c r="G1826" s="82">
        <v>0</v>
      </c>
      <c r="H1826" s="199" t="s">
        <v>298</v>
      </c>
      <c r="I1826" s="198">
        <f t="shared" ref="I1826:I1837" si="212">G1826*D1826</f>
        <v>0</v>
      </c>
      <c r="J1826" s="199" t="s">
        <v>93</v>
      </c>
      <c r="K1826" s="188">
        <v>0</v>
      </c>
      <c r="L1826" s="209" t="s">
        <v>675</v>
      </c>
      <c r="M1826" s="207">
        <f t="shared" ref="M1826:M1837" si="213">ROUND(K1826*I1826/10000,6)</f>
        <v>0</v>
      </c>
      <c r="N1826" s="198">
        <f>'02 项目基础信息（输入）'!$C$60</f>
        <v>0</v>
      </c>
      <c r="O1826" s="198">
        <f t="shared" si="208"/>
        <v>0</v>
      </c>
      <c r="P1826" s="198">
        <f>'02 项目基础信息（输入）'!$I$60</f>
        <v>0</v>
      </c>
      <c r="Q1826" s="233">
        <f t="shared" si="209"/>
        <v>0</v>
      </c>
      <c r="S1826" s="217"/>
      <c r="U1826" s="220" t="s">
        <v>3615</v>
      </c>
    </row>
    <row r="1827" spans="1:21" ht="0" hidden="1" customHeight="1" outlineLevel="3">
      <c r="A1827" s="192" t="s">
        <v>1684</v>
      </c>
      <c r="B1827" s="192"/>
      <c r="C1827" s="197" t="s">
        <v>1609</v>
      </c>
      <c r="D1827" s="198">
        <f>'02 项目基础信息（输入）'!$C$60</f>
        <v>0</v>
      </c>
      <c r="E1827" s="199" t="s">
        <v>93</v>
      </c>
      <c r="F1827" s="197" t="s">
        <v>1682</v>
      </c>
      <c r="G1827" s="82">
        <v>0</v>
      </c>
      <c r="H1827" s="199" t="s">
        <v>298</v>
      </c>
      <c r="I1827" s="198">
        <f t="shared" si="212"/>
        <v>0</v>
      </c>
      <c r="J1827" s="199" t="s">
        <v>93</v>
      </c>
      <c r="K1827" s="188">
        <v>0</v>
      </c>
      <c r="L1827" s="209" t="s">
        <v>675</v>
      </c>
      <c r="M1827" s="207">
        <f t="shared" si="213"/>
        <v>0</v>
      </c>
      <c r="N1827" s="198">
        <f>'02 项目基础信息（输入）'!$C$60</f>
        <v>0</v>
      </c>
      <c r="O1827" s="198">
        <f t="shared" si="208"/>
        <v>0</v>
      </c>
      <c r="P1827" s="198">
        <f>'02 项目基础信息（输入）'!$I$60</f>
        <v>0</v>
      </c>
      <c r="Q1827" s="233">
        <f t="shared" si="209"/>
        <v>0</v>
      </c>
      <c r="S1827" s="217"/>
      <c r="U1827" s="220" t="s">
        <v>3616</v>
      </c>
    </row>
    <row r="1828" spans="1:21" ht="0" hidden="1" customHeight="1" outlineLevel="3">
      <c r="A1828" s="192" t="s">
        <v>2008</v>
      </c>
      <c r="B1828" s="192"/>
      <c r="C1828" s="197" t="s">
        <v>1609</v>
      </c>
      <c r="D1828" s="198">
        <f>'02 项目基础信息（输入）'!$C$60</f>
        <v>0</v>
      </c>
      <c r="E1828" s="199" t="s">
        <v>93</v>
      </c>
      <c r="F1828" s="197" t="s">
        <v>1682</v>
      </c>
      <c r="G1828" s="82">
        <v>0</v>
      </c>
      <c r="H1828" s="199" t="s">
        <v>298</v>
      </c>
      <c r="I1828" s="198">
        <f t="shared" si="212"/>
        <v>0</v>
      </c>
      <c r="J1828" s="199" t="s">
        <v>93</v>
      </c>
      <c r="K1828" s="188">
        <v>0</v>
      </c>
      <c r="L1828" s="209" t="s">
        <v>675</v>
      </c>
      <c r="M1828" s="207">
        <f t="shared" si="213"/>
        <v>0</v>
      </c>
      <c r="N1828" s="198">
        <f>'02 项目基础信息（输入）'!$C$60</f>
        <v>0</v>
      </c>
      <c r="O1828" s="198">
        <f t="shared" si="208"/>
        <v>0</v>
      </c>
      <c r="P1828" s="198">
        <f>'02 项目基础信息（输入）'!$I$60</f>
        <v>0</v>
      </c>
      <c r="Q1828" s="233">
        <f t="shared" si="209"/>
        <v>0</v>
      </c>
      <c r="S1828" s="217"/>
      <c r="U1828" s="220" t="s">
        <v>3617</v>
      </c>
    </row>
    <row r="1829" spans="1:21" ht="0" hidden="1" customHeight="1" outlineLevel="3">
      <c r="A1829" s="192" t="s">
        <v>2010</v>
      </c>
      <c r="B1829" s="192"/>
      <c r="C1829" s="197" t="s">
        <v>1609</v>
      </c>
      <c r="D1829" s="198">
        <f>'02 项目基础信息（输入）'!$C$60</f>
        <v>0</v>
      </c>
      <c r="E1829" s="199" t="s">
        <v>93</v>
      </c>
      <c r="F1829" s="197" t="s">
        <v>1682</v>
      </c>
      <c r="G1829" s="82">
        <v>0</v>
      </c>
      <c r="H1829" s="199" t="s">
        <v>298</v>
      </c>
      <c r="I1829" s="198">
        <f t="shared" si="212"/>
        <v>0</v>
      </c>
      <c r="J1829" s="199" t="s">
        <v>93</v>
      </c>
      <c r="K1829" s="188">
        <v>0</v>
      </c>
      <c r="L1829" s="209" t="s">
        <v>675</v>
      </c>
      <c r="M1829" s="207">
        <f t="shared" si="213"/>
        <v>0</v>
      </c>
      <c r="N1829" s="198">
        <f>'02 项目基础信息（输入）'!$C$60</f>
        <v>0</v>
      </c>
      <c r="O1829" s="198">
        <f t="shared" si="208"/>
        <v>0</v>
      </c>
      <c r="P1829" s="198">
        <f>'02 项目基础信息（输入）'!$I$60</f>
        <v>0</v>
      </c>
      <c r="Q1829" s="233">
        <f t="shared" si="209"/>
        <v>0</v>
      </c>
      <c r="S1829" s="217"/>
      <c r="U1829" s="220" t="s">
        <v>3618</v>
      </c>
    </row>
    <row r="1830" spans="1:21" ht="0" hidden="1" customHeight="1" outlineLevel="3">
      <c r="A1830" s="192" t="s">
        <v>2012</v>
      </c>
      <c r="B1830" s="192"/>
      <c r="C1830" s="197" t="s">
        <v>474</v>
      </c>
      <c r="D1830" s="198">
        <f>'02 项目基础信息（输入）'!$AD$60</f>
        <v>0</v>
      </c>
      <c r="E1830" s="199" t="s">
        <v>400</v>
      </c>
      <c r="F1830" s="197" t="s">
        <v>1682</v>
      </c>
      <c r="G1830" s="82">
        <v>0</v>
      </c>
      <c r="H1830" s="199" t="s">
        <v>411</v>
      </c>
      <c r="I1830" s="198">
        <f t="shared" si="212"/>
        <v>0</v>
      </c>
      <c r="J1830" s="199" t="s">
        <v>93</v>
      </c>
      <c r="K1830" s="188">
        <v>0</v>
      </c>
      <c r="L1830" s="209" t="s">
        <v>675</v>
      </c>
      <c r="M1830" s="207">
        <f t="shared" si="213"/>
        <v>0</v>
      </c>
      <c r="N1830" s="198">
        <f>'02 项目基础信息（输入）'!$C$60</f>
        <v>0</v>
      </c>
      <c r="O1830" s="198">
        <f t="shared" si="208"/>
        <v>0</v>
      </c>
      <c r="P1830" s="198">
        <f>'02 项目基础信息（输入）'!$I$60</f>
        <v>0</v>
      </c>
      <c r="Q1830" s="233">
        <f t="shared" si="209"/>
        <v>0</v>
      </c>
      <c r="S1830" s="217"/>
      <c r="U1830" s="220" t="s">
        <v>3619</v>
      </c>
    </row>
    <row r="1831" spans="1:21" ht="0" hidden="1" customHeight="1" outlineLevel="3">
      <c r="A1831" s="192" t="s">
        <v>2014</v>
      </c>
      <c r="B1831" s="192"/>
      <c r="C1831" s="197" t="s">
        <v>474</v>
      </c>
      <c r="D1831" s="198">
        <f>'02 项目基础信息（输入）'!$AD$60</f>
        <v>0</v>
      </c>
      <c r="E1831" s="199" t="s">
        <v>400</v>
      </c>
      <c r="F1831" s="197" t="s">
        <v>1682</v>
      </c>
      <c r="G1831" s="82">
        <v>0</v>
      </c>
      <c r="H1831" s="199" t="s">
        <v>411</v>
      </c>
      <c r="I1831" s="198">
        <f t="shared" si="212"/>
        <v>0</v>
      </c>
      <c r="J1831" s="199" t="s">
        <v>93</v>
      </c>
      <c r="K1831" s="188">
        <v>0</v>
      </c>
      <c r="L1831" s="209" t="s">
        <v>675</v>
      </c>
      <c r="M1831" s="207">
        <f t="shared" si="213"/>
        <v>0</v>
      </c>
      <c r="N1831" s="198">
        <f>'02 项目基础信息（输入）'!$C$60</f>
        <v>0</v>
      </c>
      <c r="O1831" s="198">
        <f t="shared" si="208"/>
        <v>0</v>
      </c>
      <c r="P1831" s="198">
        <f>'02 项目基础信息（输入）'!$I$60</f>
        <v>0</v>
      </c>
      <c r="Q1831" s="233">
        <f t="shared" si="209"/>
        <v>0</v>
      </c>
      <c r="S1831" s="217"/>
      <c r="U1831" s="220" t="s">
        <v>3620</v>
      </c>
    </row>
    <row r="1832" spans="1:21" ht="0" hidden="1" customHeight="1" outlineLevel="3">
      <c r="A1832" s="192" t="s">
        <v>2016</v>
      </c>
      <c r="B1832" s="192"/>
      <c r="C1832" s="197" t="s">
        <v>1609</v>
      </c>
      <c r="D1832" s="198">
        <f>'02 项目基础信息（输入）'!$C$60</f>
        <v>0</v>
      </c>
      <c r="E1832" s="199" t="s">
        <v>93</v>
      </c>
      <c r="F1832" s="197" t="s">
        <v>1682</v>
      </c>
      <c r="G1832" s="82">
        <v>0</v>
      </c>
      <c r="H1832" s="199" t="s">
        <v>411</v>
      </c>
      <c r="I1832" s="198">
        <f t="shared" si="212"/>
        <v>0</v>
      </c>
      <c r="J1832" s="199" t="s">
        <v>93</v>
      </c>
      <c r="K1832" s="188">
        <v>0</v>
      </c>
      <c r="L1832" s="209" t="s">
        <v>675</v>
      </c>
      <c r="M1832" s="207">
        <f t="shared" si="213"/>
        <v>0</v>
      </c>
      <c r="N1832" s="198">
        <f>'02 项目基础信息（输入）'!$C$60</f>
        <v>0</v>
      </c>
      <c r="O1832" s="198">
        <f t="shared" si="208"/>
        <v>0</v>
      </c>
      <c r="P1832" s="198">
        <f>'02 项目基础信息（输入）'!$I$60</f>
        <v>0</v>
      </c>
      <c r="Q1832" s="233">
        <f t="shared" si="209"/>
        <v>0</v>
      </c>
      <c r="S1832" s="217"/>
      <c r="U1832" s="220" t="s">
        <v>3621</v>
      </c>
    </row>
    <row r="1833" spans="1:21" ht="0" hidden="1" customHeight="1" outlineLevel="3">
      <c r="A1833" s="192" t="s">
        <v>2018</v>
      </c>
      <c r="B1833" s="192"/>
      <c r="C1833" s="197" t="s">
        <v>1609</v>
      </c>
      <c r="D1833" s="198">
        <f>'02 项目基础信息（输入）'!$C$60</f>
        <v>0</v>
      </c>
      <c r="E1833" s="199" t="s">
        <v>93</v>
      </c>
      <c r="F1833" s="197" t="s">
        <v>1682</v>
      </c>
      <c r="G1833" s="82">
        <v>0</v>
      </c>
      <c r="H1833" s="199" t="s">
        <v>298</v>
      </c>
      <c r="I1833" s="198">
        <f t="shared" si="212"/>
        <v>0</v>
      </c>
      <c r="J1833" s="199" t="s">
        <v>93</v>
      </c>
      <c r="K1833" s="188">
        <v>0</v>
      </c>
      <c r="L1833" s="209" t="s">
        <v>675</v>
      </c>
      <c r="M1833" s="207">
        <f t="shared" si="213"/>
        <v>0</v>
      </c>
      <c r="N1833" s="198">
        <f>'02 项目基础信息（输入）'!$C$60</f>
        <v>0</v>
      </c>
      <c r="O1833" s="198">
        <f t="shared" si="208"/>
        <v>0</v>
      </c>
      <c r="P1833" s="198">
        <f>'02 项目基础信息（输入）'!$I$60</f>
        <v>0</v>
      </c>
      <c r="Q1833" s="233">
        <f t="shared" si="209"/>
        <v>0</v>
      </c>
      <c r="S1833" s="217"/>
      <c r="U1833" s="220" t="s">
        <v>3622</v>
      </c>
    </row>
    <row r="1834" spans="1:21" ht="0" hidden="1" customHeight="1" outlineLevel="3">
      <c r="A1834" s="192" t="s">
        <v>2020</v>
      </c>
      <c r="B1834" s="192"/>
      <c r="C1834" s="197" t="s">
        <v>1609</v>
      </c>
      <c r="D1834" s="198">
        <f>'02 项目基础信息（输入）'!$C$60</f>
        <v>0</v>
      </c>
      <c r="E1834" s="199" t="s">
        <v>93</v>
      </c>
      <c r="F1834" s="197" t="s">
        <v>1682</v>
      </c>
      <c r="G1834" s="82">
        <v>0</v>
      </c>
      <c r="H1834" s="199" t="s">
        <v>298</v>
      </c>
      <c r="I1834" s="198">
        <f t="shared" si="212"/>
        <v>0</v>
      </c>
      <c r="J1834" s="199" t="s">
        <v>93</v>
      </c>
      <c r="K1834" s="188">
        <v>0</v>
      </c>
      <c r="L1834" s="209" t="s">
        <v>675</v>
      </c>
      <c r="M1834" s="207">
        <f t="shared" si="213"/>
        <v>0</v>
      </c>
      <c r="N1834" s="198">
        <f>'02 项目基础信息（输入）'!$C$60</f>
        <v>0</v>
      </c>
      <c r="O1834" s="198">
        <f t="shared" si="208"/>
        <v>0</v>
      </c>
      <c r="P1834" s="198">
        <f>'02 项目基础信息（输入）'!$I$60</f>
        <v>0</v>
      </c>
      <c r="Q1834" s="233">
        <f t="shared" si="209"/>
        <v>0</v>
      </c>
      <c r="S1834" s="217"/>
      <c r="U1834" s="220" t="s">
        <v>3623</v>
      </c>
    </row>
    <row r="1835" spans="1:21" ht="0" hidden="1" customHeight="1" outlineLevel="3">
      <c r="A1835" s="192" t="s">
        <v>2022</v>
      </c>
      <c r="B1835" s="192"/>
      <c r="C1835" s="197" t="s">
        <v>1609</v>
      </c>
      <c r="D1835" s="198">
        <f>'02 项目基础信息（输入）'!$C$60</f>
        <v>0</v>
      </c>
      <c r="E1835" s="199" t="s">
        <v>93</v>
      </c>
      <c r="F1835" s="197" t="s">
        <v>1682</v>
      </c>
      <c r="G1835" s="82">
        <v>0</v>
      </c>
      <c r="H1835" s="199" t="s">
        <v>298</v>
      </c>
      <c r="I1835" s="198">
        <f t="shared" si="212"/>
        <v>0</v>
      </c>
      <c r="J1835" s="199" t="s">
        <v>93</v>
      </c>
      <c r="K1835" s="188">
        <v>0</v>
      </c>
      <c r="L1835" s="209" t="s">
        <v>675</v>
      </c>
      <c r="M1835" s="207">
        <f t="shared" si="213"/>
        <v>0</v>
      </c>
      <c r="N1835" s="198">
        <f>'02 项目基础信息（输入）'!$C$60</f>
        <v>0</v>
      </c>
      <c r="O1835" s="198">
        <f t="shared" si="208"/>
        <v>0</v>
      </c>
      <c r="P1835" s="198">
        <f>'02 项目基础信息（输入）'!$I$60</f>
        <v>0</v>
      </c>
      <c r="Q1835" s="233">
        <f t="shared" si="209"/>
        <v>0</v>
      </c>
      <c r="S1835" s="217"/>
      <c r="U1835" s="220" t="s">
        <v>3624</v>
      </c>
    </row>
    <row r="1836" spans="1:21" ht="0" hidden="1" customHeight="1" outlineLevel="3">
      <c r="A1836" s="192" t="s">
        <v>1694</v>
      </c>
      <c r="B1836" s="192"/>
      <c r="C1836" s="197" t="s">
        <v>1609</v>
      </c>
      <c r="D1836" s="198">
        <f>'02 项目基础信息（输入）'!$C$60</f>
        <v>0</v>
      </c>
      <c r="E1836" s="199" t="s">
        <v>93</v>
      </c>
      <c r="F1836" s="197" t="s">
        <v>1682</v>
      </c>
      <c r="G1836" s="82">
        <v>0</v>
      </c>
      <c r="H1836" s="199" t="s">
        <v>298</v>
      </c>
      <c r="I1836" s="198">
        <f t="shared" si="212"/>
        <v>0</v>
      </c>
      <c r="J1836" s="199" t="s">
        <v>93</v>
      </c>
      <c r="K1836" s="188">
        <v>0</v>
      </c>
      <c r="L1836" s="209" t="s">
        <v>675</v>
      </c>
      <c r="M1836" s="207">
        <f t="shared" si="213"/>
        <v>0</v>
      </c>
      <c r="N1836" s="198">
        <f>'02 项目基础信息（输入）'!$C$60</f>
        <v>0</v>
      </c>
      <c r="O1836" s="198">
        <f t="shared" si="208"/>
        <v>0</v>
      </c>
      <c r="P1836" s="198">
        <f>'02 项目基础信息（输入）'!$I$60</f>
        <v>0</v>
      </c>
      <c r="Q1836" s="233">
        <f t="shared" si="209"/>
        <v>0</v>
      </c>
      <c r="S1836" s="217"/>
      <c r="U1836" s="220" t="s">
        <v>3625</v>
      </c>
    </row>
    <row r="1837" spans="1:21" ht="0" hidden="1" customHeight="1" outlineLevel="3">
      <c r="A1837" s="192" t="s">
        <v>1696</v>
      </c>
      <c r="B1837" s="192"/>
      <c r="C1837" s="197" t="s">
        <v>1609</v>
      </c>
      <c r="D1837" s="198">
        <f>'02 项目基础信息（输入）'!$C$60</f>
        <v>0</v>
      </c>
      <c r="E1837" s="199" t="s">
        <v>93</v>
      </c>
      <c r="F1837" s="197" t="s">
        <v>1682</v>
      </c>
      <c r="G1837" s="82">
        <v>0</v>
      </c>
      <c r="H1837" s="199" t="s">
        <v>298</v>
      </c>
      <c r="I1837" s="198">
        <f t="shared" si="212"/>
        <v>0</v>
      </c>
      <c r="J1837" s="199" t="s">
        <v>93</v>
      </c>
      <c r="K1837" s="188">
        <v>0</v>
      </c>
      <c r="L1837" s="209" t="s">
        <v>675</v>
      </c>
      <c r="M1837" s="207">
        <f t="shared" si="213"/>
        <v>0</v>
      </c>
      <c r="N1837" s="198">
        <f>'02 项目基础信息（输入）'!$C$60</f>
        <v>0</v>
      </c>
      <c r="O1837" s="198">
        <f t="shared" si="208"/>
        <v>0</v>
      </c>
      <c r="P1837" s="198">
        <f>'02 项目基础信息（输入）'!$I$60</f>
        <v>0</v>
      </c>
      <c r="Q1837" s="233">
        <f t="shared" si="209"/>
        <v>0</v>
      </c>
      <c r="S1837" s="217"/>
      <c r="U1837" s="220" t="s">
        <v>3626</v>
      </c>
    </row>
    <row r="1838" spans="1:21" ht="0" hidden="1" customHeight="1" outlineLevel="2">
      <c r="A1838" s="192" t="s">
        <v>1698</v>
      </c>
      <c r="B1838" s="192"/>
      <c r="C1838" s="197" t="s">
        <v>1609</v>
      </c>
      <c r="D1838" s="198">
        <f>'02 项目基础信息（输入）'!$C$60</f>
        <v>0</v>
      </c>
      <c r="E1838" s="199" t="s">
        <v>93</v>
      </c>
      <c r="F1838" s="197"/>
      <c r="G1838" s="199"/>
      <c r="H1838" s="199"/>
      <c r="I1838" s="197"/>
      <c r="J1838" s="199"/>
      <c r="K1838" s="198"/>
      <c r="L1838" s="209"/>
      <c r="M1838" s="198">
        <f>ROUND(SUM(M1839:M1840),6)</f>
        <v>0</v>
      </c>
      <c r="N1838" s="198">
        <f>'02 项目基础信息（输入）'!$C$60</f>
        <v>0</v>
      </c>
      <c r="O1838" s="198">
        <f t="shared" si="208"/>
        <v>0</v>
      </c>
      <c r="P1838" s="198">
        <f>'02 项目基础信息（输入）'!$I$60</f>
        <v>0</v>
      </c>
      <c r="Q1838" s="233">
        <f t="shared" si="209"/>
        <v>0</v>
      </c>
      <c r="S1838" s="217" t="s">
        <v>1313</v>
      </c>
      <c r="U1838" s="220" t="s">
        <v>3627</v>
      </c>
    </row>
    <row r="1839" spans="1:21" ht="0" hidden="1" customHeight="1" outlineLevel="3">
      <c r="A1839" s="192" t="s">
        <v>1700</v>
      </c>
      <c r="B1839" s="192"/>
      <c r="C1839" s="197" t="s">
        <v>1609</v>
      </c>
      <c r="D1839" s="198">
        <f>'02 项目基础信息（输入）'!$C$60</f>
        <v>0</v>
      </c>
      <c r="E1839" s="199" t="s">
        <v>93</v>
      </c>
      <c r="F1839" s="197" t="s">
        <v>1701</v>
      </c>
      <c r="G1839" s="82">
        <v>0</v>
      </c>
      <c r="H1839" s="199" t="s">
        <v>298</v>
      </c>
      <c r="I1839" s="198">
        <f>G1839*D1839</f>
        <v>0</v>
      </c>
      <c r="J1839" s="199" t="s">
        <v>93</v>
      </c>
      <c r="K1839" s="188">
        <v>0</v>
      </c>
      <c r="L1839" s="209" t="s">
        <v>675</v>
      </c>
      <c r="M1839" s="207">
        <f>ROUND(K1839*I1839/10000,6)</f>
        <v>0</v>
      </c>
      <c r="N1839" s="198">
        <f>'02 项目基础信息（输入）'!$C$60</f>
        <v>0</v>
      </c>
      <c r="O1839" s="198">
        <f t="shared" si="208"/>
        <v>0</v>
      </c>
      <c r="P1839" s="198">
        <f>'02 项目基础信息（输入）'!$I$60</f>
        <v>0</v>
      </c>
      <c r="Q1839" s="233">
        <f t="shared" si="209"/>
        <v>0</v>
      </c>
      <c r="S1839" s="217"/>
      <c r="U1839" s="220" t="s">
        <v>3628</v>
      </c>
    </row>
    <row r="1840" spans="1:21" ht="0" hidden="1" customHeight="1" outlineLevel="3">
      <c r="A1840" s="192" t="s">
        <v>1703</v>
      </c>
      <c r="B1840" s="192"/>
      <c r="C1840" s="197" t="s">
        <v>1609</v>
      </c>
      <c r="D1840" s="198">
        <f>'02 项目基础信息（输入）'!$C$60</f>
        <v>0</v>
      </c>
      <c r="E1840" s="199" t="s">
        <v>93</v>
      </c>
      <c r="F1840" s="197" t="s">
        <v>1704</v>
      </c>
      <c r="G1840" s="82">
        <v>0</v>
      </c>
      <c r="H1840" s="199" t="s">
        <v>298</v>
      </c>
      <c r="I1840" s="198">
        <f>G1840*D1840</f>
        <v>0</v>
      </c>
      <c r="J1840" s="199" t="s">
        <v>93</v>
      </c>
      <c r="K1840" s="188">
        <v>0</v>
      </c>
      <c r="L1840" s="209" t="s">
        <v>675</v>
      </c>
      <c r="M1840" s="207">
        <f>ROUND(K1840*I1840/10000,6)</f>
        <v>0</v>
      </c>
      <c r="N1840" s="198">
        <f>'02 项目基础信息（输入）'!$C$60</f>
        <v>0</v>
      </c>
      <c r="O1840" s="198">
        <f t="shared" si="208"/>
        <v>0</v>
      </c>
      <c r="P1840" s="198">
        <f>'02 项目基础信息（输入）'!$I$60</f>
        <v>0</v>
      </c>
      <c r="Q1840" s="233">
        <f t="shared" si="209"/>
        <v>0</v>
      </c>
      <c r="S1840" s="217"/>
      <c r="U1840" s="220" t="s">
        <v>3629</v>
      </c>
    </row>
    <row r="1841" spans="1:21" ht="0" hidden="1" customHeight="1" outlineLevel="2">
      <c r="A1841" s="192" t="s">
        <v>1706</v>
      </c>
      <c r="B1841" s="192"/>
      <c r="C1841" s="197" t="s">
        <v>1609</v>
      </c>
      <c r="D1841" s="198">
        <f>'02 项目基础信息（输入）'!$C$60</f>
        <v>0</v>
      </c>
      <c r="E1841" s="199" t="s">
        <v>93</v>
      </c>
      <c r="F1841" s="197"/>
      <c r="G1841" s="199"/>
      <c r="H1841" s="199"/>
      <c r="I1841" s="197"/>
      <c r="J1841" s="199"/>
      <c r="K1841" s="198"/>
      <c r="L1841" s="209"/>
      <c r="M1841" s="198">
        <f>ROUND(SUM(M1842:M1843),6)</f>
        <v>0</v>
      </c>
      <c r="N1841" s="198">
        <f>'02 项目基础信息（输入）'!$C$60</f>
        <v>0</v>
      </c>
      <c r="O1841" s="198">
        <f t="shared" si="208"/>
        <v>0</v>
      </c>
      <c r="P1841" s="198">
        <f>'02 项目基础信息（输入）'!$I$60</f>
        <v>0</v>
      </c>
      <c r="Q1841" s="233">
        <f t="shared" si="209"/>
        <v>0</v>
      </c>
      <c r="S1841" s="217" t="s">
        <v>1313</v>
      </c>
      <c r="U1841" s="220" t="s">
        <v>3630</v>
      </c>
    </row>
    <row r="1842" spans="1:21" ht="0" hidden="1" customHeight="1" outlineLevel="3">
      <c r="A1842" s="192" t="s">
        <v>1708</v>
      </c>
      <c r="B1842" s="192"/>
      <c r="C1842" s="197" t="s">
        <v>1609</v>
      </c>
      <c r="D1842" s="198">
        <f>'02 项目基础信息（输入）'!$C$60</f>
        <v>0</v>
      </c>
      <c r="E1842" s="199" t="s">
        <v>93</v>
      </c>
      <c r="F1842" s="197" t="s">
        <v>1648</v>
      </c>
      <c r="G1842" s="82">
        <v>0</v>
      </c>
      <c r="H1842" s="199" t="s">
        <v>298</v>
      </c>
      <c r="I1842" s="198">
        <f>G1842*D1842</f>
        <v>0</v>
      </c>
      <c r="J1842" s="199" t="s">
        <v>93</v>
      </c>
      <c r="K1842" s="188">
        <v>0</v>
      </c>
      <c r="L1842" s="209" t="s">
        <v>675</v>
      </c>
      <c r="M1842" s="207">
        <f>ROUND(K1842*I1842/10000,6)</f>
        <v>0</v>
      </c>
      <c r="N1842" s="198">
        <f>'02 项目基础信息（输入）'!$C$60</f>
        <v>0</v>
      </c>
      <c r="O1842" s="198">
        <f t="shared" si="208"/>
        <v>0</v>
      </c>
      <c r="P1842" s="198">
        <f>'02 项目基础信息（输入）'!$I$60</f>
        <v>0</v>
      </c>
      <c r="Q1842" s="233">
        <f t="shared" si="209"/>
        <v>0</v>
      </c>
      <c r="S1842" s="217"/>
      <c r="U1842" s="220" t="s">
        <v>3631</v>
      </c>
    </row>
    <row r="1843" spans="1:21" ht="0" hidden="1" customHeight="1" outlineLevel="3">
      <c r="A1843" s="192" t="s">
        <v>1710</v>
      </c>
      <c r="B1843" s="192"/>
      <c r="C1843" s="197" t="s">
        <v>1609</v>
      </c>
      <c r="D1843" s="198">
        <f>'02 项目基础信息（输入）'!$C$60</f>
        <v>0</v>
      </c>
      <c r="E1843" s="199" t="s">
        <v>93</v>
      </c>
      <c r="F1843" s="197" t="s">
        <v>1648</v>
      </c>
      <c r="G1843" s="82">
        <v>0</v>
      </c>
      <c r="H1843" s="199" t="s">
        <v>298</v>
      </c>
      <c r="I1843" s="198">
        <f>G1843*D1843</f>
        <v>0</v>
      </c>
      <c r="J1843" s="199" t="s">
        <v>93</v>
      </c>
      <c r="K1843" s="188">
        <v>0</v>
      </c>
      <c r="L1843" s="209" t="s">
        <v>675</v>
      </c>
      <c r="M1843" s="207">
        <f>ROUND(K1843*I1843/10000,6)</f>
        <v>0</v>
      </c>
      <c r="N1843" s="198">
        <f>'02 项目基础信息（输入）'!$C$60</f>
        <v>0</v>
      </c>
      <c r="O1843" s="198">
        <f t="shared" si="208"/>
        <v>0</v>
      </c>
      <c r="P1843" s="198">
        <f>'02 项目基础信息（输入）'!$I$60</f>
        <v>0</v>
      </c>
      <c r="Q1843" s="233">
        <f t="shared" si="209"/>
        <v>0</v>
      </c>
      <c r="S1843" s="217"/>
      <c r="U1843" s="220" t="s">
        <v>3632</v>
      </c>
    </row>
    <row r="1844" spans="1:21" ht="0" hidden="1" customHeight="1" outlineLevel="2">
      <c r="A1844" s="192" t="s">
        <v>1712</v>
      </c>
      <c r="B1844" s="192"/>
      <c r="C1844" s="197" t="s">
        <v>1609</v>
      </c>
      <c r="D1844" s="198">
        <f>'02 项目基础信息（输入）'!$C$60</f>
        <v>0</v>
      </c>
      <c r="E1844" s="199" t="s">
        <v>93</v>
      </c>
      <c r="F1844" s="197"/>
      <c r="G1844" s="199"/>
      <c r="H1844" s="199"/>
      <c r="I1844" s="197"/>
      <c r="J1844" s="199"/>
      <c r="K1844" s="198"/>
      <c r="L1844" s="209"/>
      <c r="M1844" s="198">
        <f>ROUND(SUM(M1845:M1862),6)</f>
        <v>0</v>
      </c>
      <c r="N1844" s="198">
        <f>'02 项目基础信息（输入）'!$C$60</f>
        <v>0</v>
      </c>
      <c r="O1844" s="198">
        <f t="shared" si="208"/>
        <v>0</v>
      </c>
      <c r="P1844" s="198">
        <f>'02 项目基础信息（输入）'!$I$60</f>
        <v>0</v>
      </c>
      <c r="Q1844" s="233">
        <f t="shared" si="209"/>
        <v>0</v>
      </c>
      <c r="S1844" s="217" t="s">
        <v>1313</v>
      </c>
      <c r="U1844" s="220" t="s">
        <v>3633</v>
      </c>
    </row>
    <row r="1845" spans="1:21" ht="0" hidden="1" customHeight="1" outlineLevel="3">
      <c r="A1845" s="192" t="s">
        <v>1714</v>
      </c>
      <c r="B1845" s="192"/>
      <c r="C1845" s="197" t="s">
        <v>1609</v>
      </c>
      <c r="D1845" s="198">
        <f>'02 项目基础信息（输入）'!$C$60</f>
        <v>0</v>
      </c>
      <c r="E1845" s="199" t="s">
        <v>93</v>
      </c>
      <c r="F1845" s="197" t="s">
        <v>1609</v>
      </c>
      <c r="G1845" s="199">
        <v>1</v>
      </c>
      <c r="H1845" s="199" t="s">
        <v>298</v>
      </c>
      <c r="I1845" s="198">
        <f t="shared" ref="I1845:I1862" si="214">G1845*D1845</f>
        <v>0</v>
      </c>
      <c r="J1845" s="199" t="s">
        <v>93</v>
      </c>
      <c r="K1845" s="188">
        <v>0</v>
      </c>
      <c r="L1845" s="209" t="s">
        <v>675</v>
      </c>
      <c r="M1845" s="207">
        <f t="shared" ref="M1845:M1862" si="215">ROUND(K1845*I1845/10000,6)</f>
        <v>0</v>
      </c>
      <c r="N1845" s="198">
        <f>'02 项目基础信息（输入）'!$C$60</f>
        <v>0</v>
      </c>
      <c r="O1845" s="198">
        <f t="shared" si="208"/>
        <v>0</v>
      </c>
      <c r="P1845" s="198">
        <f>'02 项目基础信息（输入）'!$I$60</f>
        <v>0</v>
      </c>
      <c r="Q1845" s="233">
        <f t="shared" si="209"/>
        <v>0</v>
      </c>
      <c r="S1845" s="217"/>
      <c r="U1845" s="220" t="s">
        <v>3634</v>
      </c>
    </row>
    <row r="1846" spans="1:21" ht="0" hidden="1" customHeight="1" outlineLevel="3">
      <c r="A1846" s="192" t="s">
        <v>1717</v>
      </c>
      <c r="B1846" s="192"/>
      <c r="C1846" s="197" t="s">
        <v>1609</v>
      </c>
      <c r="D1846" s="198">
        <f>'02 项目基础信息（输入）'!$C$60</f>
        <v>0</v>
      </c>
      <c r="E1846" s="199" t="s">
        <v>93</v>
      </c>
      <c r="F1846" s="197" t="s">
        <v>1609</v>
      </c>
      <c r="G1846" s="199">
        <v>1</v>
      </c>
      <c r="H1846" s="199" t="s">
        <v>298</v>
      </c>
      <c r="I1846" s="198">
        <f t="shared" si="214"/>
        <v>0</v>
      </c>
      <c r="J1846" s="199" t="s">
        <v>93</v>
      </c>
      <c r="K1846" s="188">
        <v>0</v>
      </c>
      <c r="L1846" s="209" t="s">
        <v>675</v>
      </c>
      <c r="M1846" s="207">
        <f t="shared" si="215"/>
        <v>0</v>
      </c>
      <c r="N1846" s="198">
        <f>'02 项目基础信息（输入）'!$C$60</f>
        <v>0</v>
      </c>
      <c r="O1846" s="198">
        <f t="shared" si="208"/>
        <v>0</v>
      </c>
      <c r="P1846" s="198">
        <f>'02 项目基础信息（输入）'!$I$60</f>
        <v>0</v>
      </c>
      <c r="Q1846" s="233">
        <f t="shared" si="209"/>
        <v>0</v>
      </c>
      <c r="S1846" s="217"/>
      <c r="U1846" s="220" t="s">
        <v>3635</v>
      </c>
    </row>
    <row r="1847" spans="1:21" ht="0" hidden="1" customHeight="1" outlineLevel="3">
      <c r="A1847" s="192" t="s">
        <v>1719</v>
      </c>
      <c r="B1847" s="192"/>
      <c r="C1847" s="197" t="s">
        <v>1609</v>
      </c>
      <c r="D1847" s="198">
        <f>'02 项目基础信息（输入）'!$C$60</f>
        <v>0</v>
      </c>
      <c r="E1847" s="199" t="s">
        <v>93</v>
      </c>
      <c r="F1847" s="197" t="s">
        <v>1609</v>
      </c>
      <c r="G1847" s="199">
        <v>1</v>
      </c>
      <c r="H1847" s="199" t="s">
        <v>298</v>
      </c>
      <c r="I1847" s="198">
        <f t="shared" si="214"/>
        <v>0</v>
      </c>
      <c r="J1847" s="199" t="s">
        <v>93</v>
      </c>
      <c r="K1847" s="188">
        <v>0</v>
      </c>
      <c r="L1847" s="209" t="s">
        <v>675</v>
      </c>
      <c r="M1847" s="207">
        <f t="shared" si="215"/>
        <v>0</v>
      </c>
      <c r="N1847" s="198">
        <f>'02 项目基础信息（输入）'!$C$60</f>
        <v>0</v>
      </c>
      <c r="O1847" s="198">
        <f t="shared" si="208"/>
        <v>0</v>
      </c>
      <c r="P1847" s="198">
        <f>'02 项目基础信息（输入）'!$I$60</f>
        <v>0</v>
      </c>
      <c r="Q1847" s="233">
        <f t="shared" si="209"/>
        <v>0</v>
      </c>
      <c r="S1847" s="217"/>
      <c r="U1847" s="220" t="s">
        <v>3636</v>
      </c>
    </row>
    <row r="1848" spans="1:21" ht="0" hidden="1" customHeight="1" outlineLevel="3">
      <c r="A1848" s="192" t="s">
        <v>1721</v>
      </c>
      <c r="B1848" s="192"/>
      <c r="C1848" s="197" t="s">
        <v>1609</v>
      </c>
      <c r="D1848" s="198">
        <f>'02 项目基础信息（输入）'!$C$60</f>
        <v>0</v>
      </c>
      <c r="E1848" s="199" t="s">
        <v>93</v>
      </c>
      <c r="F1848" s="197" t="s">
        <v>1609</v>
      </c>
      <c r="G1848" s="199">
        <v>1</v>
      </c>
      <c r="H1848" s="199" t="s">
        <v>298</v>
      </c>
      <c r="I1848" s="198">
        <f t="shared" si="214"/>
        <v>0</v>
      </c>
      <c r="J1848" s="199" t="s">
        <v>93</v>
      </c>
      <c r="K1848" s="188">
        <v>0</v>
      </c>
      <c r="L1848" s="209" t="s">
        <v>675</v>
      </c>
      <c r="M1848" s="207">
        <f t="shared" si="215"/>
        <v>0</v>
      </c>
      <c r="N1848" s="198">
        <f>'02 项目基础信息（输入）'!$C$60</f>
        <v>0</v>
      </c>
      <c r="O1848" s="198">
        <f t="shared" si="208"/>
        <v>0</v>
      </c>
      <c r="P1848" s="198">
        <f>'02 项目基础信息（输入）'!$I$60</f>
        <v>0</v>
      </c>
      <c r="Q1848" s="233">
        <f t="shared" si="209"/>
        <v>0</v>
      </c>
      <c r="S1848" s="217"/>
      <c r="U1848" s="220" t="s">
        <v>3637</v>
      </c>
    </row>
    <row r="1849" spans="1:21" ht="0" hidden="1" customHeight="1" outlineLevel="3">
      <c r="A1849" s="192" t="s">
        <v>1723</v>
      </c>
      <c r="B1849" s="192"/>
      <c r="C1849" s="197" t="s">
        <v>1609</v>
      </c>
      <c r="D1849" s="198">
        <f>'02 项目基础信息（输入）'!$C$60</f>
        <v>0</v>
      </c>
      <c r="E1849" s="199" t="s">
        <v>93</v>
      </c>
      <c r="F1849" s="197" t="s">
        <v>1609</v>
      </c>
      <c r="G1849" s="199">
        <v>1</v>
      </c>
      <c r="H1849" s="199" t="s">
        <v>298</v>
      </c>
      <c r="I1849" s="198">
        <f t="shared" si="214"/>
        <v>0</v>
      </c>
      <c r="J1849" s="199" t="s">
        <v>93</v>
      </c>
      <c r="K1849" s="188">
        <v>0</v>
      </c>
      <c r="L1849" s="209" t="s">
        <v>675</v>
      </c>
      <c r="M1849" s="207">
        <f t="shared" si="215"/>
        <v>0</v>
      </c>
      <c r="N1849" s="198">
        <f>'02 项目基础信息（输入）'!$C$60</f>
        <v>0</v>
      </c>
      <c r="O1849" s="198">
        <f t="shared" si="208"/>
        <v>0</v>
      </c>
      <c r="P1849" s="198">
        <f>'02 项目基础信息（输入）'!$I$60</f>
        <v>0</v>
      </c>
      <c r="Q1849" s="233">
        <f t="shared" si="209"/>
        <v>0</v>
      </c>
      <c r="S1849" s="217"/>
      <c r="U1849" s="220" t="s">
        <v>3638</v>
      </c>
    </row>
    <row r="1850" spans="1:21" ht="0" hidden="1" customHeight="1" outlineLevel="3">
      <c r="A1850" s="192" t="s">
        <v>1725</v>
      </c>
      <c r="B1850" s="192"/>
      <c r="C1850" s="197" t="s">
        <v>1609</v>
      </c>
      <c r="D1850" s="198">
        <f>'02 项目基础信息（输入）'!$C$60</f>
        <v>0</v>
      </c>
      <c r="E1850" s="199" t="s">
        <v>93</v>
      </c>
      <c r="F1850" s="197" t="s">
        <v>1609</v>
      </c>
      <c r="G1850" s="199">
        <v>1</v>
      </c>
      <c r="H1850" s="199" t="s">
        <v>298</v>
      </c>
      <c r="I1850" s="198">
        <f t="shared" si="214"/>
        <v>0</v>
      </c>
      <c r="J1850" s="199" t="s">
        <v>93</v>
      </c>
      <c r="K1850" s="188">
        <v>0</v>
      </c>
      <c r="L1850" s="209" t="s">
        <v>675</v>
      </c>
      <c r="M1850" s="207">
        <f t="shared" si="215"/>
        <v>0</v>
      </c>
      <c r="N1850" s="198">
        <f>'02 项目基础信息（输入）'!$C$60</f>
        <v>0</v>
      </c>
      <c r="O1850" s="198">
        <f t="shared" si="208"/>
        <v>0</v>
      </c>
      <c r="P1850" s="198">
        <f>'02 项目基础信息（输入）'!$I$60</f>
        <v>0</v>
      </c>
      <c r="Q1850" s="233">
        <f t="shared" si="209"/>
        <v>0</v>
      </c>
      <c r="S1850" s="217"/>
      <c r="U1850" s="220" t="s">
        <v>3639</v>
      </c>
    </row>
    <row r="1851" spans="1:21" ht="0" hidden="1" customHeight="1" outlineLevel="3">
      <c r="A1851" s="192" t="s">
        <v>1727</v>
      </c>
      <c r="B1851" s="192"/>
      <c r="C1851" s="197" t="s">
        <v>1609</v>
      </c>
      <c r="D1851" s="198">
        <f>'02 项目基础信息（输入）'!$C$60</f>
        <v>0</v>
      </c>
      <c r="E1851" s="199" t="s">
        <v>93</v>
      </c>
      <c r="F1851" s="197" t="s">
        <v>1609</v>
      </c>
      <c r="G1851" s="199">
        <v>1</v>
      </c>
      <c r="H1851" s="199" t="s">
        <v>298</v>
      </c>
      <c r="I1851" s="198">
        <f t="shared" si="214"/>
        <v>0</v>
      </c>
      <c r="J1851" s="199" t="s">
        <v>93</v>
      </c>
      <c r="K1851" s="188">
        <v>0</v>
      </c>
      <c r="L1851" s="209" t="s">
        <v>675</v>
      </c>
      <c r="M1851" s="207">
        <f t="shared" si="215"/>
        <v>0</v>
      </c>
      <c r="N1851" s="198">
        <f>'02 项目基础信息（输入）'!$C$60</f>
        <v>0</v>
      </c>
      <c r="O1851" s="198">
        <f t="shared" si="208"/>
        <v>0</v>
      </c>
      <c r="P1851" s="198">
        <f>'02 项目基础信息（输入）'!$I$60</f>
        <v>0</v>
      </c>
      <c r="Q1851" s="233">
        <f t="shared" si="209"/>
        <v>0</v>
      </c>
      <c r="S1851" s="217"/>
      <c r="U1851" s="220" t="s">
        <v>3640</v>
      </c>
    </row>
    <row r="1852" spans="1:21" ht="0" hidden="1" customHeight="1" outlineLevel="3">
      <c r="A1852" s="192" t="s">
        <v>1729</v>
      </c>
      <c r="B1852" s="192"/>
      <c r="C1852" s="197" t="s">
        <v>1609</v>
      </c>
      <c r="D1852" s="198">
        <f>'02 项目基础信息（输入）'!$C$60</f>
        <v>0</v>
      </c>
      <c r="E1852" s="199" t="s">
        <v>93</v>
      </c>
      <c r="F1852" s="197" t="s">
        <v>1609</v>
      </c>
      <c r="G1852" s="199">
        <v>1</v>
      </c>
      <c r="H1852" s="199" t="s">
        <v>298</v>
      </c>
      <c r="I1852" s="198">
        <f t="shared" si="214"/>
        <v>0</v>
      </c>
      <c r="J1852" s="199" t="s">
        <v>93</v>
      </c>
      <c r="K1852" s="188">
        <v>0</v>
      </c>
      <c r="L1852" s="209" t="s">
        <v>675</v>
      </c>
      <c r="M1852" s="207">
        <f t="shared" si="215"/>
        <v>0</v>
      </c>
      <c r="N1852" s="198">
        <f>'02 项目基础信息（输入）'!$C$60</f>
        <v>0</v>
      </c>
      <c r="O1852" s="198">
        <f t="shared" si="208"/>
        <v>0</v>
      </c>
      <c r="P1852" s="198">
        <f>'02 项目基础信息（输入）'!$I$60</f>
        <v>0</v>
      </c>
      <c r="Q1852" s="233">
        <f t="shared" si="209"/>
        <v>0</v>
      </c>
      <c r="S1852" s="217"/>
      <c r="U1852" s="220" t="s">
        <v>3641</v>
      </c>
    </row>
    <row r="1853" spans="1:21" ht="0" hidden="1" customHeight="1" outlineLevel="3">
      <c r="A1853" s="192" t="s">
        <v>1731</v>
      </c>
      <c r="B1853" s="192"/>
      <c r="C1853" s="197" t="s">
        <v>1609</v>
      </c>
      <c r="D1853" s="198">
        <f>'02 项目基础信息（输入）'!$C$60</f>
        <v>0</v>
      </c>
      <c r="E1853" s="199" t="s">
        <v>93</v>
      </c>
      <c r="F1853" s="197" t="s">
        <v>1609</v>
      </c>
      <c r="G1853" s="199">
        <v>1</v>
      </c>
      <c r="H1853" s="199" t="s">
        <v>298</v>
      </c>
      <c r="I1853" s="198">
        <f t="shared" si="214"/>
        <v>0</v>
      </c>
      <c r="J1853" s="199" t="s">
        <v>93</v>
      </c>
      <c r="K1853" s="188">
        <v>0</v>
      </c>
      <c r="L1853" s="209" t="s">
        <v>675</v>
      </c>
      <c r="M1853" s="207">
        <f t="shared" si="215"/>
        <v>0</v>
      </c>
      <c r="N1853" s="198">
        <f>'02 项目基础信息（输入）'!$C$60</f>
        <v>0</v>
      </c>
      <c r="O1853" s="198">
        <f t="shared" si="208"/>
        <v>0</v>
      </c>
      <c r="P1853" s="198">
        <f>'02 项目基础信息（输入）'!$I$60</f>
        <v>0</v>
      </c>
      <c r="Q1853" s="233">
        <f t="shared" si="209"/>
        <v>0</v>
      </c>
      <c r="S1853" s="217"/>
      <c r="U1853" s="220" t="s">
        <v>3642</v>
      </c>
    </row>
    <row r="1854" spans="1:21" ht="0" hidden="1" customHeight="1" outlineLevel="3">
      <c r="A1854" s="192" t="s">
        <v>1733</v>
      </c>
      <c r="B1854" s="192"/>
      <c r="C1854" s="197" t="s">
        <v>1609</v>
      </c>
      <c r="D1854" s="198">
        <f>'02 项目基础信息（输入）'!$C$60</f>
        <v>0</v>
      </c>
      <c r="E1854" s="199" t="s">
        <v>93</v>
      </c>
      <c r="F1854" s="197" t="s">
        <v>1609</v>
      </c>
      <c r="G1854" s="199">
        <v>1</v>
      </c>
      <c r="H1854" s="199" t="s">
        <v>298</v>
      </c>
      <c r="I1854" s="198">
        <f t="shared" si="214"/>
        <v>0</v>
      </c>
      <c r="J1854" s="199" t="s">
        <v>93</v>
      </c>
      <c r="K1854" s="188">
        <v>0</v>
      </c>
      <c r="L1854" s="209" t="s">
        <v>675</v>
      </c>
      <c r="M1854" s="207">
        <f t="shared" si="215"/>
        <v>0</v>
      </c>
      <c r="N1854" s="198">
        <f>'02 项目基础信息（输入）'!$C$60</f>
        <v>0</v>
      </c>
      <c r="O1854" s="198">
        <f t="shared" si="208"/>
        <v>0</v>
      </c>
      <c r="P1854" s="198">
        <f>'02 项目基础信息（输入）'!$I$60</f>
        <v>0</v>
      </c>
      <c r="Q1854" s="233">
        <f t="shared" si="209"/>
        <v>0</v>
      </c>
      <c r="S1854" s="217"/>
      <c r="U1854" s="220" t="s">
        <v>3643</v>
      </c>
    </row>
    <row r="1855" spans="1:21" ht="0" hidden="1" customHeight="1" outlineLevel="3">
      <c r="A1855" s="192" t="s">
        <v>1735</v>
      </c>
      <c r="B1855" s="192"/>
      <c r="C1855" s="197" t="s">
        <v>1609</v>
      </c>
      <c r="D1855" s="198">
        <f>'02 项目基础信息（输入）'!$C$60</f>
        <v>0</v>
      </c>
      <c r="E1855" s="199" t="s">
        <v>93</v>
      </c>
      <c r="F1855" s="197" t="s">
        <v>1609</v>
      </c>
      <c r="G1855" s="199">
        <v>1</v>
      </c>
      <c r="H1855" s="199" t="s">
        <v>298</v>
      </c>
      <c r="I1855" s="198">
        <f t="shared" si="214"/>
        <v>0</v>
      </c>
      <c r="J1855" s="199" t="s">
        <v>93</v>
      </c>
      <c r="K1855" s="188">
        <v>0</v>
      </c>
      <c r="L1855" s="209" t="s">
        <v>675</v>
      </c>
      <c r="M1855" s="207">
        <f t="shared" si="215"/>
        <v>0</v>
      </c>
      <c r="N1855" s="198">
        <f>'02 项目基础信息（输入）'!$C$60</f>
        <v>0</v>
      </c>
      <c r="O1855" s="198">
        <f t="shared" si="208"/>
        <v>0</v>
      </c>
      <c r="P1855" s="198">
        <f>'02 项目基础信息（输入）'!$I$60</f>
        <v>0</v>
      </c>
      <c r="Q1855" s="233">
        <f t="shared" si="209"/>
        <v>0</v>
      </c>
      <c r="S1855" s="217"/>
      <c r="U1855" s="220" t="s">
        <v>3644</v>
      </c>
    </row>
    <row r="1856" spans="1:21" ht="0" hidden="1" customHeight="1" outlineLevel="3">
      <c r="A1856" s="192" t="s">
        <v>1737</v>
      </c>
      <c r="B1856" s="192"/>
      <c r="C1856" s="197" t="s">
        <v>1609</v>
      </c>
      <c r="D1856" s="198">
        <f>'02 项目基础信息（输入）'!$C$60</f>
        <v>0</v>
      </c>
      <c r="E1856" s="199" t="s">
        <v>93</v>
      </c>
      <c r="F1856" s="197" t="s">
        <v>1609</v>
      </c>
      <c r="G1856" s="199">
        <v>1</v>
      </c>
      <c r="H1856" s="199" t="s">
        <v>298</v>
      </c>
      <c r="I1856" s="198">
        <f t="shared" si="214"/>
        <v>0</v>
      </c>
      <c r="J1856" s="199" t="s">
        <v>93</v>
      </c>
      <c r="K1856" s="188">
        <v>0</v>
      </c>
      <c r="L1856" s="209" t="s">
        <v>675</v>
      </c>
      <c r="M1856" s="207">
        <f t="shared" si="215"/>
        <v>0</v>
      </c>
      <c r="N1856" s="198">
        <f>'02 项目基础信息（输入）'!$C$60</f>
        <v>0</v>
      </c>
      <c r="O1856" s="198">
        <f t="shared" si="208"/>
        <v>0</v>
      </c>
      <c r="P1856" s="198">
        <f>'02 项目基础信息（输入）'!$I$60</f>
        <v>0</v>
      </c>
      <c r="Q1856" s="233">
        <f t="shared" si="209"/>
        <v>0</v>
      </c>
      <c r="S1856" s="217"/>
      <c r="U1856" s="220" t="s">
        <v>3645</v>
      </c>
    </row>
    <row r="1857" spans="1:21" ht="0" hidden="1" customHeight="1" outlineLevel="3">
      <c r="A1857" s="192" t="s">
        <v>1739</v>
      </c>
      <c r="B1857" s="192"/>
      <c r="C1857" s="197" t="s">
        <v>1609</v>
      </c>
      <c r="D1857" s="198">
        <f>'02 项目基础信息（输入）'!$C$60</f>
        <v>0</v>
      </c>
      <c r="E1857" s="199" t="s">
        <v>93</v>
      </c>
      <c r="F1857" s="197" t="s">
        <v>1609</v>
      </c>
      <c r="G1857" s="199">
        <v>1</v>
      </c>
      <c r="H1857" s="199" t="s">
        <v>298</v>
      </c>
      <c r="I1857" s="198">
        <f t="shared" si="214"/>
        <v>0</v>
      </c>
      <c r="J1857" s="199" t="s">
        <v>93</v>
      </c>
      <c r="K1857" s="188">
        <v>0</v>
      </c>
      <c r="L1857" s="209" t="s">
        <v>675</v>
      </c>
      <c r="M1857" s="207">
        <f t="shared" si="215"/>
        <v>0</v>
      </c>
      <c r="N1857" s="198">
        <f>'02 项目基础信息（输入）'!$C$60</f>
        <v>0</v>
      </c>
      <c r="O1857" s="198">
        <f t="shared" si="208"/>
        <v>0</v>
      </c>
      <c r="P1857" s="198">
        <f>'02 项目基础信息（输入）'!$I$60</f>
        <v>0</v>
      </c>
      <c r="Q1857" s="233">
        <f t="shared" si="209"/>
        <v>0</v>
      </c>
      <c r="S1857" s="217"/>
      <c r="U1857" s="220" t="s">
        <v>3646</v>
      </c>
    </row>
    <row r="1858" spans="1:21" ht="0" hidden="1" customHeight="1" outlineLevel="3">
      <c r="A1858" s="192" t="s">
        <v>1741</v>
      </c>
      <c r="B1858" s="192"/>
      <c r="C1858" s="197" t="s">
        <v>1609</v>
      </c>
      <c r="D1858" s="198">
        <f>'02 项目基础信息（输入）'!$C$60</f>
        <v>0</v>
      </c>
      <c r="E1858" s="199" t="s">
        <v>93</v>
      </c>
      <c r="F1858" s="197" t="s">
        <v>1609</v>
      </c>
      <c r="G1858" s="199">
        <v>1</v>
      </c>
      <c r="H1858" s="199" t="s">
        <v>298</v>
      </c>
      <c r="I1858" s="198">
        <f t="shared" si="214"/>
        <v>0</v>
      </c>
      <c r="J1858" s="199" t="s">
        <v>93</v>
      </c>
      <c r="K1858" s="188">
        <v>0</v>
      </c>
      <c r="L1858" s="209" t="s">
        <v>675</v>
      </c>
      <c r="M1858" s="207">
        <f t="shared" si="215"/>
        <v>0</v>
      </c>
      <c r="N1858" s="198">
        <f>'02 项目基础信息（输入）'!$C$60</f>
        <v>0</v>
      </c>
      <c r="O1858" s="198">
        <f t="shared" si="208"/>
        <v>0</v>
      </c>
      <c r="P1858" s="198">
        <f>'02 项目基础信息（输入）'!$I$60</f>
        <v>0</v>
      </c>
      <c r="Q1858" s="233">
        <f t="shared" si="209"/>
        <v>0</v>
      </c>
      <c r="S1858" s="217"/>
      <c r="U1858" s="220" t="s">
        <v>3647</v>
      </c>
    </row>
    <row r="1859" spans="1:21" ht="0" hidden="1" customHeight="1" outlineLevel="3">
      <c r="A1859" s="192" t="s">
        <v>1743</v>
      </c>
      <c r="B1859" s="192"/>
      <c r="C1859" s="197" t="s">
        <v>1609</v>
      </c>
      <c r="D1859" s="198">
        <f>'02 项目基础信息（输入）'!$C$60</f>
        <v>0</v>
      </c>
      <c r="E1859" s="199" t="s">
        <v>93</v>
      </c>
      <c r="F1859" s="197" t="s">
        <v>1609</v>
      </c>
      <c r="G1859" s="199">
        <v>1</v>
      </c>
      <c r="H1859" s="199" t="s">
        <v>298</v>
      </c>
      <c r="I1859" s="198">
        <f t="shared" si="214"/>
        <v>0</v>
      </c>
      <c r="J1859" s="199" t="s">
        <v>93</v>
      </c>
      <c r="K1859" s="188">
        <v>0</v>
      </c>
      <c r="L1859" s="209" t="s">
        <v>675</v>
      </c>
      <c r="M1859" s="207">
        <f t="shared" si="215"/>
        <v>0</v>
      </c>
      <c r="N1859" s="198">
        <f>'02 项目基础信息（输入）'!$C$60</f>
        <v>0</v>
      </c>
      <c r="O1859" s="198">
        <f t="shared" ref="O1859:O1922" si="216">ROUND(IFERROR(M1859*10000/N1859,0),2)</f>
        <v>0</v>
      </c>
      <c r="P1859" s="198">
        <f>'02 项目基础信息（输入）'!$I$60</f>
        <v>0</v>
      </c>
      <c r="Q1859" s="233">
        <f t="shared" ref="Q1859:Q1922" si="217">ROUND(IFERROR(M1859*10000/P1859,0),2)</f>
        <v>0</v>
      </c>
      <c r="S1859" s="217"/>
      <c r="U1859" s="220" t="s">
        <v>3648</v>
      </c>
    </row>
    <row r="1860" spans="1:21" ht="0" hidden="1" customHeight="1" outlineLevel="3">
      <c r="A1860" s="192" t="s">
        <v>1745</v>
      </c>
      <c r="B1860" s="192"/>
      <c r="C1860" s="197" t="s">
        <v>1609</v>
      </c>
      <c r="D1860" s="198">
        <f>'02 项目基础信息（输入）'!$C$60</f>
        <v>0</v>
      </c>
      <c r="E1860" s="199" t="s">
        <v>93</v>
      </c>
      <c r="F1860" s="197" t="s">
        <v>1609</v>
      </c>
      <c r="G1860" s="199">
        <v>1</v>
      </c>
      <c r="H1860" s="199" t="s">
        <v>298</v>
      </c>
      <c r="I1860" s="198">
        <f t="shared" si="214"/>
        <v>0</v>
      </c>
      <c r="J1860" s="199" t="s">
        <v>93</v>
      </c>
      <c r="K1860" s="188">
        <v>0</v>
      </c>
      <c r="L1860" s="209" t="s">
        <v>675</v>
      </c>
      <c r="M1860" s="207">
        <f t="shared" si="215"/>
        <v>0</v>
      </c>
      <c r="N1860" s="198">
        <f>'02 项目基础信息（输入）'!$C$60</f>
        <v>0</v>
      </c>
      <c r="O1860" s="198">
        <f t="shared" si="216"/>
        <v>0</v>
      </c>
      <c r="P1860" s="198">
        <f>'02 项目基础信息（输入）'!$I$60</f>
        <v>0</v>
      </c>
      <c r="Q1860" s="233">
        <f t="shared" si="217"/>
        <v>0</v>
      </c>
      <c r="S1860" s="217"/>
      <c r="U1860" s="220" t="s">
        <v>3649</v>
      </c>
    </row>
    <row r="1861" spans="1:21" ht="0" hidden="1" customHeight="1" outlineLevel="3">
      <c r="A1861" s="192" t="s">
        <v>1747</v>
      </c>
      <c r="B1861" s="192"/>
      <c r="C1861" s="197" t="s">
        <v>416</v>
      </c>
      <c r="D1861" s="198">
        <f>'02 项目基础信息（输入）'!$AJ$60</f>
        <v>0</v>
      </c>
      <c r="E1861" s="199" t="s">
        <v>417</v>
      </c>
      <c r="F1861" s="197" t="s">
        <v>416</v>
      </c>
      <c r="G1861" s="199">
        <v>1</v>
      </c>
      <c r="H1861" s="199" t="s">
        <v>1748</v>
      </c>
      <c r="I1861" s="198">
        <f t="shared" si="214"/>
        <v>0</v>
      </c>
      <c r="J1861" s="199" t="s">
        <v>400</v>
      </c>
      <c r="K1861" s="188">
        <v>0</v>
      </c>
      <c r="L1861" s="209" t="s">
        <v>1749</v>
      </c>
      <c r="M1861" s="207">
        <f t="shared" si="215"/>
        <v>0</v>
      </c>
      <c r="N1861" s="198">
        <f>'02 项目基础信息（输入）'!$C$60</f>
        <v>0</v>
      </c>
      <c r="O1861" s="198">
        <f t="shared" si="216"/>
        <v>0</v>
      </c>
      <c r="P1861" s="198">
        <f>'02 项目基础信息（输入）'!$I$60</f>
        <v>0</v>
      </c>
      <c r="Q1861" s="233">
        <f t="shared" si="217"/>
        <v>0</v>
      </c>
      <c r="S1861" s="217"/>
      <c r="U1861" s="220" t="s">
        <v>3650</v>
      </c>
    </row>
    <row r="1862" spans="1:21" ht="0" hidden="1" customHeight="1" outlineLevel="3">
      <c r="A1862" s="192" t="s">
        <v>1751</v>
      </c>
      <c r="B1862" s="192"/>
      <c r="C1862" s="197" t="s">
        <v>1609</v>
      </c>
      <c r="D1862" s="198">
        <f>'02 项目基础信息（输入）'!$C$60</f>
        <v>0</v>
      </c>
      <c r="E1862" s="199" t="s">
        <v>93</v>
      </c>
      <c r="F1862" s="197" t="s">
        <v>1609</v>
      </c>
      <c r="G1862" s="199">
        <v>1</v>
      </c>
      <c r="H1862" s="199" t="s">
        <v>298</v>
      </c>
      <c r="I1862" s="198">
        <f t="shared" si="214"/>
        <v>0</v>
      </c>
      <c r="J1862" s="199" t="s">
        <v>93</v>
      </c>
      <c r="K1862" s="188">
        <v>0</v>
      </c>
      <c r="L1862" s="209" t="s">
        <v>675</v>
      </c>
      <c r="M1862" s="207">
        <f t="shared" si="215"/>
        <v>0</v>
      </c>
      <c r="N1862" s="198">
        <f>'02 项目基础信息（输入）'!$C$60</f>
        <v>0</v>
      </c>
      <c r="O1862" s="198">
        <f t="shared" si="216"/>
        <v>0</v>
      </c>
      <c r="P1862" s="198">
        <f>'02 项目基础信息（输入）'!$I$60</f>
        <v>0</v>
      </c>
      <c r="Q1862" s="233">
        <f t="shared" si="217"/>
        <v>0</v>
      </c>
      <c r="S1862" s="217"/>
      <c r="U1862" s="220" t="s">
        <v>3651</v>
      </c>
    </row>
    <row r="1863" spans="1:21" ht="0" hidden="1" customHeight="1" outlineLevel="2">
      <c r="A1863" s="192" t="s">
        <v>1753</v>
      </c>
      <c r="B1863" s="192"/>
      <c r="C1863" s="197" t="s">
        <v>1609</v>
      </c>
      <c r="D1863" s="198">
        <f>'02 项目基础信息（输入）'!$C$60</f>
        <v>0</v>
      </c>
      <c r="E1863" s="199" t="s">
        <v>93</v>
      </c>
      <c r="F1863" s="197"/>
      <c r="G1863" s="199"/>
      <c r="H1863" s="199"/>
      <c r="I1863" s="197"/>
      <c r="J1863" s="199"/>
      <c r="K1863" s="198"/>
      <c r="L1863" s="209"/>
      <c r="M1863" s="198">
        <f>ROUND(SUM(M1864:M1874),6)</f>
        <v>0</v>
      </c>
      <c r="N1863" s="198">
        <f>'02 项目基础信息（输入）'!$C$60</f>
        <v>0</v>
      </c>
      <c r="O1863" s="198">
        <f t="shared" si="216"/>
        <v>0</v>
      </c>
      <c r="P1863" s="198">
        <f>'02 项目基础信息（输入）'!$I$60</f>
        <v>0</v>
      </c>
      <c r="Q1863" s="233">
        <f t="shared" si="217"/>
        <v>0</v>
      </c>
      <c r="S1863" s="217" t="s">
        <v>1313</v>
      </c>
      <c r="U1863" s="220" t="s">
        <v>3652</v>
      </c>
    </row>
    <row r="1864" spans="1:21" ht="0" hidden="1" customHeight="1" outlineLevel="3">
      <c r="A1864" s="192" t="s">
        <v>1755</v>
      </c>
      <c r="B1864" s="192"/>
      <c r="C1864" s="197" t="s">
        <v>1609</v>
      </c>
      <c r="D1864" s="198">
        <f>'02 项目基础信息（输入）'!$C$60</f>
        <v>0</v>
      </c>
      <c r="E1864" s="199" t="s">
        <v>93</v>
      </c>
      <c r="F1864" s="197" t="s">
        <v>1609</v>
      </c>
      <c r="G1864" s="199">
        <v>1</v>
      </c>
      <c r="H1864" s="199" t="s">
        <v>298</v>
      </c>
      <c r="I1864" s="198">
        <f t="shared" ref="I1864:I1874" si="218">G1864*D1864</f>
        <v>0</v>
      </c>
      <c r="J1864" s="199" t="s">
        <v>93</v>
      </c>
      <c r="K1864" s="188">
        <v>0</v>
      </c>
      <c r="L1864" s="209" t="s">
        <v>675</v>
      </c>
      <c r="M1864" s="207">
        <f t="shared" ref="M1864:M1874" si="219">ROUND(K1864*I1864/10000,6)</f>
        <v>0</v>
      </c>
      <c r="N1864" s="198">
        <f>'02 项目基础信息（输入）'!$C$60</f>
        <v>0</v>
      </c>
      <c r="O1864" s="198">
        <f t="shared" si="216"/>
        <v>0</v>
      </c>
      <c r="P1864" s="198">
        <f>'02 项目基础信息（输入）'!$I$60</f>
        <v>0</v>
      </c>
      <c r="Q1864" s="233">
        <f t="shared" si="217"/>
        <v>0</v>
      </c>
      <c r="S1864" s="217"/>
      <c r="U1864" s="220" t="s">
        <v>3653</v>
      </c>
    </row>
    <row r="1865" spans="1:21" ht="0" hidden="1" customHeight="1" outlineLevel="3">
      <c r="A1865" s="192" t="s">
        <v>1757</v>
      </c>
      <c r="B1865" s="192"/>
      <c r="C1865" s="197" t="s">
        <v>1609</v>
      </c>
      <c r="D1865" s="198">
        <f>'02 项目基础信息（输入）'!$C$60</f>
        <v>0</v>
      </c>
      <c r="E1865" s="199" t="s">
        <v>93</v>
      </c>
      <c r="F1865" s="197" t="s">
        <v>1609</v>
      </c>
      <c r="G1865" s="199">
        <v>1</v>
      </c>
      <c r="H1865" s="199" t="s">
        <v>298</v>
      </c>
      <c r="I1865" s="198">
        <f t="shared" si="218"/>
        <v>0</v>
      </c>
      <c r="J1865" s="199" t="s">
        <v>93</v>
      </c>
      <c r="K1865" s="188">
        <v>0</v>
      </c>
      <c r="L1865" s="209" t="s">
        <v>675</v>
      </c>
      <c r="M1865" s="207">
        <f t="shared" si="219"/>
        <v>0</v>
      </c>
      <c r="N1865" s="198">
        <f>'02 项目基础信息（输入）'!$C$60</f>
        <v>0</v>
      </c>
      <c r="O1865" s="198">
        <f t="shared" si="216"/>
        <v>0</v>
      </c>
      <c r="P1865" s="198">
        <f>'02 项目基础信息（输入）'!$I$60</f>
        <v>0</v>
      </c>
      <c r="Q1865" s="233">
        <f t="shared" si="217"/>
        <v>0</v>
      </c>
      <c r="S1865" s="217"/>
      <c r="U1865" s="220" t="s">
        <v>3654</v>
      </c>
    </row>
    <row r="1866" spans="1:21" ht="0" hidden="1" customHeight="1" outlineLevel="3">
      <c r="A1866" s="192" t="s">
        <v>1759</v>
      </c>
      <c r="B1866" s="192"/>
      <c r="C1866" s="197" t="s">
        <v>1609</v>
      </c>
      <c r="D1866" s="198">
        <f>'02 项目基础信息（输入）'!$C$60</f>
        <v>0</v>
      </c>
      <c r="E1866" s="199" t="s">
        <v>93</v>
      </c>
      <c r="F1866" s="197" t="s">
        <v>1609</v>
      </c>
      <c r="G1866" s="199">
        <v>1</v>
      </c>
      <c r="H1866" s="199" t="s">
        <v>298</v>
      </c>
      <c r="I1866" s="198">
        <f t="shared" si="218"/>
        <v>0</v>
      </c>
      <c r="J1866" s="199" t="s">
        <v>93</v>
      </c>
      <c r="K1866" s="188">
        <v>0</v>
      </c>
      <c r="L1866" s="209" t="s">
        <v>675</v>
      </c>
      <c r="M1866" s="207">
        <f t="shared" si="219"/>
        <v>0</v>
      </c>
      <c r="N1866" s="198">
        <f>'02 项目基础信息（输入）'!$C$60</f>
        <v>0</v>
      </c>
      <c r="O1866" s="198">
        <f t="shared" si="216"/>
        <v>0</v>
      </c>
      <c r="P1866" s="198">
        <f>'02 项目基础信息（输入）'!$I$60</f>
        <v>0</v>
      </c>
      <c r="Q1866" s="233">
        <f t="shared" si="217"/>
        <v>0</v>
      </c>
      <c r="S1866" s="217"/>
      <c r="U1866" s="220" t="s">
        <v>3655</v>
      </c>
    </row>
    <row r="1867" spans="1:21" ht="0" hidden="1" customHeight="1" outlineLevel="3">
      <c r="A1867" s="192" t="s">
        <v>1761</v>
      </c>
      <c r="B1867" s="192"/>
      <c r="C1867" s="197" t="s">
        <v>1609</v>
      </c>
      <c r="D1867" s="198">
        <f>'02 项目基础信息（输入）'!$C$60</f>
        <v>0</v>
      </c>
      <c r="E1867" s="199" t="s">
        <v>93</v>
      </c>
      <c r="F1867" s="197" t="s">
        <v>1609</v>
      </c>
      <c r="G1867" s="199">
        <v>1</v>
      </c>
      <c r="H1867" s="199" t="s">
        <v>298</v>
      </c>
      <c r="I1867" s="198">
        <f t="shared" si="218"/>
        <v>0</v>
      </c>
      <c r="J1867" s="199" t="s">
        <v>93</v>
      </c>
      <c r="K1867" s="188">
        <v>0</v>
      </c>
      <c r="L1867" s="209" t="s">
        <v>675</v>
      </c>
      <c r="M1867" s="207">
        <f t="shared" si="219"/>
        <v>0</v>
      </c>
      <c r="N1867" s="198">
        <f>'02 项目基础信息（输入）'!$C$60</f>
        <v>0</v>
      </c>
      <c r="O1867" s="198">
        <f t="shared" si="216"/>
        <v>0</v>
      </c>
      <c r="P1867" s="198">
        <f>'02 项目基础信息（输入）'!$I$60</f>
        <v>0</v>
      </c>
      <c r="Q1867" s="233">
        <f t="shared" si="217"/>
        <v>0</v>
      </c>
      <c r="S1867" s="217"/>
      <c r="U1867" s="220" t="s">
        <v>3656</v>
      </c>
    </row>
    <row r="1868" spans="1:21" ht="0" hidden="1" customHeight="1" outlineLevel="3">
      <c r="A1868" s="192" t="s">
        <v>1763</v>
      </c>
      <c r="B1868" s="192"/>
      <c r="C1868" s="197" t="s">
        <v>1609</v>
      </c>
      <c r="D1868" s="198">
        <f>'02 项目基础信息（输入）'!$C$60</f>
        <v>0</v>
      </c>
      <c r="E1868" s="199" t="s">
        <v>93</v>
      </c>
      <c r="F1868" s="197" t="s">
        <v>1609</v>
      </c>
      <c r="G1868" s="199">
        <v>1</v>
      </c>
      <c r="H1868" s="199" t="s">
        <v>298</v>
      </c>
      <c r="I1868" s="198">
        <f t="shared" si="218"/>
        <v>0</v>
      </c>
      <c r="J1868" s="199" t="s">
        <v>93</v>
      </c>
      <c r="K1868" s="188">
        <v>0</v>
      </c>
      <c r="L1868" s="209" t="s">
        <v>675</v>
      </c>
      <c r="M1868" s="207">
        <f t="shared" si="219"/>
        <v>0</v>
      </c>
      <c r="N1868" s="198">
        <f>'02 项目基础信息（输入）'!$C$60</f>
        <v>0</v>
      </c>
      <c r="O1868" s="198">
        <f t="shared" si="216"/>
        <v>0</v>
      </c>
      <c r="P1868" s="198">
        <f>'02 项目基础信息（输入）'!$I$60</f>
        <v>0</v>
      </c>
      <c r="Q1868" s="233">
        <f t="shared" si="217"/>
        <v>0</v>
      </c>
      <c r="S1868" s="217"/>
      <c r="U1868" s="220" t="s">
        <v>3657</v>
      </c>
    </row>
    <row r="1869" spans="1:21" ht="0" hidden="1" customHeight="1" outlineLevel="3">
      <c r="A1869" s="192" t="s">
        <v>1765</v>
      </c>
      <c r="B1869" s="192"/>
      <c r="C1869" s="197" t="s">
        <v>1609</v>
      </c>
      <c r="D1869" s="198">
        <f>'02 项目基础信息（输入）'!$C$60</f>
        <v>0</v>
      </c>
      <c r="E1869" s="199" t="s">
        <v>93</v>
      </c>
      <c r="F1869" s="197" t="s">
        <v>1609</v>
      </c>
      <c r="G1869" s="199">
        <v>1</v>
      </c>
      <c r="H1869" s="199" t="s">
        <v>298</v>
      </c>
      <c r="I1869" s="198">
        <f t="shared" si="218"/>
        <v>0</v>
      </c>
      <c r="J1869" s="199" t="s">
        <v>93</v>
      </c>
      <c r="K1869" s="188">
        <v>0</v>
      </c>
      <c r="L1869" s="209" t="s">
        <v>675</v>
      </c>
      <c r="M1869" s="207">
        <f t="shared" si="219"/>
        <v>0</v>
      </c>
      <c r="N1869" s="198">
        <f>'02 项目基础信息（输入）'!$C$60</f>
        <v>0</v>
      </c>
      <c r="O1869" s="198">
        <f t="shared" si="216"/>
        <v>0</v>
      </c>
      <c r="P1869" s="198">
        <f>'02 项目基础信息（输入）'!$I$60</f>
        <v>0</v>
      </c>
      <c r="Q1869" s="233">
        <f t="shared" si="217"/>
        <v>0</v>
      </c>
      <c r="S1869" s="217"/>
      <c r="U1869" s="220" t="s">
        <v>3658</v>
      </c>
    </row>
    <row r="1870" spans="1:21" ht="0" hidden="1" customHeight="1" outlineLevel="3">
      <c r="A1870" s="192" t="s">
        <v>1767</v>
      </c>
      <c r="B1870" s="192"/>
      <c r="C1870" s="197" t="s">
        <v>1609</v>
      </c>
      <c r="D1870" s="198">
        <f>'02 项目基础信息（输入）'!$C$60</f>
        <v>0</v>
      </c>
      <c r="E1870" s="199" t="s">
        <v>93</v>
      </c>
      <c r="F1870" s="197" t="s">
        <v>1609</v>
      </c>
      <c r="G1870" s="199">
        <v>1</v>
      </c>
      <c r="H1870" s="199" t="s">
        <v>298</v>
      </c>
      <c r="I1870" s="198">
        <f t="shared" si="218"/>
        <v>0</v>
      </c>
      <c r="J1870" s="199" t="s">
        <v>93</v>
      </c>
      <c r="K1870" s="188">
        <v>0</v>
      </c>
      <c r="L1870" s="209" t="s">
        <v>675</v>
      </c>
      <c r="M1870" s="207">
        <f t="shared" si="219"/>
        <v>0</v>
      </c>
      <c r="N1870" s="198">
        <f>'02 项目基础信息（输入）'!$C$60</f>
        <v>0</v>
      </c>
      <c r="O1870" s="198">
        <f t="shared" si="216"/>
        <v>0</v>
      </c>
      <c r="P1870" s="198">
        <f>'02 项目基础信息（输入）'!$I$60</f>
        <v>0</v>
      </c>
      <c r="Q1870" s="233">
        <f t="shared" si="217"/>
        <v>0</v>
      </c>
      <c r="S1870" s="217"/>
      <c r="U1870" s="220" t="s">
        <v>3659</v>
      </c>
    </row>
    <row r="1871" spans="1:21" ht="0" hidden="1" customHeight="1" outlineLevel="3">
      <c r="A1871" s="192" t="s">
        <v>1769</v>
      </c>
      <c r="B1871" s="192"/>
      <c r="C1871" s="197" t="s">
        <v>1609</v>
      </c>
      <c r="D1871" s="198">
        <f>'02 项目基础信息（输入）'!$C$60</f>
        <v>0</v>
      </c>
      <c r="E1871" s="199" t="s">
        <v>93</v>
      </c>
      <c r="F1871" s="197" t="s">
        <v>1609</v>
      </c>
      <c r="G1871" s="199">
        <v>1</v>
      </c>
      <c r="H1871" s="199" t="s">
        <v>298</v>
      </c>
      <c r="I1871" s="198">
        <f t="shared" si="218"/>
        <v>0</v>
      </c>
      <c r="J1871" s="199" t="s">
        <v>93</v>
      </c>
      <c r="K1871" s="188">
        <v>0</v>
      </c>
      <c r="L1871" s="209" t="s">
        <v>675</v>
      </c>
      <c r="M1871" s="207">
        <f t="shared" si="219"/>
        <v>0</v>
      </c>
      <c r="N1871" s="198">
        <f>'02 项目基础信息（输入）'!$C$60</f>
        <v>0</v>
      </c>
      <c r="O1871" s="198">
        <f t="shared" si="216"/>
        <v>0</v>
      </c>
      <c r="P1871" s="198">
        <f>'02 项目基础信息（输入）'!$I$60</f>
        <v>0</v>
      </c>
      <c r="Q1871" s="233">
        <f t="shared" si="217"/>
        <v>0</v>
      </c>
      <c r="S1871" s="217"/>
      <c r="U1871" s="220" t="s">
        <v>3660</v>
      </c>
    </row>
    <row r="1872" spans="1:21" ht="0" hidden="1" customHeight="1" outlineLevel="3">
      <c r="A1872" s="192" t="s">
        <v>1771</v>
      </c>
      <c r="B1872" s="192"/>
      <c r="C1872" s="197" t="s">
        <v>1609</v>
      </c>
      <c r="D1872" s="198">
        <f>'02 项目基础信息（输入）'!$C$60</f>
        <v>0</v>
      </c>
      <c r="E1872" s="199" t="s">
        <v>93</v>
      </c>
      <c r="F1872" s="197" t="s">
        <v>1609</v>
      </c>
      <c r="G1872" s="199">
        <v>1</v>
      </c>
      <c r="H1872" s="199" t="s">
        <v>298</v>
      </c>
      <c r="I1872" s="198">
        <f t="shared" si="218"/>
        <v>0</v>
      </c>
      <c r="J1872" s="199" t="s">
        <v>93</v>
      </c>
      <c r="K1872" s="188">
        <v>0</v>
      </c>
      <c r="L1872" s="209" t="s">
        <v>675</v>
      </c>
      <c r="M1872" s="207">
        <f t="shared" si="219"/>
        <v>0</v>
      </c>
      <c r="N1872" s="198">
        <f>'02 项目基础信息（输入）'!$C$60</f>
        <v>0</v>
      </c>
      <c r="O1872" s="198">
        <f t="shared" si="216"/>
        <v>0</v>
      </c>
      <c r="P1872" s="198">
        <f>'02 项目基础信息（输入）'!$I$60</f>
        <v>0</v>
      </c>
      <c r="Q1872" s="233">
        <f t="shared" si="217"/>
        <v>0</v>
      </c>
      <c r="S1872" s="217"/>
      <c r="U1872" s="220" t="s">
        <v>3661</v>
      </c>
    </row>
    <row r="1873" spans="1:21" ht="0" hidden="1" customHeight="1" outlineLevel="3">
      <c r="A1873" s="192" t="s">
        <v>1773</v>
      </c>
      <c r="B1873" s="192"/>
      <c r="C1873" s="197" t="s">
        <v>1609</v>
      </c>
      <c r="D1873" s="198">
        <f>'02 项目基础信息（输入）'!$C$60</f>
        <v>0</v>
      </c>
      <c r="E1873" s="199" t="s">
        <v>93</v>
      </c>
      <c r="F1873" s="197" t="s">
        <v>1609</v>
      </c>
      <c r="G1873" s="199">
        <v>1</v>
      </c>
      <c r="H1873" s="199" t="s">
        <v>298</v>
      </c>
      <c r="I1873" s="198">
        <f t="shared" si="218"/>
        <v>0</v>
      </c>
      <c r="J1873" s="199" t="s">
        <v>93</v>
      </c>
      <c r="K1873" s="188">
        <v>0</v>
      </c>
      <c r="L1873" s="209" t="s">
        <v>675</v>
      </c>
      <c r="M1873" s="207">
        <f t="shared" si="219"/>
        <v>0</v>
      </c>
      <c r="N1873" s="198">
        <f>'02 项目基础信息（输入）'!$C$60</f>
        <v>0</v>
      </c>
      <c r="O1873" s="198">
        <f t="shared" si="216"/>
        <v>0</v>
      </c>
      <c r="P1873" s="198">
        <f>'02 项目基础信息（输入）'!$I$60</f>
        <v>0</v>
      </c>
      <c r="Q1873" s="233">
        <f t="shared" si="217"/>
        <v>0</v>
      </c>
      <c r="S1873" s="217"/>
      <c r="U1873" s="220" t="s">
        <v>3662</v>
      </c>
    </row>
    <row r="1874" spans="1:21" ht="0" hidden="1" customHeight="1" outlineLevel="3">
      <c r="A1874" s="192" t="s">
        <v>1775</v>
      </c>
      <c r="B1874" s="192"/>
      <c r="C1874" s="197" t="s">
        <v>1609</v>
      </c>
      <c r="D1874" s="198">
        <f>'02 项目基础信息（输入）'!$C$60</f>
        <v>0</v>
      </c>
      <c r="E1874" s="199" t="s">
        <v>93</v>
      </c>
      <c r="F1874" s="197" t="s">
        <v>1609</v>
      </c>
      <c r="G1874" s="199">
        <v>1</v>
      </c>
      <c r="H1874" s="199" t="s">
        <v>298</v>
      </c>
      <c r="I1874" s="198">
        <f t="shared" si="218"/>
        <v>0</v>
      </c>
      <c r="J1874" s="199" t="s">
        <v>93</v>
      </c>
      <c r="K1874" s="188">
        <v>0</v>
      </c>
      <c r="L1874" s="209" t="s">
        <v>675</v>
      </c>
      <c r="M1874" s="207">
        <f t="shared" si="219"/>
        <v>0</v>
      </c>
      <c r="N1874" s="198">
        <f>'02 项目基础信息（输入）'!$C$60</f>
        <v>0</v>
      </c>
      <c r="O1874" s="198">
        <f t="shared" si="216"/>
        <v>0</v>
      </c>
      <c r="P1874" s="198">
        <f>'02 项目基础信息（输入）'!$I$60</f>
        <v>0</v>
      </c>
      <c r="Q1874" s="233">
        <f t="shared" si="217"/>
        <v>0</v>
      </c>
      <c r="S1874" s="217"/>
      <c r="U1874" s="220" t="s">
        <v>3663</v>
      </c>
    </row>
    <row r="1875" spans="1:21" ht="0" hidden="1" customHeight="1" outlineLevel="2">
      <c r="A1875" s="192" t="s">
        <v>1777</v>
      </c>
      <c r="B1875" s="192"/>
      <c r="C1875" s="197" t="s">
        <v>1609</v>
      </c>
      <c r="D1875" s="198">
        <f>'02 项目基础信息（输入）'!$C$60</f>
        <v>0</v>
      </c>
      <c r="E1875" s="199" t="s">
        <v>93</v>
      </c>
      <c r="F1875" s="197"/>
      <c r="G1875" s="199"/>
      <c r="H1875" s="199"/>
      <c r="I1875" s="197"/>
      <c r="J1875" s="199"/>
      <c r="K1875" s="198"/>
      <c r="L1875" s="209"/>
      <c r="M1875" s="198">
        <f>ROUND(SUM(M1876),6)</f>
        <v>0</v>
      </c>
      <c r="N1875" s="198">
        <f>'02 项目基础信息（输入）'!$C$60</f>
        <v>0</v>
      </c>
      <c r="O1875" s="198">
        <f t="shared" si="216"/>
        <v>0</v>
      </c>
      <c r="P1875" s="198">
        <f>'02 项目基础信息（输入）'!$I$60</f>
        <v>0</v>
      </c>
      <c r="Q1875" s="233">
        <f t="shared" si="217"/>
        <v>0</v>
      </c>
      <c r="S1875" s="217" t="s">
        <v>1313</v>
      </c>
      <c r="U1875" s="220" t="s">
        <v>3664</v>
      </c>
    </row>
    <row r="1876" spans="1:21" ht="0" hidden="1" customHeight="1" outlineLevel="3">
      <c r="A1876" s="192" t="s">
        <v>1779</v>
      </c>
      <c r="B1876" s="192"/>
      <c r="C1876" s="197" t="s">
        <v>1609</v>
      </c>
      <c r="D1876" s="198">
        <f>'02 项目基础信息（输入）'!$C$60</f>
        <v>0</v>
      </c>
      <c r="E1876" s="199" t="s">
        <v>93</v>
      </c>
      <c r="F1876" s="197" t="s">
        <v>984</v>
      </c>
      <c r="G1876" s="82">
        <v>0</v>
      </c>
      <c r="H1876" s="199" t="s">
        <v>966</v>
      </c>
      <c r="I1876" s="198">
        <f>G1876*D1876</f>
        <v>0</v>
      </c>
      <c r="J1876" s="199" t="s">
        <v>1617</v>
      </c>
      <c r="K1876" s="188">
        <v>0</v>
      </c>
      <c r="L1876" s="209" t="s">
        <v>664</v>
      </c>
      <c r="M1876" s="207">
        <f>ROUND(K1876*I1876/10000,6)</f>
        <v>0</v>
      </c>
      <c r="N1876" s="198">
        <f>'02 项目基础信息（输入）'!$C$60</f>
        <v>0</v>
      </c>
      <c r="O1876" s="198">
        <f t="shared" si="216"/>
        <v>0</v>
      </c>
      <c r="P1876" s="198">
        <f>'02 项目基础信息（输入）'!$I$60</f>
        <v>0</v>
      </c>
      <c r="Q1876" s="233">
        <f t="shared" si="217"/>
        <v>0</v>
      </c>
      <c r="S1876" s="217"/>
      <c r="U1876" s="220" t="s">
        <v>3665</v>
      </c>
    </row>
    <row r="1877" spans="1:21" ht="0" hidden="1" customHeight="1" outlineLevel="2">
      <c r="A1877" s="192" t="s">
        <v>1781</v>
      </c>
      <c r="B1877" s="192"/>
      <c r="C1877" s="197" t="s">
        <v>1609</v>
      </c>
      <c r="D1877" s="198">
        <f>'02 项目基础信息（输入）'!$C$60</f>
        <v>0</v>
      </c>
      <c r="E1877" s="199" t="s">
        <v>93</v>
      </c>
      <c r="F1877" s="197"/>
      <c r="G1877" s="199"/>
      <c r="H1877" s="199"/>
      <c r="I1877" s="197"/>
      <c r="J1877" s="199"/>
      <c r="K1877" s="198"/>
      <c r="L1877" s="209"/>
      <c r="M1877" s="198">
        <f>ROUND(SUM(M1878:M1882),6)</f>
        <v>0</v>
      </c>
      <c r="N1877" s="198">
        <f>'02 项目基础信息（输入）'!$C$60</f>
        <v>0</v>
      </c>
      <c r="O1877" s="198">
        <f t="shared" si="216"/>
        <v>0</v>
      </c>
      <c r="P1877" s="198">
        <f>'02 项目基础信息（输入）'!$I$60</f>
        <v>0</v>
      </c>
      <c r="Q1877" s="233">
        <f t="shared" si="217"/>
        <v>0</v>
      </c>
      <c r="S1877" s="217" t="s">
        <v>1314</v>
      </c>
      <c r="U1877" s="220" t="s">
        <v>3666</v>
      </c>
    </row>
    <row r="1878" spans="1:21" ht="0" hidden="1" customHeight="1" outlineLevel="3">
      <c r="A1878" s="192" t="s">
        <v>2066</v>
      </c>
      <c r="B1878" s="192"/>
      <c r="C1878" s="197" t="s">
        <v>309</v>
      </c>
      <c r="D1878" s="198">
        <f>'02 项目基础信息（输入）'!$AC$60</f>
        <v>0</v>
      </c>
      <c r="E1878" s="199" t="s">
        <v>310</v>
      </c>
      <c r="F1878" s="197" t="s">
        <v>2067</v>
      </c>
      <c r="G1878" s="199">
        <v>1</v>
      </c>
      <c r="H1878" s="199" t="s">
        <v>2067</v>
      </c>
      <c r="I1878" s="198">
        <f>G1878*D1878</f>
        <v>0</v>
      </c>
      <c r="J1878" s="199" t="s">
        <v>1946</v>
      </c>
      <c r="K1878" s="188">
        <v>0</v>
      </c>
      <c r="L1878" s="209" t="s">
        <v>1948</v>
      </c>
      <c r="M1878" s="207">
        <f>ROUND(K1878*I1878/10000,6)</f>
        <v>0</v>
      </c>
      <c r="N1878" s="198">
        <f>'02 项目基础信息（输入）'!$C$60</f>
        <v>0</v>
      </c>
      <c r="O1878" s="198">
        <f t="shared" si="216"/>
        <v>0</v>
      </c>
      <c r="P1878" s="198">
        <f>'02 项目基础信息（输入）'!$I$60</f>
        <v>0</v>
      </c>
      <c r="Q1878" s="233">
        <f t="shared" si="217"/>
        <v>0</v>
      </c>
      <c r="S1878" s="217"/>
      <c r="U1878" s="220" t="s">
        <v>3667</v>
      </c>
    </row>
    <row r="1879" spans="1:21" ht="0" hidden="1" customHeight="1" outlineLevel="3">
      <c r="A1879" s="192" t="s">
        <v>2069</v>
      </c>
      <c r="B1879" s="192"/>
      <c r="C1879" s="197" t="s">
        <v>309</v>
      </c>
      <c r="D1879" s="198">
        <f>'02 项目基础信息（输入）'!$AC$60</f>
        <v>0</v>
      </c>
      <c r="E1879" s="199" t="s">
        <v>310</v>
      </c>
      <c r="F1879" s="197" t="s">
        <v>2067</v>
      </c>
      <c r="G1879" s="199">
        <v>1</v>
      </c>
      <c r="H1879" s="199" t="s">
        <v>2067</v>
      </c>
      <c r="I1879" s="198">
        <f>G1879*D1879</f>
        <v>0</v>
      </c>
      <c r="J1879" s="199" t="s">
        <v>1946</v>
      </c>
      <c r="K1879" s="188">
        <v>0</v>
      </c>
      <c r="L1879" s="209" t="s">
        <v>1948</v>
      </c>
      <c r="M1879" s="207">
        <f>ROUND(K1879*I1879/10000,6)</f>
        <v>0</v>
      </c>
      <c r="N1879" s="198">
        <f>'02 项目基础信息（输入）'!$C$60</f>
        <v>0</v>
      </c>
      <c r="O1879" s="198">
        <f t="shared" si="216"/>
        <v>0</v>
      </c>
      <c r="P1879" s="198">
        <f>'02 项目基础信息（输入）'!$I$60</f>
        <v>0</v>
      </c>
      <c r="Q1879" s="233">
        <f t="shared" si="217"/>
        <v>0</v>
      </c>
      <c r="S1879" s="217"/>
      <c r="U1879" s="220" t="s">
        <v>3668</v>
      </c>
    </row>
    <row r="1880" spans="1:21" ht="0" hidden="1" customHeight="1" outlineLevel="3">
      <c r="A1880" s="192" t="s">
        <v>2071</v>
      </c>
      <c r="B1880" s="192"/>
      <c r="C1880" s="197" t="s">
        <v>309</v>
      </c>
      <c r="D1880" s="198">
        <f>'02 项目基础信息（输入）'!$AC$60</f>
        <v>0</v>
      </c>
      <c r="E1880" s="199" t="s">
        <v>310</v>
      </c>
      <c r="F1880" s="197" t="s">
        <v>2067</v>
      </c>
      <c r="G1880" s="199">
        <v>1</v>
      </c>
      <c r="H1880" s="199" t="s">
        <v>2067</v>
      </c>
      <c r="I1880" s="198">
        <f>G1880*D1880</f>
        <v>0</v>
      </c>
      <c r="J1880" s="199" t="s">
        <v>1946</v>
      </c>
      <c r="K1880" s="188">
        <v>0</v>
      </c>
      <c r="L1880" s="209" t="s">
        <v>1948</v>
      </c>
      <c r="M1880" s="207">
        <f>ROUND(K1880*I1880/10000,6)</f>
        <v>0</v>
      </c>
      <c r="N1880" s="198">
        <f>'02 项目基础信息（输入）'!$C$60</f>
        <v>0</v>
      </c>
      <c r="O1880" s="198">
        <f t="shared" si="216"/>
        <v>0</v>
      </c>
      <c r="P1880" s="198">
        <f>'02 项目基础信息（输入）'!$I$60</f>
        <v>0</v>
      </c>
      <c r="Q1880" s="233">
        <f t="shared" si="217"/>
        <v>0</v>
      </c>
      <c r="S1880" s="217"/>
      <c r="U1880" s="220" t="s">
        <v>3669</v>
      </c>
    </row>
    <row r="1881" spans="1:21" ht="0" hidden="1" customHeight="1" outlineLevel="3">
      <c r="A1881" s="192" t="s">
        <v>2073</v>
      </c>
      <c r="B1881" s="192"/>
      <c r="C1881" s="197" t="s">
        <v>309</v>
      </c>
      <c r="D1881" s="198">
        <f>'02 项目基础信息（输入）'!$AC$60</f>
        <v>0</v>
      </c>
      <c r="E1881" s="199" t="s">
        <v>310</v>
      </c>
      <c r="F1881" s="197" t="s">
        <v>2067</v>
      </c>
      <c r="G1881" s="199">
        <v>1</v>
      </c>
      <c r="H1881" s="199" t="s">
        <v>1946</v>
      </c>
      <c r="I1881" s="198">
        <f>G1881*D1881</f>
        <v>0</v>
      </c>
      <c r="J1881" s="199" t="s">
        <v>1946</v>
      </c>
      <c r="K1881" s="188">
        <v>0</v>
      </c>
      <c r="L1881" s="209" t="s">
        <v>1948</v>
      </c>
      <c r="M1881" s="207">
        <f>ROUND(K1881*I1881/10000,6)</f>
        <v>0</v>
      </c>
      <c r="N1881" s="198">
        <f>'02 项目基础信息（输入）'!$C$60</f>
        <v>0</v>
      </c>
      <c r="O1881" s="198">
        <f t="shared" si="216"/>
        <v>0</v>
      </c>
      <c r="P1881" s="198">
        <f>'02 项目基础信息（输入）'!$I$60</f>
        <v>0</v>
      </c>
      <c r="Q1881" s="233">
        <f t="shared" si="217"/>
        <v>0</v>
      </c>
      <c r="S1881" s="217"/>
      <c r="U1881" s="220" t="s">
        <v>3670</v>
      </c>
    </row>
    <row r="1882" spans="1:21" ht="0" hidden="1" customHeight="1" outlineLevel="3">
      <c r="A1882" s="192" t="s">
        <v>1783</v>
      </c>
      <c r="B1882" s="192"/>
      <c r="C1882" s="197" t="s">
        <v>309</v>
      </c>
      <c r="D1882" s="198">
        <f>'02 项目基础信息（输入）'!$AC$60</f>
        <v>0</v>
      </c>
      <c r="E1882" s="199" t="s">
        <v>310</v>
      </c>
      <c r="F1882" s="197" t="s">
        <v>1784</v>
      </c>
      <c r="G1882" s="199">
        <v>1</v>
      </c>
      <c r="H1882" s="199" t="s">
        <v>1784</v>
      </c>
      <c r="I1882" s="198">
        <f>G1882*D1882</f>
        <v>0</v>
      </c>
      <c r="J1882" s="199" t="s">
        <v>1600</v>
      </c>
      <c r="K1882" s="188">
        <v>0</v>
      </c>
      <c r="L1882" s="209" t="s">
        <v>1601</v>
      </c>
      <c r="M1882" s="207">
        <f>ROUND(K1882*I1882/10000,6)</f>
        <v>0</v>
      </c>
      <c r="N1882" s="198">
        <f>'02 项目基础信息（输入）'!$C$60</f>
        <v>0</v>
      </c>
      <c r="O1882" s="198">
        <f t="shared" si="216"/>
        <v>0</v>
      </c>
      <c r="P1882" s="198">
        <f>'02 项目基础信息（输入）'!$I$60</f>
        <v>0</v>
      </c>
      <c r="Q1882" s="233">
        <f t="shared" si="217"/>
        <v>0</v>
      </c>
      <c r="S1882" s="217"/>
      <c r="U1882" s="220" t="s">
        <v>3671</v>
      </c>
    </row>
    <row r="1883" spans="1:21" ht="0" hidden="1" customHeight="1" outlineLevel="2">
      <c r="A1883" s="192" t="s">
        <v>1786</v>
      </c>
      <c r="B1883" s="192"/>
      <c r="C1883" s="197" t="s">
        <v>1609</v>
      </c>
      <c r="D1883" s="198">
        <f>'02 项目基础信息（输入）'!$C$60</f>
        <v>0</v>
      </c>
      <c r="E1883" s="199" t="s">
        <v>93</v>
      </c>
      <c r="F1883" s="197"/>
      <c r="G1883" s="199"/>
      <c r="H1883" s="199"/>
      <c r="I1883" s="197"/>
      <c r="J1883" s="199"/>
      <c r="K1883" s="198"/>
      <c r="L1883" s="209"/>
      <c r="M1883" s="198">
        <f>ROUND(SUM(M1884:M1888),6)</f>
        <v>0</v>
      </c>
      <c r="N1883" s="198">
        <f>'02 项目基础信息（输入）'!$C$60</f>
        <v>0</v>
      </c>
      <c r="O1883" s="198">
        <f t="shared" si="216"/>
        <v>0</v>
      </c>
      <c r="P1883" s="198">
        <f>'02 项目基础信息（输入）'!$I$60</f>
        <v>0</v>
      </c>
      <c r="Q1883" s="233">
        <f t="shared" si="217"/>
        <v>0</v>
      </c>
      <c r="S1883" s="217" t="s">
        <v>1314</v>
      </c>
      <c r="U1883" s="220" t="s">
        <v>3672</v>
      </c>
    </row>
    <row r="1884" spans="1:21" ht="0" hidden="1" customHeight="1" outlineLevel="3">
      <c r="A1884" s="192" t="s">
        <v>2077</v>
      </c>
      <c r="B1884" s="192"/>
      <c r="C1884" s="197" t="s">
        <v>1609</v>
      </c>
      <c r="D1884" s="198">
        <f>'02 项目基础信息（输入）'!$C$60</f>
        <v>0</v>
      </c>
      <c r="E1884" s="199" t="s">
        <v>93</v>
      </c>
      <c r="F1884" s="197" t="s">
        <v>754</v>
      </c>
      <c r="G1884" s="82">
        <v>0</v>
      </c>
      <c r="H1884" s="199" t="s">
        <v>298</v>
      </c>
      <c r="I1884" s="198">
        <f>G1884*D1884</f>
        <v>0</v>
      </c>
      <c r="J1884" s="199" t="s">
        <v>93</v>
      </c>
      <c r="K1884" s="188">
        <v>0</v>
      </c>
      <c r="L1884" s="209" t="s">
        <v>675</v>
      </c>
      <c r="M1884" s="207">
        <f>ROUND(K1884*I1884/10000,6)</f>
        <v>0</v>
      </c>
      <c r="N1884" s="198">
        <f>'02 项目基础信息（输入）'!$C$60</f>
        <v>0</v>
      </c>
      <c r="O1884" s="198">
        <f t="shared" si="216"/>
        <v>0</v>
      </c>
      <c r="P1884" s="198">
        <f>'02 项目基础信息（输入）'!$I$60</f>
        <v>0</v>
      </c>
      <c r="Q1884" s="233">
        <f t="shared" si="217"/>
        <v>0</v>
      </c>
      <c r="S1884" s="217"/>
      <c r="U1884" s="220" t="s">
        <v>3673</v>
      </c>
    </row>
    <row r="1885" spans="1:21" ht="0" hidden="1" customHeight="1" outlineLevel="3">
      <c r="A1885" s="192" t="s">
        <v>2079</v>
      </c>
      <c r="B1885" s="192"/>
      <c r="C1885" s="197" t="s">
        <v>1609</v>
      </c>
      <c r="D1885" s="198">
        <f>'02 项目基础信息（输入）'!$C$60</f>
        <v>0</v>
      </c>
      <c r="E1885" s="199" t="s">
        <v>93</v>
      </c>
      <c r="F1885" s="197" t="s">
        <v>754</v>
      </c>
      <c r="G1885" s="82">
        <v>0</v>
      </c>
      <c r="H1885" s="199" t="s">
        <v>298</v>
      </c>
      <c r="I1885" s="198">
        <f>G1885*D1885</f>
        <v>0</v>
      </c>
      <c r="J1885" s="199" t="s">
        <v>93</v>
      </c>
      <c r="K1885" s="188">
        <v>0</v>
      </c>
      <c r="L1885" s="209" t="s">
        <v>675</v>
      </c>
      <c r="M1885" s="207">
        <f>ROUND(K1885*I1885/10000,6)</f>
        <v>0</v>
      </c>
      <c r="N1885" s="198">
        <f>'02 项目基础信息（输入）'!$C$60</f>
        <v>0</v>
      </c>
      <c r="O1885" s="198">
        <f t="shared" si="216"/>
        <v>0</v>
      </c>
      <c r="P1885" s="198">
        <f>'02 项目基础信息（输入）'!$I$60</f>
        <v>0</v>
      </c>
      <c r="Q1885" s="233">
        <f t="shared" si="217"/>
        <v>0</v>
      </c>
      <c r="S1885" s="217"/>
      <c r="U1885" s="220" t="s">
        <v>3674</v>
      </c>
    </row>
    <row r="1886" spans="1:21" ht="0" hidden="1" customHeight="1" outlineLevel="3">
      <c r="A1886" s="192" t="s">
        <v>2081</v>
      </c>
      <c r="B1886" s="192"/>
      <c r="C1886" s="197" t="s">
        <v>1609</v>
      </c>
      <c r="D1886" s="198">
        <f>'02 项目基础信息（输入）'!$C$60</f>
        <v>0</v>
      </c>
      <c r="E1886" s="199" t="s">
        <v>93</v>
      </c>
      <c r="F1886" s="197" t="s">
        <v>754</v>
      </c>
      <c r="G1886" s="82">
        <v>0</v>
      </c>
      <c r="H1886" s="199" t="s">
        <v>298</v>
      </c>
      <c r="I1886" s="198">
        <f>G1886*D1886</f>
        <v>0</v>
      </c>
      <c r="J1886" s="199" t="s">
        <v>93</v>
      </c>
      <c r="K1886" s="188">
        <v>0</v>
      </c>
      <c r="L1886" s="209" t="s">
        <v>675</v>
      </c>
      <c r="M1886" s="207">
        <f>ROUND(K1886*I1886/10000,6)</f>
        <v>0</v>
      </c>
      <c r="N1886" s="198">
        <f>'02 项目基础信息（输入）'!$C$60</f>
        <v>0</v>
      </c>
      <c r="O1886" s="198">
        <f t="shared" si="216"/>
        <v>0</v>
      </c>
      <c r="P1886" s="198">
        <f>'02 项目基础信息（输入）'!$I$60</f>
        <v>0</v>
      </c>
      <c r="Q1886" s="233">
        <f t="shared" si="217"/>
        <v>0</v>
      </c>
      <c r="S1886" s="217"/>
      <c r="U1886" s="220" t="s">
        <v>3675</v>
      </c>
    </row>
    <row r="1887" spans="1:21" ht="0" hidden="1" customHeight="1" outlineLevel="3">
      <c r="A1887" s="192" t="s">
        <v>2083</v>
      </c>
      <c r="B1887" s="192"/>
      <c r="C1887" s="197" t="s">
        <v>1609</v>
      </c>
      <c r="D1887" s="198">
        <f>'02 项目基础信息（输入）'!$C$60</f>
        <v>0</v>
      </c>
      <c r="E1887" s="199" t="s">
        <v>93</v>
      </c>
      <c r="F1887" s="197" t="s">
        <v>2084</v>
      </c>
      <c r="G1887" s="82">
        <v>0</v>
      </c>
      <c r="H1887" s="199" t="s">
        <v>298</v>
      </c>
      <c r="I1887" s="198">
        <f>G1887*D1887</f>
        <v>0</v>
      </c>
      <c r="J1887" s="199" t="s">
        <v>93</v>
      </c>
      <c r="K1887" s="188">
        <v>0</v>
      </c>
      <c r="L1887" s="209" t="s">
        <v>675</v>
      </c>
      <c r="M1887" s="207">
        <f>ROUND(K1887*I1887/10000,6)</f>
        <v>0</v>
      </c>
      <c r="N1887" s="198">
        <f>'02 项目基础信息（输入）'!$C$60</f>
        <v>0</v>
      </c>
      <c r="O1887" s="198">
        <f t="shared" si="216"/>
        <v>0</v>
      </c>
      <c r="P1887" s="198">
        <f>'02 项目基础信息（输入）'!$I$60</f>
        <v>0</v>
      </c>
      <c r="Q1887" s="233">
        <f t="shared" si="217"/>
        <v>0</v>
      </c>
      <c r="S1887" s="217"/>
      <c r="U1887" s="220" t="s">
        <v>3676</v>
      </c>
    </row>
    <row r="1888" spans="1:21" ht="0" hidden="1" customHeight="1" outlineLevel="3">
      <c r="A1888" s="192" t="s">
        <v>1788</v>
      </c>
      <c r="B1888" s="192"/>
      <c r="C1888" s="197" t="s">
        <v>1609</v>
      </c>
      <c r="D1888" s="198">
        <f>'02 项目基础信息（输入）'!$C$60</f>
        <v>0</v>
      </c>
      <c r="E1888" s="199" t="s">
        <v>93</v>
      </c>
      <c r="F1888" s="197" t="s">
        <v>1609</v>
      </c>
      <c r="G1888" s="199">
        <v>1</v>
      </c>
      <c r="H1888" s="199" t="s">
        <v>298</v>
      </c>
      <c r="I1888" s="198">
        <f>G1888*D1888</f>
        <v>0</v>
      </c>
      <c r="J1888" s="199" t="s">
        <v>93</v>
      </c>
      <c r="K1888" s="188">
        <v>0</v>
      </c>
      <c r="L1888" s="209" t="s">
        <v>675</v>
      </c>
      <c r="M1888" s="207">
        <f>ROUND(K1888*I1888/10000,6)</f>
        <v>0</v>
      </c>
      <c r="N1888" s="198">
        <f>'02 项目基础信息（输入）'!$C$60</f>
        <v>0</v>
      </c>
      <c r="O1888" s="198">
        <f t="shared" si="216"/>
        <v>0</v>
      </c>
      <c r="P1888" s="198">
        <f>'02 项目基础信息（输入）'!$I$60</f>
        <v>0</v>
      </c>
      <c r="Q1888" s="233">
        <f t="shared" si="217"/>
        <v>0</v>
      </c>
      <c r="S1888" s="217"/>
      <c r="U1888" s="220" t="s">
        <v>3677</v>
      </c>
    </row>
    <row r="1889" spans="1:21" ht="0" hidden="1" customHeight="1" outlineLevel="2">
      <c r="A1889" s="192" t="s">
        <v>1790</v>
      </c>
      <c r="B1889" s="192"/>
      <c r="C1889" s="197" t="s">
        <v>1609</v>
      </c>
      <c r="D1889" s="198">
        <f>'02 项目基础信息（输入）'!$C$60</f>
        <v>0</v>
      </c>
      <c r="E1889" s="199" t="s">
        <v>93</v>
      </c>
      <c r="F1889" s="197"/>
      <c r="G1889" s="199"/>
      <c r="H1889" s="199"/>
      <c r="I1889" s="197"/>
      <c r="J1889" s="199"/>
      <c r="K1889" s="198"/>
      <c r="L1889" s="209"/>
      <c r="M1889" s="198">
        <f>ROUND(SUM(M1890:M1893),6)</f>
        <v>0</v>
      </c>
      <c r="N1889" s="198">
        <f>'02 项目基础信息（输入）'!$C$60</f>
        <v>0</v>
      </c>
      <c r="O1889" s="198">
        <f t="shared" si="216"/>
        <v>0</v>
      </c>
      <c r="P1889" s="198">
        <f>'02 项目基础信息（输入）'!$I$60</f>
        <v>0</v>
      </c>
      <c r="Q1889" s="233">
        <f t="shared" si="217"/>
        <v>0</v>
      </c>
      <c r="S1889" s="217" t="s">
        <v>1313</v>
      </c>
      <c r="U1889" s="220" t="s">
        <v>3678</v>
      </c>
    </row>
    <row r="1890" spans="1:21" ht="0" hidden="1" customHeight="1" outlineLevel="3">
      <c r="A1890" s="192" t="s">
        <v>1792</v>
      </c>
      <c r="B1890" s="192"/>
      <c r="C1890" s="197" t="s">
        <v>1609</v>
      </c>
      <c r="D1890" s="198">
        <f>'02 项目基础信息（输入）'!$C$60</f>
        <v>0</v>
      </c>
      <c r="E1890" s="199" t="s">
        <v>93</v>
      </c>
      <c r="F1890" s="197" t="s">
        <v>727</v>
      </c>
      <c r="G1890" s="82">
        <v>0</v>
      </c>
      <c r="H1890" s="199" t="s">
        <v>298</v>
      </c>
      <c r="I1890" s="198">
        <f>G1890*D1890</f>
        <v>0</v>
      </c>
      <c r="J1890" s="199" t="s">
        <v>93</v>
      </c>
      <c r="K1890" s="188">
        <v>0</v>
      </c>
      <c r="L1890" s="209" t="s">
        <v>675</v>
      </c>
      <c r="M1890" s="207">
        <f>ROUND(K1890*I1890/10000,6)</f>
        <v>0</v>
      </c>
      <c r="N1890" s="198">
        <f>'02 项目基础信息（输入）'!$C$60</f>
        <v>0</v>
      </c>
      <c r="O1890" s="198">
        <f t="shared" si="216"/>
        <v>0</v>
      </c>
      <c r="P1890" s="198">
        <f>'02 项目基础信息（输入）'!$I$60</f>
        <v>0</v>
      </c>
      <c r="Q1890" s="233">
        <f t="shared" si="217"/>
        <v>0</v>
      </c>
      <c r="S1890" s="217"/>
      <c r="U1890" s="220" t="s">
        <v>3679</v>
      </c>
    </row>
    <row r="1891" spans="1:21" ht="0" hidden="1" customHeight="1" outlineLevel="3">
      <c r="A1891" s="192" t="s">
        <v>1794</v>
      </c>
      <c r="B1891" s="192"/>
      <c r="C1891" s="197" t="s">
        <v>1609</v>
      </c>
      <c r="D1891" s="198">
        <f>'02 项目基础信息（输入）'!$C$60</f>
        <v>0</v>
      </c>
      <c r="E1891" s="199" t="s">
        <v>93</v>
      </c>
      <c r="F1891" s="197" t="s">
        <v>727</v>
      </c>
      <c r="G1891" s="82">
        <v>0</v>
      </c>
      <c r="H1891" s="199" t="s">
        <v>298</v>
      </c>
      <c r="I1891" s="198">
        <f>G1891*D1891</f>
        <v>0</v>
      </c>
      <c r="J1891" s="199" t="s">
        <v>93</v>
      </c>
      <c r="K1891" s="188">
        <v>0</v>
      </c>
      <c r="L1891" s="209" t="s">
        <v>675</v>
      </c>
      <c r="M1891" s="207">
        <f>ROUND(K1891*I1891/10000,6)</f>
        <v>0</v>
      </c>
      <c r="N1891" s="198">
        <f>'02 项目基础信息（输入）'!$C$60</f>
        <v>0</v>
      </c>
      <c r="O1891" s="198">
        <f t="shared" si="216"/>
        <v>0</v>
      </c>
      <c r="P1891" s="198">
        <f>'02 项目基础信息（输入）'!$I$60</f>
        <v>0</v>
      </c>
      <c r="Q1891" s="233">
        <f t="shared" si="217"/>
        <v>0</v>
      </c>
      <c r="S1891" s="217"/>
      <c r="U1891" s="220" t="s">
        <v>3680</v>
      </c>
    </row>
    <row r="1892" spans="1:21" ht="0" hidden="1" customHeight="1" outlineLevel="3">
      <c r="A1892" s="192" t="s">
        <v>1796</v>
      </c>
      <c r="B1892" s="192"/>
      <c r="C1892" s="197" t="s">
        <v>1609</v>
      </c>
      <c r="D1892" s="198">
        <f>'02 项目基础信息（输入）'!$C$60</f>
        <v>0</v>
      </c>
      <c r="E1892" s="199" t="s">
        <v>93</v>
      </c>
      <c r="F1892" s="197" t="s">
        <v>727</v>
      </c>
      <c r="G1892" s="82">
        <v>0</v>
      </c>
      <c r="H1892" s="199" t="s">
        <v>298</v>
      </c>
      <c r="I1892" s="198">
        <f>G1892*D1892</f>
        <v>0</v>
      </c>
      <c r="J1892" s="199" t="s">
        <v>93</v>
      </c>
      <c r="K1892" s="188">
        <v>0</v>
      </c>
      <c r="L1892" s="209" t="s">
        <v>675</v>
      </c>
      <c r="M1892" s="207">
        <f>ROUND(K1892*I1892/10000,6)</f>
        <v>0</v>
      </c>
      <c r="N1892" s="198">
        <f>'02 项目基础信息（输入）'!$C$60</f>
        <v>0</v>
      </c>
      <c r="O1892" s="198">
        <f t="shared" si="216"/>
        <v>0</v>
      </c>
      <c r="P1892" s="198">
        <f>'02 项目基础信息（输入）'!$I$60</f>
        <v>0</v>
      </c>
      <c r="Q1892" s="233">
        <f t="shared" si="217"/>
        <v>0</v>
      </c>
      <c r="S1892" s="217"/>
      <c r="U1892" s="220" t="s">
        <v>3681</v>
      </c>
    </row>
    <row r="1893" spans="1:21" ht="0" hidden="1" customHeight="1" outlineLevel="3">
      <c r="A1893" s="192" t="s">
        <v>1798</v>
      </c>
      <c r="B1893" s="192"/>
      <c r="C1893" s="197" t="s">
        <v>1609</v>
      </c>
      <c r="D1893" s="198">
        <f>'02 项目基础信息（输入）'!$C$60</f>
        <v>0</v>
      </c>
      <c r="E1893" s="199" t="s">
        <v>93</v>
      </c>
      <c r="F1893" s="197" t="s">
        <v>727</v>
      </c>
      <c r="G1893" s="82">
        <v>0</v>
      </c>
      <c r="H1893" s="199" t="s">
        <v>298</v>
      </c>
      <c r="I1893" s="198">
        <f>G1893*D1893</f>
        <v>0</v>
      </c>
      <c r="J1893" s="199" t="s">
        <v>93</v>
      </c>
      <c r="K1893" s="188">
        <v>0</v>
      </c>
      <c r="L1893" s="209" t="s">
        <v>675</v>
      </c>
      <c r="M1893" s="207">
        <f>ROUND(K1893*I1893/10000,6)</f>
        <v>0</v>
      </c>
      <c r="N1893" s="198">
        <f>'02 项目基础信息（输入）'!$C$60</f>
        <v>0</v>
      </c>
      <c r="O1893" s="198">
        <f t="shared" si="216"/>
        <v>0</v>
      </c>
      <c r="P1893" s="198">
        <f>'02 项目基础信息（输入）'!$I$60</f>
        <v>0</v>
      </c>
      <c r="Q1893" s="233">
        <f t="shared" si="217"/>
        <v>0</v>
      </c>
      <c r="S1893" s="217"/>
      <c r="U1893" s="220" t="s">
        <v>3682</v>
      </c>
    </row>
    <row r="1894" spans="1:21" ht="0" hidden="1" customHeight="1" outlineLevel="2">
      <c r="A1894" s="192" t="s">
        <v>1800</v>
      </c>
      <c r="B1894" s="192"/>
      <c r="C1894" s="197" t="s">
        <v>1609</v>
      </c>
      <c r="D1894" s="198">
        <f>'02 项目基础信息（输入）'!$C$60</f>
        <v>0</v>
      </c>
      <c r="E1894" s="199" t="s">
        <v>93</v>
      </c>
      <c r="F1894" s="197"/>
      <c r="G1894" s="199"/>
      <c r="H1894" s="199"/>
      <c r="I1894" s="197"/>
      <c r="J1894" s="199"/>
      <c r="K1894" s="198"/>
      <c r="L1894" s="209"/>
      <c r="M1894" s="198">
        <f>ROUND(SUM(M1895:M1910),6)</f>
        <v>0</v>
      </c>
      <c r="N1894" s="198">
        <f>'02 项目基础信息（输入）'!$C$60</f>
        <v>0</v>
      </c>
      <c r="O1894" s="198">
        <f t="shared" si="216"/>
        <v>0</v>
      </c>
      <c r="P1894" s="198">
        <f>'02 项目基础信息（输入）'!$I$60</f>
        <v>0</v>
      </c>
      <c r="Q1894" s="233">
        <f t="shared" si="217"/>
        <v>0</v>
      </c>
      <c r="S1894" s="217" t="s">
        <v>1314</v>
      </c>
      <c r="U1894" s="220" t="s">
        <v>3683</v>
      </c>
    </row>
    <row r="1895" spans="1:21" ht="0" hidden="1" customHeight="1" outlineLevel="3">
      <c r="A1895" s="192" t="s">
        <v>1802</v>
      </c>
      <c r="B1895" s="192"/>
      <c r="C1895" s="197" t="s">
        <v>476</v>
      </c>
      <c r="D1895" s="198">
        <f>'02 项目基础信息（输入）'!$AF$60</f>
        <v>0</v>
      </c>
      <c r="E1895" s="199" t="s">
        <v>93</v>
      </c>
      <c r="F1895" s="197" t="s">
        <v>1803</v>
      </c>
      <c r="G1895" s="237">
        <v>0</v>
      </c>
      <c r="H1895" s="199" t="s">
        <v>123</v>
      </c>
      <c r="I1895" s="198">
        <f t="shared" ref="I1895:I1908" si="220">G1895*D1895/100</f>
        <v>0</v>
      </c>
      <c r="J1895" s="199" t="s">
        <v>93</v>
      </c>
      <c r="K1895" s="188">
        <v>0</v>
      </c>
      <c r="L1895" s="209" t="s">
        <v>675</v>
      </c>
      <c r="M1895" s="207">
        <f t="shared" ref="M1895:M1910" si="221">ROUND(K1895*I1895/10000,6)</f>
        <v>0</v>
      </c>
      <c r="N1895" s="198">
        <f>'02 项目基础信息（输入）'!$C$60</f>
        <v>0</v>
      </c>
      <c r="O1895" s="198">
        <f t="shared" si="216"/>
        <v>0</v>
      </c>
      <c r="P1895" s="198">
        <f>'02 项目基础信息（输入）'!$I$60</f>
        <v>0</v>
      </c>
      <c r="Q1895" s="233">
        <f t="shared" si="217"/>
        <v>0</v>
      </c>
      <c r="S1895" s="217"/>
      <c r="U1895" s="220" t="s">
        <v>3684</v>
      </c>
    </row>
    <row r="1896" spans="1:21" ht="0" hidden="1" customHeight="1" outlineLevel="3">
      <c r="A1896" s="192" t="s">
        <v>1805</v>
      </c>
      <c r="B1896" s="192"/>
      <c r="C1896" s="197" t="s">
        <v>476</v>
      </c>
      <c r="D1896" s="198">
        <f>'02 项目基础信息（输入）'!$AF$60</f>
        <v>0</v>
      </c>
      <c r="E1896" s="199" t="s">
        <v>93</v>
      </c>
      <c r="F1896" s="197" t="s">
        <v>1803</v>
      </c>
      <c r="G1896" s="237">
        <v>0</v>
      </c>
      <c r="H1896" s="199" t="s">
        <v>123</v>
      </c>
      <c r="I1896" s="198">
        <f t="shared" si="220"/>
        <v>0</v>
      </c>
      <c r="J1896" s="199" t="s">
        <v>93</v>
      </c>
      <c r="K1896" s="188">
        <v>0</v>
      </c>
      <c r="L1896" s="209" t="s">
        <v>675</v>
      </c>
      <c r="M1896" s="207">
        <f t="shared" si="221"/>
        <v>0</v>
      </c>
      <c r="N1896" s="198">
        <f>'02 项目基础信息（输入）'!$C$60</f>
        <v>0</v>
      </c>
      <c r="O1896" s="198">
        <f t="shared" si="216"/>
        <v>0</v>
      </c>
      <c r="P1896" s="198">
        <f>'02 项目基础信息（输入）'!$I$60</f>
        <v>0</v>
      </c>
      <c r="Q1896" s="233">
        <f t="shared" si="217"/>
        <v>0</v>
      </c>
      <c r="S1896" s="217"/>
      <c r="U1896" s="220" t="s">
        <v>3685</v>
      </c>
    </row>
    <row r="1897" spans="1:21" ht="0" hidden="1" customHeight="1" outlineLevel="3">
      <c r="A1897" s="192" t="s">
        <v>1807</v>
      </c>
      <c r="B1897" s="192"/>
      <c r="C1897" s="197" t="s">
        <v>476</v>
      </c>
      <c r="D1897" s="198">
        <f>'02 项目基础信息（输入）'!$AF$60</f>
        <v>0</v>
      </c>
      <c r="E1897" s="199" t="s">
        <v>93</v>
      </c>
      <c r="F1897" s="197" t="s">
        <v>1803</v>
      </c>
      <c r="G1897" s="237">
        <v>0</v>
      </c>
      <c r="H1897" s="199" t="s">
        <v>123</v>
      </c>
      <c r="I1897" s="198">
        <f t="shared" si="220"/>
        <v>0</v>
      </c>
      <c r="J1897" s="199" t="s">
        <v>93</v>
      </c>
      <c r="K1897" s="188">
        <v>0</v>
      </c>
      <c r="L1897" s="209" t="s">
        <v>675</v>
      </c>
      <c r="M1897" s="207">
        <f t="shared" si="221"/>
        <v>0</v>
      </c>
      <c r="N1897" s="198">
        <f>'02 项目基础信息（输入）'!$C$60</f>
        <v>0</v>
      </c>
      <c r="O1897" s="198">
        <f t="shared" si="216"/>
        <v>0</v>
      </c>
      <c r="P1897" s="198">
        <f>'02 项目基础信息（输入）'!$I$60</f>
        <v>0</v>
      </c>
      <c r="Q1897" s="233">
        <f t="shared" si="217"/>
        <v>0</v>
      </c>
      <c r="S1897" s="217"/>
      <c r="U1897" s="220" t="s">
        <v>3686</v>
      </c>
    </row>
    <row r="1898" spans="1:21" ht="0" hidden="1" customHeight="1" outlineLevel="3">
      <c r="A1898" s="192" t="s">
        <v>1809</v>
      </c>
      <c r="B1898" s="192"/>
      <c r="C1898" s="197" t="s">
        <v>476</v>
      </c>
      <c r="D1898" s="198">
        <f>'02 项目基础信息（输入）'!$AF$60</f>
        <v>0</v>
      </c>
      <c r="E1898" s="199" t="s">
        <v>93</v>
      </c>
      <c r="F1898" s="197" t="s">
        <v>1803</v>
      </c>
      <c r="G1898" s="237">
        <v>0</v>
      </c>
      <c r="H1898" s="199" t="s">
        <v>123</v>
      </c>
      <c r="I1898" s="198">
        <f t="shared" si="220"/>
        <v>0</v>
      </c>
      <c r="J1898" s="199" t="s">
        <v>93</v>
      </c>
      <c r="K1898" s="188">
        <v>0</v>
      </c>
      <c r="L1898" s="209" t="s">
        <v>675</v>
      </c>
      <c r="M1898" s="207">
        <f t="shared" si="221"/>
        <v>0</v>
      </c>
      <c r="N1898" s="198">
        <f>'02 项目基础信息（输入）'!$C$60</f>
        <v>0</v>
      </c>
      <c r="O1898" s="198">
        <f t="shared" si="216"/>
        <v>0</v>
      </c>
      <c r="P1898" s="198">
        <f>'02 项目基础信息（输入）'!$I$60</f>
        <v>0</v>
      </c>
      <c r="Q1898" s="233">
        <f t="shared" si="217"/>
        <v>0</v>
      </c>
      <c r="S1898" s="217"/>
      <c r="U1898" s="220" t="s">
        <v>3687</v>
      </c>
    </row>
    <row r="1899" spans="1:21" ht="0" hidden="1" customHeight="1" outlineLevel="3">
      <c r="A1899" s="192" t="s">
        <v>1811</v>
      </c>
      <c r="B1899" s="192"/>
      <c r="C1899" s="197" t="s">
        <v>476</v>
      </c>
      <c r="D1899" s="198">
        <f>'02 项目基础信息（输入）'!$AF$60</f>
        <v>0</v>
      </c>
      <c r="E1899" s="199" t="s">
        <v>93</v>
      </c>
      <c r="F1899" s="197" t="s">
        <v>1803</v>
      </c>
      <c r="G1899" s="237">
        <v>0</v>
      </c>
      <c r="H1899" s="199" t="s">
        <v>123</v>
      </c>
      <c r="I1899" s="198">
        <f t="shared" si="220"/>
        <v>0</v>
      </c>
      <c r="J1899" s="199" t="s">
        <v>93</v>
      </c>
      <c r="K1899" s="188">
        <v>0</v>
      </c>
      <c r="L1899" s="209" t="s">
        <v>675</v>
      </c>
      <c r="M1899" s="207">
        <f t="shared" si="221"/>
        <v>0</v>
      </c>
      <c r="N1899" s="198">
        <f>'02 项目基础信息（输入）'!$C$60</f>
        <v>0</v>
      </c>
      <c r="O1899" s="198">
        <f t="shared" si="216"/>
        <v>0</v>
      </c>
      <c r="P1899" s="198">
        <f>'02 项目基础信息（输入）'!$I$60</f>
        <v>0</v>
      </c>
      <c r="Q1899" s="233">
        <f t="shared" si="217"/>
        <v>0</v>
      </c>
      <c r="S1899" s="217"/>
      <c r="U1899" s="220" t="s">
        <v>3688</v>
      </c>
    </row>
    <row r="1900" spans="1:21" ht="0" hidden="1" customHeight="1" outlineLevel="3">
      <c r="A1900" s="192" t="s">
        <v>1813</v>
      </c>
      <c r="B1900" s="192"/>
      <c r="C1900" s="197" t="s">
        <v>476</v>
      </c>
      <c r="D1900" s="198">
        <f>'02 项目基础信息（输入）'!$AF$60</f>
        <v>0</v>
      </c>
      <c r="E1900" s="199" t="s">
        <v>93</v>
      </c>
      <c r="F1900" s="197" t="s">
        <v>1803</v>
      </c>
      <c r="G1900" s="237">
        <v>0</v>
      </c>
      <c r="H1900" s="199" t="s">
        <v>123</v>
      </c>
      <c r="I1900" s="198">
        <f t="shared" si="220"/>
        <v>0</v>
      </c>
      <c r="J1900" s="199" t="s">
        <v>93</v>
      </c>
      <c r="K1900" s="188">
        <v>0</v>
      </c>
      <c r="L1900" s="209" t="s">
        <v>675</v>
      </c>
      <c r="M1900" s="207">
        <f t="shared" si="221"/>
        <v>0</v>
      </c>
      <c r="N1900" s="198">
        <f>'02 项目基础信息（输入）'!$C$60</f>
        <v>0</v>
      </c>
      <c r="O1900" s="198">
        <f t="shared" si="216"/>
        <v>0</v>
      </c>
      <c r="P1900" s="198">
        <f>'02 项目基础信息（输入）'!$I$60</f>
        <v>0</v>
      </c>
      <c r="Q1900" s="233">
        <f t="shared" si="217"/>
        <v>0</v>
      </c>
      <c r="S1900" s="217"/>
      <c r="U1900" s="220" t="s">
        <v>3689</v>
      </c>
    </row>
    <row r="1901" spans="1:21" ht="0" hidden="1" customHeight="1" outlineLevel="3">
      <c r="A1901" s="192" t="s">
        <v>1815</v>
      </c>
      <c r="B1901" s="192"/>
      <c r="C1901" s="197" t="s">
        <v>476</v>
      </c>
      <c r="D1901" s="198">
        <f>'02 项目基础信息（输入）'!$AF$60</f>
        <v>0</v>
      </c>
      <c r="E1901" s="199" t="s">
        <v>93</v>
      </c>
      <c r="F1901" s="197" t="s">
        <v>1803</v>
      </c>
      <c r="G1901" s="237">
        <v>0</v>
      </c>
      <c r="H1901" s="199" t="s">
        <v>123</v>
      </c>
      <c r="I1901" s="198">
        <f t="shared" si="220"/>
        <v>0</v>
      </c>
      <c r="J1901" s="199" t="s">
        <v>93</v>
      </c>
      <c r="K1901" s="188">
        <v>0</v>
      </c>
      <c r="L1901" s="209" t="s">
        <v>675</v>
      </c>
      <c r="M1901" s="207">
        <f t="shared" si="221"/>
        <v>0</v>
      </c>
      <c r="N1901" s="198">
        <f>'02 项目基础信息（输入）'!$C$60</f>
        <v>0</v>
      </c>
      <c r="O1901" s="198">
        <f t="shared" si="216"/>
        <v>0</v>
      </c>
      <c r="P1901" s="198">
        <f>'02 项目基础信息（输入）'!$I$60</f>
        <v>0</v>
      </c>
      <c r="Q1901" s="233">
        <f t="shared" si="217"/>
        <v>0</v>
      </c>
      <c r="S1901" s="217"/>
      <c r="U1901" s="220" t="s">
        <v>3690</v>
      </c>
    </row>
    <row r="1902" spans="1:21" ht="0" hidden="1" customHeight="1" outlineLevel="3">
      <c r="A1902" s="192" t="s">
        <v>1817</v>
      </c>
      <c r="B1902" s="192"/>
      <c r="C1902" s="197" t="s">
        <v>476</v>
      </c>
      <c r="D1902" s="198">
        <f>'02 项目基础信息（输入）'!$AF$60</f>
        <v>0</v>
      </c>
      <c r="E1902" s="199" t="s">
        <v>93</v>
      </c>
      <c r="F1902" s="197" t="s">
        <v>1803</v>
      </c>
      <c r="G1902" s="237">
        <v>0</v>
      </c>
      <c r="H1902" s="199" t="s">
        <v>123</v>
      </c>
      <c r="I1902" s="198">
        <f t="shared" si="220"/>
        <v>0</v>
      </c>
      <c r="J1902" s="199" t="s">
        <v>93</v>
      </c>
      <c r="K1902" s="188">
        <v>0</v>
      </c>
      <c r="L1902" s="209" t="s">
        <v>675</v>
      </c>
      <c r="M1902" s="207">
        <f t="shared" si="221"/>
        <v>0</v>
      </c>
      <c r="N1902" s="198">
        <f>'02 项目基础信息（输入）'!$C$60</f>
        <v>0</v>
      </c>
      <c r="O1902" s="198">
        <f t="shared" si="216"/>
        <v>0</v>
      </c>
      <c r="P1902" s="198">
        <f>'02 项目基础信息（输入）'!$I$60</f>
        <v>0</v>
      </c>
      <c r="Q1902" s="233">
        <f t="shared" si="217"/>
        <v>0</v>
      </c>
      <c r="S1902" s="217"/>
      <c r="U1902" s="220" t="s">
        <v>3691</v>
      </c>
    </row>
    <row r="1903" spans="1:21" ht="0" hidden="1" customHeight="1" outlineLevel="3">
      <c r="A1903" s="192" t="s">
        <v>1819</v>
      </c>
      <c r="B1903" s="192"/>
      <c r="C1903" s="197" t="s">
        <v>476</v>
      </c>
      <c r="D1903" s="198">
        <f>'02 项目基础信息（输入）'!$AF$60</f>
        <v>0</v>
      </c>
      <c r="E1903" s="199" t="s">
        <v>93</v>
      </c>
      <c r="F1903" s="197" t="s">
        <v>1803</v>
      </c>
      <c r="G1903" s="237">
        <v>0</v>
      </c>
      <c r="H1903" s="199" t="s">
        <v>123</v>
      </c>
      <c r="I1903" s="198">
        <f t="shared" si="220"/>
        <v>0</v>
      </c>
      <c r="J1903" s="199" t="s">
        <v>93</v>
      </c>
      <c r="K1903" s="188">
        <v>0</v>
      </c>
      <c r="L1903" s="209" t="s">
        <v>675</v>
      </c>
      <c r="M1903" s="207">
        <f t="shared" si="221"/>
        <v>0</v>
      </c>
      <c r="N1903" s="198">
        <f>'02 项目基础信息（输入）'!$C$60</f>
        <v>0</v>
      </c>
      <c r="O1903" s="198">
        <f t="shared" si="216"/>
        <v>0</v>
      </c>
      <c r="P1903" s="198">
        <f>'02 项目基础信息（输入）'!$I$60</f>
        <v>0</v>
      </c>
      <c r="Q1903" s="233">
        <f t="shared" si="217"/>
        <v>0</v>
      </c>
      <c r="S1903" s="217"/>
      <c r="U1903" s="220" t="s">
        <v>3692</v>
      </c>
    </row>
    <row r="1904" spans="1:21" ht="0" hidden="1" customHeight="1" outlineLevel="3">
      <c r="A1904" s="192" t="s">
        <v>1821</v>
      </c>
      <c r="B1904" s="192"/>
      <c r="C1904" s="197" t="s">
        <v>476</v>
      </c>
      <c r="D1904" s="198">
        <f>'02 项目基础信息（输入）'!$AF$60</f>
        <v>0</v>
      </c>
      <c r="E1904" s="199" t="s">
        <v>93</v>
      </c>
      <c r="F1904" s="197" t="s">
        <v>1803</v>
      </c>
      <c r="G1904" s="237">
        <v>0</v>
      </c>
      <c r="H1904" s="199" t="s">
        <v>123</v>
      </c>
      <c r="I1904" s="198">
        <f t="shared" si="220"/>
        <v>0</v>
      </c>
      <c r="J1904" s="199" t="s">
        <v>93</v>
      </c>
      <c r="K1904" s="188">
        <v>0</v>
      </c>
      <c r="L1904" s="209" t="s">
        <v>675</v>
      </c>
      <c r="M1904" s="207">
        <f t="shared" si="221"/>
        <v>0</v>
      </c>
      <c r="N1904" s="198">
        <f>'02 项目基础信息（输入）'!$C$60</f>
        <v>0</v>
      </c>
      <c r="O1904" s="198">
        <f t="shared" si="216"/>
        <v>0</v>
      </c>
      <c r="P1904" s="198">
        <f>'02 项目基础信息（输入）'!$I$60</f>
        <v>0</v>
      </c>
      <c r="Q1904" s="233">
        <f t="shared" si="217"/>
        <v>0</v>
      </c>
      <c r="S1904" s="217"/>
      <c r="U1904" s="220" t="s">
        <v>3693</v>
      </c>
    </row>
    <row r="1905" spans="1:21" ht="0" hidden="1" customHeight="1" outlineLevel="3">
      <c r="A1905" s="192" t="s">
        <v>1823</v>
      </c>
      <c r="B1905" s="192"/>
      <c r="C1905" s="197" t="s">
        <v>476</v>
      </c>
      <c r="D1905" s="198">
        <f>'02 项目基础信息（输入）'!$AF$60</f>
        <v>0</v>
      </c>
      <c r="E1905" s="199" t="s">
        <v>93</v>
      </c>
      <c r="F1905" s="197" t="s">
        <v>1803</v>
      </c>
      <c r="G1905" s="237">
        <v>0</v>
      </c>
      <c r="H1905" s="199" t="s">
        <v>123</v>
      </c>
      <c r="I1905" s="198">
        <f t="shared" si="220"/>
        <v>0</v>
      </c>
      <c r="J1905" s="199" t="s">
        <v>93</v>
      </c>
      <c r="K1905" s="188">
        <v>0</v>
      </c>
      <c r="L1905" s="209" t="s">
        <v>675</v>
      </c>
      <c r="M1905" s="207">
        <f t="shared" si="221"/>
        <v>0</v>
      </c>
      <c r="N1905" s="198">
        <f>'02 项目基础信息（输入）'!$C$60</f>
        <v>0</v>
      </c>
      <c r="O1905" s="198">
        <f t="shared" si="216"/>
        <v>0</v>
      </c>
      <c r="P1905" s="198">
        <f>'02 项目基础信息（输入）'!$I$60</f>
        <v>0</v>
      </c>
      <c r="Q1905" s="233">
        <f t="shared" si="217"/>
        <v>0</v>
      </c>
      <c r="S1905" s="217"/>
      <c r="U1905" s="220" t="s">
        <v>3694</v>
      </c>
    </row>
    <row r="1906" spans="1:21" ht="0" hidden="1" customHeight="1" outlineLevel="3">
      <c r="A1906" s="192" t="s">
        <v>1825</v>
      </c>
      <c r="B1906" s="192"/>
      <c r="C1906" s="197" t="s">
        <v>476</v>
      </c>
      <c r="D1906" s="198">
        <f>'02 项目基础信息（输入）'!$AF$60</f>
        <v>0</v>
      </c>
      <c r="E1906" s="199" t="s">
        <v>93</v>
      </c>
      <c r="F1906" s="197" t="s">
        <v>1803</v>
      </c>
      <c r="G1906" s="237">
        <v>0</v>
      </c>
      <c r="H1906" s="199" t="s">
        <v>123</v>
      </c>
      <c r="I1906" s="198">
        <f t="shared" si="220"/>
        <v>0</v>
      </c>
      <c r="J1906" s="199" t="s">
        <v>93</v>
      </c>
      <c r="K1906" s="188">
        <v>0</v>
      </c>
      <c r="L1906" s="209" t="s">
        <v>675</v>
      </c>
      <c r="M1906" s="207">
        <f t="shared" si="221"/>
        <v>0</v>
      </c>
      <c r="N1906" s="198">
        <f>'02 项目基础信息（输入）'!$C$60</f>
        <v>0</v>
      </c>
      <c r="O1906" s="198">
        <f t="shared" si="216"/>
        <v>0</v>
      </c>
      <c r="P1906" s="198">
        <f>'02 项目基础信息（输入）'!$I$60</f>
        <v>0</v>
      </c>
      <c r="Q1906" s="233">
        <f t="shared" si="217"/>
        <v>0</v>
      </c>
      <c r="S1906" s="217"/>
      <c r="U1906" s="220" t="s">
        <v>3695</v>
      </c>
    </row>
    <row r="1907" spans="1:21" ht="0" hidden="1" customHeight="1" outlineLevel="3">
      <c r="A1907" s="192" t="s">
        <v>1827</v>
      </c>
      <c r="B1907" s="192"/>
      <c r="C1907" s="197" t="s">
        <v>476</v>
      </c>
      <c r="D1907" s="198">
        <f>'02 项目基础信息（输入）'!$AF$60</f>
        <v>0</v>
      </c>
      <c r="E1907" s="199" t="s">
        <v>93</v>
      </c>
      <c r="F1907" s="197" t="s">
        <v>1803</v>
      </c>
      <c r="G1907" s="237">
        <v>0</v>
      </c>
      <c r="H1907" s="199" t="s">
        <v>123</v>
      </c>
      <c r="I1907" s="198">
        <f t="shared" si="220"/>
        <v>0</v>
      </c>
      <c r="J1907" s="199" t="s">
        <v>93</v>
      </c>
      <c r="K1907" s="188">
        <v>0</v>
      </c>
      <c r="L1907" s="209" t="s">
        <v>675</v>
      </c>
      <c r="M1907" s="207">
        <f t="shared" si="221"/>
        <v>0</v>
      </c>
      <c r="N1907" s="198">
        <f>'02 项目基础信息（输入）'!$C$60</f>
        <v>0</v>
      </c>
      <c r="O1907" s="198">
        <f t="shared" si="216"/>
        <v>0</v>
      </c>
      <c r="P1907" s="198">
        <f>'02 项目基础信息（输入）'!$I$60</f>
        <v>0</v>
      </c>
      <c r="Q1907" s="233">
        <f t="shared" si="217"/>
        <v>0</v>
      </c>
      <c r="S1907" s="217"/>
      <c r="U1907" s="220" t="s">
        <v>3696</v>
      </c>
    </row>
    <row r="1908" spans="1:21" ht="0" hidden="1" customHeight="1" outlineLevel="3">
      <c r="A1908" s="192" t="s">
        <v>1829</v>
      </c>
      <c r="B1908" s="192"/>
      <c r="C1908" s="197" t="s">
        <v>476</v>
      </c>
      <c r="D1908" s="198">
        <f>'02 项目基础信息（输入）'!$AF$60</f>
        <v>0</v>
      </c>
      <c r="E1908" s="199" t="s">
        <v>93</v>
      </c>
      <c r="F1908" s="197" t="s">
        <v>1803</v>
      </c>
      <c r="G1908" s="237">
        <v>0</v>
      </c>
      <c r="H1908" s="199" t="s">
        <v>123</v>
      </c>
      <c r="I1908" s="198">
        <f t="shared" si="220"/>
        <v>0</v>
      </c>
      <c r="J1908" s="199" t="s">
        <v>93</v>
      </c>
      <c r="K1908" s="188">
        <v>0</v>
      </c>
      <c r="L1908" s="209" t="s">
        <v>675</v>
      </c>
      <c r="M1908" s="207">
        <f t="shared" si="221"/>
        <v>0</v>
      </c>
      <c r="N1908" s="198">
        <f>'02 项目基础信息（输入）'!$C$60</f>
        <v>0</v>
      </c>
      <c r="O1908" s="198">
        <f t="shared" si="216"/>
        <v>0</v>
      </c>
      <c r="P1908" s="198">
        <f>'02 项目基础信息（输入）'!$I$60</f>
        <v>0</v>
      </c>
      <c r="Q1908" s="233">
        <f t="shared" si="217"/>
        <v>0</v>
      </c>
      <c r="S1908" s="217"/>
      <c r="U1908" s="220" t="s">
        <v>3697</v>
      </c>
    </row>
    <row r="1909" spans="1:21" ht="0" hidden="1" customHeight="1" outlineLevel="3">
      <c r="A1909" s="192" t="s">
        <v>1831</v>
      </c>
      <c r="B1909" s="192"/>
      <c r="C1909" s="197" t="s">
        <v>1609</v>
      </c>
      <c r="D1909" s="198">
        <f>'02 项目基础信息（输入）'!$C$60</f>
        <v>0</v>
      </c>
      <c r="E1909" s="199" t="s">
        <v>93</v>
      </c>
      <c r="F1909" s="197" t="s">
        <v>1609</v>
      </c>
      <c r="G1909" s="199">
        <v>1</v>
      </c>
      <c r="H1909" s="199" t="s">
        <v>298</v>
      </c>
      <c r="I1909" s="198">
        <f>G1909*D1909</f>
        <v>0</v>
      </c>
      <c r="J1909" s="199" t="s">
        <v>93</v>
      </c>
      <c r="K1909" s="188">
        <v>0</v>
      </c>
      <c r="L1909" s="209" t="s">
        <v>675</v>
      </c>
      <c r="M1909" s="207">
        <f t="shared" si="221"/>
        <v>0</v>
      </c>
      <c r="N1909" s="198">
        <f>'02 项目基础信息（输入）'!$C$60</f>
        <v>0</v>
      </c>
      <c r="O1909" s="198">
        <f t="shared" si="216"/>
        <v>0</v>
      </c>
      <c r="P1909" s="198">
        <f>'02 项目基础信息（输入）'!$I$60</f>
        <v>0</v>
      </c>
      <c r="Q1909" s="233">
        <f t="shared" si="217"/>
        <v>0</v>
      </c>
      <c r="S1909" s="217"/>
      <c r="U1909" s="220" t="s">
        <v>3698</v>
      </c>
    </row>
    <row r="1910" spans="1:21" ht="0" hidden="1" customHeight="1" outlineLevel="3">
      <c r="A1910" s="192" t="s">
        <v>1833</v>
      </c>
      <c r="B1910" s="192"/>
      <c r="C1910" s="197" t="s">
        <v>1609</v>
      </c>
      <c r="D1910" s="198">
        <f>'02 项目基础信息（输入）'!$C$60</f>
        <v>0</v>
      </c>
      <c r="E1910" s="199" t="s">
        <v>93</v>
      </c>
      <c r="F1910" s="197" t="s">
        <v>1609</v>
      </c>
      <c r="G1910" s="199">
        <v>1</v>
      </c>
      <c r="H1910" s="199" t="s">
        <v>298</v>
      </c>
      <c r="I1910" s="198">
        <f>G1910*D1910</f>
        <v>0</v>
      </c>
      <c r="J1910" s="199" t="s">
        <v>93</v>
      </c>
      <c r="K1910" s="188">
        <v>0</v>
      </c>
      <c r="L1910" s="209" t="s">
        <v>675</v>
      </c>
      <c r="M1910" s="207">
        <f t="shared" si="221"/>
        <v>0</v>
      </c>
      <c r="N1910" s="198">
        <f>'02 项目基础信息（输入）'!$C$60</f>
        <v>0</v>
      </c>
      <c r="O1910" s="198">
        <f t="shared" si="216"/>
        <v>0</v>
      </c>
      <c r="P1910" s="198">
        <f>'02 项目基础信息（输入）'!$I$60</f>
        <v>0</v>
      </c>
      <c r="Q1910" s="233">
        <f t="shared" si="217"/>
        <v>0</v>
      </c>
      <c r="S1910" s="217"/>
      <c r="U1910" s="220" t="s">
        <v>3699</v>
      </c>
    </row>
    <row r="1911" spans="1:21" ht="0" hidden="1" customHeight="1" outlineLevel="2">
      <c r="A1911" s="192" t="s">
        <v>1835</v>
      </c>
      <c r="B1911" s="192"/>
      <c r="C1911" s="197" t="s">
        <v>1609</v>
      </c>
      <c r="D1911" s="198">
        <f>'02 项目基础信息（输入）'!$C$60</f>
        <v>0</v>
      </c>
      <c r="E1911" s="199" t="s">
        <v>93</v>
      </c>
      <c r="F1911" s="197"/>
      <c r="G1911" s="199"/>
      <c r="H1911" s="199"/>
      <c r="I1911" s="197"/>
      <c r="J1911" s="199"/>
      <c r="K1911" s="198"/>
      <c r="L1911" s="209"/>
      <c r="M1911" s="198">
        <f>ROUND(SUM(M1912:M1915),6)</f>
        <v>0</v>
      </c>
      <c r="N1911" s="198">
        <f>'02 项目基础信息（输入）'!$C$60</f>
        <v>0</v>
      </c>
      <c r="O1911" s="198">
        <f t="shared" si="216"/>
        <v>0</v>
      </c>
      <c r="P1911" s="198">
        <f>'02 项目基础信息（输入）'!$I$60</f>
        <v>0</v>
      </c>
      <c r="Q1911" s="233">
        <f t="shared" si="217"/>
        <v>0</v>
      </c>
      <c r="S1911" s="217" t="s">
        <v>1314</v>
      </c>
      <c r="U1911" s="220" t="s">
        <v>3700</v>
      </c>
    </row>
    <row r="1912" spans="1:21" ht="0" hidden="1" customHeight="1" outlineLevel="3">
      <c r="A1912" s="192" t="s">
        <v>2110</v>
      </c>
      <c r="B1912" s="192"/>
      <c r="C1912" s="197" t="s">
        <v>309</v>
      </c>
      <c r="D1912" s="198">
        <f>'02 项目基础信息（输入）'!$AC$60</f>
        <v>0</v>
      </c>
      <c r="E1912" s="199" t="s">
        <v>310</v>
      </c>
      <c r="F1912" s="197" t="s">
        <v>1843</v>
      </c>
      <c r="G1912" s="82">
        <v>0</v>
      </c>
      <c r="H1912" s="199" t="s">
        <v>789</v>
      </c>
      <c r="I1912" s="198">
        <f>G1912*D1912</f>
        <v>0</v>
      </c>
      <c r="J1912" s="199" t="s">
        <v>131</v>
      </c>
      <c r="K1912" s="188">
        <v>0</v>
      </c>
      <c r="L1912" s="209" t="s">
        <v>792</v>
      </c>
      <c r="M1912" s="207">
        <f>ROUND(K1912*I1912/10000,6)</f>
        <v>0</v>
      </c>
      <c r="N1912" s="198">
        <f>'02 项目基础信息（输入）'!$C$60</f>
        <v>0</v>
      </c>
      <c r="O1912" s="198">
        <f t="shared" si="216"/>
        <v>0</v>
      </c>
      <c r="P1912" s="198">
        <f>'02 项目基础信息（输入）'!$I$60</f>
        <v>0</v>
      </c>
      <c r="Q1912" s="233">
        <f t="shared" si="217"/>
        <v>0</v>
      </c>
      <c r="S1912" s="217"/>
      <c r="U1912" s="220" t="s">
        <v>3701</v>
      </c>
    </row>
    <row r="1913" spans="1:21" ht="0" hidden="1" customHeight="1" outlineLevel="3">
      <c r="A1913" s="192" t="s">
        <v>2112</v>
      </c>
      <c r="B1913" s="192"/>
      <c r="C1913" s="197" t="s">
        <v>309</v>
      </c>
      <c r="D1913" s="198">
        <f>'02 项目基础信息（输入）'!$AC$60</f>
        <v>0</v>
      </c>
      <c r="E1913" s="199" t="s">
        <v>310</v>
      </c>
      <c r="F1913" s="197" t="s">
        <v>1843</v>
      </c>
      <c r="G1913" s="82">
        <v>0</v>
      </c>
      <c r="H1913" s="199" t="s">
        <v>789</v>
      </c>
      <c r="I1913" s="198">
        <f>G1913*D1913</f>
        <v>0</v>
      </c>
      <c r="J1913" s="199" t="s">
        <v>131</v>
      </c>
      <c r="K1913" s="188">
        <v>0</v>
      </c>
      <c r="L1913" s="209" t="s">
        <v>792</v>
      </c>
      <c r="M1913" s="207">
        <f>ROUND(K1913*I1913/10000,6)</f>
        <v>0</v>
      </c>
      <c r="N1913" s="198">
        <f>'02 项目基础信息（输入）'!$C$60</f>
        <v>0</v>
      </c>
      <c r="O1913" s="198">
        <f t="shared" si="216"/>
        <v>0</v>
      </c>
      <c r="P1913" s="198">
        <f>'02 项目基础信息（输入）'!$I$60</f>
        <v>0</v>
      </c>
      <c r="Q1913" s="233">
        <f t="shared" si="217"/>
        <v>0</v>
      </c>
      <c r="S1913" s="217"/>
      <c r="U1913" s="220" t="s">
        <v>3702</v>
      </c>
    </row>
    <row r="1914" spans="1:21" ht="0" hidden="1" customHeight="1" outlineLevel="3">
      <c r="A1914" s="192" t="s">
        <v>1837</v>
      </c>
      <c r="B1914" s="192"/>
      <c r="C1914" s="197" t="s">
        <v>472</v>
      </c>
      <c r="D1914" s="198">
        <f>'02 项目基础信息（输入）'!$AA$60</f>
        <v>0</v>
      </c>
      <c r="E1914" s="199" t="s">
        <v>1838</v>
      </c>
      <c r="F1914" s="197" t="s">
        <v>1839</v>
      </c>
      <c r="G1914" s="82">
        <v>0</v>
      </c>
      <c r="H1914" s="199" t="s">
        <v>1840</v>
      </c>
      <c r="I1914" s="198">
        <f>G1914*D1914</f>
        <v>0</v>
      </c>
      <c r="J1914" s="199" t="s">
        <v>131</v>
      </c>
      <c r="K1914" s="188">
        <v>0</v>
      </c>
      <c r="L1914" s="209" t="s">
        <v>792</v>
      </c>
      <c r="M1914" s="207">
        <f>ROUND(K1914*I1914/10000,6)</f>
        <v>0</v>
      </c>
      <c r="N1914" s="198">
        <f>'02 项目基础信息（输入）'!$C$60</f>
        <v>0</v>
      </c>
      <c r="O1914" s="198">
        <f t="shared" si="216"/>
        <v>0</v>
      </c>
      <c r="P1914" s="198">
        <f>'02 项目基础信息（输入）'!$I$60</f>
        <v>0</v>
      </c>
      <c r="Q1914" s="233">
        <f t="shared" si="217"/>
        <v>0</v>
      </c>
      <c r="S1914" s="217"/>
      <c r="U1914" s="220" t="s">
        <v>3703</v>
      </c>
    </row>
    <row r="1915" spans="1:21" ht="0" hidden="1" customHeight="1" outlineLevel="3">
      <c r="A1915" s="192" t="s">
        <v>1842</v>
      </c>
      <c r="B1915" s="192"/>
      <c r="C1915" s="197" t="s">
        <v>309</v>
      </c>
      <c r="D1915" s="198">
        <f>'02 项目基础信息（输入）'!$AC$60</f>
        <v>0</v>
      </c>
      <c r="E1915" s="199" t="s">
        <v>310</v>
      </c>
      <c r="F1915" s="197" t="s">
        <v>1843</v>
      </c>
      <c r="G1915" s="82">
        <v>0</v>
      </c>
      <c r="H1915" s="199" t="s">
        <v>789</v>
      </c>
      <c r="I1915" s="198">
        <f>G1915*D1915</f>
        <v>0</v>
      </c>
      <c r="J1915" s="199" t="s">
        <v>131</v>
      </c>
      <c r="K1915" s="188">
        <v>0</v>
      </c>
      <c r="L1915" s="209" t="s">
        <v>792</v>
      </c>
      <c r="M1915" s="207">
        <f>ROUND(K1915*I1915/10000,6)</f>
        <v>0</v>
      </c>
      <c r="N1915" s="198">
        <f>'02 项目基础信息（输入）'!$C$60</f>
        <v>0</v>
      </c>
      <c r="O1915" s="198">
        <f t="shared" si="216"/>
        <v>0</v>
      </c>
      <c r="P1915" s="198">
        <f>'02 项目基础信息（输入）'!$I$60</f>
        <v>0</v>
      </c>
      <c r="Q1915" s="233">
        <f t="shared" si="217"/>
        <v>0</v>
      </c>
      <c r="S1915" s="217"/>
      <c r="U1915" s="220" t="s">
        <v>3704</v>
      </c>
    </row>
    <row r="1916" spans="1:21" ht="0" hidden="1" customHeight="1" outlineLevel="2">
      <c r="A1916" s="192" t="s">
        <v>1845</v>
      </c>
      <c r="B1916" s="192"/>
      <c r="C1916" s="197" t="s">
        <v>1609</v>
      </c>
      <c r="D1916" s="198">
        <f>'02 项目基础信息（输入）'!$C$60</f>
        <v>0</v>
      </c>
      <c r="E1916" s="199" t="s">
        <v>93</v>
      </c>
      <c r="F1916" s="197"/>
      <c r="G1916" s="199"/>
      <c r="H1916" s="199"/>
      <c r="I1916" s="197"/>
      <c r="J1916" s="199"/>
      <c r="K1916" s="198"/>
      <c r="L1916" s="209"/>
      <c r="M1916" s="198">
        <f>ROUND(M1917+M1926+M1935+M1936+M1937,6)</f>
        <v>0</v>
      </c>
      <c r="N1916" s="198">
        <f>'02 项目基础信息（输入）'!$C$60</f>
        <v>0</v>
      </c>
      <c r="O1916" s="198">
        <f t="shared" si="216"/>
        <v>0</v>
      </c>
      <c r="P1916" s="198">
        <f>'02 项目基础信息（输入）'!$I$60</f>
        <v>0</v>
      </c>
      <c r="Q1916" s="233">
        <f t="shared" si="217"/>
        <v>0</v>
      </c>
      <c r="S1916" s="217" t="s">
        <v>1314</v>
      </c>
      <c r="U1916" s="220" t="s">
        <v>3705</v>
      </c>
    </row>
    <row r="1917" spans="1:21" ht="0" hidden="1" customHeight="1" outlineLevel="3">
      <c r="A1917" s="192" t="s">
        <v>2117</v>
      </c>
      <c r="B1917" s="192"/>
      <c r="C1917" s="197"/>
      <c r="D1917" s="197">
        <v>0</v>
      </c>
      <c r="E1917" s="199"/>
      <c r="F1917" s="197"/>
      <c r="G1917" s="199"/>
      <c r="H1917" s="199"/>
      <c r="I1917" s="197">
        <v>0</v>
      </c>
      <c r="J1917" s="199"/>
      <c r="K1917" s="198"/>
      <c r="L1917" s="209"/>
      <c r="M1917" s="198">
        <f>ROUND(SUM(M1918:M1925),6)</f>
        <v>0</v>
      </c>
      <c r="N1917" s="198">
        <f>'02 项目基础信息（输入）'!$C$60</f>
        <v>0</v>
      </c>
      <c r="O1917" s="198">
        <f t="shared" si="216"/>
        <v>0</v>
      </c>
      <c r="P1917" s="198">
        <f>'02 项目基础信息（输入）'!$I$60</f>
        <v>0</v>
      </c>
      <c r="Q1917" s="233">
        <f t="shared" si="217"/>
        <v>0</v>
      </c>
      <c r="S1917" s="217"/>
      <c r="U1917" s="220" t="s">
        <v>3706</v>
      </c>
    </row>
    <row r="1918" spans="1:21" ht="0" hidden="1" customHeight="1" outlineLevel="4">
      <c r="A1918" s="192" t="s">
        <v>1849</v>
      </c>
      <c r="B1918" s="192"/>
      <c r="C1918" s="197" t="s">
        <v>1850</v>
      </c>
      <c r="D1918" s="198">
        <f>'02 项目基础信息（输入）'!$N$60</f>
        <v>0</v>
      </c>
      <c r="E1918" s="199" t="s">
        <v>411</v>
      </c>
      <c r="F1918" s="197" t="s">
        <v>460</v>
      </c>
      <c r="G1918" s="235">
        <f>'02 项目基础信息（输入）'!$O$60</f>
        <v>0</v>
      </c>
      <c r="H1918" s="199" t="s">
        <v>400</v>
      </c>
      <c r="I1918" s="198">
        <f t="shared" ref="I1918:I1925" si="222">G1918*D1918</f>
        <v>0</v>
      </c>
      <c r="J1918" s="199" t="s">
        <v>93</v>
      </c>
      <c r="K1918" s="188">
        <v>0</v>
      </c>
      <c r="L1918" s="209" t="s">
        <v>675</v>
      </c>
      <c r="M1918" s="207">
        <f t="shared" ref="M1918:M1925" si="223">ROUND(K1918*I1918/10000,6)</f>
        <v>0</v>
      </c>
      <c r="N1918" s="198">
        <f>'02 项目基础信息（输入）'!$C$60</f>
        <v>0</v>
      </c>
      <c r="O1918" s="198">
        <f t="shared" si="216"/>
        <v>0</v>
      </c>
      <c r="P1918" s="198">
        <f>'02 项目基础信息（输入）'!$I$60</f>
        <v>0</v>
      </c>
      <c r="Q1918" s="233">
        <f t="shared" si="217"/>
        <v>0</v>
      </c>
      <c r="S1918" s="217"/>
      <c r="U1918" s="220" t="s">
        <v>3707</v>
      </c>
    </row>
    <row r="1919" spans="1:21" ht="0" hidden="1" customHeight="1" outlineLevel="4">
      <c r="A1919" s="192" t="s">
        <v>1852</v>
      </c>
      <c r="B1919" s="192"/>
      <c r="C1919" s="197" t="s">
        <v>1850</v>
      </c>
      <c r="D1919" s="198">
        <f>'02 项目基础信息（输入）'!$N$60</f>
        <v>0</v>
      </c>
      <c r="E1919" s="199" t="s">
        <v>411</v>
      </c>
      <c r="F1919" s="197" t="s">
        <v>460</v>
      </c>
      <c r="G1919" s="235">
        <f>'02 项目基础信息（输入）'!$O$60</f>
        <v>0</v>
      </c>
      <c r="H1919" s="199" t="s">
        <v>400</v>
      </c>
      <c r="I1919" s="198">
        <f t="shared" si="222"/>
        <v>0</v>
      </c>
      <c r="J1919" s="199" t="s">
        <v>93</v>
      </c>
      <c r="K1919" s="188">
        <v>0</v>
      </c>
      <c r="L1919" s="209" t="s">
        <v>675</v>
      </c>
      <c r="M1919" s="207">
        <f t="shared" si="223"/>
        <v>0</v>
      </c>
      <c r="N1919" s="198">
        <f>'02 项目基础信息（输入）'!$C$60</f>
        <v>0</v>
      </c>
      <c r="O1919" s="198">
        <f t="shared" si="216"/>
        <v>0</v>
      </c>
      <c r="P1919" s="198">
        <f>'02 项目基础信息（输入）'!$I$60</f>
        <v>0</v>
      </c>
      <c r="Q1919" s="233">
        <f t="shared" si="217"/>
        <v>0</v>
      </c>
      <c r="S1919" s="217"/>
      <c r="U1919" s="220" t="s">
        <v>3708</v>
      </c>
    </row>
    <row r="1920" spans="1:21" ht="0" hidden="1" customHeight="1" outlineLevel="4">
      <c r="A1920" s="192" t="s">
        <v>1854</v>
      </c>
      <c r="B1920" s="192"/>
      <c r="C1920" s="197" t="s">
        <v>1850</v>
      </c>
      <c r="D1920" s="198">
        <f>'02 项目基础信息（输入）'!$N$60</f>
        <v>0</v>
      </c>
      <c r="E1920" s="199" t="s">
        <v>411</v>
      </c>
      <c r="F1920" s="197" t="s">
        <v>460</v>
      </c>
      <c r="G1920" s="235">
        <f>'02 项目基础信息（输入）'!$O$60</f>
        <v>0</v>
      </c>
      <c r="H1920" s="199" t="s">
        <v>400</v>
      </c>
      <c r="I1920" s="198">
        <f t="shared" si="222"/>
        <v>0</v>
      </c>
      <c r="J1920" s="199" t="s">
        <v>93</v>
      </c>
      <c r="K1920" s="188">
        <v>0</v>
      </c>
      <c r="L1920" s="209" t="s">
        <v>675</v>
      </c>
      <c r="M1920" s="207">
        <f t="shared" si="223"/>
        <v>0</v>
      </c>
      <c r="N1920" s="198">
        <f>'02 项目基础信息（输入）'!$C$60</f>
        <v>0</v>
      </c>
      <c r="O1920" s="198">
        <f t="shared" si="216"/>
        <v>0</v>
      </c>
      <c r="P1920" s="198">
        <f>'02 项目基础信息（输入）'!$I$60</f>
        <v>0</v>
      </c>
      <c r="Q1920" s="233">
        <f t="shared" si="217"/>
        <v>0</v>
      </c>
      <c r="S1920" s="217"/>
      <c r="U1920" s="220" t="s">
        <v>3709</v>
      </c>
    </row>
    <row r="1921" spans="1:21" ht="0" hidden="1" customHeight="1" outlineLevel="4">
      <c r="A1921" s="192" t="s">
        <v>1856</v>
      </c>
      <c r="B1921" s="192"/>
      <c r="C1921" s="197" t="s">
        <v>1850</v>
      </c>
      <c r="D1921" s="198">
        <f>'02 项目基础信息（输入）'!$N$60</f>
        <v>0</v>
      </c>
      <c r="E1921" s="199" t="s">
        <v>411</v>
      </c>
      <c r="F1921" s="197" t="s">
        <v>460</v>
      </c>
      <c r="G1921" s="235">
        <f>'02 项目基础信息（输入）'!$O$60</f>
        <v>0</v>
      </c>
      <c r="H1921" s="199" t="s">
        <v>400</v>
      </c>
      <c r="I1921" s="198">
        <f t="shared" si="222"/>
        <v>0</v>
      </c>
      <c r="J1921" s="199" t="s">
        <v>93</v>
      </c>
      <c r="K1921" s="188">
        <v>0</v>
      </c>
      <c r="L1921" s="209" t="s">
        <v>675</v>
      </c>
      <c r="M1921" s="207">
        <f t="shared" si="223"/>
        <v>0</v>
      </c>
      <c r="N1921" s="198">
        <f>'02 项目基础信息（输入）'!$C$60</f>
        <v>0</v>
      </c>
      <c r="O1921" s="198">
        <f t="shared" si="216"/>
        <v>0</v>
      </c>
      <c r="P1921" s="198">
        <f>'02 项目基础信息（输入）'!$I$60</f>
        <v>0</v>
      </c>
      <c r="Q1921" s="233">
        <f t="shared" si="217"/>
        <v>0</v>
      </c>
      <c r="S1921" s="217"/>
      <c r="U1921" s="220" t="s">
        <v>3710</v>
      </c>
    </row>
    <row r="1922" spans="1:21" ht="0" hidden="1" customHeight="1" outlineLevel="4">
      <c r="A1922" s="192" t="s">
        <v>1858</v>
      </c>
      <c r="B1922" s="192"/>
      <c r="C1922" s="197" t="s">
        <v>1850</v>
      </c>
      <c r="D1922" s="198">
        <f>'02 项目基础信息（输入）'!$N$60</f>
        <v>0</v>
      </c>
      <c r="E1922" s="199" t="s">
        <v>411</v>
      </c>
      <c r="F1922" s="197" t="s">
        <v>460</v>
      </c>
      <c r="G1922" s="235">
        <f>'02 项目基础信息（输入）'!$O$60</f>
        <v>0</v>
      </c>
      <c r="H1922" s="199" t="s">
        <v>400</v>
      </c>
      <c r="I1922" s="198">
        <f t="shared" si="222"/>
        <v>0</v>
      </c>
      <c r="J1922" s="199" t="s">
        <v>93</v>
      </c>
      <c r="K1922" s="188">
        <v>0</v>
      </c>
      <c r="L1922" s="209" t="s">
        <v>675</v>
      </c>
      <c r="M1922" s="207">
        <f t="shared" si="223"/>
        <v>0</v>
      </c>
      <c r="N1922" s="198">
        <f>'02 项目基础信息（输入）'!$C$60</f>
        <v>0</v>
      </c>
      <c r="O1922" s="198">
        <f t="shared" si="216"/>
        <v>0</v>
      </c>
      <c r="P1922" s="198">
        <f>'02 项目基础信息（输入）'!$I$60</f>
        <v>0</v>
      </c>
      <c r="Q1922" s="233">
        <f t="shared" si="217"/>
        <v>0</v>
      </c>
      <c r="S1922" s="217"/>
      <c r="U1922" s="220" t="s">
        <v>3711</v>
      </c>
    </row>
    <row r="1923" spans="1:21" ht="0" hidden="1" customHeight="1" outlineLevel="4">
      <c r="A1923" s="192" t="s">
        <v>1860</v>
      </c>
      <c r="B1923" s="192"/>
      <c r="C1923" s="197" t="s">
        <v>1850</v>
      </c>
      <c r="D1923" s="198">
        <f>'02 项目基础信息（输入）'!$N$60</f>
        <v>0</v>
      </c>
      <c r="E1923" s="199" t="s">
        <v>411</v>
      </c>
      <c r="F1923" s="197" t="s">
        <v>460</v>
      </c>
      <c r="G1923" s="235">
        <f>'02 项目基础信息（输入）'!$O$60</f>
        <v>0</v>
      </c>
      <c r="H1923" s="199" t="s">
        <v>400</v>
      </c>
      <c r="I1923" s="198">
        <f t="shared" si="222"/>
        <v>0</v>
      </c>
      <c r="J1923" s="199" t="s">
        <v>93</v>
      </c>
      <c r="K1923" s="188">
        <v>0</v>
      </c>
      <c r="L1923" s="209" t="s">
        <v>675</v>
      </c>
      <c r="M1923" s="207">
        <f t="shared" si="223"/>
        <v>0</v>
      </c>
      <c r="N1923" s="198">
        <f>'02 项目基础信息（输入）'!$C$60</f>
        <v>0</v>
      </c>
      <c r="O1923" s="198">
        <f t="shared" ref="O1923:O1986" si="224">ROUND(IFERROR(M1923*10000/N1923,0),2)</f>
        <v>0</v>
      </c>
      <c r="P1923" s="198">
        <f>'02 项目基础信息（输入）'!$I$60</f>
        <v>0</v>
      </c>
      <c r="Q1923" s="233">
        <f t="shared" ref="Q1923:Q1986" si="225">ROUND(IFERROR(M1923*10000/P1923,0),2)</f>
        <v>0</v>
      </c>
      <c r="S1923" s="217"/>
      <c r="U1923" s="220" t="s">
        <v>3712</v>
      </c>
    </row>
    <row r="1924" spans="1:21" ht="0" hidden="1" customHeight="1" outlineLevel="4">
      <c r="A1924" s="192" t="s">
        <v>1862</v>
      </c>
      <c r="B1924" s="192"/>
      <c r="C1924" s="197" t="s">
        <v>1850</v>
      </c>
      <c r="D1924" s="198">
        <f>'02 项目基础信息（输入）'!$N$60</f>
        <v>0</v>
      </c>
      <c r="E1924" s="199" t="s">
        <v>411</v>
      </c>
      <c r="F1924" s="197" t="s">
        <v>460</v>
      </c>
      <c r="G1924" s="235">
        <f>'02 项目基础信息（输入）'!$O$60</f>
        <v>0</v>
      </c>
      <c r="H1924" s="199" t="s">
        <v>400</v>
      </c>
      <c r="I1924" s="198">
        <f t="shared" si="222"/>
        <v>0</v>
      </c>
      <c r="J1924" s="199" t="s">
        <v>93</v>
      </c>
      <c r="K1924" s="188">
        <v>0</v>
      </c>
      <c r="L1924" s="209" t="s">
        <v>675</v>
      </c>
      <c r="M1924" s="207">
        <f t="shared" si="223"/>
        <v>0</v>
      </c>
      <c r="N1924" s="198">
        <f>'02 项目基础信息（输入）'!$C$60</f>
        <v>0</v>
      </c>
      <c r="O1924" s="198">
        <f t="shared" si="224"/>
        <v>0</v>
      </c>
      <c r="P1924" s="198">
        <f>'02 项目基础信息（输入）'!$I$60</f>
        <v>0</v>
      </c>
      <c r="Q1924" s="233">
        <f t="shared" si="225"/>
        <v>0</v>
      </c>
      <c r="S1924" s="217"/>
      <c r="U1924" s="220" t="s">
        <v>3713</v>
      </c>
    </row>
    <row r="1925" spans="1:21" ht="0" hidden="1" customHeight="1" outlineLevel="4">
      <c r="A1925" s="192" t="s">
        <v>1864</v>
      </c>
      <c r="B1925" s="192"/>
      <c r="C1925" s="197" t="s">
        <v>1850</v>
      </c>
      <c r="D1925" s="198">
        <f>'02 项目基础信息（输入）'!$N$60</f>
        <v>0</v>
      </c>
      <c r="E1925" s="199" t="s">
        <v>411</v>
      </c>
      <c r="F1925" s="197" t="s">
        <v>460</v>
      </c>
      <c r="G1925" s="235">
        <f>'02 项目基础信息（输入）'!$O$60</f>
        <v>0</v>
      </c>
      <c r="H1925" s="199" t="s">
        <v>400</v>
      </c>
      <c r="I1925" s="198">
        <f t="shared" si="222"/>
        <v>0</v>
      </c>
      <c r="J1925" s="199" t="s">
        <v>93</v>
      </c>
      <c r="K1925" s="188">
        <v>0</v>
      </c>
      <c r="L1925" s="209" t="s">
        <v>675</v>
      </c>
      <c r="M1925" s="207">
        <f t="shared" si="223"/>
        <v>0</v>
      </c>
      <c r="N1925" s="198">
        <f>'02 项目基础信息（输入）'!$C$60</f>
        <v>0</v>
      </c>
      <c r="O1925" s="198">
        <f t="shared" si="224"/>
        <v>0</v>
      </c>
      <c r="P1925" s="198">
        <f>'02 项目基础信息（输入）'!$I$60</f>
        <v>0</v>
      </c>
      <c r="Q1925" s="233">
        <f t="shared" si="225"/>
        <v>0</v>
      </c>
      <c r="S1925" s="217"/>
      <c r="U1925" s="220" t="s">
        <v>3714</v>
      </c>
    </row>
    <row r="1926" spans="1:21" ht="0" hidden="1" customHeight="1" outlineLevel="3">
      <c r="A1926" s="192" t="s">
        <v>2127</v>
      </c>
      <c r="B1926" s="192"/>
      <c r="C1926" s="197"/>
      <c r="D1926" s="197">
        <v>0</v>
      </c>
      <c r="E1926" s="199"/>
      <c r="F1926" s="197"/>
      <c r="G1926" s="199"/>
      <c r="H1926" s="199"/>
      <c r="I1926" s="197">
        <v>0</v>
      </c>
      <c r="J1926" s="199"/>
      <c r="K1926" s="198"/>
      <c r="L1926" s="209"/>
      <c r="M1926" s="198">
        <f>ROUND(SUM(M1927:M1934),6)</f>
        <v>0</v>
      </c>
      <c r="N1926" s="198">
        <f>'02 项目基础信息（输入）'!$C$60</f>
        <v>0</v>
      </c>
      <c r="O1926" s="198">
        <f t="shared" si="224"/>
        <v>0</v>
      </c>
      <c r="P1926" s="198">
        <f>'02 项目基础信息（输入）'!$I$60</f>
        <v>0</v>
      </c>
      <c r="Q1926" s="233">
        <f t="shared" si="225"/>
        <v>0</v>
      </c>
      <c r="S1926" s="217"/>
      <c r="U1926" s="220" t="s">
        <v>3715</v>
      </c>
    </row>
    <row r="1927" spans="1:21" ht="0" hidden="1" customHeight="1" outlineLevel="4">
      <c r="A1927" s="192" t="s">
        <v>2129</v>
      </c>
      <c r="B1927" s="192"/>
      <c r="C1927" s="197" t="s">
        <v>2130</v>
      </c>
      <c r="D1927" s="198">
        <f>'02 项目基础信息（输入）'!$K$60</f>
        <v>0</v>
      </c>
      <c r="E1927" s="199" t="s">
        <v>411</v>
      </c>
      <c r="F1927" s="197" t="s">
        <v>457</v>
      </c>
      <c r="G1927" s="235">
        <f>'02 项目基础信息（输入）'!$L$60</f>
        <v>0</v>
      </c>
      <c r="H1927" s="199" t="s">
        <v>400</v>
      </c>
      <c r="I1927" s="198">
        <f t="shared" ref="I1927:I1937" si="226">G1927*D1927</f>
        <v>0</v>
      </c>
      <c r="J1927" s="199" t="s">
        <v>93</v>
      </c>
      <c r="K1927" s="188">
        <v>0</v>
      </c>
      <c r="L1927" s="209" t="s">
        <v>675</v>
      </c>
      <c r="M1927" s="198">
        <f t="shared" ref="M1927:M1937" si="227">ROUND(K1927*I1927/10000,6)</f>
        <v>0</v>
      </c>
      <c r="N1927" s="198">
        <f>'02 项目基础信息（输入）'!$C$60</f>
        <v>0</v>
      </c>
      <c r="O1927" s="198">
        <f t="shared" si="224"/>
        <v>0</v>
      </c>
      <c r="P1927" s="198">
        <f>'02 项目基础信息（输入）'!$I$60</f>
        <v>0</v>
      </c>
      <c r="Q1927" s="233">
        <f t="shared" si="225"/>
        <v>0</v>
      </c>
      <c r="S1927" s="217"/>
      <c r="U1927" s="220" t="s">
        <v>3716</v>
      </c>
    </row>
    <row r="1928" spans="1:21" ht="0" hidden="1" customHeight="1" outlineLevel="4">
      <c r="A1928" s="192" t="s">
        <v>2132</v>
      </c>
      <c r="B1928" s="192"/>
      <c r="C1928" s="197" t="s">
        <v>2130</v>
      </c>
      <c r="D1928" s="198">
        <f>'02 项目基础信息（输入）'!$K$60</f>
        <v>0</v>
      </c>
      <c r="E1928" s="199" t="s">
        <v>411</v>
      </c>
      <c r="F1928" s="197" t="s">
        <v>457</v>
      </c>
      <c r="G1928" s="235">
        <f>'02 项目基础信息（输入）'!$L$60</f>
        <v>0</v>
      </c>
      <c r="H1928" s="199" t="s">
        <v>400</v>
      </c>
      <c r="I1928" s="198">
        <f t="shared" si="226"/>
        <v>0</v>
      </c>
      <c r="J1928" s="199" t="s">
        <v>93</v>
      </c>
      <c r="K1928" s="188">
        <v>0</v>
      </c>
      <c r="L1928" s="209" t="s">
        <v>675</v>
      </c>
      <c r="M1928" s="198">
        <f t="shared" si="227"/>
        <v>0</v>
      </c>
      <c r="N1928" s="198">
        <f>'02 项目基础信息（输入）'!$C$60</f>
        <v>0</v>
      </c>
      <c r="O1928" s="198">
        <f t="shared" si="224"/>
        <v>0</v>
      </c>
      <c r="P1928" s="198">
        <f>'02 项目基础信息（输入）'!$I$60</f>
        <v>0</v>
      </c>
      <c r="Q1928" s="233">
        <f t="shared" si="225"/>
        <v>0</v>
      </c>
      <c r="S1928" s="217"/>
      <c r="U1928" s="220" t="s">
        <v>3717</v>
      </c>
    </row>
    <row r="1929" spans="1:21" ht="0" hidden="1" customHeight="1" outlineLevel="4">
      <c r="A1929" s="192" t="s">
        <v>2134</v>
      </c>
      <c r="B1929" s="192"/>
      <c r="C1929" s="197" t="s">
        <v>2130</v>
      </c>
      <c r="D1929" s="198">
        <f>'02 项目基础信息（输入）'!$K$60</f>
        <v>0</v>
      </c>
      <c r="E1929" s="199" t="s">
        <v>411</v>
      </c>
      <c r="F1929" s="197" t="s">
        <v>457</v>
      </c>
      <c r="G1929" s="235">
        <f>'02 项目基础信息（输入）'!$L$60</f>
        <v>0</v>
      </c>
      <c r="H1929" s="199" t="s">
        <v>400</v>
      </c>
      <c r="I1929" s="198">
        <f t="shared" si="226"/>
        <v>0</v>
      </c>
      <c r="J1929" s="199" t="s">
        <v>93</v>
      </c>
      <c r="K1929" s="188">
        <v>0</v>
      </c>
      <c r="L1929" s="209" t="s">
        <v>675</v>
      </c>
      <c r="M1929" s="198">
        <f t="shared" si="227"/>
        <v>0</v>
      </c>
      <c r="N1929" s="198">
        <f>'02 项目基础信息（输入）'!$C$60</f>
        <v>0</v>
      </c>
      <c r="O1929" s="198">
        <f t="shared" si="224"/>
        <v>0</v>
      </c>
      <c r="P1929" s="198">
        <f>'02 项目基础信息（输入）'!$I$60</f>
        <v>0</v>
      </c>
      <c r="Q1929" s="233">
        <f t="shared" si="225"/>
        <v>0</v>
      </c>
      <c r="S1929" s="217"/>
      <c r="U1929" s="220" t="s">
        <v>3718</v>
      </c>
    </row>
    <row r="1930" spans="1:21" ht="0" hidden="1" customHeight="1" outlineLevel="4">
      <c r="A1930" s="192" t="s">
        <v>2136</v>
      </c>
      <c r="B1930" s="192"/>
      <c r="C1930" s="197" t="s">
        <v>2130</v>
      </c>
      <c r="D1930" s="198">
        <f>'02 项目基础信息（输入）'!$K$60</f>
        <v>0</v>
      </c>
      <c r="E1930" s="199" t="s">
        <v>411</v>
      </c>
      <c r="F1930" s="197" t="s">
        <v>457</v>
      </c>
      <c r="G1930" s="235">
        <f>'02 项目基础信息（输入）'!$L$60</f>
        <v>0</v>
      </c>
      <c r="H1930" s="199" t="s">
        <v>400</v>
      </c>
      <c r="I1930" s="198">
        <f t="shared" si="226"/>
        <v>0</v>
      </c>
      <c r="J1930" s="199" t="s">
        <v>93</v>
      </c>
      <c r="K1930" s="188">
        <v>0</v>
      </c>
      <c r="L1930" s="209" t="s">
        <v>675</v>
      </c>
      <c r="M1930" s="198">
        <f t="shared" si="227"/>
        <v>0</v>
      </c>
      <c r="N1930" s="198">
        <f>'02 项目基础信息（输入）'!$C$60</f>
        <v>0</v>
      </c>
      <c r="O1930" s="198">
        <f t="shared" si="224"/>
        <v>0</v>
      </c>
      <c r="P1930" s="198">
        <f>'02 项目基础信息（输入）'!$I$60</f>
        <v>0</v>
      </c>
      <c r="Q1930" s="233">
        <f t="shared" si="225"/>
        <v>0</v>
      </c>
      <c r="S1930" s="217"/>
      <c r="U1930" s="220" t="s">
        <v>3719</v>
      </c>
    </row>
    <row r="1931" spans="1:21" ht="0" hidden="1" customHeight="1" outlineLevel="4">
      <c r="A1931" s="192" t="s">
        <v>2138</v>
      </c>
      <c r="B1931" s="192"/>
      <c r="C1931" s="197" t="s">
        <v>2130</v>
      </c>
      <c r="D1931" s="198">
        <f>'02 项目基础信息（输入）'!$K$60</f>
        <v>0</v>
      </c>
      <c r="E1931" s="199" t="s">
        <v>411</v>
      </c>
      <c r="F1931" s="197" t="s">
        <v>457</v>
      </c>
      <c r="G1931" s="235">
        <f>'02 项目基础信息（输入）'!$L$60</f>
        <v>0</v>
      </c>
      <c r="H1931" s="199" t="s">
        <v>400</v>
      </c>
      <c r="I1931" s="198">
        <f t="shared" si="226"/>
        <v>0</v>
      </c>
      <c r="J1931" s="199" t="s">
        <v>93</v>
      </c>
      <c r="K1931" s="188">
        <v>0</v>
      </c>
      <c r="L1931" s="209" t="s">
        <v>675</v>
      </c>
      <c r="M1931" s="198">
        <f t="shared" si="227"/>
        <v>0</v>
      </c>
      <c r="N1931" s="198">
        <f>'02 项目基础信息（输入）'!$C$60</f>
        <v>0</v>
      </c>
      <c r="O1931" s="198">
        <f t="shared" si="224"/>
        <v>0</v>
      </c>
      <c r="P1931" s="198">
        <f>'02 项目基础信息（输入）'!$I$60</f>
        <v>0</v>
      </c>
      <c r="Q1931" s="233">
        <f t="shared" si="225"/>
        <v>0</v>
      </c>
      <c r="S1931" s="217"/>
      <c r="U1931" s="220" t="s">
        <v>3720</v>
      </c>
    </row>
    <row r="1932" spans="1:21" ht="0" hidden="1" customHeight="1" outlineLevel="4">
      <c r="A1932" s="192" t="s">
        <v>2140</v>
      </c>
      <c r="B1932" s="192"/>
      <c r="C1932" s="197" t="s">
        <v>2130</v>
      </c>
      <c r="D1932" s="198">
        <f>'02 项目基础信息（输入）'!$K$60</f>
        <v>0</v>
      </c>
      <c r="E1932" s="199" t="s">
        <v>411</v>
      </c>
      <c r="F1932" s="197" t="s">
        <v>457</v>
      </c>
      <c r="G1932" s="235">
        <f>'02 项目基础信息（输入）'!$L$60</f>
        <v>0</v>
      </c>
      <c r="H1932" s="199" t="s">
        <v>400</v>
      </c>
      <c r="I1932" s="198">
        <f t="shared" si="226"/>
        <v>0</v>
      </c>
      <c r="J1932" s="199" t="s">
        <v>93</v>
      </c>
      <c r="K1932" s="188">
        <v>0</v>
      </c>
      <c r="L1932" s="209" t="s">
        <v>675</v>
      </c>
      <c r="M1932" s="198">
        <f t="shared" si="227"/>
        <v>0</v>
      </c>
      <c r="N1932" s="198">
        <f>'02 项目基础信息（输入）'!$C$60</f>
        <v>0</v>
      </c>
      <c r="O1932" s="198">
        <f t="shared" si="224"/>
        <v>0</v>
      </c>
      <c r="P1932" s="198">
        <f>'02 项目基础信息（输入）'!$I$60</f>
        <v>0</v>
      </c>
      <c r="Q1932" s="233">
        <f t="shared" si="225"/>
        <v>0</v>
      </c>
      <c r="S1932" s="217"/>
      <c r="U1932" s="220" t="s">
        <v>3721</v>
      </c>
    </row>
    <row r="1933" spans="1:21" ht="0" hidden="1" customHeight="1" outlineLevel="4">
      <c r="A1933" s="192" t="s">
        <v>2142</v>
      </c>
      <c r="B1933" s="192"/>
      <c r="C1933" s="197" t="s">
        <v>2130</v>
      </c>
      <c r="D1933" s="198">
        <f>'02 项目基础信息（输入）'!$K$60</f>
        <v>0</v>
      </c>
      <c r="E1933" s="199" t="s">
        <v>411</v>
      </c>
      <c r="F1933" s="197" t="s">
        <v>457</v>
      </c>
      <c r="G1933" s="235">
        <f>'02 项目基础信息（输入）'!$L$60</f>
        <v>0</v>
      </c>
      <c r="H1933" s="199" t="s">
        <v>400</v>
      </c>
      <c r="I1933" s="198">
        <f t="shared" si="226"/>
        <v>0</v>
      </c>
      <c r="J1933" s="199" t="s">
        <v>93</v>
      </c>
      <c r="K1933" s="188">
        <v>0</v>
      </c>
      <c r="L1933" s="209" t="s">
        <v>675</v>
      </c>
      <c r="M1933" s="198">
        <f t="shared" si="227"/>
        <v>0</v>
      </c>
      <c r="N1933" s="198">
        <f>'02 项目基础信息（输入）'!$C$60</f>
        <v>0</v>
      </c>
      <c r="O1933" s="198">
        <f t="shared" si="224"/>
        <v>0</v>
      </c>
      <c r="P1933" s="198">
        <f>'02 项目基础信息（输入）'!$I$60</f>
        <v>0</v>
      </c>
      <c r="Q1933" s="233">
        <f t="shared" si="225"/>
        <v>0</v>
      </c>
      <c r="S1933" s="217"/>
      <c r="U1933" s="220" t="s">
        <v>3722</v>
      </c>
    </row>
    <row r="1934" spans="1:21" ht="0" hidden="1" customHeight="1" outlineLevel="4">
      <c r="A1934" s="192" t="s">
        <v>2144</v>
      </c>
      <c r="B1934" s="192"/>
      <c r="C1934" s="197" t="s">
        <v>2130</v>
      </c>
      <c r="D1934" s="198">
        <f>'02 项目基础信息（输入）'!$K$60</f>
        <v>0</v>
      </c>
      <c r="E1934" s="199" t="s">
        <v>411</v>
      </c>
      <c r="F1934" s="197" t="s">
        <v>457</v>
      </c>
      <c r="G1934" s="235">
        <f>'02 项目基础信息（输入）'!$L$60</f>
        <v>0</v>
      </c>
      <c r="H1934" s="199" t="s">
        <v>400</v>
      </c>
      <c r="I1934" s="198">
        <f t="shared" si="226"/>
        <v>0</v>
      </c>
      <c r="J1934" s="199" t="s">
        <v>93</v>
      </c>
      <c r="K1934" s="188">
        <v>0</v>
      </c>
      <c r="L1934" s="209" t="s">
        <v>675</v>
      </c>
      <c r="M1934" s="198">
        <f t="shared" si="227"/>
        <v>0</v>
      </c>
      <c r="N1934" s="198">
        <f>'02 项目基础信息（输入）'!$C$60</f>
        <v>0</v>
      </c>
      <c r="O1934" s="198">
        <f t="shared" si="224"/>
        <v>0</v>
      </c>
      <c r="P1934" s="198">
        <f>'02 项目基础信息（输入）'!$I$60</f>
        <v>0</v>
      </c>
      <c r="Q1934" s="233">
        <f t="shared" si="225"/>
        <v>0</v>
      </c>
      <c r="S1934" s="217"/>
      <c r="U1934" s="220" t="s">
        <v>3723</v>
      </c>
    </row>
    <row r="1935" spans="1:21" ht="0" hidden="1" customHeight="1" outlineLevel="3">
      <c r="A1935" s="192" t="s">
        <v>2146</v>
      </c>
      <c r="B1935" s="192"/>
      <c r="C1935" s="197" t="s">
        <v>455</v>
      </c>
      <c r="D1935" s="198">
        <f>'02 项目基础信息（输入）'!$J$60</f>
        <v>0</v>
      </c>
      <c r="E1935" s="199" t="s">
        <v>400</v>
      </c>
      <c r="F1935" s="197" t="s">
        <v>455</v>
      </c>
      <c r="G1935" s="199">
        <v>1</v>
      </c>
      <c r="H1935" s="199" t="s">
        <v>1748</v>
      </c>
      <c r="I1935" s="198">
        <f t="shared" si="226"/>
        <v>0</v>
      </c>
      <c r="J1935" s="199" t="s">
        <v>400</v>
      </c>
      <c r="K1935" s="188">
        <v>0</v>
      </c>
      <c r="L1935" s="209" t="s">
        <v>1749</v>
      </c>
      <c r="M1935" s="198">
        <f t="shared" si="227"/>
        <v>0</v>
      </c>
      <c r="N1935" s="198">
        <f>'02 项目基础信息（输入）'!$C$60</f>
        <v>0</v>
      </c>
      <c r="O1935" s="198">
        <f t="shared" si="224"/>
        <v>0</v>
      </c>
      <c r="P1935" s="198">
        <f>'02 项目基础信息（输入）'!$I$60</f>
        <v>0</v>
      </c>
      <c r="Q1935" s="233">
        <f t="shared" si="225"/>
        <v>0</v>
      </c>
      <c r="S1935" s="217"/>
      <c r="U1935" s="220" t="s">
        <v>3724</v>
      </c>
    </row>
    <row r="1936" spans="1:21" ht="0" hidden="1" customHeight="1" outlineLevel="3">
      <c r="A1936" s="192" t="s">
        <v>2148</v>
      </c>
      <c r="B1936" s="192"/>
      <c r="C1936" s="197" t="s">
        <v>309</v>
      </c>
      <c r="D1936" s="198">
        <f>'02 项目基础信息（输入）'!$AC$60</f>
        <v>0</v>
      </c>
      <c r="E1936" s="199" t="s">
        <v>310</v>
      </c>
      <c r="F1936" s="197" t="s">
        <v>2149</v>
      </c>
      <c r="G1936" s="199">
        <v>1</v>
      </c>
      <c r="H1936" s="199" t="s">
        <v>2150</v>
      </c>
      <c r="I1936" s="198">
        <f t="shared" si="226"/>
        <v>0</v>
      </c>
      <c r="J1936" s="199" t="s">
        <v>400</v>
      </c>
      <c r="K1936" s="188">
        <v>0</v>
      </c>
      <c r="L1936" s="209" t="s">
        <v>1749</v>
      </c>
      <c r="M1936" s="207">
        <f t="shared" si="227"/>
        <v>0</v>
      </c>
      <c r="N1936" s="198">
        <f>'02 项目基础信息（输入）'!$C$60</f>
        <v>0</v>
      </c>
      <c r="O1936" s="198">
        <f t="shared" si="224"/>
        <v>0</v>
      </c>
      <c r="P1936" s="198">
        <f>'02 项目基础信息（输入）'!$I$60</f>
        <v>0</v>
      </c>
      <c r="Q1936" s="233">
        <f t="shared" si="225"/>
        <v>0</v>
      </c>
      <c r="S1936" s="217"/>
      <c r="U1936" s="220" t="s">
        <v>3725</v>
      </c>
    </row>
    <row r="1937" spans="1:21" ht="0" hidden="1" customHeight="1" outlineLevel="3">
      <c r="A1937" s="192" t="s">
        <v>1868</v>
      </c>
      <c r="B1937" s="192"/>
      <c r="C1937" s="197" t="s">
        <v>1609</v>
      </c>
      <c r="D1937" s="198">
        <f>'02 项目基础信息（输入）'!$C$60</f>
        <v>0</v>
      </c>
      <c r="E1937" s="199" t="s">
        <v>93</v>
      </c>
      <c r="F1937" s="197" t="s">
        <v>1648</v>
      </c>
      <c r="G1937" s="82">
        <v>0</v>
      </c>
      <c r="H1937" s="199" t="s">
        <v>298</v>
      </c>
      <c r="I1937" s="198">
        <f t="shared" si="226"/>
        <v>0</v>
      </c>
      <c r="J1937" s="199" t="s">
        <v>93</v>
      </c>
      <c r="K1937" s="188">
        <v>0</v>
      </c>
      <c r="L1937" s="209" t="s">
        <v>675</v>
      </c>
      <c r="M1937" s="207">
        <f t="shared" si="227"/>
        <v>0</v>
      </c>
      <c r="N1937" s="198">
        <f>'02 项目基础信息（输入）'!$C$60</f>
        <v>0</v>
      </c>
      <c r="O1937" s="198">
        <f t="shared" si="224"/>
        <v>0</v>
      </c>
      <c r="P1937" s="198">
        <f>'02 项目基础信息（输入）'!$I$60</f>
        <v>0</v>
      </c>
      <c r="Q1937" s="233">
        <f t="shared" si="225"/>
        <v>0</v>
      </c>
      <c r="S1937" s="217"/>
      <c r="U1937" s="220" t="s">
        <v>3726</v>
      </c>
    </row>
    <row r="1938" spans="1:21" ht="0" hidden="1" customHeight="1" outlineLevel="2">
      <c r="A1938" s="192" t="s">
        <v>1870</v>
      </c>
      <c r="B1938" s="192"/>
      <c r="C1938" s="197" t="s">
        <v>1609</v>
      </c>
      <c r="D1938" s="198">
        <f>'02 项目基础信息（输入）'!$C$60</f>
        <v>0</v>
      </c>
      <c r="E1938" s="199" t="s">
        <v>93</v>
      </c>
      <c r="F1938" s="197"/>
      <c r="G1938" s="199"/>
      <c r="H1938" s="199"/>
      <c r="I1938" s="197"/>
      <c r="J1938" s="199"/>
      <c r="K1938" s="198"/>
      <c r="L1938" s="209"/>
      <c r="M1938" s="198">
        <f>ROUND(SUM(M1939),6)</f>
        <v>0</v>
      </c>
      <c r="N1938" s="198">
        <f>'02 项目基础信息（输入）'!$C$60</f>
        <v>0</v>
      </c>
      <c r="O1938" s="198">
        <f t="shared" si="224"/>
        <v>0</v>
      </c>
      <c r="P1938" s="198">
        <f>'02 项目基础信息（输入）'!$I$60</f>
        <v>0</v>
      </c>
      <c r="Q1938" s="233">
        <f t="shared" si="225"/>
        <v>0</v>
      </c>
      <c r="S1938" s="217" t="s">
        <v>1313</v>
      </c>
      <c r="U1938" s="220" t="s">
        <v>3727</v>
      </c>
    </row>
    <row r="1939" spans="1:21" ht="0" hidden="1" customHeight="1" outlineLevel="3">
      <c r="A1939" s="192" t="s">
        <v>1872</v>
      </c>
      <c r="B1939" s="192"/>
      <c r="C1939" s="197" t="s">
        <v>460</v>
      </c>
      <c r="D1939" s="198">
        <f>'02 项目基础信息（输入）'!$O$60</f>
        <v>0</v>
      </c>
      <c r="E1939" s="199" t="s">
        <v>400</v>
      </c>
      <c r="F1939" s="197" t="s">
        <v>460</v>
      </c>
      <c r="G1939" s="199">
        <v>1</v>
      </c>
      <c r="H1939" s="199" t="s">
        <v>1873</v>
      </c>
      <c r="I1939" s="198">
        <f>G1939*D1939</f>
        <v>0</v>
      </c>
      <c r="J1939" s="199" t="s">
        <v>1052</v>
      </c>
      <c r="K1939" s="188">
        <v>0</v>
      </c>
      <c r="L1939" s="209" t="s">
        <v>746</v>
      </c>
      <c r="M1939" s="207">
        <f>ROUND(K1939*I1939/10000,6)</f>
        <v>0</v>
      </c>
      <c r="N1939" s="198">
        <f>'02 项目基础信息（输入）'!$C$60</f>
        <v>0</v>
      </c>
      <c r="O1939" s="198">
        <f t="shared" si="224"/>
        <v>0</v>
      </c>
      <c r="P1939" s="198">
        <f>'02 项目基础信息（输入）'!$I$60</f>
        <v>0</v>
      </c>
      <c r="Q1939" s="233">
        <f t="shared" si="225"/>
        <v>0</v>
      </c>
      <c r="S1939" s="217"/>
      <c r="U1939" s="220" t="s">
        <v>3728</v>
      </c>
    </row>
    <row r="1940" spans="1:21" ht="0" hidden="1" customHeight="1" outlineLevel="2">
      <c r="A1940" s="192" t="s">
        <v>1875</v>
      </c>
      <c r="B1940" s="192"/>
      <c r="C1940" s="197" t="s">
        <v>1609</v>
      </c>
      <c r="D1940" s="198">
        <f>'02 项目基础信息（输入）'!$C$60</f>
        <v>0</v>
      </c>
      <c r="E1940" s="199" t="s">
        <v>93</v>
      </c>
      <c r="F1940" s="197"/>
      <c r="G1940" s="199"/>
      <c r="H1940" s="199"/>
      <c r="I1940" s="197"/>
      <c r="J1940" s="199"/>
      <c r="K1940" s="198"/>
      <c r="L1940" s="209"/>
      <c r="M1940" s="198">
        <f>ROUND(SUM(M1941:M1943),6)</f>
        <v>0</v>
      </c>
      <c r="N1940" s="198">
        <f>'02 项目基础信息（输入）'!$C$60</f>
        <v>0</v>
      </c>
      <c r="O1940" s="198">
        <f t="shared" si="224"/>
        <v>0</v>
      </c>
      <c r="P1940" s="198">
        <f>'02 项目基础信息（输入）'!$I$60</f>
        <v>0</v>
      </c>
      <c r="Q1940" s="233">
        <f t="shared" si="225"/>
        <v>0</v>
      </c>
      <c r="S1940" s="217" t="s">
        <v>1313</v>
      </c>
      <c r="U1940" s="220" t="s">
        <v>3729</v>
      </c>
    </row>
    <row r="1941" spans="1:21" ht="0" hidden="1" customHeight="1" outlineLevel="3">
      <c r="A1941" s="192" t="s">
        <v>1877</v>
      </c>
      <c r="B1941" s="192"/>
      <c r="C1941" s="197" t="s">
        <v>1609</v>
      </c>
      <c r="D1941" s="198">
        <f>'02 项目基础信息（输入）'!$C$60</f>
        <v>0</v>
      </c>
      <c r="E1941" s="199" t="s">
        <v>93</v>
      </c>
      <c r="F1941" s="197" t="s">
        <v>694</v>
      </c>
      <c r="G1941" s="82"/>
      <c r="H1941" s="199" t="s">
        <v>298</v>
      </c>
      <c r="I1941" s="198">
        <f>G1941*D1941</f>
        <v>0</v>
      </c>
      <c r="J1941" s="199" t="s">
        <v>93</v>
      </c>
      <c r="K1941" s="188">
        <v>0</v>
      </c>
      <c r="L1941" s="209" t="s">
        <v>675</v>
      </c>
      <c r="M1941" s="207">
        <f>ROUND(K1941*I1941/10000,6)</f>
        <v>0</v>
      </c>
      <c r="N1941" s="198">
        <f>'02 项目基础信息（输入）'!$C$60</f>
        <v>0</v>
      </c>
      <c r="O1941" s="198">
        <f t="shared" si="224"/>
        <v>0</v>
      </c>
      <c r="P1941" s="198">
        <f>'02 项目基础信息（输入）'!$I$60</f>
        <v>0</v>
      </c>
      <c r="Q1941" s="233">
        <f t="shared" si="225"/>
        <v>0</v>
      </c>
      <c r="S1941" s="217"/>
      <c r="U1941" s="220" t="s">
        <v>3730</v>
      </c>
    </row>
    <row r="1942" spans="1:21" ht="0" hidden="1" customHeight="1" outlineLevel="3">
      <c r="A1942" s="192" t="s">
        <v>1879</v>
      </c>
      <c r="B1942" s="192"/>
      <c r="C1942" s="197" t="s">
        <v>1609</v>
      </c>
      <c r="D1942" s="198">
        <f>'02 项目基础信息（输入）'!$C$60</f>
        <v>0</v>
      </c>
      <c r="E1942" s="199" t="s">
        <v>93</v>
      </c>
      <c r="F1942" s="197" t="s">
        <v>694</v>
      </c>
      <c r="G1942" s="82"/>
      <c r="H1942" s="199" t="s">
        <v>298</v>
      </c>
      <c r="I1942" s="198">
        <f>G1942*D1942</f>
        <v>0</v>
      </c>
      <c r="J1942" s="199" t="s">
        <v>93</v>
      </c>
      <c r="K1942" s="188">
        <v>0</v>
      </c>
      <c r="L1942" s="209" t="s">
        <v>675</v>
      </c>
      <c r="M1942" s="207">
        <f>ROUND(K1942*I1942/10000,6)</f>
        <v>0</v>
      </c>
      <c r="N1942" s="198">
        <f>'02 项目基础信息（输入）'!$C$60</f>
        <v>0</v>
      </c>
      <c r="O1942" s="198">
        <f t="shared" si="224"/>
        <v>0</v>
      </c>
      <c r="P1942" s="198">
        <f>'02 项目基础信息（输入）'!$I$60</f>
        <v>0</v>
      </c>
      <c r="Q1942" s="233">
        <f t="shared" si="225"/>
        <v>0</v>
      </c>
      <c r="S1942" s="217"/>
      <c r="U1942" s="220" t="s">
        <v>3731</v>
      </c>
    </row>
    <row r="1943" spans="1:21" ht="0" hidden="1" customHeight="1" outlineLevel="3">
      <c r="A1943" s="192" t="s">
        <v>1881</v>
      </c>
      <c r="B1943" s="192"/>
      <c r="C1943" s="197" t="s">
        <v>1609</v>
      </c>
      <c r="D1943" s="198">
        <f>'02 项目基础信息（输入）'!$C$60</f>
        <v>0</v>
      </c>
      <c r="E1943" s="199" t="s">
        <v>93</v>
      </c>
      <c r="F1943" s="197" t="s">
        <v>694</v>
      </c>
      <c r="G1943" s="82"/>
      <c r="H1943" s="199" t="s">
        <v>298</v>
      </c>
      <c r="I1943" s="198">
        <f>G1943*D1943</f>
        <v>0</v>
      </c>
      <c r="J1943" s="199" t="s">
        <v>93</v>
      </c>
      <c r="K1943" s="188">
        <v>0</v>
      </c>
      <c r="L1943" s="209" t="s">
        <v>675</v>
      </c>
      <c r="M1943" s="207">
        <f>ROUND(K1943*I1943/10000,6)</f>
        <v>0</v>
      </c>
      <c r="N1943" s="198">
        <f>'02 项目基础信息（输入）'!$C$60</f>
        <v>0</v>
      </c>
      <c r="O1943" s="198">
        <f t="shared" si="224"/>
        <v>0</v>
      </c>
      <c r="P1943" s="198">
        <f>'02 项目基础信息（输入）'!$I$60</f>
        <v>0</v>
      </c>
      <c r="Q1943" s="233">
        <f t="shared" si="225"/>
        <v>0</v>
      </c>
      <c r="S1943" s="217"/>
      <c r="U1943" s="220" t="s">
        <v>3732</v>
      </c>
    </row>
    <row r="1944" spans="1:21" ht="0" hidden="1" customHeight="1" outlineLevel="2">
      <c r="A1944" s="192" t="s">
        <v>2159</v>
      </c>
      <c r="B1944" s="192"/>
      <c r="C1944" s="197" t="s">
        <v>1609</v>
      </c>
      <c r="D1944" s="198">
        <f>'02 项目基础信息（输入）'!$C$60</f>
        <v>0</v>
      </c>
      <c r="E1944" s="199" t="s">
        <v>93</v>
      </c>
      <c r="F1944" s="197"/>
      <c r="G1944" s="199"/>
      <c r="H1944" s="199"/>
      <c r="I1944" s="197"/>
      <c r="J1944" s="199"/>
      <c r="K1944" s="198"/>
      <c r="L1944" s="209"/>
      <c r="M1944" s="198">
        <f>ROUND(SUM(M1945),6)</f>
        <v>0</v>
      </c>
      <c r="N1944" s="198">
        <f>'02 项目基础信息（输入）'!$C$60</f>
        <v>0</v>
      </c>
      <c r="O1944" s="198">
        <f t="shared" si="224"/>
        <v>0</v>
      </c>
      <c r="P1944" s="198">
        <f>'02 项目基础信息（输入）'!$I$60</f>
        <v>0</v>
      </c>
      <c r="Q1944" s="233">
        <f t="shared" si="225"/>
        <v>0</v>
      </c>
      <c r="S1944" s="217" t="s">
        <v>1313</v>
      </c>
      <c r="U1944" s="220" t="s">
        <v>3733</v>
      </c>
    </row>
    <row r="1945" spans="1:21" ht="0" hidden="1" customHeight="1" outlineLevel="3">
      <c r="A1945" s="192" t="s">
        <v>2161</v>
      </c>
      <c r="B1945" s="192"/>
      <c r="C1945" s="197" t="s">
        <v>1609</v>
      </c>
      <c r="D1945" s="198">
        <f>'02 项目基础信息（输入）'!$C$60</f>
        <v>0</v>
      </c>
      <c r="E1945" s="199" t="s">
        <v>93</v>
      </c>
      <c r="F1945" s="197" t="s">
        <v>1886</v>
      </c>
      <c r="G1945" s="199">
        <v>1</v>
      </c>
      <c r="H1945" s="199" t="s">
        <v>298</v>
      </c>
      <c r="I1945" s="198">
        <f>G1945*D1945</f>
        <v>0</v>
      </c>
      <c r="J1945" s="199" t="s">
        <v>93</v>
      </c>
      <c r="K1945" s="188">
        <v>0</v>
      </c>
      <c r="L1945" s="209" t="s">
        <v>675</v>
      </c>
      <c r="M1945" s="207">
        <f>ROUND(K1945*I1945/10000,6)</f>
        <v>0</v>
      </c>
      <c r="N1945" s="198">
        <f>'02 项目基础信息（输入）'!$C$60</f>
        <v>0</v>
      </c>
      <c r="O1945" s="198">
        <f t="shared" si="224"/>
        <v>0</v>
      </c>
      <c r="P1945" s="198">
        <f>'02 项目基础信息（输入）'!$I$60</f>
        <v>0</v>
      </c>
      <c r="Q1945" s="233">
        <f t="shared" si="225"/>
        <v>0</v>
      </c>
      <c r="S1945" s="217"/>
      <c r="U1945" s="220" t="s">
        <v>3734</v>
      </c>
    </row>
    <row r="1946" spans="1:21" ht="0" hidden="1" customHeight="1" outlineLevel="2">
      <c r="A1946" s="192" t="s">
        <v>1883</v>
      </c>
      <c r="B1946" s="192"/>
      <c r="C1946" s="197" t="s">
        <v>1609</v>
      </c>
      <c r="D1946" s="198">
        <f>'02 项目基础信息（输入）'!$C$60</f>
        <v>0</v>
      </c>
      <c r="E1946" s="199" t="s">
        <v>93</v>
      </c>
      <c r="F1946" s="197"/>
      <c r="G1946" s="199"/>
      <c r="H1946" s="199"/>
      <c r="I1946" s="197"/>
      <c r="J1946" s="199"/>
      <c r="K1946" s="198"/>
      <c r="L1946" s="209"/>
      <c r="M1946" s="198">
        <f>ROUND(SUM(M1947),6)</f>
        <v>0</v>
      </c>
      <c r="N1946" s="198">
        <f>'02 项目基础信息（输入）'!$C$60</f>
        <v>0</v>
      </c>
      <c r="O1946" s="198">
        <f t="shared" si="224"/>
        <v>0</v>
      </c>
      <c r="P1946" s="198">
        <f>'02 项目基础信息（输入）'!$I$60</f>
        <v>0</v>
      </c>
      <c r="Q1946" s="233">
        <f t="shared" si="225"/>
        <v>0</v>
      </c>
      <c r="S1946" s="217" t="s">
        <v>1313</v>
      </c>
      <c r="U1946" s="220" t="s">
        <v>3735</v>
      </c>
    </row>
    <row r="1947" spans="1:21" ht="0" hidden="1" customHeight="1" outlineLevel="3">
      <c r="A1947" s="192" t="s">
        <v>1885</v>
      </c>
      <c r="B1947" s="192"/>
      <c r="C1947" s="197" t="s">
        <v>1609</v>
      </c>
      <c r="D1947" s="198">
        <f>'02 项目基础信息（输入）'!$C$60</f>
        <v>0</v>
      </c>
      <c r="E1947" s="199" t="s">
        <v>93</v>
      </c>
      <c r="F1947" s="197" t="s">
        <v>1886</v>
      </c>
      <c r="G1947" s="199">
        <v>1</v>
      </c>
      <c r="H1947" s="199" t="s">
        <v>298</v>
      </c>
      <c r="I1947" s="198">
        <f>G1947*D1947</f>
        <v>0</v>
      </c>
      <c r="J1947" s="199" t="s">
        <v>93</v>
      </c>
      <c r="K1947" s="188">
        <v>0</v>
      </c>
      <c r="L1947" s="209" t="s">
        <v>675</v>
      </c>
      <c r="M1947" s="207">
        <f>ROUND(K1947*I1947/10000,6)</f>
        <v>0</v>
      </c>
      <c r="N1947" s="198">
        <f>'02 项目基础信息（输入）'!$C$60</f>
        <v>0</v>
      </c>
      <c r="O1947" s="198">
        <f t="shared" si="224"/>
        <v>0</v>
      </c>
      <c r="P1947" s="198">
        <f>'02 项目基础信息（输入）'!$I$60</f>
        <v>0</v>
      </c>
      <c r="Q1947" s="233">
        <f t="shared" si="225"/>
        <v>0</v>
      </c>
      <c r="S1947" s="217"/>
      <c r="U1947" s="220" t="s">
        <v>3736</v>
      </c>
    </row>
    <row r="1948" spans="1:21" ht="0" hidden="1" customHeight="1" outlineLevel="2">
      <c r="A1948" s="192" t="s">
        <v>1888</v>
      </c>
      <c r="B1948" s="192"/>
      <c r="C1948" s="197" t="s">
        <v>1609</v>
      </c>
      <c r="D1948" s="198">
        <f>'02 项目基础信息（输入）'!$C$60</f>
        <v>0</v>
      </c>
      <c r="E1948" s="199" t="s">
        <v>93</v>
      </c>
      <c r="F1948" s="197"/>
      <c r="G1948" s="199"/>
      <c r="H1948" s="199"/>
      <c r="I1948" s="197"/>
      <c r="J1948" s="199"/>
      <c r="K1948" s="198"/>
      <c r="L1948" s="209"/>
      <c r="M1948" s="198">
        <f>ROUND(SUM(M1949:M1953),6)</f>
        <v>0</v>
      </c>
      <c r="N1948" s="198">
        <f>'02 项目基础信息（输入）'!$C$60</f>
        <v>0</v>
      </c>
      <c r="O1948" s="198">
        <f t="shared" si="224"/>
        <v>0</v>
      </c>
      <c r="P1948" s="198">
        <f>'02 项目基础信息（输入）'!$I$60</f>
        <v>0</v>
      </c>
      <c r="Q1948" s="233">
        <f t="shared" si="225"/>
        <v>0</v>
      </c>
      <c r="S1948" s="217" t="s">
        <v>1313</v>
      </c>
      <c r="U1948" s="220" t="s">
        <v>3737</v>
      </c>
    </row>
    <row r="1949" spans="1:21" ht="0" hidden="1" customHeight="1" outlineLevel="3">
      <c r="A1949" s="192" t="s">
        <v>1890</v>
      </c>
      <c r="B1949" s="192"/>
      <c r="C1949" s="197" t="s">
        <v>1609</v>
      </c>
      <c r="D1949" s="198">
        <f>'02 项目基础信息（输入）'!$C$60</f>
        <v>0</v>
      </c>
      <c r="E1949" s="199" t="s">
        <v>93</v>
      </c>
      <c r="F1949" s="197" t="s">
        <v>1886</v>
      </c>
      <c r="G1949" s="199">
        <v>1</v>
      </c>
      <c r="H1949" s="199" t="s">
        <v>298</v>
      </c>
      <c r="I1949" s="198">
        <f>G1949*D1949</f>
        <v>0</v>
      </c>
      <c r="J1949" s="199" t="s">
        <v>93</v>
      </c>
      <c r="K1949" s="188">
        <v>0</v>
      </c>
      <c r="L1949" s="209" t="s">
        <v>675</v>
      </c>
      <c r="M1949" s="207">
        <f>ROUND(K1949*I1949/10000,6)</f>
        <v>0</v>
      </c>
      <c r="N1949" s="198">
        <f>'02 项目基础信息（输入）'!$C$60</f>
        <v>0</v>
      </c>
      <c r="O1949" s="198">
        <f t="shared" si="224"/>
        <v>0</v>
      </c>
      <c r="P1949" s="198">
        <f>'02 项目基础信息（输入）'!$I$60</f>
        <v>0</v>
      </c>
      <c r="Q1949" s="233">
        <f t="shared" si="225"/>
        <v>0</v>
      </c>
      <c r="S1949" s="217"/>
      <c r="U1949" s="220" t="s">
        <v>3738</v>
      </c>
    </row>
    <row r="1950" spans="1:21" ht="0" hidden="1" customHeight="1" outlineLevel="3">
      <c r="A1950" s="192" t="s">
        <v>1892</v>
      </c>
      <c r="B1950" s="192"/>
      <c r="C1950" s="197" t="s">
        <v>1609</v>
      </c>
      <c r="D1950" s="198">
        <f>'02 项目基础信息（输入）'!$C$60</f>
        <v>0</v>
      </c>
      <c r="E1950" s="199" t="s">
        <v>93</v>
      </c>
      <c r="F1950" s="197" t="s">
        <v>1886</v>
      </c>
      <c r="G1950" s="199">
        <v>1</v>
      </c>
      <c r="H1950" s="199" t="s">
        <v>298</v>
      </c>
      <c r="I1950" s="198">
        <f>G1950*D1950</f>
        <v>0</v>
      </c>
      <c r="J1950" s="199" t="s">
        <v>93</v>
      </c>
      <c r="K1950" s="188">
        <v>0</v>
      </c>
      <c r="L1950" s="209" t="s">
        <v>675</v>
      </c>
      <c r="M1950" s="207">
        <f>ROUND(K1950*I1950/10000,6)</f>
        <v>0</v>
      </c>
      <c r="N1950" s="198">
        <f>'02 项目基础信息（输入）'!$C$60</f>
        <v>0</v>
      </c>
      <c r="O1950" s="198">
        <f t="shared" si="224"/>
        <v>0</v>
      </c>
      <c r="P1950" s="198">
        <f>'02 项目基础信息（输入）'!$I$60</f>
        <v>0</v>
      </c>
      <c r="Q1950" s="233">
        <f t="shared" si="225"/>
        <v>0</v>
      </c>
      <c r="S1950" s="217"/>
      <c r="U1950" s="220" t="s">
        <v>3739</v>
      </c>
    </row>
    <row r="1951" spans="1:21" ht="0" hidden="1" customHeight="1" outlineLevel="3">
      <c r="A1951" s="192" t="s">
        <v>1894</v>
      </c>
      <c r="B1951" s="192"/>
      <c r="C1951" s="197" t="s">
        <v>1609</v>
      </c>
      <c r="D1951" s="198">
        <f>'02 项目基础信息（输入）'!$C$60</f>
        <v>0</v>
      </c>
      <c r="E1951" s="199" t="s">
        <v>93</v>
      </c>
      <c r="F1951" s="197" t="s">
        <v>1886</v>
      </c>
      <c r="G1951" s="199">
        <v>1</v>
      </c>
      <c r="H1951" s="199" t="s">
        <v>298</v>
      </c>
      <c r="I1951" s="198">
        <f>G1951*D1951</f>
        <v>0</v>
      </c>
      <c r="J1951" s="199" t="s">
        <v>93</v>
      </c>
      <c r="K1951" s="188">
        <v>0</v>
      </c>
      <c r="L1951" s="209" t="s">
        <v>675</v>
      </c>
      <c r="M1951" s="207">
        <f>ROUND(K1951*I1951/10000,6)</f>
        <v>0</v>
      </c>
      <c r="N1951" s="198">
        <f>'02 项目基础信息（输入）'!$C$60</f>
        <v>0</v>
      </c>
      <c r="O1951" s="198">
        <f t="shared" si="224"/>
        <v>0</v>
      </c>
      <c r="P1951" s="198">
        <f>'02 项目基础信息（输入）'!$I$60</f>
        <v>0</v>
      </c>
      <c r="Q1951" s="233">
        <f t="shared" si="225"/>
        <v>0</v>
      </c>
      <c r="S1951" s="217"/>
      <c r="U1951" s="220" t="s">
        <v>3740</v>
      </c>
    </row>
    <row r="1952" spans="1:21" ht="0" hidden="1" customHeight="1" outlineLevel="3">
      <c r="A1952" s="192" t="s">
        <v>1896</v>
      </c>
      <c r="B1952" s="192"/>
      <c r="C1952" s="197" t="s">
        <v>1609</v>
      </c>
      <c r="D1952" s="198">
        <f>'02 项目基础信息（输入）'!$C$60</f>
        <v>0</v>
      </c>
      <c r="E1952" s="199" t="s">
        <v>93</v>
      </c>
      <c r="F1952" s="197" t="s">
        <v>1886</v>
      </c>
      <c r="G1952" s="199">
        <v>1</v>
      </c>
      <c r="H1952" s="199" t="s">
        <v>298</v>
      </c>
      <c r="I1952" s="198">
        <f>G1952*D1952</f>
        <v>0</v>
      </c>
      <c r="J1952" s="199" t="s">
        <v>93</v>
      </c>
      <c r="K1952" s="188">
        <v>0</v>
      </c>
      <c r="L1952" s="209" t="s">
        <v>675</v>
      </c>
      <c r="M1952" s="207">
        <f>ROUND(K1952*I1952/10000,6)</f>
        <v>0</v>
      </c>
      <c r="N1952" s="198">
        <f>'02 项目基础信息（输入）'!$C$60</f>
        <v>0</v>
      </c>
      <c r="O1952" s="198">
        <f t="shared" si="224"/>
        <v>0</v>
      </c>
      <c r="P1952" s="198">
        <f>'02 项目基础信息（输入）'!$I$60</f>
        <v>0</v>
      </c>
      <c r="Q1952" s="233">
        <f t="shared" si="225"/>
        <v>0</v>
      </c>
      <c r="S1952" s="217"/>
      <c r="U1952" s="220" t="s">
        <v>3741</v>
      </c>
    </row>
    <row r="1953" spans="1:21" ht="0" hidden="1" customHeight="1" outlineLevel="3">
      <c r="A1953" s="192" t="s">
        <v>1898</v>
      </c>
      <c r="B1953" s="192"/>
      <c r="C1953" s="197" t="s">
        <v>1609</v>
      </c>
      <c r="D1953" s="198">
        <f>'02 项目基础信息（输入）'!$C$60</f>
        <v>0</v>
      </c>
      <c r="E1953" s="199" t="s">
        <v>93</v>
      </c>
      <c r="F1953" s="197" t="s">
        <v>1886</v>
      </c>
      <c r="G1953" s="199">
        <v>1</v>
      </c>
      <c r="H1953" s="199" t="s">
        <v>298</v>
      </c>
      <c r="I1953" s="198">
        <f>G1953*D1953</f>
        <v>0</v>
      </c>
      <c r="J1953" s="199" t="s">
        <v>93</v>
      </c>
      <c r="K1953" s="188">
        <v>0</v>
      </c>
      <c r="L1953" s="209" t="s">
        <v>675</v>
      </c>
      <c r="M1953" s="207">
        <f>ROUND(K1953*I1953/10000,6)</f>
        <v>0</v>
      </c>
      <c r="N1953" s="198">
        <f>'02 项目基础信息（输入）'!$C$60</f>
        <v>0</v>
      </c>
      <c r="O1953" s="198">
        <f t="shared" si="224"/>
        <v>0</v>
      </c>
      <c r="P1953" s="198">
        <f>'02 项目基础信息（输入）'!$I$60</f>
        <v>0</v>
      </c>
      <c r="Q1953" s="233">
        <f t="shared" si="225"/>
        <v>0</v>
      </c>
      <c r="S1953" s="217"/>
      <c r="U1953" s="220" t="s">
        <v>3742</v>
      </c>
    </row>
    <row r="1954" spans="1:21" ht="0" hidden="1" customHeight="1" outlineLevel="2">
      <c r="A1954" s="192" t="s">
        <v>1900</v>
      </c>
      <c r="B1954" s="192"/>
      <c r="C1954" s="197" t="s">
        <v>1609</v>
      </c>
      <c r="D1954" s="198">
        <f>'02 项目基础信息（输入）'!$C$60</f>
        <v>0</v>
      </c>
      <c r="E1954" s="199" t="s">
        <v>93</v>
      </c>
      <c r="F1954" s="197"/>
      <c r="G1954" s="199"/>
      <c r="H1954" s="199"/>
      <c r="I1954" s="197"/>
      <c r="J1954" s="199"/>
      <c r="K1954" s="198"/>
      <c r="L1954" s="209"/>
      <c r="M1954" s="198">
        <f>ROUND(SUM(M1955:M1960),6)</f>
        <v>0</v>
      </c>
      <c r="N1954" s="198">
        <f>'02 项目基础信息（输入）'!$C$60</f>
        <v>0</v>
      </c>
      <c r="O1954" s="198">
        <f t="shared" si="224"/>
        <v>0</v>
      </c>
      <c r="P1954" s="198">
        <f>'02 项目基础信息（输入）'!$I$60</f>
        <v>0</v>
      </c>
      <c r="Q1954" s="233">
        <f t="shared" si="225"/>
        <v>0</v>
      </c>
      <c r="S1954" s="217" t="s">
        <v>1314</v>
      </c>
      <c r="U1954" s="220" t="s">
        <v>3743</v>
      </c>
    </row>
    <row r="1955" spans="1:21" ht="0" hidden="1" customHeight="1" outlineLevel="3">
      <c r="A1955" s="192" t="s">
        <v>1902</v>
      </c>
      <c r="B1955" s="192"/>
      <c r="C1955" s="197" t="s">
        <v>309</v>
      </c>
      <c r="D1955" s="198">
        <f>'02 项目基础信息（输入）'!$AC$60</f>
        <v>0</v>
      </c>
      <c r="E1955" s="199" t="s">
        <v>310</v>
      </c>
      <c r="F1955" s="197" t="s">
        <v>309</v>
      </c>
      <c r="G1955" s="199">
        <v>1</v>
      </c>
      <c r="H1955" s="199" t="s">
        <v>1903</v>
      </c>
      <c r="I1955" s="198">
        <f t="shared" ref="I1955:I1960" si="228">G1955*D1955</f>
        <v>0</v>
      </c>
      <c r="J1955" s="199" t="s">
        <v>310</v>
      </c>
      <c r="K1955" s="188">
        <v>0</v>
      </c>
      <c r="L1955" s="209" t="s">
        <v>736</v>
      </c>
      <c r="M1955" s="207">
        <f t="shared" ref="M1955:M1960" si="229">ROUND(K1955*I1955/10000,6)</f>
        <v>0</v>
      </c>
      <c r="N1955" s="198">
        <f>'02 项目基础信息（输入）'!$C$60</f>
        <v>0</v>
      </c>
      <c r="O1955" s="198">
        <f t="shared" si="224"/>
        <v>0</v>
      </c>
      <c r="P1955" s="198">
        <f>'02 项目基础信息（输入）'!$I$60</f>
        <v>0</v>
      </c>
      <c r="Q1955" s="233">
        <f t="shared" si="225"/>
        <v>0</v>
      </c>
      <c r="S1955" s="217"/>
      <c r="U1955" s="220" t="s">
        <v>3744</v>
      </c>
    </row>
    <row r="1956" spans="1:21" ht="0" hidden="1" customHeight="1" outlineLevel="3">
      <c r="A1956" s="192" t="s">
        <v>1905</v>
      </c>
      <c r="B1956" s="192"/>
      <c r="C1956" s="197" t="s">
        <v>309</v>
      </c>
      <c r="D1956" s="198">
        <f>'02 项目基础信息（输入）'!$AC$60</f>
        <v>0</v>
      </c>
      <c r="E1956" s="199" t="s">
        <v>310</v>
      </c>
      <c r="F1956" s="197" t="s">
        <v>309</v>
      </c>
      <c r="G1956" s="199">
        <v>1</v>
      </c>
      <c r="H1956" s="199" t="s">
        <v>1903</v>
      </c>
      <c r="I1956" s="198">
        <f t="shared" si="228"/>
        <v>0</v>
      </c>
      <c r="J1956" s="199" t="s">
        <v>310</v>
      </c>
      <c r="K1956" s="188">
        <v>0</v>
      </c>
      <c r="L1956" s="209" t="s">
        <v>736</v>
      </c>
      <c r="M1956" s="207">
        <f t="shared" si="229"/>
        <v>0</v>
      </c>
      <c r="N1956" s="198">
        <f>'02 项目基础信息（输入）'!$C$60</f>
        <v>0</v>
      </c>
      <c r="O1956" s="198">
        <f t="shared" si="224"/>
        <v>0</v>
      </c>
      <c r="P1956" s="198">
        <f>'02 项目基础信息（输入）'!$I$60</f>
        <v>0</v>
      </c>
      <c r="Q1956" s="233">
        <f t="shared" si="225"/>
        <v>0</v>
      </c>
      <c r="S1956" s="217"/>
      <c r="U1956" s="220" t="s">
        <v>3745</v>
      </c>
    </row>
    <row r="1957" spans="1:21" ht="0" hidden="1" customHeight="1" outlineLevel="3">
      <c r="A1957" s="192" t="s">
        <v>1907</v>
      </c>
      <c r="B1957" s="192"/>
      <c r="C1957" s="197" t="s">
        <v>309</v>
      </c>
      <c r="D1957" s="198">
        <f>'02 项目基础信息（输入）'!$AC$60</f>
        <v>0</v>
      </c>
      <c r="E1957" s="199" t="s">
        <v>310</v>
      </c>
      <c r="F1957" s="197" t="s">
        <v>309</v>
      </c>
      <c r="G1957" s="199">
        <v>1</v>
      </c>
      <c r="H1957" s="199" t="s">
        <v>1903</v>
      </c>
      <c r="I1957" s="198">
        <f t="shared" si="228"/>
        <v>0</v>
      </c>
      <c r="J1957" s="199" t="s">
        <v>310</v>
      </c>
      <c r="K1957" s="188">
        <v>0</v>
      </c>
      <c r="L1957" s="209" t="s">
        <v>736</v>
      </c>
      <c r="M1957" s="207">
        <f t="shared" si="229"/>
        <v>0</v>
      </c>
      <c r="N1957" s="198">
        <f>'02 项目基础信息（输入）'!$C$60</f>
        <v>0</v>
      </c>
      <c r="O1957" s="198">
        <f t="shared" si="224"/>
        <v>0</v>
      </c>
      <c r="P1957" s="198">
        <f>'02 项目基础信息（输入）'!$I$60</f>
        <v>0</v>
      </c>
      <c r="Q1957" s="233">
        <f t="shared" si="225"/>
        <v>0</v>
      </c>
      <c r="S1957" s="217"/>
      <c r="U1957" s="220" t="s">
        <v>3746</v>
      </c>
    </row>
    <row r="1958" spans="1:21" ht="0" hidden="1" customHeight="1" outlineLevel="3">
      <c r="A1958" s="192" t="s">
        <v>1909</v>
      </c>
      <c r="B1958" s="192"/>
      <c r="C1958" s="197" t="s">
        <v>309</v>
      </c>
      <c r="D1958" s="198">
        <f>'02 项目基础信息（输入）'!$AC$60</f>
        <v>0</v>
      </c>
      <c r="E1958" s="199" t="s">
        <v>310</v>
      </c>
      <c r="F1958" s="197" t="s">
        <v>309</v>
      </c>
      <c r="G1958" s="199">
        <v>1</v>
      </c>
      <c r="H1958" s="199" t="s">
        <v>1903</v>
      </c>
      <c r="I1958" s="198">
        <f t="shared" si="228"/>
        <v>0</v>
      </c>
      <c r="J1958" s="199" t="s">
        <v>310</v>
      </c>
      <c r="K1958" s="188">
        <v>0</v>
      </c>
      <c r="L1958" s="209" t="s">
        <v>736</v>
      </c>
      <c r="M1958" s="207">
        <f t="shared" si="229"/>
        <v>0</v>
      </c>
      <c r="N1958" s="198">
        <f>'02 项目基础信息（输入）'!$C$60</f>
        <v>0</v>
      </c>
      <c r="O1958" s="198">
        <f t="shared" si="224"/>
        <v>0</v>
      </c>
      <c r="P1958" s="198">
        <f>'02 项目基础信息（输入）'!$I$60</f>
        <v>0</v>
      </c>
      <c r="Q1958" s="233">
        <f t="shared" si="225"/>
        <v>0</v>
      </c>
      <c r="S1958" s="217"/>
      <c r="U1958" s="220" t="s">
        <v>3747</v>
      </c>
    </row>
    <row r="1959" spans="1:21" ht="0" hidden="1" customHeight="1" outlineLevel="3">
      <c r="A1959" s="192" t="s">
        <v>1911</v>
      </c>
      <c r="B1959" s="192"/>
      <c r="C1959" s="197" t="s">
        <v>309</v>
      </c>
      <c r="D1959" s="198">
        <f>'02 项目基础信息（输入）'!$AC$60</f>
        <v>0</v>
      </c>
      <c r="E1959" s="199" t="s">
        <v>310</v>
      </c>
      <c r="F1959" s="197" t="s">
        <v>309</v>
      </c>
      <c r="G1959" s="199">
        <v>1</v>
      </c>
      <c r="H1959" s="199" t="s">
        <v>1903</v>
      </c>
      <c r="I1959" s="198">
        <f t="shared" si="228"/>
        <v>0</v>
      </c>
      <c r="J1959" s="199" t="s">
        <v>310</v>
      </c>
      <c r="K1959" s="188">
        <v>0</v>
      </c>
      <c r="L1959" s="209" t="s">
        <v>736</v>
      </c>
      <c r="M1959" s="207">
        <f t="shared" si="229"/>
        <v>0</v>
      </c>
      <c r="N1959" s="198">
        <f>'02 项目基础信息（输入）'!$C$60</f>
        <v>0</v>
      </c>
      <c r="O1959" s="198">
        <f t="shared" si="224"/>
        <v>0</v>
      </c>
      <c r="P1959" s="198">
        <f>'02 项目基础信息（输入）'!$I$60</f>
        <v>0</v>
      </c>
      <c r="Q1959" s="233">
        <f t="shared" si="225"/>
        <v>0</v>
      </c>
      <c r="S1959" s="217"/>
      <c r="U1959" s="220" t="s">
        <v>3748</v>
      </c>
    </row>
    <row r="1960" spans="1:21" ht="0" hidden="1" customHeight="1" outlineLevel="3">
      <c r="A1960" s="192" t="s">
        <v>1913</v>
      </c>
      <c r="B1960" s="192"/>
      <c r="C1960" s="197" t="s">
        <v>309</v>
      </c>
      <c r="D1960" s="198">
        <f>'02 项目基础信息（输入）'!$AC$60</f>
        <v>0</v>
      </c>
      <c r="E1960" s="199" t="s">
        <v>310</v>
      </c>
      <c r="F1960" s="197" t="s">
        <v>309</v>
      </c>
      <c r="G1960" s="199">
        <v>1</v>
      </c>
      <c r="H1960" s="199" t="s">
        <v>1903</v>
      </c>
      <c r="I1960" s="198">
        <f t="shared" si="228"/>
        <v>0</v>
      </c>
      <c r="J1960" s="199" t="s">
        <v>310</v>
      </c>
      <c r="K1960" s="188">
        <v>0</v>
      </c>
      <c r="L1960" s="209" t="s">
        <v>736</v>
      </c>
      <c r="M1960" s="207">
        <f t="shared" si="229"/>
        <v>0</v>
      </c>
      <c r="N1960" s="198">
        <f>'02 项目基础信息（输入）'!$C$60</f>
        <v>0</v>
      </c>
      <c r="O1960" s="198">
        <f t="shared" si="224"/>
        <v>0</v>
      </c>
      <c r="P1960" s="198">
        <f>'02 项目基础信息（输入）'!$I$60</f>
        <v>0</v>
      </c>
      <c r="Q1960" s="233">
        <f t="shared" si="225"/>
        <v>0</v>
      </c>
      <c r="S1960" s="217"/>
      <c r="U1960" s="220" t="s">
        <v>3749</v>
      </c>
    </row>
    <row r="1961" spans="1:21" ht="0" hidden="1" customHeight="1" outlineLevel="2">
      <c r="A1961" s="192" t="s">
        <v>2178</v>
      </c>
      <c r="B1961" s="192"/>
      <c r="C1961" s="197" t="s">
        <v>1609</v>
      </c>
      <c r="D1961" s="198">
        <f>'02 项目基础信息（输入）'!$C$60</f>
        <v>0</v>
      </c>
      <c r="E1961" s="199" t="s">
        <v>93</v>
      </c>
      <c r="F1961" s="197"/>
      <c r="G1961" s="199"/>
      <c r="H1961" s="199"/>
      <c r="I1961" s="197"/>
      <c r="J1961" s="199"/>
      <c r="K1961" s="198"/>
      <c r="L1961" s="209"/>
      <c r="M1961" s="198">
        <f>ROUND(SUM(M1962),6)</f>
        <v>0</v>
      </c>
      <c r="N1961" s="198">
        <f>'02 项目基础信息（输入）'!$C$60</f>
        <v>0</v>
      </c>
      <c r="O1961" s="198">
        <f t="shared" si="224"/>
        <v>0</v>
      </c>
      <c r="P1961" s="198">
        <f>'02 项目基础信息（输入）'!$I$60</f>
        <v>0</v>
      </c>
      <c r="Q1961" s="233">
        <f t="shared" si="225"/>
        <v>0</v>
      </c>
      <c r="S1961" s="217" t="s">
        <v>1313</v>
      </c>
      <c r="U1961" s="220" t="s">
        <v>3750</v>
      </c>
    </row>
    <row r="1962" spans="1:21" ht="0" hidden="1" customHeight="1" outlineLevel="3">
      <c r="A1962" s="192" t="s">
        <v>2180</v>
      </c>
      <c r="B1962" s="192"/>
      <c r="C1962" s="197" t="s">
        <v>309</v>
      </c>
      <c r="D1962" s="198">
        <f>'02 项目基础信息（输入）'!$AC$60</f>
        <v>0</v>
      </c>
      <c r="E1962" s="199" t="s">
        <v>310</v>
      </c>
      <c r="F1962" s="197" t="s">
        <v>309</v>
      </c>
      <c r="G1962" s="199">
        <v>1</v>
      </c>
      <c r="H1962" s="199" t="s">
        <v>1903</v>
      </c>
      <c r="I1962" s="198">
        <f>G1962*D1962</f>
        <v>0</v>
      </c>
      <c r="J1962" s="199" t="s">
        <v>310</v>
      </c>
      <c r="K1962" s="188">
        <v>0</v>
      </c>
      <c r="L1962" s="209" t="s">
        <v>736</v>
      </c>
      <c r="M1962" s="207">
        <f>ROUND(K1962*I1962/10000,6)</f>
        <v>0</v>
      </c>
      <c r="N1962" s="198">
        <f>'02 项目基础信息（输入）'!$C$60</f>
        <v>0</v>
      </c>
      <c r="O1962" s="198">
        <f t="shared" si="224"/>
        <v>0</v>
      </c>
      <c r="P1962" s="198">
        <f>'02 项目基础信息（输入）'!$I$60</f>
        <v>0</v>
      </c>
      <c r="Q1962" s="233">
        <f t="shared" si="225"/>
        <v>0</v>
      </c>
      <c r="S1962" s="217"/>
      <c r="U1962" s="220" t="s">
        <v>3751</v>
      </c>
    </row>
    <row r="1963" spans="1:21" ht="0" hidden="1" customHeight="1" outlineLevel="2">
      <c r="A1963" s="192" t="s">
        <v>2182</v>
      </c>
      <c r="B1963" s="192"/>
      <c r="C1963" s="197" t="s">
        <v>1609</v>
      </c>
      <c r="D1963" s="198">
        <f>'02 项目基础信息（输入）'!$C$60</f>
        <v>0</v>
      </c>
      <c r="E1963" s="199" t="s">
        <v>93</v>
      </c>
      <c r="F1963" s="197"/>
      <c r="G1963" s="199"/>
      <c r="H1963" s="199"/>
      <c r="I1963" s="197"/>
      <c r="J1963" s="199"/>
      <c r="K1963" s="198"/>
      <c r="L1963" s="209"/>
      <c r="M1963" s="198">
        <f>ROUND(SUM(M1964),6)</f>
        <v>0</v>
      </c>
      <c r="N1963" s="198">
        <f>'02 项目基础信息（输入）'!$C$60</f>
        <v>0</v>
      </c>
      <c r="O1963" s="198">
        <f t="shared" si="224"/>
        <v>0</v>
      </c>
      <c r="P1963" s="198">
        <f>'02 项目基础信息（输入）'!$I$60</f>
        <v>0</v>
      </c>
      <c r="Q1963" s="233">
        <f t="shared" si="225"/>
        <v>0</v>
      </c>
      <c r="S1963" s="217" t="s">
        <v>1313</v>
      </c>
      <c r="U1963" s="220" t="s">
        <v>3752</v>
      </c>
    </row>
    <row r="1964" spans="1:21" ht="0" hidden="1" customHeight="1" outlineLevel="3">
      <c r="A1964" s="192" t="s">
        <v>2184</v>
      </c>
      <c r="B1964" s="192"/>
      <c r="C1964" s="197" t="s">
        <v>309</v>
      </c>
      <c r="D1964" s="198">
        <f>'02 项目基础信息（输入）'!$AC$60</f>
        <v>0</v>
      </c>
      <c r="E1964" s="199" t="s">
        <v>310</v>
      </c>
      <c r="F1964" s="197" t="s">
        <v>309</v>
      </c>
      <c r="G1964" s="199">
        <v>1</v>
      </c>
      <c r="H1964" s="199" t="s">
        <v>1903</v>
      </c>
      <c r="I1964" s="198">
        <f>G1964*D1964</f>
        <v>0</v>
      </c>
      <c r="J1964" s="199" t="s">
        <v>310</v>
      </c>
      <c r="K1964" s="188">
        <v>0</v>
      </c>
      <c r="L1964" s="209" t="s">
        <v>736</v>
      </c>
      <c r="M1964" s="198">
        <f>ROUND(K1964*I1964/10000,6)</f>
        <v>0</v>
      </c>
      <c r="N1964" s="198">
        <f>'02 项目基础信息（输入）'!$C$60</f>
        <v>0</v>
      </c>
      <c r="O1964" s="198">
        <f t="shared" si="224"/>
        <v>0</v>
      </c>
      <c r="P1964" s="198">
        <f>'02 项目基础信息（输入）'!$I$60</f>
        <v>0</v>
      </c>
      <c r="Q1964" s="233">
        <f t="shared" si="225"/>
        <v>0</v>
      </c>
      <c r="S1964" s="217"/>
      <c r="U1964" s="220" t="s">
        <v>3753</v>
      </c>
    </row>
    <row r="1965" spans="1:21" ht="0" hidden="1" customHeight="1" outlineLevel="2">
      <c r="A1965" s="192" t="s">
        <v>1915</v>
      </c>
      <c r="B1965" s="192"/>
      <c r="C1965" s="197" t="s">
        <v>1609</v>
      </c>
      <c r="D1965" s="198">
        <f>'02 项目基础信息（输入）'!$C$60</f>
        <v>0</v>
      </c>
      <c r="E1965" s="199" t="s">
        <v>93</v>
      </c>
      <c r="F1965" s="197"/>
      <c r="G1965" s="199"/>
      <c r="H1965" s="199"/>
      <c r="I1965" s="197"/>
      <c r="J1965" s="199"/>
      <c r="K1965" s="198"/>
      <c r="L1965" s="209"/>
      <c r="M1965" s="198">
        <f>ROUND(SUM(M1966:M1968),6)</f>
        <v>0</v>
      </c>
      <c r="N1965" s="198">
        <f>'02 项目基础信息（输入）'!$C$60</f>
        <v>0</v>
      </c>
      <c r="O1965" s="198">
        <f t="shared" si="224"/>
        <v>0</v>
      </c>
      <c r="P1965" s="198">
        <f>'02 项目基础信息（输入）'!$I$60</f>
        <v>0</v>
      </c>
      <c r="Q1965" s="233">
        <f t="shared" si="225"/>
        <v>0</v>
      </c>
      <c r="S1965" s="217" t="s">
        <v>1314</v>
      </c>
      <c r="U1965" s="220" t="s">
        <v>3754</v>
      </c>
    </row>
    <row r="1966" spans="1:21" ht="0" hidden="1" customHeight="1" outlineLevel="3">
      <c r="A1966" s="192" t="s">
        <v>1917</v>
      </c>
      <c r="B1966" s="192"/>
      <c r="C1966" s="197" t="s">
        <v>455</v>
      </c>
      <c r="D1966" s="198">
        <f>'02 项目基础信息（输入）'!$J$60</f>
        <v>0</v>
      </c>
      <c r="E1966" s="199" t="s">
        <v>400</v>
      </c>
      <c r="F1966" s="197" t="s">
        <v>455</v>
      </c>
      <c r="G1966" s="199">
        <v>1</v>
      </c>
      <c r="H1966" s="199" t="s">
        <v>1918</v>
      </c>
      <c r="I1966" s="198">
        <f>G1966*D1966</f>
        <v>0</v>
      </c>
      <c r="J1966" s="199" t="s">
        <v>1082</v>
      </c>
      <c r="K1966" s="188">
        <v>0</v>
      </c>
      <c r="L1966" s="209" t="s">
        <v>1087</v>
      </c>
      <c r="M1966" s="207">
        <f>ROUND(K1966*I1966/10000,6)</f>
        <v>0</v>
      </c>
      <c r="N1966" s="198">
        <f>'02 项目基础信息（输入）'!$C$60</f>
        <v>0</v>
      </c>
      <c r="O1966" s="198">
        <f t="shared" si="224"/>
        <v>0</v>
      </c>
      <c r="P1966" s="198">
        <f>'02 项目基础信息（输入）'!$I$60</f>
        <v>0</v>
      </c>
      <c r="Q1966" s="233">
        <f t="shared" si="225"/>
        <v>0</v>
      </c>
      <c r="S1966" s="217"/>
      <c r="U1966" s="220" t="s">
        <v>3755</v>
      </c>
    </row>
    <row r="1967" spans="1:21" ht="0" hidden="1" customHeight="1" outlineLevel="3">
      <c r="A1967" s="192" t="s">
        <v>1920</v>
      </c>
      <c r="B1967" s="192"/>
      <c r="C1967" s="197" t="s">
        <v>455</v>
      </c>
      <c r="D1967" s="198">
        <f>'02 项目基础信息（输入）'!$J$60</f>
        <v>0</v>
      </c>
      <c r="E1967" s="199" t="s">
        <v>400</v>
      </c>
      <c r="F1967" s="197" t="s">
        <v>455</v>
      </c>
      <c r="G1967" s="199">
        <v>1</v>
      </c>
      <c r="H1967" s="199" t="s">
        <v>1918</v>
      </c>
      <c r="I1967" s="198">
        <f>G1967*D1967</f>
        <v>0</v>
      </c>
      <c r="J1967" s="199" t="s">
        <v>1082</v>
      </c>
      <c r="K1967" s="188">
        <v>0</v>
      </c>
      <c r="L1967" s="209" t="s">
        <v>1087</v>
      </c>
      <c r="M1967" s="207">
        <f>ROUND(K1967*I1967/10000,6)</f>
        <v>0</v>
      </c>
      <c r="N1967" s="198">
        <f>'02 项目基础信息（输入）'!$C$60</f>
        <v>0</v>
      </c>
      <c r="O1967" s="198">
        <f t="shared" si="224"/>
        <v>0</v>
      </c>
      <c r="P1967" s="198">
        <f>'02 项目基础信息（输入）'!$I$60</f>
        <v>0</v>
      </c>
      <c r="Q1967" s="233">
        <f t="shared" si="225"/>
        <v>0</v>
      </c>
      <c r="S1967" s="217"/>
      <c r="U1967" s="220" t="s">
        <v>3756</v>
      </c>
    </row>
    <row r="1968" spans="1:21" ht="0" hidden="1" customHeight="1" outlineLevel="3">
      <c r="A1968" s="192" t="s">
        <v>1922</v>
      </c>
      <c r="B1968" s="192"/>
      <c r="C1968" s="197" t="s">
        <v>455</v>
      </c>
      <c r="D1968" s="198">
        <f>'02 项目基础信息（输入）'!$J$60</f>
        <v>0</v>
      </c>
      <c r="E1968" s="199" t="s">
        <v>400</v>
      </c>
      <c r="F1968" s="197" t="s">
        <v>455</v>
      </c>
      <c r="G1968" s="199">
        <v>1</v>
      </c>
      <c r="H1968" s="199" t="s">
        <v>1918</v>
      </c>
      <c r="I1968" s="198">
        <f>G1968*D1968</f>
        <v>0</v>
      </c>
      <c r="J1968" s="199" t="s">
        <v>1082</v>
      </c>
      <c r="K1968" s="188">
        <v>0</v>
      </c>
      <c r="L1968" s="209" t="s">
        <v>1087</v>
      </c>
      <c r="M1968" s="207">
        <f>ROUND(K1968*I1968/10000,6)</f>
        <v>0</v>
      </c>
      <c r="N1968" s="198">
        <f>'02 项目基础信息（输入）'!$C$60</f>
        <v>0</v>
      </c>
      <c r="O1968" s="198">
        <f t="shared" si="224"/>
        <v>0</v>
      </c>
      <c r="P1968" s="198">
        <f>'02 项目基础信息（输入）'!$I$60</f>
        <v>0</v>
      </c>
      <c r="Q1968" s="233">
        <f t="shared" si="225"/>
        <v>0</v>
      </c>
      <c r="S1968" s="217"/>
      <c r="U1968" s="220" t="s">
        <v>3757</v>
      </c>
    </row>
    <row r="1969" spans="1:21" ht="0" hidden="1" customHeight="1" outlineLevel="2">
      <c r="A1969" s="192" t="s">
        <v>1924</v>
      </c>
      <c r="B1969" s="192"/>
      <c r="C1969" s="197" t="s">
        <v>1609</v>
      </c>
      <c r="D1969" s="198">
        <f>'02 项目基础信息（输入）'!$C$60</f>
        <v>0</v>
      </c>
      <c r="E1969" s="199" t="s">
        <v>93</v>
      </c>
      <c r="F1969" s="197"/>
      <c r="G1969" s="199"/>
      <c r="H1969" s="199"/>
      <c r="I1969" s="197"/>
      <c r="J1969" s="199"/>
      <c r="K1969" s="198"/>
      <c r="L1969" s="209"/>
      <c r="M1969" s="198">
        <f>ROUND(SUM(M1970),6)</f>
        <v>0</v>
      </c>
      <c r="N1969" s="198">
        <f>'02 项目基础信息（输入）'!$C$60</f>
        <v>0</v>
      </c>
      <c r="O1969" s="198">
        <f t="shared" si="224"/>
        <v>0</v>
      </c>
      <c r="P1969" s="198">
        <f>'02 项目基础信息（输入）'!$I$60</f>
        <v>0</v>
      </c>
      <c r="Q1969" s="233">
        <f t="shared" si="225"/>
        <v>0</v>
      </c>
      <c r="S1969" s="217" t="s">
        <v>1313</v>
      </c>
      <c r="U1969" s="220" t="s">
        <v>3758</v>
      </c>
    </row>
    <row r="1970" spans="1:21" ht="0" hidden="1" customHeight="1" outlineLevel="3">
      <c r="A1970" s="192" t="s">
        <v>1926</v>
      </c>
      <c r="B1970" s="192"/>
      <c r="C1970" s="197" t="s">
        <v>1609</v>
      </c>
      <c r="D1970" s="198">
        <f>'02 项目基础信息（输入）'!$C$60</f>
        <v>0</v>
      </c>
      <c r="E1970" s="199" t="s">
        <v>93</v>
      </c>
      <c r="F1970" s="197" t="s">
        <v>1927</v>
      </c>
      <c r="G1970" s="82">
        <v>0</v>
      </c>
      <c r="H1970" s="199" t="s">
        <v>298</v>
      </c>
      <c r="I1970" s="198">
        <f>G1970*D1970</f>
        <v>0</v>
      </c>
      <c r="J1970" s="199" t="s">
        <v>93</v>
      </c>
      <c r="K1970" s="188">
        <v>0</v>
      </c>
      <c r="L1970" s="209" t="s">
        <v>675</v>
      </c>
      <c r="M1970" s="207">
        <f>ROUND(K1970*I1970/10000,6)</f>
        <v>0</v>
      </c>
      <c r="N1970" s="198">
        <f>'02 项目基础信息（输入）'!$C$60</f>
        <v>0</v>
      </c>
      <c r="O1970" s="198">
        <f t="shared" si="224"/>
        <v>0</v>
      </c>
      <c r="P1970" s="198">
        <f>'02 项目基础信息（输入）'!$I$60</f>
        <v>0</v>
      </c>
      <c r="Q1970" s="233">
        <f t="shared" si="225"/>
        <v>0</v>
      </c>
      <c r="S1970" s="217"/>
      <c r="U1970" s="220" t="s">
        <v>3759</v>
      </c>
    </row>
    <row r="1971" spans="1:21" ht="0" hidden="1" customHeight="1" outlineLevel="2">
      <c r="A1971" s="192" t="s">
        <v>1931</v>
      </c>
      <c r="B1971" s="192"/>
      <c r="C1971" s="197" t="s">
        <v>1609</v>
      </c>
      <c r="D1971" s="198">
        <f>'02 项目基础信息（输入）'!$C$60</f>
        <v>0</v>
      </c>
      <c r="E1971" s="199" t="s">
        <v>93</v>
      </c>
      <c r="F1971" s="197"/>
      <c r="G1971" s="199"/>
      <c r="H1971" s="199"/>
      <c r="I1971" s="197"/>
      <c r="J1971" s="199"/>
      <c r="K1971" s="198"/>
      <c r="L1971" s="209"/>
      <c r="M1971" s="198">
        <f>ROUND(SUM(M1972),6)</f>
        <v>0</v>
      </c>
      <c r="N1971" s="198">
        <f>'02 项目基础信息（输入）'!$C$60</f>
        <v>0</v>
      </c>
      <c r="O1971" s="198">
        <f t="shared" si="224"/>
        <v>0</v>
      </c>
      <c r="P1971" s="198">
        <f>'02 项目基础信息（输入）'!$I$60</f>
        <v>0</v>
      </c>
      <c r="Q1971" s="233">
        <f t="shared" si="225"/>
        <v>0</v>
      </c>
      <c r="S1971" s="217" t="s">
        <v>1313</v>
      </c>
      <c r="U1971" s="220" t="s">
        <v>3760</v>
      </c>
    </row>
    <row r="1972" spans="1:21" ht="0" hidden="1" customHeight="1" outlineLevel="3">
      <c r="A1972" s="192" t="s">
        <v>1933</v>
      </c>
      <c r="B1972" s="192"/>
      <c r="C1972" s="197" t="s">
        <v>1609</v>
      </c>
      <c r="D1972" s="198">
        <f>'02 项目基础信息（输入）'!$C$60</f>
        <v>0</v>
      </c>
      <c r="E1972" s="199" t="s">
        <v>93</v>
      </c>
      <c r="F1972" s="197" t="s">
        <v>1886</v>
      </c>
      <c r="G1972" s="199">
        <v>1</v>
      </c>
      <c r="H1972" s="199" t="s">
        <v>298</v>
      </c>
      <c r="I1972" s="198">
        <f>G1972*D1972</f>
        <v>0</v>
      </c>
      <c r="J1972" s="199" t="s">
        <v>93</v>
      </c>
      <c r="K1972" s="188">
        <v>0</v>
      </c>
      <c r="L1972" s="209" t="s">
        <v>675</v>
      </c>
      <c r="M1972" s="207">
        <f>ROUND(K1972*I1972/10000,6)</f>
        <v>0</v>
      </c>
      <c r="N1972" s="198">
        <f>'02 项目基础信息（输入）'!$C$60</f>
        <v>0</v>
      </c>
      <c r="O1972" s="198">
        <f t="shared" si="224"/>
        <v>0</v>
      </c>
      <c r="P1972" s="198">
        <f>'02 项目基础信息（输入）'!$I$60</f>
        <v>0</v>
      </c>
      <c r="Q1972" s="233">
        <f t="shared" si="225"/>
        <v>0</v>
      </c>
      <c r="S1972" s="217"/>
      <c r="U1972" s="220" t="s">
        <v>3761</v>
      </c>
    </row>
    <row r="1973" spans="1:21" ht="0" hidden="1" customHeight="1" outlineLevel="2">
      <c r="A1973" s="192" t="s">
        <v>1935</v>
      </c>
      <c r="B1973" s="192"/>
      <c r="C1973" s="197" t="s">
        <v>1609</v>
      </c>
      <c r="D1973" s="198">
        <f>'02 项目基础信息（输入）'!$C$60</f>
        <v>0</v>
      </c>
      <c r="E1973" s="199" t="s">
        <v>93</v>
      </c>
      <c r="F1973" s="197"/>
      <c r="G1973" s="199"/>
      <c r="H1973" s="199"/>
      <c r="I1973" s="197"/>
      <c r="J1973" s="199"/>
      <c r="K1973" s="198"/>
      <c r="L1973" s="209"/>
      <c r="M1973" s="198">
        <f>ROUND(SUM(M1974:M1976),6)</f>
        <v>0</v>
      </c>
      <c r="N1973" s="198">
        <f>'02 项目基础信息（输入）'!$C$60</f>
        <v>0</v>
      </c>
      <c r="O1973" s="198">
        <f t="shared" si="224"/>
        <v>0</v>
      </c>
      <c r="P1973" s="198">
        <f>'02 项目基础信息（输入）'!$I$60</f>
        <v>0</v>
      </c>
      <c r="Q1973" s="233">
        <f t="shared" si="225"/>
        <v>0</v>
      </c>
      <c r="S1973" s="217" t="s">
        <v>1313</v>
      </c>
      <c r="U1973" s="220" t="s">
        <v>3762</v>
      </c>
    </row>
    <row r="1974" spans="1:21" ht="0" hidden="1" customHeight="1" outlineLevel="3">
      <c r="A1974" s="192" t="s">
        <v>2195</v>
      </c>
      <c r="B1974" s="192"/>
      <c r="C1974" s="197" t="s">
        <v>309</v>
      </c>
      <c r="D1974" s="198">
        <f>'02 项目基础信息（输入）'!$AC$60</f>
        <v>0</v>
      </c>
      <c r="E1974" s="199" t="s">
        <v>310</v>
      </c>
      <c r="F1974" s="197" t="s">
        <v>2196</v>
      </c>
      <c r="G1974" s="82">
        <v>0</v>
      </c>
      <c r="H1974" s="199" t="s">
        <v>2197</v>
      </c>
      <c r="I1974" s="198">
        <f>G1974*D1974</f>
        <v>0</v>
      </c>
      <c r="J1974" s="199" t="s">
        <v>2198</v>
      </c>
      <c r="K1974" s="188">
        <v>0</v>
      </c>
      <c r="L1974" s="209" t="s">
        <v>841</v>
      </c>
      <c r="M1974" s="207">
        <f>ROUND(K1974*I1974/10000,6)</f>
        <v>0</v>
      </c>
      <c r="N1974" s="198">
        <f>'02 项目基础信息（输入）'!$C$60</f>
        <v>0</v>
      </c>
      <c r="O1974" s="198">
        <f t="shared" si="224"/>
        <v>0</v>
      </c>
      <c r="P1974" s="198">
        <f>'02 项目基础信息（输入）'!$I$60</f>
        <v>0</v>
      </c>
      <c r="Q1974" s="233">
        <f t="shared" si="225"/>
        <v>0</v>
      </c>
      <c r="S1974" s="217"/>
      <c r="U1974" s="220" t="s">
        <v>3763</v>
      </c>
    </row>
    <row r="1975" spans="1:21" ht="0" hidden="1" customHeight="1" outlineLevel="3">
      <c r="A1975" s="192" t="s">
        <v>2200</v>
      </c>
      <c r="B1975" s="192"/>
      <c r="C1975" s="197" t="s">
        <v>309</v>
      </c>
      <c r="D1975" s="198">
        <f>'02 项目基础信息（输入）'!$AC$60</f>
        <v>0</v>
      </c>
      <c r="E1975" s="199" t="s">
        <v>310</v>
      </c>
      <c r="F1975" s="197" t="s">
        <v>2196</v>
      </c>
      <c r="G1975" s="82">
        <v>0</v>
      </c>
      <c r="H1975" s="199" t="s">
        <v>2197</v>
      </c>
      <c r="I1975" s="198">
        <f>G1975*D1975</f>
        <v>0</v>
      </c>
      <c r="J1975" s="199" t="s">
        <v>2198</v>
      </c>
      <c r="K1975" s="188">
        <v>0</v>
      </c>
      <c r="L1975" s="209" t="s">
        <v>841</v>
      </c>
      <c r="M1975" s="207">
        <f>ROUND(K1975*I1975/10000,6)</f>
        <v>0</v>
      </c>
      <c r="N1975" s="198">
        <f>'02 项目基础信息（输入）'!$C$60</f>
        <v>0</v>
      </c>
      <c r="O1975" s="198">
        <f t="shared" si="224"/>
        <v>0</v>
      </c>
      <c r="P1975" s="198">
        <f>'02 项目基础信息（输入）'!$I$60</f>
        <v>0</v>
      </c>
      <c r="Q1975" s="233">
        <f t="shared" si="225"/>
        <v>0</v>
      </c>
      <c r="S1975" s="217"/>
      <c r="U1975" s="220" t="s">
        <v>3764</v>
      </c>
    </row>
    <row r="1976" spans="1:21" ht="0" hidden="1" customHeight="1" outlineLevel="3">
      <c r="A1976" s="192" t="s">
        <v>2202</v>
      </c>
      <c r="B1976" s="192"/>
      <c r="C1976" s="197" t="s">
        <v>309</v>
      </c>
      <c r="D1976" s="198">
        <f>'02 项目基础信息（输入）'!$AC$60</f>
        <v>0</v>
      </c>
      <c r="E1976" s="199" t="s">
        <v>310</v>
      </c>
      <c r="F1976" s="197" t="s">
        <v>2196</v>
      </c>
      <c r="G1976" s="82">
        <v>0</v>
      </c>
      <c r="H1976" s="199" t="s">
        <v>2197</v>
      </c>
      <c r="I1976" s="198">
        <f>G1976*D1976</f>
        <v>0</v>
      </c>
      <c r="J1976" s="199" t="s">
        <v>2198</v>
      </c>
      <c r="K1976" s="188">
        <v>0</v>
      </c>
      <c r="L1976" s="209" t="s">
        <v>841</v>
      </c>
      <c r="M1976" s="207">
        <f>ROUND(K1976*I1976/10000,6)</f>
        <v>0</v>
      </c>
      <c r="N1976" s="198">
        <f>'02 项目基础信息（输入）'!$C$60</f>
        <v>0</v>
      </c>
      <c r="O1976" s="198">
        <f t="shared" si="224"/>
        <v>0</v>
      </c>
      <c r="P1976" s="198">
        <f>'02 项目基础信息（输入）'!$I$60</f>
        <v>0</v>
      </c>
      <c r="Q1976" s="233">
        <f t="shared" si="225"/>
        <v>0</v>
      </c>
      <c r="S1976" s="217"/>
      <c r="U1976" s="220" t="s">
        <v>3765</v>
      </c>
    </row>
    <row r="1977" spans="1:21" ht="0" hidden="1" customHeight="1" outlineLevel="2">
      <c r="A1977" s="192" t="s">
        <v>1937</v>
      </c>
      <c r="B1977" s="192"/>
      <c r="C1977" s="197" t="s">
        <v>1609</v>
      </c>
      <c r="D1977" s="198">
        <f>'02 项目基础信息（输入）'!$C$60</f>
        <v>0</v>
      </c>
      <c r="E1977" s="199" t="s">
        <v>93</v>
      </c>
      <c r="F1977" s="197"/>
      <c r="G1977" s="199"/>
      <c r="H1977" s="199"/>
      <c r="I1977" s="197"/>
      <c r="J1977" s="199"/>
      <c r="K1977" s="198"/>
      <c r="L1977" s="209"/>
      <c r="M1977" s="198">
        <f>ROUND(SUM(M1978),6)</f>
        <v>0</v>
      </c>
      <c r="N1977" s="198">
        <f>'02 项目基础信息（输入）'!$C$60</f>
        <v>0</v>
      </c>
      <c r="O1977" s="198">
        <f t="shared" si="224"/>
        <v>0</v>
      </c>
      <c r="P1977" s="198">
        <f>'02 项目基础信息（输入）'!$I$60</f>
        <v>0</v>
      </c>
      <c r="Q1977" s="233">
        <f t="shared" si="225"/>
        <v>0</v>
      </c>
      <c r="S1977" s="217" t="s">
        <v>1313</v>
      </c>
      <c r="U1977" s="220" t="s">
        <v>3766</v>
      </c>
    </row>
    <row r="1978" spans="1:21" ht="0" hidden="1" customHeight="1" outlineLevel="3">
      <c r="A1978" s="192" t="s">
        <v>2205</v>
      </c>
      <c r="B1978" s="192"/>
      <c r="C1978" s="197" t="s">
        <v>1609</v>
      </c>
      <c r="D1978" s="198">
        <f>'02 项目基础信息（输入）'!$C$60</f>
        <v>0</v>
      </c>
      <c r="E1978" s="199" t="s">
        <v>93</v>
      </c>
      <c r="F1978" s="197" t="s">
        <v>1609</v>
      </c>
      <c r="G1978" s="199">
        <v>1</v>
      </c>
      <c r="H1978" s="199" t="s">
        <v>298</v>
      </c>
      <c r="I1978" s="198">
        <f>G1978*D1978</f>
        <v>0</v>
      </c>
      <c r="J1978" s="199" t="s">
        <v>93</v>
      </c>
      <c r="K1978" s="188">
        <v>0</v>
      </c>
      <c r="L1978" s="209" t="s">
        <v>675</v>
      </c>
      <c r="M1978" s="207">
        <f>ROUND(K1978*I1978/10000,6)</f>
        <v>0</v>
      </c>
      <c r="N1978" s="198">
        <f>'02 项目基础信息（输入）'!$C$60</f>
        <v>0</v>
      </c>
      <c r="O1978" s="198">
        <f t="shared" si="224"/>
        <v>0</v>
      </c>
      <c r="P1978" s="198">
        <f>'02 项目基础信息（输入）'!$I$60</f>
        <v>0</v>
      </c>
      <c r="Q1978" s="233">
        <f t="shared" si="225"/>
        <v>0</v>
      </c>
      <c r="S1978" s="217"/>
      <c r="U1978" s="220" t="s">
        <v>3767</v>
      </c>
    </row>
    <row r="1979" spans="1:21" ht="0" hidden="1" customHeight="1" outlineLevel="2">
      <c r="A1979" s="192" t="s">
        <v>1939</v>
      </c>
      <c r="B1979" s="192"/>
      <c r="C1979" s="197" t="s">
        <v>1609</v>
      </c>
      <c r="D1979" s="198">
        <f>'02 项目基础信息（输入）'!$C$60</f>
        <v>0</v>
      </c>
      <c r="E1979" s="199" t="s">
        <v>93</v>
      </c>
      <c r="F1979" s="197"/>
      <c r="G1979" s="199"/>
      <c r="H1979" s="199"/>
      <c r="I1979" s="197"/>
      <c r="J1979" s="199"/>
      <c r="K1979" s="198"/>
      <c r="L1979" s="209"/>
      <c r="M1979" s="198">
        <f>ROUND(SUM(M1980),6)</f>
        <v>0</v>
      </c>
      <c r="N1979" s="198">
        <f>'02 项目基础信息（输入）'!$C$60</f>
        <v>0</v>
      </c>
      <c r="O1979" s="198">
        <f t="shared" si="224"/>
        <v>0</v>
      </c>
      <c r="P1979" s="198">
        <f>'02 项目基础信息（输入）'!$I$60</f>
        <v>0</v>
      </c>
      <c r="Q1979" s="233">
        <f t="shared" si="225"/>
        <v>0</v>
      </c>
      <c r="S1979" s="217" t="s">
        <v>1313</v>
      </c>
      <c r="U1979" s="220" t="s">
        <v>3768</v>
      </c>
    </row>
    <row r="1980" spans="1:21" ht="0" hidden="1" customHeight="1" outlineLevel="3">
      <c r="A1980" s="192" t="s">
        <v>2208</v>
      </c>
      <c r="B1980" s="192"/>
      <c r="C1980" s="197" t="s">
        <v>477</v>
      </c>
      <c r="D1980" s="198">
        <f>'02 项目基础信息（输入）'!$AG$60</f>
        <v>0</v>
      </c>
      <c r="E1980" s="199" t="s">
        <v>2209</v>
      </c>
      <c r="F1980" s="197" t="s">
        <v>477</v>
      </c>
      <c r="G1980" s="199">
        <v>1</v>
      </c>
      <c r="H1980" s="199" t="s">
        <v>2210</v>
      </c>
      <c r="I1980" s="198">
        <f>G1980*D1980</f>
        <v>0</v>
      </c>
      <c r="J1980" s="199" t="s">
        <v>2209</v>
      </c>
      <c r="K1980" s="188">
        <v>0</v>
      </c>
      <c r="L1980" s="209" t="s">
        <v>2211</v>
      </c>
      <c r="M1980" s="207">
        <f>ROUND(K1980*I1980/10000,6)</f>
        <v>0</v>
      </c>
      <c r="N1980" s="198">
        <f>'02 项目基础信息（输入）'!$C$60</f>
        <v>0</v>
      </c>
      <c r="O1980" s="198">
        <f t="shared" si="224"/>
        <v>0</v>
      </c>
      <c r="P1980" s="198">
        <f>'02 项目基础信息（输入）'!$I$60</f>
        <v>0</v>
      </c>
      <c r="Q1980" s="233">
        <f t="shared" si="225"/>
        <v>0</v>
      </c>
      <c r="S1980" s="217"/>
      <c r="U1980" s="220" t="s">
        <v>3769</v>
      </c>
    </row>
    <row r="1981" spans="1:21" ht="0" hidden="1" customHeight="1" outlineLevel="2">
      <c r="A1981" s="192" t="s">
        <v>1941</v>
      </c>
      <c r="B1981" s="192"/>
      <c r="C1981" s="197" t="s">
        <v>1609</v>
      </c>
      <c r="D1981" s="198">
        <f>'02 项目基础信息（输入）'!$C$60</f>
        <v>0</v>
      </c>
      <c r="E1981" s="199" t="s">
        <v>93</v>
      </c>
      <c r="F1981" s="197"/>
      <c r="G1981" s="199"/>
      <c r="H1981" s="199"/>
      <c r="I1981" s="197"/>
      <c r="J1981" s="199"/>
      <c r="K1981" s="198"/>
      <c r="L1981" s="209"/>
      <c r="M1981" s="197">
        <v>0</v>
      </c>
      <c r="N1981" s="198">
        <f>'02 项目基础信息（输入）'!$C$60</f>
        <v>0</v>
      </c>
      <c r="O1981" s="198">
        <f t="shared" si="224"/>
        <v>0</v>
      </c>
      <c r="P1981" s="198">
        <f>'02 项目基础信息（输入）'!$I$60</f>
        <v>0</v>
      </c>
      <c r="Q1981" s="233">
        <f t="shared" si="225"/>
        <v>0</v>
      </c>
      <c r="S1981" s="217" t="s">
        <v>1313</v>
      </c>
      <c r="U1981" s="220" t="s">
        <v>3770</v>
      </c>
    </row>
    <row r="1982" spans="1:21" ht="0" hidden="1" customHeight="1" outlineLevel="2">
      <c r="A1982" s="192" t="s">
        <v>1952</v>
      </c>
      <c r="B1982" s="192"/>
      <c r="C1982" s="197" t="s">
        <v>1609</v>
      </c>
      <c r="D1982" s="198">
        <f>'02 项目基础信息（输入）'!$C$60</f>
        <v>0</v>
      </c>
      <c r="E1982" s="199" t="s">
        <v>93</v>
      </c>
      <c r="F1982" s="197"/>
      <c r="G1982" s="199"/>
      <c r="H1982" s="199"/>
      <c r="I1982" s="197"/>
      <c r="J1982" s="199"/>
      <c r="K1982" s="198"/>
      <c r="L1982" s="209"/>
      <c r="M1982" s="197">
        <v>0</v>
      </c>
      <c r="N1982" s="198">
        <f>'02 项目基础信息（输入）'!$C$60</f>
        <v>0</v>
      </c>
      <c r="O1982" s="198">
        <f t="shared" si="224"/>
        <v>0</v>
      </c>
      <c r="P1982" s="198">
        <f>'02 项目基础信息（输入）'!$I$60</f>
        <v>0</v>
      </c>
      <c r="Q1982" s="233">
        <f t="shared" si="225"/>
        <v>0</v>
      </c>
      <c r="S1982" s="217" t="s">
        <v>1313</v>
      </c>
      <c r="U1982" s="220" t="s">
        <v>3771</v>
      </c>
    </row>
    <row r="1983" spans="1:21" ht="0" hidden="1" customHeight="1" outlineLevel="2">
      <c r="A1983" s="192" t="s">
        <v>1957</v>
      </c>
      <c r="B1983" s="192"/>
      <c r="C1983" s="197" t="s">
        <v>1609</v>
      </c>
      <c r="D1983" s="198">
        <f>'02 项目基础信息（输入）'!$C$60</f>
        <v>0</v>
      </c>
      <c r="E1983" s="199" t="s">
        <v>93</v>
      </c>
      <c r="F1983" s="197"/>
      <c r="G1983" s="199"/>
      <c r="H1983" s="199"/>
      <c r="I1983" s="197"/>
      <c r="J1983" s="199"/>
      <c r="K1983" s="198"/>
      <c r="L1983" s="209"/>
      <c r="M1983" s="198">
        <f>ROUND(SUM(M1984:M1987),6)</f>
        <v>0</v>
      </c>
      <c r="N1983" s="198">
        <f>'02 项目基础信息（输入）'!$C$60</f>
        <v>0</v>
      </c>
      <c r="O1983" s="198">
        <f t="shared" si="224"/>
        <v>0</v>
      </c>
      <c r="P1983" s="198">
        <f>'02 项目基础信息（输入）'!$I$60</f>
        <v>0</v>
      </c>
      <c r="Q1983" s="233">
        <f t="shared" si="225"/>
        <v>0</v>
      </c>
      <c r="S1983" s="217" t="s">
        <v>1313</v>
      </c>
      <c r="U1983" s="220" t="s">
        <v>3772</v>
      </c>
    </row>
    <row r="1984" spans="1:21" ht="0" hidden="1" customHeight="1" outlineLevel="3">
      <c r="A1984" s="192" t="s">
        <v>1959</v>
      </c>
      <c r="B1984" s="192"/>
      <c r="C1984" s="197" t="s">
        <v>1609</v>
      </c>
      <c r="D1984" s="198">
        <f>'02 项目基础信息（输入）'!$C$60</f>
        <v>0</v>
      </c>
      <c r="E1984" s="199" t="s">
        <v>93</v>
      </c>
      <c r="F1984" s="197" t="s">
        <v>1960</v>
      </c>
      <c r="G1984" s="82">
        <v>0</v>
      </c>
      <c r="H1984" s="199" t="s">
        <v>298</v>
      </c>
      <c r="I1984" s="198">
        <f>G1984*D1984</f>
        <v>0</v>
      </c>
      <c r="J1984" s="199" t="s">
        <v>93</v>
      </c>
      <c r="K1984" s="188">
        <v>0</v>
      </c>
      <c r="L1984" s="209" t="s">
        <v>675</v>
      </c>
      <c r="M1984" s="207">
        <f>ROUND(K1984*I1984/10000,6)</f>
        <v>0</v>
      </c>
      <c r="N1984" s="198">
        <f>'02 项目基础信息（输入）'!$C$60</f>
        <v>0</v>
      </c>
      <c r="O1984" s="198">
        <f t="shared" si="224"/>
        <v>0</v>
      </c>
      <c r="P1984" s="198">
        <f>'02 项目基础信息（输入）'!$I$60</f>
        <v>0</v>
      </c>
      <c r="Q1984" s="233">
        <f t="shared" si="225"/>
        <v>0</v>
      </c>
      <c r="S1984" s="217"/>
      <c r="U1984" s="220" t="s">
        <v>3773</v>
      </c>
    </row>
    <row r="1985" spans="1:21" ht="0" hidden="1" customHeight="1" outlineLevel="3">
      <c r="A1985" s="192" t="s">
        <v>1962</v>
      </c>
      <c r="B1985" s="192"/>
      <c r="C1985" s="197" t="s">
        <v>1609</v>
      </c>
      <c r="D1985" s="198">
        <f>'02 项目基础信息（输入）'!$C$60</f>
        <v>0</v>
      </c>
      <c r="E1985" s="199" t="s">
        <v>93</v>
      </c>
      <c r="F1985" s="197" t="s">
        <v>1960</v>
      </c>
      <c r="G1985" s="82">
        <v>0</v>
      </c>
      <c r="H1985" s="199" t="s">
        <v>298</v>
      </c>
      <c r="I1985" s="198">
        <f>G1985*D1985</f>
        <v>0</v>
      </c>
      <c r="J1985" s="199" t="s">
        <v>93</v>
      </c>
      <c r="K1985" s="188">
        <v>0</v>
      </c>
      <c r="L1985" s="209" t="s">
        <v>675</v>
      </c>
      <c r="M1985" s="207">
        <f>ROUND(K1985*I1985/10000,6)</f>
        <v>0</v>
      </c>
      <c r="N1985" s="198">
        <f>'02 项目基础信息（输入）'!$C$60</f>
        <v>0</v>
      </c>
      <c r="O1985" s="198">
        <f t="shared" si="224"/>
        <v>0</v>
      </c>
      <c r="P1985" s="198">
        <f>'02 项目基础信息（输入）'!$I$60</f>
        <v>0</v>
      </c>
      <c r="Q1985" s="233">
        <f t="shared" si="225"/>
        <v>0</v>
      </c>
      <c r="S1985" s="217"/>
      <c r="U1985" s="220" t="s">
        <v>3774</v>
      </c>
    </row>
    <row r="1986" spans="1:21" ht="0" hidden="1" customHeight="1" outlineLevel="3">
      <c r="A1986" s="192" t="s">
        <v>1964</v>
      </c>
      <c r="B1986" s="192"/>
      <c r="C1986" s="197" t="s">
        <v>1609</v>
      </c>
      <c r="D1986" s="198">
        <f>'02 项目基础信息（输入）'!$C$60</f>
        <v>0</v>
      </c>
      <c r="E1986" s="199" t="s">
        <v>93</v>
      </c>
      <c r="F1986" s="197" t="s">
        <v>1960</v>
      </c>
      <c r="G1986" s="82">
        <v>0</v>
      </c>
      <c r="H1986" s="199" t="s">
        <v>298</v>
      </c>
      <c r="I1986" s="198">
        <f>G1986*D1986</f>
        <v>0</v>
      </c>
      <c r="J1986" s="199" t="s">
        <v>93</v>
      </c>
      <c r="K1986" s="188">
        <v>0</v>
      </c>
      <c r="L1986" s="209" t="s">
        <v>675</v>
      </c>
      <c r="M1986" s="207">
        <f>ROUND(K1986*I1986/10000,6)</f>
        <v>0</v>
      </c>
      <c r="N1986" s="198">
        <f>'02 项目基础信息（输入）'!$C$60</f>
        <v>0</v>
      </c>
      <c r="O1986" s="198">
        <f t="shared" si="224"/>
        <v>0</v>
      </c>
      <c r="P1986" s="198">
        <f>'02 项目基础信息（输入）'!$I$60</f>
        <v>0</v>
      </c>
      <c r="Q1986" s="233">
        <f t="shared" si="225"/>
        <v>0</v>
      </c>
      <c r="S1986" s="217"/>
      <c r="U1986" s="220" t="s">
        <v>3775</v>
      </c>
    </row>
    <row r="1987" spans="1:21" ht="0" hidden="1" customHeight="1" outlineLevel="3">
      <c r="A1987" s="192" t="s">
        <v>1966</v>
      </c>
      <c r="B1987" s="192"/>
      <c r="C1987" s="197" t="s">
        <v>1609</v>
      </c>
      <c r="D1987" s="198">
        <f>'02 项目基础信息（输入）'!$C$60</f>
        <v>0</v>
      </c>
      <c r="E1987" s="199" t="s">
        <v>93</v>
      </c>
      <c r="F1987" s="197" t="s">
        <v>1960</v>
      </c>
      <c r="G1987" s="82">
        <v>0</v>
      </c>
      <c r="H1987" s="199" t="s">
        <v>298</v>
      </c>
      <c r="I1987" s="198">
        <f>G1987*D1987</f>
        <v>0</v>
      </c>
      <c r="J1987" s="199" t="s">
        <v>93</v>
      </c>
      <c r="K1987" s="188">
        <v>0</v>
      </c>
      <c r="L1987" s="209" t="s">
        <v>675</v>
      </c>
      <c r="M1987" s="207">
        <f>ROUND(K1987*I1987/10000,6)</f>
        <v>0</v>
      </c>
      <c r="N1987" s="198">
        <f>'02 项目基础信息（输入）'!$C$60</f>
        <v>0</v>
      </c>
      <c r="O1987" s="198">
        <f t="shared" ref="O1987:O2050" si="230">ROUND(IFERROR(M1987*10000/N1987,0),2)</f>
        <v>0</v>
      </c>
      <c r="P1987" s="198">
        <f>'02 项目基础信息（输入）'!$I$60</f>
        <v>0</v>
      </c>
      <c r="Q1987" s="233">
        <f t="shared" ref="Q1987:Q2050" si="231">ROUND(IFERROR(M1987*10000/P1987,0),2)</f>
        <v>0</v>
      </c>
      <c r="S1987" s="217"/>
      <c r="U1987" s="220" t="s">
        <v>3776</v>
      </c>
    </row>
    <row r="1988" spans="1:21" ht="0" hidden="1" customHeight="1" outlineLevel="2">
      <c r="A1988" s="192" t="s">
        <v>1968</v>
      </c>
      <c r="B1988" s="192"/>
      <c r="C1988" s="197" t="s">
        <v>1609</v>
      </c>
      <c r="D1988" s="198">
        <f>'02 项目基础信息（输入）'!$C$60</f>
        <v>0</v>
      </c>
      <c r="E1988" s="199" t="s">
        <v>93</v>
      </c>
      <c r="F1988" s="197"/>
      <c r="G1988" s="199"/>
      <c r="H1988" s="199"/>
      <c r="I1988" s="197"/>
      <c r="J1988" s="199"/>
      <c r="K1988" s="198"/>
      <c r="L1988" s="209"/>
      <c r="M1988" s="198">
        <f>ROUND(SUM(M1989),6)</f>
        <v>0</v>
      </c>
      <c r="N1988" s="198">
        <f>'02 项目基础信息（输入）'!$C$60</f>
        <v>0</v>
      </c>
      <c r="O1988" s="198">
        <f t="shared" si="230"/>
        <v>0</v>
      </c>
      <c r="P1988" s="198">
        <f>'02 项目基础信息（输入）'!$I$60</f>
        <v>0</v>
      </c>
      <c r="Q1988" s="233">
        <f t="shared" si="231"/>
        <v>0</v>
      </c>
      <c r="S1988" s="217" t="s">
        <v>1313</v>
      </c>
      <c r="U1988" s="220" t="s">
        <v>3777</v>
      </c>
    </row>
    <row r="1989" spans="1:21" ht="0" hidden="1" customHeight="1" outlineLevel="3">
      <c r="A1989" s="192" t="s">
        <v>1970</v>
      </c>
      <c r="B1989" s="192"/>
      <c r="C1989" s="197" t="s">
        <v>1609</v>
      </c>
      <c r="D1989" s="198">
        <f>'02 项目基础信息（输入）'!$C$60</f>
        <v>0</v>
      </c>
      <c r="E1989" s="199" t="s">
        <v>93</v>
      </c>
      <c r="F1989" s="197" t="s">
        <v>1609</v>
      </c>
      <c r="G1989" s="199">
        <v>1</v>
      </c>
      <c r="H1989" s="199" t="s">
        <v>298</v>
      </c>
      <c r="I1989" s="198">
        <f>G1989*D1989</f>
        <v>0</v>
      </c>
      <c r="J1989" s="199" t="s">
        <v>93</v>
      </c>
      <c r="K1989" s="188">
        <v>0</v>
      </c>
      <c r="L1989" s="209" t="s">
        <v>675</v>
      </c>
      <c r="M1989" s="207">
        <f>ROUND(K1989*I1989/10000,6)</f>
        <v>0</v>
      </c>
      <c r="N1989" s="198">
        <f>'02 项目基础信息（输入）'!$C$60</f>
        <v>0</v>
      </c>
      <c r="O1989" s="198">
        <f t="shared" si="230"/>
        <v>0</v>
      </c>
      <c r="P1989" s="198">
        <f>'02 项目基础信息（输入）'!$I$60</f>
        <v>0</v>
      </c>
      <c r="Q1989" s="233">
        <f t="shared" si="231"/>
        <v>0</v>
      </c>
      <c r="S1989" s="217"/>
      <c r="U1989" s="220" t="s">
        <v>3778</v>
      </c>
    </row>
    <row r="1990" spans="1:21" ht="0" hidden="1" customHeight="1" outlineLevel="2">
      <c r="A1990" s="192" t="s">
        <v>1972</v>
      </c>
      <c r="B1990" s="192"/>
      <c r="C1990" s="197" t="s">
        <v>1609</v>
      </c>
      <c r="D1990" s="198">
        <f>'02 项目基础信息（输入）'!$C$60</f>
        <v>0</v>
      </c>
      <c r="E1990" s="199" t="s">
        <v>93</v>
      </c>
      <c r="F1990" s="197"/>
      <c r="G1990" s="199"/>
      <c r="H1990" s="199"/>
      <c r="I1990" s="197"/>
      <c r="J1990" s="199"/>
      <c r="K1990" s="198"/>
      <c r="L1990" s="209"/>
      <c r="M1990" s="198">
        <f>ROUND(SUM(M1991),6)</f>
        <v>0</v>
      </c>
      <c r="N1990" s="198">
        <f>'02 项目基础信息（输入）'!$C$60</f>
        <v>0</v>
      </c>
      <c r="O1990" s="198">
        <f t="shared" si="230"/>
        <v>0</v>
      </c>
      <c r="P1990" s="198">
        <f>'02 项目基础信息（输入）'!$I$60</f>
        <v>0</v>
      </c>
      <c r="Q1990" s="233">
        <f t="shared" si="231"/>
        <v>0</v>
      </c>
      <c r="S1990" s="217" t="s">
        <v>1313</v>
      </c>
      <c r="U1990" s="220" t="s">
        <v>3779</v>
      </c>
    </row>
    <row r="1991" spans="1:21" ht="0" hidden="1" customHeight="1" outlineLevel="3">
      <c r="A1991" s="192" t="s">
        <v>1974</v>
      </c>
      <c r="B1991" s="192"/>
      <c r="C1991" s="197" t="s">
        <v>1609</v>
      </c>
      <c r="D1991" s="198">
        <f>'02 项目基础信息（输入）'!$C$60</f>
        <v>0</v>
      </c>
      <c r="E1991" s="199" t="s">
        <v>93</v>
      </c>
      <c r="F1991" s="197" t="s">
        <v>1609</v>
      </c>
      <c r="G1991" s="199">
        <v>1</v>
      </c>
      <c r="H1991" s="199" t="s">
        <v>298</v>
      </c>
      <c r="I1991" s="198">
        <f>G1991*D1991</f>
        <v>0</v>
      </c>
      <c r="J1991" s="199" t="s">
        <v>93</v>
      </c>
      <c r="K1991" s="188">
        <v>0</v>
      </c>
      <c r="L1991" s="209" t="s">
        <v>675</v>
      </c>
      <c r="M1991" s="207">
        <f>ROUND(K1991*I1991/10000,6)</f>
        <v>0</v>
      </c>
      <c r="N1991" s="198">
        <f>'02 项目基础信息（输入）'!$C$60</f>
        <v>0</v>
      </c>
      <c r="O1991" s="198">
        <f t="shared" si="230"/>
        <v>0</v>
      </c>
      <c r="P1991" s="198">
        <f>'02 项目基础信息（输入）'!$I$60</f>
        <v>0</v>
      </c>
      <c r="Q1991" s="233">
        <f t="shared" si="231"/>
        <v>0</v>
      </c>
      <c r="S1991" s="217"/>
      <c r="U1991" s="220" t="s">
        <v>3780</v>
      </c>
    </row>
    <row r="1992" spans="1:21" ht="0" hidden="1" customHeight="1" outlineLevel="1" collapsed="1">
      <c r="A1992" s="196" t="s">
        <v>528</v>
      </c>
      <c r="B1992" s="196"/>
      <c r="C1992" s="197" t="s">
        <v>1609</v>
      </c>
      <c r="D1992" s="198">
        <f>'02 项目基础信息（输入）'!$C$63</f>
        <v>0</v>
      </c>
      <c r="E1992" s="199" t="s">
        <v>93</v>
      </c>
      <c r="F1992" s="197"/>
      <c r="G1992" s="199"/>
      <c r="H1992" s="199"/>
      <c r="I1992" s="197"/>
      <c r="J1992" s="199"/>
      <c r="K1992" s="197"/>
      <c r="L1992" s="209"/>
      <c r="M1992" s="198">
        <f>ROUND(M1993+M2015+M2018+M2031+M2034+M2037+M2056+M2068+M2070+M2076+M2082+M2087+M2104+M2109+M2131+M2133+M2137+M2139+M2141+M2147+M2154+M2156+M2158+M2162+M2164+M2166+M2170+M2172+M2174+M2175+M2176+M2181+M2183,6)</f>
        <v>0</v>
      </c>
      <c r="N1992" s="198">
        <f>'02 项目基础信息（输入）'!$C$63</f>
        <v>0</v>
      </c>
      <c r="O1992" s="198">
        <f t="shared" si="230"/>
        <v>0</v>
      </c>
      <c r="P1992" s="198">
        <f>'02 项目基础信息（输入）'!$I$63</f>
        <v>0</v>
      </c>
      <c r="Q1992" s="233">
        <f t="shared" si="231"/>
        <v>0</v>
      </c>
      <c r="S1992" s="217"/>
      <c r="U1992" s="220" t="s">
        <v>3781</v>
      </c>
    </row>
    <row r="1993" spans="1:21" ht="0" hidden="1" customHeight="1" outlineLevel="2">
      <c r="A1993" s="192" t="s">
        <v>1611</v>
      </c>
      <c r="B1993" s="192"/>
      <c r="C1993" s="197" t="s">
        <v>1609</v>
      </c>
      <c r="D1993" s="198">
        <f>'02 项目基础信息（输入）'!$C$63</f>
        <v>0</v>
      </c>
      <c r="E1993" s="199" t="s">
        <v>93</v>
      </c>
      <c r="F1993" s="197"/>
      <c r="G1993" s="199"/>
      <c r="H1993" s="199"/>
      <c r="I1993" s="197"/>
      <c r="J1993" s="199"/>
      <c r="K1993" s="197"/>
      <c r="L1993" s="209"/>
      <c r="M1993" s="198">
        <f>ROUND(M1994+M1997+M1998+M2003+M2004+M2010+M2011+M2014,6)</f>
        <v>0</v>
      </c>
      <c r="N1993" s="198">
        <f>'02 项目基础信息（输入）'!$C$63</f>
        <v>0</v>
      </c>
      <c r="O1993" s="198">
        <f t="shared" si="230"/>
        <v>0</v>
      </c>
      <c r="P1993" s="198">
        <f>'02 项目基础信息（输入）'!$I$63</f>
        <v>0</v>
      </c>
      <c r="Q1993" s="233">
        <f t="shared" si="231"/>
        <v>0</v>
      </c>
      <c r="S1993" s="217" t="s">
        <v>1313</v>
      </c>
      <c r="U1993" s="220" t="s">
        <v>3782</v>
      </c>
    </row>
    <row r="1994" spans="1:21" ht="0" hidden="1" customHeight="1" outlineLevel="3">
      <c r="A1994" s="192" t="s">
        <v>1613</v>
      </c>
      <c r="B1994" s="192"/>
      <c r="C1994" s="197"/>
      <c r="D1994" s="198">
        <f>'02 项目基础信息（输入）'!$C$63</f>
        <v>0</v>
      </c>
      <c r="E1994" s="199"/>
      <c r="F1994" s="197"/>
      <c r="G1994" s="199"/>
      <c r="H1994" s="199"/>
      <c r="I1994" s="197">
        <v>0</v>
      </c>
      <c r="J1994" s="199"/>
      <c r="K1994" s="197"/>
      <c r="L1994" s="209"/>
      <c r="M1994" s="198">
        <f>ROUND(SUM(M1995:M1996),6)</f>
        <v>0</v>
      </c>
      <c r="N1994" s="198">
        <f>'02 项目基础信息（输入）'!$C$63</f>
        <v>0</v>
      </c>
      <c r="O1994" s="198">
        <f t="shared" si="230"/>
        <v>0</v>
      </c>
      <c r="P1994" s="198">
        <f>'02 项目基础信息（输入）'!$I$63</f>
        <v>0</v>
      </c>
      <c r="Q1994" s="233">
        <f t="shared" si="231"/>
        <v>0</v>
      </c>
      <c r="S1994" s="217"/>
      <c r="U1994" s="220" t="s">
        <v>3783</v>
      </c>
    </row>
    <row r="1995" spans="1:21" ht="0" hidden="1" customHeight="1" outlineLevel="4">
      <c r="A1995" s="192" t="s">
        <v>1615</v>
      </c>
      <c r="B1995" s="192"/>
      <c r="C1995" s="197" t="s">
        <v>1609</v>
      </c>
      <c r="D1995" s="198">
        <f>'02 项目基础信息（输入）'!$C$63</f>
        <v>0</v>
      </c>
      <c r="E1995" s="199" t="s">
        <v>93</v>
      </c>
      <c r="F1995" s="197" t="s">
        <v>1616</v>
      </c>
      <c r="G1995" s="82">
        <v>0</v>
      </c>
      <c r="H1995" s="199" t="s">
        <v>966</v>
      </c>
      <c r="I1995" s="198">
        <f>G1995*D1995</f>
        <v>0</v>
      </c>
      <c r="J1995" s="199" t="s">
        <v>1617</v>
      </c>
      <c r="K1995" s="188">
        <v>0</v>
      </c>
      <c r="L1995" s="209" t="s">
        <v>664</v>
      </c>
      <c r="M1995" s="198">
        <f>ROUND(K1995*I1995/10000,6)</f>
        <v>0</v>
      </c>
      <c r="N1995" s="198">
        <f>'02 项目基础信息（输入）'!$C$63</f>
        <v>0</v>
      </c>
      <c r="O1995" s="198">
        <f t="shared" si="230"/>
        <v>0</v>
      </c>
      <c r="P1995" s="198">
        <f>'02 项目基础信息（输入）'!$I$63</f>
        <v>0</v>
      </c>
      <c r="Q1995" s="233">
        <f t="shared" si="231"/>
        <v>0</v>
      </c>
      <c r="S1995" s="217"/>
      <c r="U1995" s="220" t="s">
        <v>3784</v>
      </c>
    </row>
    <row r="1996" spans="1:21" ht="0" hidden="1" customHeight="1" outlineLevel="4">
      <c r="A1996" s="192" t="s">
        <v>1619</v>
      </c>
      <c r="B1996" s="192"/>
      <c r="C1996" s="197" t="s">
        <v>1609</v>
      </c>
      <c r="D1996" s="198">
        <f>'02 项目基础信息（输入）'!$C$63</f>
        <v>0</v>
      </c>
      <c r="E1996" s="199" t="s">
        <v>93</v>
      </c>
      <c r="F1996" s="197" t="s">
        <v>1616</v>
      </c>
      <c r="G1996" s="82">
        <v>0</v>
      </c>
      <c r="H1996" s="199" t="s">
        <v>966</v>
      </c>
      <c r="I1996" s="198">
        <f>G1996*D1996</f>
        <v>0</v>
      </c>
      <c r="J1996" s="199" t="s">
        <v>1617</v>
      </c>
      <c r="K1996" s="188">
        <v>0</v>
      </c>
      <c r="L1996" s="209" t="s">
        <v>664</v>
      </c>
      <c r="M1996" s="198">
        <f>ROUND(K1996*I1996/10000,6)</f>
        <v>0</v>
      </c>
      <c r="N1996" s="198">
        <f>'02 项目基础信息（输入）'!$C$63</f>
        <v>0</v>
      </c>
      <c r="O1996" s="198">
        <f t="shared" si="230"/>
        <v>0</v>
      </c>
      <c r="P1996" s="198">
        <f>'02 项目基础信息（输入）'!$I$63</f>
        <v>0</v>
      </c>
      <c r="Q1996" s="233">
        <f t="shared" si="231"/>
        <v>0</v>
      </c>
      <c r="S1996" s="217"/>
      <c r="U1996" s="220" t="s">
        <v>3785</v>
      </c>
    </row>
    <row r="1997" spans="1:21" ht="0" hidden="1" customHeight="1" outlineLevel="3">
      <c r="A1997" s="192" t="s">
        <v>1621</v>
      </c>
      <c r="B1997" s="192"/>
      <c r="C1997" s="197" t="s">
        <v>1609</v>
      </c>
      <c r="D1997" s="198">
        <f>'02 项目基础信息（输入）'!$C$63</f>
        <v>0</v>
      </c>
      <c r="E1997" s="199" t="s">
        <v>93</v>
      </c>
      <c r="F1997" s="197" t="s">
        <v>1622</v>
      </c>
      <c r="G1997" s="82">
        <v>0</v>
      </c>
      <c r="H1997" s="199" t="s">
        <v>298</v>
      </c>
      <c r="I1997" s="198">
        <f>G1997*D1997</f>
        <v>0</v>
      </c>
      <c r="J1997" s="199" t="s">
        <v>93</v>
      </c>
      <c r="K1997" s="188">
        <v>0</v>
      </c>
      <c r="L1997" s="209" t="s">
        <v>675</v>
      </c>
      <c r="M1997" s="198">
        <f>ROUND(K1997*I1997/10000,6)</f>
        <v>0</v>
      </c>
      <c r="N1997" s="198">
        <f>'02 项目基础信息（输入）'!$C$63</f>
        <v>0</v>
      </c>
      <c r="O1997" s="198">
        <f t="shared" si="230"/>
        <v>0</v>
      </c>
      <c r="P1997" s="198">
        <f>'02 项目基础信息（输入）'!$I$63</f>
        <v>0</v>
      </c>
      <c r="Q1997" s="233">
        <f t="shared" si="231"/>
        <v>0</v>
      </c>
      <c r="S1997" s="217"/>
      <c r="U1997" s="220" t="s">
        <v>3786</v>
      </c>
    </row>
    <row r="1998" spans="1:21" ht="0" hidden="1" customHeight="1" outlineLevel="3">
      <c r="A1998" s="192" t="s">
        <v>1624</v>
      </c>
      <c r="B1998" s="192"/>
      <c r="C1998" s="197"/>
      <c r="D1998" s="198">
        <f>'02 项目基础信息（输入）'!$C$63</f>
        <v>0</v>
      </c>
      <c r="E1998" s="199"/>
      <c r="F1998" s="197"/>
      <c r="G1998" s="199"/>
      <c r="H1998" s="199"/>
      <c r="I1998" s="197">
        <v>0</v>
      </c>
      <c r="J1998" s="199"/>
      <c r="K1998" s="198"/>
      <c r="L1998" s="209"/>
      <c r="M1998" s="198">
        <f>ROUND(SUM(M1999:M2002),6)</f>
        <v>0</v>
      </c>
      <c r="N1998" s="198">
        <f>'02 项目基础信息（输入）'!$C$63</f>
        <v>0</v>
      </c>
      <c r="O1998" s="198">
        <f t="shared" si="230"/>
        <v>0</v>
      </c>
      <c r="P1998" s="198">
        <f>'02 项目基础信息（输入）'!$I$63</f>
        <v>0</v>
      </c>
      <c r="Q1998" s="233">
        <f t="shared" si="231"/>
        <v>0</v>
      </c>
      <c r="S1998" s="217"/>
      <c r="U1998" s="220" t="s">
        <v>3787</v>
      </c>
    </row>
    <row r="1999" spans="1:21" ht="0" hidden="1" customHeight="1" outlineLevel="4">
      <c r="A1999" s="192" t="s">
        <v>1626</v>
      </c>
      <c r="B1999" s="192"/>
      <c r="C1999" s="197" t="s">
        <v>1609</v>
      </c>
      <c r="D1999" s="198">
        <f>'02 项目基础信息（输入）'!$C$63</f>
        <v>0</v>
      </c>
      <c r="E1999" s="199" t="s">
        <v>93</v>
      </c>
      <c r="F1999" s="197" t="s">
        <v>1627</v>
      </c>
      <c r="G1999" s="82">
        <v>0</v>
      </c>
      <c r="H1999" s="199" t="s">
        <v>976</v>
      </c>
      <c r="I1999" s="198">
        <f>G1999*D1999</f>
        <v>0</v>
      </c>
      <c r="J1999" s="199" t="s">
        <v>1511</v>
      </c>
      <c r="K1999" s="188">
        <v>0</v>
      </c>
      <c r="L1999" s="209" t="s">
        <v>671</v>
      </c>
      <c r="M1999" s="198">
        <f>ROUND(K1999*I1999/10000,6)</f>
        <v>0</v>
      </c>
      <c r="N1999" s="198">
        <f>'02 项目基础信息（输入）'!$C$63</f>
        <v>0</v>
      </c>
      <c r="O1999" s="198">
        <f t="shared" si="230"/>
        <v>0</v>
      </c>
      <c r="P1999" s="198">
        <f>'02 项目基础信息（输入）'!$I$63</f>
        <v>0</v>
      </c>
      <c r="Q1999" s="233">
        <f t="shared" si="231"/>
        <v>0</v>
      </c>
      <c r="S1999" s="217"/>
      <c r="U1999" s="220" t="s">
        <v>3788</v>
      </c>
    </row>
    <row r="2000" spans="1:21" ht="0" hidden="1" customHeight="1" outlineLevel="4">
      <c r="A2000" s="192" t="s">
        <v>1629</v>
      </c>
      <c r="B2000" s="192"/>
      <c r="C2000" s="197" t="s">
        <v>1609</v>
      </c>
      <c r="D2000" s="198">
        <f>'02 项目基础信息（输入）'!$C$63</f>
        <v>0</v>
      </c>
      <c r="E2000" s="199" t="s">
        <v>93</v>
      </c>
      <c r="F2000" s="197" t="s">
        <v>1627</v>
      </c>
      <c r="G2000" s="82">
        <v>0</v>
      </c>
      <c r="H2000" s="199" t="s">
        <v>976</v>
      </c>
      <c r="I2000" s="198">
        <f>G2000*D2000</f>
        <v>0</v>
      </c>
      <c r="J2000" s="199" t="s">
        <v>1511</v>
      </c>
      <c r="K2000" s="188">
        <v>0</v>
      </c>
      <c r="L2000" s="209" t="s">
        <v>671</v>
      </c>
      <c r="M2000" s="198">
        <f>ROUND(K2000*I2000/10000,6)</f>
        <v>0</v>
      </c>
      <c r="N2000" s="198">
        <f>'02 项目基础信息（输入）'!$C$63</f>
        <v>0</v>
      </c>
      <c r="O2000" s="198">
        <f t="shared" si="230"/>
        <v>0</v>
      </c>
      <c r="P2000" s="198">
        <f>'02 项目基础信息（输入）'!$I$63</f>
        <v>0</v>
      </c>
      <c r="Q2000" s="233">
        <f t="shared" si="231"/>
        <v>0</v>
      </c>
      <c r="S2000" s="217"/>
      <c r="U2000" s="220" t="s">
        <v>3789</v>
      </c>
    </row>
    <row r="2001" spans="1:21" ht="0" hidden="1" customHeight="1" outlineLevel="4">
      <c r="A2001" s="192" t="s">
        <v>1631</v>
      </c>
      <c r="B2001" s="192"/>
      <c r="C2001" s="197" t="s">
        <v>1609</v>
      </c>
      <c r="D2001" s="198">
        <f>'02 项目基础信息（输入）'!$C$63</f>
        <v>0</v>
      </c>
      <c r="E2001" s="199" t="s">
        <v>93</v>
      </c>
      <c r="F2001" s="197" t="s">
        <v>1632</v>
      </c>
      <c r="G2001" s="82">
        <v>0</v>
      </c>
      <c r="H2001" s="199" t="s">
        <v>976</v>
      </c>
      <c r="I2001" s="198">
        <f>G2001*D2001</f>
        <v>0</v>
      </c>
      <c r="J2001" s="199" t="s">
        <v>93</v>
      </c>
      <c r="K2001" s="188">
        <v>0</v>
      </c>
      <c r="L2001" s="209" t="s">
        <v>675</v>
      </c>
      <c r="M2001" s="198">
        <f>ROUND(K2001*I2001/10000,6)</f>
        <v>0</v>
      </c>
      <c r="N2001" s="198">
        <f>'02 项目基础信息（输入）'!$C$63</f>
        <v>0</v>
      </c>
      <c r="O2001" s="198">
        <f t="shared" si="230"/>
        <v>0</v>
      </c>
      <c r="P2001" s="198">
        <f>'02 项目基础信息（输入）'!$I$63</f>
        <v>0</v>
      </c>
      <c r="Q2001" s="233">
        <f t="shared" si="231"/>
        <v>0</v>
      </c>
      <c r="S2001" s="217"/>
      <c r="U2001" s="220" t="s">
        <v>3790</v>
      </c>
    </row>
    <row r="2002" spans="1:21" ht="0" hidden="1" customHeight="1" outlineLevel="4">
      <c r="A2002" s="192" t="s">
        <v>1634</v>
      </c>
      <c r="B2002" s="192"/>
      <c r="C2002" s="197" t="s">
        <v>1609</v>
      </c>
      <c r="D2002" s="198">
        <f>'02 项目基础信息（输入）'!$C$63</f>
        <v>0</v>
      </c>
      <c r="E2002" s="199" t="s">
        <v>93</v>
      </c>
      <c r="F2002" s="197" t="s">
        <v>1632</v>
      </c>
      <c r="G2002" s="82">
        <v>0</v>
      </c>
      <c r="H2002" s="199" t="s">
        <v>976</v>
      </c>
      <c r="I2002" s="198">
        <f>G2002*D2002</f>
        <v>0</v>
      </c>
      <c r="J2002" s="199" t="s">
        <v>93</v>
      </c>
      <c r="K2002" s="188">
        <v>0</v>
      </c>
      <c r="L2002" s="209" t="s">
        <v>675</v>
      </c>
      <c r="M2002" s="198">
        <f>ROUND(K2002*I2002/10000,6)</f>
        <v>0</v>
      </c>
      <c r="N2002" s="198">
        <f>'02 项目基础信息（输入）'!$C$63</f>
        <v>0</v>
      </c>
      <c r="O2002" s="198">
        <f t="shared" si="230"/>
        <v>0</v>
      </c>
      <c r="P2002" s="198">
        <f>'02 项目基础信息（输入）'!$I$63</f>
        <v>0</v>
      </c>
      <c r="Q2002" s="233">
        <f t="shared" si="231"/>
        <v>0</v>
      </c>
      <c r="S2002" s="217"/>
      <c r="U2002" s="220" t="s">
        <v>3791</v>
      </c>
    </row>
    <row r="2003" spans="1:21" ht="0" hidden="1" customHeight="1" outlineLevel="3">
      <c r="A2003" s="192" t="s">
        <v>1636</v>
      </c>
      <c r="B2003" s="192"/>
      <c r="C2003" s="197" t="s">
        <v>1609</v>
      </c>
      <c r="D2003" s="198">
        <f>'02 项目基础信息（输入）'!$C$63</f>
        <v>0</v>
      </c>
      <c r="E2003" s="199" t="s">
        <v>93</v>
      </c>
      <c r="F2003" s="197" t="s">
        <v>1637</v>
      </c>
      <c r="G2003" s="82">
        <v>0</v>
      </c>
      <c r="H2003" s="199" t="s">
        <v>976</v>
      </c>
      <c r="I2003" s="198">
        <f>G2003*D2003</f>
        <v>0</v>
      </c>
      <c r="J2003" s="199" t="s">
        <v>1511</v>
      </c>
      <c r="K2003" s="188">
        <v>0</v>
      </c>
      <c r="L2003" s="209" t="s">
        <v>671</v>
      </c>
      <c r="M2003" s="198">
        <f>ROUND(K2003*I2003/10000,6)</f>
        <v>0</v>
      </c>
      <c r="N2003" s="198">
        <f>'02 项目基础信息（输入）'!$C$63</f>
        <v>0</v>
      </c>
      <c r="O2003" s="198">
        <f t="shared" si="230"/>
        <v>0</v>
      </c>
      <c r="P2003" s="198">
        <f>'02 项目基础信息（输入）'!$I$63</f>
        <v>0</v>
      </c>
      <c r="Q2003" s="233">
        <f t="shared" si="231"/>
        <v>0</v>
      </c>
      <c r="S2003" s="217"/>
      <c r="U2003" s="220" t="s">
        <v>3792</v>
      </c>
    </row>
    <row r="2004" spans="1:21" ht="0" hidden="1" customHeight="1" outlineLevel="3">
      <c r="A2004" s="192" t="s">
        <v>1640</v>
      </c>
      <c r="B2004" s="192"/>
      <c r="C2004" s="197"/>
      <c r="D2004" s="198">
        <f>'02 项目基础信息（输入）'!$C$63</f>
        <v>0</v>
      </c>
      <c r="E2004" s="199"/>
      <c r="F2004" s="197"/>
      <c r="G2004" s="199"/>
      <c r="H2004" s="199"/>
      <c r="I2004" s="197">
        <v>0</v>
      </c>
      <c r="J2004" s="199"/>
      <c r="K2004" s="197"/>
      <c r="L2004" s="209"/>
      <c r="M2004" s="198">
        <f>ROUND(SUM(M2005:M2009),6)</f>
        <v>0</v>
      </c>
      <c r="N2004" s="198">
        <f>'02 项目基础信息（输入）'!$C$63</f>
        <v>0</v>
      </c>
      <c r="O2004" s="198">
        <f t="shared" si="230"/>
        <v>0</v>
      </c>
      <c r="P2004" s="198">
        <f>'02 项目基础信息（输入）'!$I$63</f>
        <v>0</v>
      </c>
      <c r="Q2004" s="233">
        <f t="shared" si="231"/>
        <v>0</v>
      </c>
      <c r="S2004" s="217"/>
      <c r="U2004" s="220" t="s">
        <v>3793</v>
      </c>
    </row>
    <row r="2005" spans="1:21" ht="0" hidden="1" customHeight="1" outlineLevel="4">
      <c r="A2005" s="192" t="s">
        <v>1642</v>
      </c>
      <c r="B2005" s="192"/>
      <c r="C2005" s="197" t="s">
        <v>1609</v>
      </c>
      <c r="D2005" s="198">
        <f>'02 项目基础信息（输入）'!$C$63</f>
        <v>0</v>
      </c>
      <c r="E2005" s="199" t="s">
        <v>93</v>
      </c>
      <c r="F2005" s="197" t="s">
        <v>1609</v>
      </c>
      <c r="G2005" s="199">
        <v>1</v>
      </c>
      <c r="H2005" s="199" t="s">
        <v>298</v>
      </c>
      <c r="I2005" s="198">
        <f t="shared" ref="I2005:I2010" si="232">G2005*D2005</f>
        <v>0</v>
      </c>
      <c r="J2005" s="199" t="s">
        <v>93</v>
      </c>
      <c r="K2005" s="188">
        <v>0</v>
      </c>
      <c r="L2005" s="209" t="s">
        <v>675</v>
      </c>
      <c r="M2005" s="198">
        <f t="shared" ref="M2005:M2010" si="233">ROUND(K2005*I2005/10000,6)</f>
        <v>0</v>
      </c>
      <c r="N2005" s="198">
        <f>'02 项目基础信息（输入）'!$C$63</f>
        <v>0</v>
      </c>
      <c r="O2005" s="198">
        <f t="shared" si="230"/>
        <v>0</v>
      </c>
      <c r="P2005" s="198">
        <f>'02 项目基础信息（输入）'!$I$63</f>
        <v>0</v>
      </c>
      <c r="Q2005" s="233">
        <f t="shared" si="231"/>
        <v>0</v>
      </c>
      <c r="S2005" s="217"/>
      <c r="U2005" s="220" t="s">
        <v>3794</v>
      </c>
    </row>
    <row r="2006" spans="1:21" ht="0" hidden="1" customHeight="1" outlineLevel="4">
      <c r="A2006" s="192" t="s">
        <v>1645</v>
      </c>
      <c r="B2006" s="192"/>
      <c r="C2006" s="197" t="s">
        <v>1609</v>
      </c>
      <c r="D2006" s="198">
        <f>'02 项目基础信息（输入）'!$C$63</f>
        <v>0</v>
      </c>
      <c r="E2006" s="199" t="s">
        <v>93</v>
      </c>
      <c r="F2006" s="197" t="s">
        <v>1609</v>
      </c>
      <c r="G2006" s="199">
        <v>1</v>
      </c>
      <c r="H2006" s="199" t="s">
        <v>298</v>
      </c>
      <c r="I2006" s="198">
        <f t="shared" si="232"/>
        <v>0</v>
      </c>
      <c r="J2006" s="199" t="s">
        <v>93</v>
      </c>
      <c r="K2006" s="188">
        <v>0</v>
      </c>
      <c r="L2006" s="209" t="s">
        <v>675</v>
      </c>
      <c r="M2006" s="198">
        <f t="shared" si="233"/>
        <v>0</v>
      </c>
      <c r="N2006" s="198">
        <f>'02 项目基础信息（输入）'!$C$63</f>
        <v>0</v>
      </c>
      <c r="O2006" s="198">
        <f t="shared" si="230"/>
        <v>0</v>
      </c>
      <c r="P2006" s="198">
        <f>'02 项目基础信息（输入）'!$I$63</f>
        <v>0</v>
      </c>
      <c r="Q2006" s="233">
        <f t="shared" si="231"/>
        <v>0</v>
      </c>
      <c r="S2006" s="217"/>
      <c r="U2006" s="220" t="s">
        <v>3795</v>
      </c>
    </row>
    <row r="2007" spans="1:21" ht="0" hidden="1" customHeight="1" outlineLevel="4">
      <c r="A2007" s="192" t="s">
        <v>1647</v>
      </c>
      <c r="B2007" s="192"/>
      <c r="C2007" s="197" t="s">
        <v>1609</v>
      </c>
      <c r="D2007" s="198">
        <f>'02 项目基础信息（输入）'!$C$63</f>
        <v>0</v>
      </c>
      <c r="E2007" s="199" t="s">
        <v>93</v>
      </c>
      <c r="F2007" s="197" t="s">
        <v>1648</v>
      </c>
      <c r="G2007" s="82">
        <v>0</v>
      </c>
      <c r="H2007" s="199" t="s">
        <v>298</v>
      </c>
      <c r="I2007" s="198">
        <f t="shared" si="232"/>
        <v>0</v>
      </c>
      <c r="J2007" s="199" t="s">
        <v>93</v>
      </c>
      <c r="K2007" s="188">
        <v>0</v>
      </c>
      <c r="L2007" s="209" t="s">
        <v>675</v>
      </c>
      <c r="M2007" s="198">
        <f t="shared" si="233"/>
        <v>0</v>
      </c>
      <c r="N2007" s="198">
        <f>'02 项目基础信息（输入）'!$C$63</f>
        <v>0</v>
      </c>
      <c r="O2007" s="198">
        <f t="shared" si="230"/>
        <v>0</v>
      </c>
      <c r="P2007" s="198">
        <f>'02 项目基础信息（输入）'!$I$63</f>
        <v>0</v>
      </c>
      <c r="Q2007" s="233">
        <f t="shared" si="231"/>
        <v>0</v>
      </c>
      <c r="S2007" s="217"/>
      <c r="U2007" s="220" t="s">
        <v>3796</v>
      </c>
    </row>
    <row r="2008" spans="1:21" ht="0" hidden="1" customHeight="1" outlineLevel="4">
      <c r="A2008" s="192" t="s">
        <v>1993</v>
      </c>
      <c r="B2008" s="192"/>
      <c r="C2008" s="197" t="s">
        <v>1609</v>
      </c>
      <c r="D2008" s="198">
        <f>'02 项目基础信息（输入）'!$C$63</f>
        <v>0</v>
      </c>
      <c r="E2008" s="199" t="s">
        <v>93</v>
      </c>
      <c r="F2008" s="197" t="s">
        <v>1648</v>
      </c>
      <c r="G2008" s="82">
        <v>0</v>
      </c>
      <c r="H2008" s="199" t="s">
        <v>298</v>
      </c>
      <c r="I2008" s="198">
        <f t="shared" si="232"/>
        <v>0</v>
      </c>
      <c r="J2008" s="199" t="s">
        <v>93</v>
      </c>
      <c r="K2008" s="188">
        <v>0</v>
      </c>
      <c r="L2008" s="209" t="s">
        <v>675</v>
      </c>
      <c r="M2008" s="198">
        <f t="shared" si="233"/>
        <v>0</v>
      </c>
      <c r="N2008" s="198">
        <f>'02 项目基础信息（输入）'!$C$63</f>
        <v>0</v>
      </c>
      <c r="O2008" s="198">
        <f t="shared" si="230"/>
        <v>0</v>
      </c>
      <c r="P2008" s="198">
        <f>'02 项目基础信息（输入）'!$I$63</f>
        <v>0</v>
      </c>
      <c r="Q2008" s="233">
        <f t="shared" si="231"/>
        <v>0</v>
      </c>
      <c r="S2008" s="217"/>
      <c r="U2008" s="220" t="s">
        <v>3797</v>
      </c>
    </row>
    <row r="2009" spans="1:21" ht="0" hidden="1" customHeight="1" outlineLevel="4">
      <c r="A2009" s="192" t="s">
        <v>1650</v>
      </c>
      <c r="B2009" s="192"/>
      <c r="C2009" s="197" t="s">
        <v>1609</v>
      </c>
      <c r="D2009" s="198">
        <f>'02 项目基础信息（输入）'!$C$63</f>
        <v>0</v>
      </c>
      <c r="E2009" s="199" t="s">
        <v>93</v>
      </c>
      <c r="F2009" s="197" t="s">
        <v>1648</v>
      </c>
      <c r="G2009" s="82">
        <v>0</v>
      </c>
      <c r="H2009" s="199" t="s">
        <v>298</v>
      </c>
      <c r="I2009" s="198">
        <f t="shared" si="232"/>
        <v>0</v>
      </c>
      <c r="J2009" s="199" t="s">
        <v>93</v>
      </c>
      <c r="K2009" s="188">
        <v>0</v>
      </c>
      <c r="L2009" s="209" t="s">
        <v>675</v>
      </c>
      <c r="M2009" s="198">
        <f t="shared" si="233"/>
        <v>0</v>
      </c>
      <c r="N2009" s="198">
        <f>'02 项目基础信息（输入）'!$C$63</f>
        <v>0</v>
      </c>
      <c r="O2009" s="198">
        <f t="shared" si="230"/>
        <v>0</v>
      </c>
      <c r="P2009" s="198">
        <f>'02 项目基础信息（输入）'!$I$63</f>
        <v>0</v>
      </c>
      <c r="Q2009" s="233">
        <f t="shared" si="231"/>
        <v>0</v>
      </c>
      <c r="S2009" s="217"/>
      <c r="U2009" s="220" t="s">
        <v>3798</v>
      </c>
    </row>
    <row r="2010" spans="1:21" ht="0" hidden="1" customHeight="1" outlineLevel="3">
      <c r="A2010" s="192" t="s">
        <v>1652</v>
      </c>
      <c r="B2010" s="192"/>
      <c r="C2010" s="197" t="s">
        <v>1609</v>
      </c>
      <c r="D2010" s="198">
        <f>'02 项目基础信息（输入）'!$C$63</f>
        <v>0</v>
      </c>
      <c r="E2010" s="199" t="s">
        <v>93</v>
      </c>
      <c r="F2010" s="197" t="s">
        <v>1648</v>
      </c>
      <c r="G2010" s="82">
        <v>0</v>
      </c>
      <c r="H2010" s="199" t="s">
        <v>298</v>
      </c>
      <c r="I2010" s="198">
        <f t="shared" si="232"/>
        <v>0</v>
      </c>
      <c r="J2010" s="199" t="s">
        <v>93</v>
      </c>
      <c r="K2010" s="188">
        <v>0</v>
      </c>
      <c r="L2010" s="209" t="s">
        <v>675</v>
      </c>
      <c r="M2010" s="198">
        <f t="shared" si="233"/>
        <v>0</v>
      </c>
      <c r="N2010" s="198">
        <f>'02 项目基础信息（输入）'!$C$63</f>
        <v>0</v>
      </c>
      <c r="O2010" s="198">
        <f t="shared" si="230"/>
        <v>0</v>
      </c>
      <c r="P2010" s="198">
        <f>'02 项目基础信息（输入）'!$I$63</f>
        <v>0</v>
      </c>
      <c r="Q2010" s="233">
        <f t="shared" si="231"/>
        <v>0</v>
      </c>
      <c r="S2010" s="217"/>
      <c r="U2010" s="220" t="s">
        <v>3799</v>
      </c>
    </row>
    <row r="2011" spans="1:21" ht="0" hidden="1" customHeight="1" outlineLevel="3">
      <c r="A2011" s="192" t="s">
        <v>1654</v>
      </c>
      <c r="B2011" s="192"/>
      <c r="C2011" s="197"/>
      <c r="D2011" s="198">
        <f>'02 项目基础信息（输入）'!$C$63</f>
        <v>0</v>
      </c>
      <c r="E2011" s="199"/>
      <c r="F2011" s="197"/>
      <c r="G2011" s="199"/>
      <c r="H2011" s="199"/>
      <c r="I2011" s="197">
        <v>0</v>
      </c>
      <c r="J2011" s="199"/>
      <c r="K2011" s="197"/>
      <c r="L2011" s="209"/>
      <c r="M2011" s="198">
        <f>ROUND(SUM(M2012:M2013),6)</f>
        <v>0</v>
      </c>
      <c r="N2011" s="198">
        <f>'02 项目基础信息（输入）'!$C$63</f>
        <v>0</v>
      </c>
      <c r="O2011" s="198">
        <f t="shared" si="230"/>
        <v>0</v>
      </c>
      <c r="P2011" s="198">
        <f>'02 项目基础信息（输入）'!$I$63</f>
        <v>0</v>
      </c>
      <c r="Q2011" s="233">
        <f t="shared" si="231"/>
        <v>0</v>
      </c>
      <c r="S2011" s="217"/>
      <c r="U2011" s="220" t="s">
        <v>3800</v>
      </c>
    </row>
    <row r="2012" spans="1:21" ht="0" hidden="1" customHeight="1" outlineLevel="4">
      <c r="A2012" s="192" t="s">
        <v>1656</v>
      </c>
      <c r="B2012" s="192"/>
      <c r="C2012" s="197" t="s">
        <v>1609</v>
      </c>
      <c r="D2012" s="198">
        <f>'02 项目基础信息（输入）'!$C$63</f>
        <v>0</v>
      </c>
      <c r="E2012" s="199" t="s">
        <v>93</v>
      </c>
      <c r="F2012" s="197" t="s">
        <v>1657</v>
      </c>
      <c r="G2012" s="82">
        <v>0</v>
      </c>
      <c r="H2012" s="199" t="s">
        <v>1998</v>
      </c>
      <c r="I2012" s="198">
        <f>G2012*D2012</f>
        <v>0</v>
      </c>
      <c r="J2012" s="199" t="s">
        <v>93</v>
      </c>
      <c r="K2012" s="188">
        <v>0</v>
      </c>
      <c r="L2012" s="209" t="s">
        <v>675</v>
      </c>
      <c r="M2012" s="198">
        <f>ROUND(K2012*I2012/10000,6)</f>
        <v>0</v>
      </c>
      <c r="N2012" s="198">
        <f>'02 项目基础信息（输入）'!$C$63</f>
        <v>0</v>
      </c>
      <c r="O2012" s="198">
        <f t="shared" si="230"/>
        <v>0</v>
      </c>
      <c r="P2012" s="198">
        <f>'02 项目基础信息（输入）'!$I$63</f>
        <v>0</v>
      </c>
      <c r="Q2012" s="233">
        <f t="shared" si="231"/>
        <v>0</v>
      </c>
      <c r="S2012" s="217"/>
      <c r="U2012" s="220" t="s">
        <v>3801</v>
      </c>
    </row>
    <row r="2013" spans="1:21" ht="0" hidden="1" customHeight="1" outlineLevel="4">
      <c r="A2013" s="192" t="s">
        <v>1661</v>
      </c>
      <c r="B2013" s="192"/>
      <c r="C2013" s="197" t="s">
        <v>1609</v>
      </c>
      <c r="D2013" s="198">
        <f>'02 项目基础信息（输入）'!$C$63</f>
        <v>0</v>
      </c>
      <c r="E2013" s="199" t="s">
        <v>93</v>
      </c>
      <c r="F2013" s="197" t="s">
        <v>1609</v>
      </c>
      <c r="G2013" s="199">
        <v>1</v>
      </c>
      <c r="H2013" s="199" t="s">
        <v>298</v>
      </c>
      <c r="I2013" s="198">
        <f>G2013*D2013</f>
        <v>0</v>
      </c>
      <c r="J2013" s="199" t="s">
        <v>93</v>
      </c>
      <c r="K2013" s="188">
        <v>0</v>
      </c>
      <c r="L2013" s="209" t="s">
        <v>675</v>
      </c>
      <c r="M2013" s="198">
        <f>ROUND(K2013*I2013/10000,6)</f>
        <v>0</v>
      </c>
      <c r="N2013" s="198">
        <f>'02 项目基础信息（输入）'!$C$63</f>
        <v>0</v>
      </c>
      <c r="O2013" s="198">
        <f t="shared" si="230"/>
        <v>0</v>
      </c>
      <c r="P2013" s="198">
        <f>'02 项目基础信息（输入）'!$I$63</f>
        <v>0</v>
      </c>
      <c r="Q2013" s="233">
        <f t="shared" si="231"/>
        <v>0</v>
      </c>
      <c r="S2013" s="217"/>
      <c r="U2013" s="220" t="s">
        <v>3802</v>
      </c>
    </row>
    <row r="2014" spans="1:21" ht="0" hidden="1" customHeight="1" outlineLevel="3">
      <c r="A2014" s="192" t="s">
        <v>1664</v>
      </c>
      <c r="B2014" s="192"/>
      <c r="C2014" s="197" t="s">
        <v>1665</v>
      </c>
      <c r="D2014" s="198">
        <f>SUM(M1994+M1997+M1998+M2003+M2004+M2010+M2011)*10000</f>
        <v>0</v>
      </c>
      <c r="E2014" s="199" t="s">
        <v>1666</v>
      </c>
      <c r="F2014" s="197" t="s">
        <v>1667</v>
      </c>
      <c r="G2014" s="226">
        <f>IFERROR(I2014/D2014*100,0)</f>
        <v>0</v>
      </c>
      <c r="H2014" s="195" t="s">
        <v>123</v>
      </c>
      <c r="I2014" s="194">
        <f>K2014*N2014</f>
        <v>0</v>
      </c>
      <c r="J2014" s="195" t="s">
        <v>1666</v>
      </c>
      <c r="K2014" s="188">
        <v>0</v>
      </c>
      <c r="L2014" s="230" t="s">
        <v>1669</v>
      </c>
      <c r="M2014" s="231">
        <f>ROUND(I2014/10000,6)</f>
        <v>0</v>
      </c>
      <c r="N2014" s="198">
        <f>'02 项目基础信息（输入）'!$C$63</f>
        <v>0</v>
      </c>
      <c r="O2014" s="198">
        <f t="shared" si="230"/>
        <v>0</v>
      </c>
      <c r="P2014" s="198">
        <f>'02 项目基础信息（输入）'!$I$63</f>
        <v>0</v>
      </c>
      <c r="Q2014" s="233">
        <f t="shared" si="231"/>
        <v>0</v>
      </c>
      <c r="S2014" s="217"/>
      <c r="U2014" s="220" t="s">
        <v>3803</v>
      </c>
    </row>
    <row r="2015" spans="1:21" ht="0" hidden="1" customHeight="1" outlineLevel="2">
      <c r="A2015" s="192" t="s">
        <v>1671</v>
      </c>
      <c r="B2015" s="192"/>
      <c r="C2015" s="197" t="s">
        <v>1609</v>
      </c>
      <c r="D2015" s="198">
        <f>'02 项目基础信息（输入）'!$C$63</f>
        <v>0</v>
      </c>
      <c r="E2015" s="199" t="s">
        <v>93</v>
      </c>
      <c r="F2015" s="197"/>
      <c r="G2015" s="199"/>
      <c r="H2015" s="199"/>
      <c r="I2015" s="197"/>
      <c r="J2015" s="199"/>
      <c r="K2015" s="197"/>
      <c r="L2015" s="209"/>
      <c r="M2015" s="198">
        <f>ROUND(SUM(M2016:M2017),6)</f>
        <v>0</v>
      </c>
      <c r="N2015" s="198">
        <f>'02 项目基础信息（输入）'!$C$63</f>
        <v>0</v>
      </c>
      <c r="O2015" s="198">
        <f t="shared" si="230"/>
        <v>0</v>
      </c>
      <c r="P2015" s="198">
        <f>'02 项目基础信息（输入）'!$I$63</f>
        <v>0</v>
      </c>
      <c r="Q2015" s="233">
        <f t="shared" si="231"/>
        <v>0</v>
      </c>
      <c r="S2015" s="217" t="s">
        <v>1313</v>
      </c>
      <c r="U2015" s="220" t="s">
        <v>3804</v>
      </c>
    </row>
    <row r="2016" spans="1:21" ht="0" hidden="1" customHeight="1" outlineLevel="3">
      <c r="A2016" s="192" t="s">
        <v>1673</v>
      </c>
      <c r="B2016" s="192"/>
      <c r="C2016" s="197" t="s">
        <v>1609</v>
      </c>
      <c r="D2016" s="198">
        <f>'02 项目基础信息（输入）'!$C$63</f>
        <v>0</v>
      </c>
      <c r="E2016" s="199" t="s">
        <v>93</v>
      </c>
      <c r="F2016" s="197" t="s">
        <v>705</v>
      </c>
      <c r="G2016" s="199">
        <v>0</v>
      </c>
      <c r="H2016" s="199" t="s">
        <v>298</v>
      </c>
      <c r="I2016" s="198">
        <f>G2016*D2016</f>
        <v>0</v>
      </c>
      <c r="J2016" s="199" t="s">
        <v>93</v>
      </c>
      <c r="K2016" s="207">
        <v>0</v>
      </c>
      <c r="L2016" s="209" t="s">
        <v>675</v>
      </c>
      <c r="M2016" s="207">
        <f>ROUND(K2016*I2016/10000,6)</f>
        <v>0</v>
      </c>
      <c r="N2016" s="198">
        <f>'02 项目基础信息（输入）'!$C$63</f>
        <v>0</v>
      </c>
      <c r="O2016" s="198">
        <f t="shared" si="230"/>
        <v>0</v>
      </c>
      <c r="P2016" s="198">
        <f>'02 项目基础信息（输入）'!$I$63</f>
        <v>0</v>
      </c>
      <c r="Q2016" s="233">
        <f t="shared" si="231"/>
        <v>0</v>
      </c>
      <c r="S2016" s="217"/>
      <c r="U2016" s="220" t="s">
        <v>3805</v>
      </c>
    </row>
    <row r="2017" spans="1:21" ht="0" hidden="1" customHeight="1" outlineLevel="3">
      <c r="A2017" s="192" t="s">
        <v>1676</v>
      </c>
      <c r="B2017" s="192"/>
      <c r="C2017" s="197" t="s">
        <v>1609</v>
      </c>
      <c r="D2017" s="198">
        <f>'02 项目基础信息（输入）'!$C$63</f>
        <v>0</v>
      </c>
      <c r="E2017" s="199" t="s">
        <v>93</v>
      </c>
      <c r="F2017" s="197" t="s">
        <v>705</v>
      </c>
      <c r="G2017" s="199">
        <v>0</v>
      </c>
      <c r="H2017" s="199" t="s">
        <v>298</v>
      </c>
      <c r="I2017" s="198">
        <f>G2017*D2017</f>
        <v>0</v>
      </c>
      <c r="J2017" s="199" t="s">
        <v>93</v>
      </c>
      <c r="K2017" s="207">
        <v>0</v>
      </c>
      <c r="L2017" s="209" t="s">
        <v>675</v>
      </c>
      <c r="M2017" s="207">
        <f>ROUND(K2017*I2017/10000,6)</f>
        <v>0</v>
      </c>
      <c r="N2017" s="198">
        <f>'02 项目基础信息（输入）'!$C$63</f>
        <v>0</v>
      </c>
      <c r="O2017" s="198">
        <f t="shared" si="230"/>
        <v>0</v>
      </c>
      <c r="P2017" s="198">
        <f>'02 项目基础信息（输入）'!$I$63</f>
        <v>0</v>
      </c>
      <c r="Q2017" s="233">
        <f t="shared" si="231"/>
        <v>0</v>
      </c>
      <c r="S2017" s="217"/>
      <c r="U2017" s="220" t="s">
        <v>3806</v>
      </c>
    </row>
    <row r="2018" spans="1:21" ht="0" hidden="1" customHeight="1" outlineLevel="2">
      <c r="A2018" s="192" t="s">
        <v>1679</v>
      </c>
      <c r="B2018" s="192"/>
      <c r="C2018" s="197" t="s">
        <v>1609</v>
      </c>
      <c r="D2018" s="198">
        <f>'02 项目基础信息（输入）'!$C$63</f>
        <v>0</v>
      </c>
      <c r="E2018" s="199" t="s">
        <v>93</v>
      </c>
      <c r="F2018" s="197"/>
      <c r="G2018" s="199"/>
      <c r="H2018" s="199"/>
      <c r="I2018" s="197"/>
      <c r="J2018" s="199"/>
      <c r="K2018" s="197"/>
      <c r="L2018" s="209"/>
      <c r="M2018" s="198">
        <f>ROUND(SUM(M2019:M2030),6)</f>
        <v>0</v>
      </c>
      <c r="N2018" s="198">
        <f>'02 项目基础信息（输入）'!$C$63</f>
        <v>0</v>
      </c>
      <c r="O2018" s="198">
        <f t="shared" si="230"/>
        <v>0</v>
      </c>
      <c r="P2018" s="198">
        <f>'02 项目基础信息（输入）'!$I$63</f>
        <v>0</v>
      </c>
      <c r="Q2018" s="233">
        <f t="shared" si="231"/>
        <v>0</v>
      </c>
      <c r="S2018" s="217" t="s">
        <v>1313</v>
      </c>
      <c r="U2018" s="220" t="s">
        <v>3807</v>
      </c>
    </row>
    <row r="2019" spans="1:21" ht="0" hidden="1" customHeight="1" outlineLevel="3">
      <c r="A2019" s="192" t="s">
        <v>1681</v>
      </c>
      <c r="B2019" s="192"/>
      <c r="C2019" s="197" t="s">
        <v>1609</v>
      </c>
      <c r="D2019" s="198">
        <f>'02 项目基础信息（输入）'!$C$63</f>
        <v>0</v>
      </c>
      <c r="E2019" s="199" t="s">
        <v>93</v>
      </c>
      <c r="F2019" s="197" t="s">
        <v>1682</v>
      </c>
      <c r="G2019" s="82">
        <v>0</v>
      </c>
      <c r="H2019" s="199" t="s">
        <v>298</v>
      </c>
      <c r="I2019" s="198">
        <f t="shared" ref="I2019:I2030" si="234">G2019*D2019</f>
        <v>0</v>
      </c>
      <c r="J2019" s="199" t="s">
        <v>93</v>
      </c>
      <c r="K2019" s="188">
        <v>0</v>
      </c>
      <c r="L2019" s="209" t="s">
        <v>675</v>
      </c>
      <c r="M2019" s="207">
        <f t="shared" ref="M2019:M2030" si="235">ROUND(K2019*I2019/10000,6)</f>
        <v>0</v>
      </c>
      <c r="N2019" s="198">
        <f>'02 项目基础信息（输入）'!$C$63</f>
        <v>0</v>
      </c>
      <c r="O2019" s="198">
        <f t="shared" si="230"/>
        <v>0</v>
      </c>
      <c r="P2019" s="198">
        <f>'02 项目基础信息（输入）'!$I$63</f>
        <v>0</v>
      </c>
      <c r="Q2019" s="233">
        <f t="shared" si="231"/>
        <v>0</v>
      </c>
      <c r="S2019" s="217"/>
      <c r="U2019" s="220" t="s">
        <v>3808</v>
      </c>
    </row>
    <row r="2020" spans="1:21" ht="0" hidden="1" customHeight="1" outlineLevel="3">
      <c r="A2020" s="192" t="s">
        <v>1684</v>
      </c>
      <c r="B2020" s="192"/>
      <c r="C2020" s="197" t="s">
        <v>1609</v>
      </c>
      <c r="D2020" s="198">
        <f>'02 项目基础信息（输入）'!$C$63</f>
        <v>0</v>
      </c>
      <c r="E2020" s="199" t="s">
        <v>93</v>
      </c>
      <c r="F2020" s="197" t="s">
        <v>1682</v>
      </c>
      <c r="G2020" s="82">
        <v>0</v>
      </c>
      <c r="H2020" s="199" t="s">
        <v>298</v>
      </c>
      <c r="I2020" s="198">
        <f t="shared" si="234"/>
        <v>0</v>
      </c>
      <c r="J2020" s="199" t="s">
        <v>93</v>
      </c>
      <c r="K2020" s="188">
        <v>0</v>
      </c>
      <c r="L2020" s="209" t="s">
        <v>675</v>
      </c>
      <c r="M2020" s="207">
        <f t="shared" si="235"/>
        <v>0</v>
      </c>
      <c r="N2020" s="198">
        <f>'02 项目基础信息（输入）'!$C$63</f>
        <v>0</v>
      </c>
      <c r="O2020" s="198">
        <f t="shared" si="230"/>
        <v>0</v>
      </c>
      <c r="P2020" s="198">
        <f>'02 项目基础信息（输入）'!$I$63</f>
        <v>0</v>
      </c>
      <c r="Q2020" s="233">
        <f t="shared" si="231"/>
        <v>0</v>
      </c>
      <c r="S2020" s="217"/>
      <c r="U2020" s="220" t="s">
        <v>3809</v>
      </c>
    </row>
    <row r="2021" spans="1:21" ht="0" hidden="1" customHeight="1" outlineLevel="3">
      <c r="A2021" s="192" t="s">
        <v>2008</v>
      </c>
      <c r="B2021" s="192"/>
      <c r="C2021" s="197" t="s">
        <v>1609</v>
      </c>
      <c r="D2021" s="198">
        <f>'02 项目基础信息（输入）'!$C$63</f>
        <v>0</v>
      </c>
      <c r="E2021" s="199" t="s">
        <v>93</v>
      </c>
      <c r="F2021" s="197" t="s">
        <v>1682</v>
      </c>
      <c r="G2021" s="82">
        <v>0</v>
      </c>
      <c r="H2021" s="199" t="s">
        <v>298</v>
      </c>
      <c r="I2021" s="198">
        <f t="shared" si="234"/>
        <v>0</v>
      </c>
      <c r="J2021" s="199" t="s">
        <v>93</v>
      </c>
      <c r="K2021" s="188">
        <v>0</v>
      </c>
      <c r="L2021" s="209" t="s">
        <v>675</v>
      </c>
      <c r="M2021" s="207">
        <f t="shared" si="235"/>
        <v>0</v>
      </c>
      <c r="N2021" s="198">
        <f>'02 项目基础信息（输入）'!$C$63</f>
        <v>0</v>
      </c>
      <c r="O2021" s="198">
        <f t="shared" si="230"/>
        <v>0</v>
      </c>
      <c r="P2021" s="198">
        <f>'02 项目基础信息（输入）'!$I$63</f>
        <v>0</v>
      </c>
      <c r="Q2021" s="233">
        <f t="shared" si="231"/>
        <v>0</v>
      </c>
      <c r="S2021" s="217"/>
      <c r="U2021" s="220" t="s">
        <v>3810</v>
      </c>
    </row>
    <row r="2022" spans="1:21" ht="0" hidden="1" customHeight="1" outlineLevel="3">
      <c r="A2022" s="192" t="s">
        <v>2010</v>
      </c>
      <c r="B2022" s="192"/>
      <c r="C2022" s="197" t="s">
        <v>1609</v>
      </c>
      <c r="D2022" s="198">
        <f>'02 项目基础信息（输入）'!$C$63</f>
        <v>0</v>
      </c>
      <c r="E2022" s="199" t="s">
        <v>93</v>
      </c>
      <c r="F2022" s="197" t="s">
        <v>1682</v>
      </c>
      <c r="G2022" s="82">
        <v>0</v>
      </c>
      <c r="H2022" s="199" t="s">
        <v>298</v>
      </c>
      <c r="I2022" s="198">
        <f t="shared" si="234"/>
        <v>0</v>
      </c>
      <c r="J2022" s="199" t="s">
        <v>93</v>
      </c>
      <c r="K2022" s="188">
        <v>0</v>
      </c>
      <c r="L2022" s="209" t="s">
        <v>675</v>
      </c>
      <c r="M2022" s="207">
        <f t="shared" si="235"/>
        <v>0</v>
      </c>
      <c r="N2022" s="198">
        <f>'02 项目基础信息（输入）'!$C$63</f>
        <v>0</v>
      </c>
      <c r="O2022" s="198">
        <f t="shared" si="230"/>
        <v>0</v>
      </c>
      <c r="P2022" s="198">
        <f>'02 项目基础信息（输入）'!$I$63</f>
        <v>0</v>
      </c>
      <c r="Q2022" s="233">
        <f t="shared" si="231"/>
        <v>0</v>
      </c>
      <c r="S2022" s="217"/>
      <c r="U2022" s="220" t="s">
        <v>3811</v>
      </c>
    </row>
    <row r="2023" spans="1:21" ht="0" hidden="1" customHeight="1" outlineLevel="3">
      <c r="A2023" s="192" t="s">
        <v>2012</v>
      </c>
      <c r="B2023" s="192"/>
      <c r="C2023" s="197" t="s">
        <v>474</v>
      </c>
      <c r="D2023" s="198">
        <f>'02 项目基础信息（输入）'!$AD$63</f>
        <v>0</v>
      </c>
      <c r="E2023" s="199" t="s">
        <v>400</v>
      </c>
      <c r="F2023" s="197" t="s">
        <v>1682</v>
      </c>
      <c r="G2023" s="82">
        <v>0</v>
      </c>
      <c r="H2023" s="199" t="s">
        <v>411</v>
      </c>
      <c r="I2023" s="198">
        <f t="shared" si="234"/>
        <v>0</v>
      </c>
      <c r="J2023" s="199" t="s">
        <v>93</v>
      </c>
      <c r="K2023" s="188">
        <v>0</v>
      </c>
      <c r="L2023" s="209" t="s">
        <v>675</v>
      </c>
      <c r="M2023" s="207">
        <f t="shared" si="235"/>
        <v>0</v>
      </c>
      <c r="N2023" s="198">
        <f>'02 项目基础信息（输入）'!$C$63</f>
        <v>0</v>
      </c>
      <c r="O2023" s="198">
        <f t="shared" si="230"/>
        <v>0</v>
      </c>
      <c r="P2023" s="198">
        <f>'02 项目基础信息（输入）'!$I$63</f>
        <v>0</v>
      </c>
      <c r="Q2023" s="233">
        <f t="shared" si="231"/>
        <v>0</v>
      </c>
      <c r="S2023" s="217"/>
      <c r="U2023" s="220" t="s">
        <v>3812</v>
      </c>
    </row>
    <row r="2024" spans="1:21" ht="0" hidden="1" customHeight="1" outlineLevel="3">
      <c r="A2024" s="192" t="s">
        <v>2014</v>
      </c>
      <c r="B2024" s="192"/>
      <c r="C2024" s="197" t="s">
        <v>474</v>
      </c>
      <c r="D2024" s="198">
        <f>'02 项目基础信息（输入）'!$AD$63</f>
        <v>0</v>
      </c>
      <c r="E2024" s="199" t="s">
        <v>400</v>
      </c>
      <c r="F2024" s="197" t="s">
        <v>1682</v>
      </c>
      <c r="G2024" s="82">
        <v>0</v>
      </c>
      <c r="H2024" s="199" t="s">
        <v>411</v>
      </c>
      <c r="I2024" s="198">
        <f t="shared" si="234"/>
        <v>0</v>
      </c>
      <c r="J2024" s="199" t="s">
        <v>93</v>
      </c>
      <c r="K2024" s="188">
        <v>0</v>
      </c>
      <c r="L2024" s="209" t="s">
        <v>675</v>
      </c>
      <c r="M2024" s="207">
        <f t="shared" si="235"/>
        <v>0</v>
      </c>
      <c r="N2024" s="198">
        <f>'02 项目基础信息（输入）'!$C$63</f>
        <v>0</v>
      </c>
      <c r="O2024" s="198">
        <f t="shared" si="230"/>
        <v>0</v>
      </c>
      <c r="P2024" s="198">
        <f>'02 项目基础信息（输入）'!$I$63</f>
        <v>0</v>
      </c>
      <c r="Q2024" s="233">
        <f t="shared" si="231"/>
        <v>0</v>
      </c>
      <c r="S2024" s="217"/>
      <c r="U2024" s="220" t="s">
        <v>3813</v>
      </c>
    </row>
    <row r="2025" spans="1:21" ht="0" hidden="1" customHeight="1" outlineLevel="3">
      <c r="A2025" s="192" t="s">
        <v>2016</v>
      </c>
      <c r="B2025" s="192"/>
      <c r="C2025" s="197" t="s">
        <v>1609</v>
      </c>
      <c r="D2025" s="198">
        <f>'02 项目基础信息（输入）'!$C$63</f>
        <v>0</v>
      </c>
      <c r="E2025" s="199" t="s">
        <v>93</v>
      </c>
      <c r="F2025" s="197" t="s">
        <v>1682</v>
      </c>
      <c r="G2025" s="82">
        <v>0</v>
      </c>
      <c r="H2025" s="199" t="s">
        <v>411</v>
      </c>
      <c r="I2025" s="198">
        <f t="shared" si="234"/>
        <v>0</v>
      </c>
      <c r="J2025" s="199" t="s">
        <v>93</v>
      </c>
      <c r="K2025" s="188">
        <v>0</v>
      </c>
      <c r="L2025" s="209" t="s">
        <v>675</v>
      </c>
      <c r="M2025" s="207">
        <f t="shared" si="235"/>
        <v>0</v>
      </c>
      <c r="N2025" s="198">
        <f>'02 项目基础信息（输入）'!$C$63</f>
        <v>0</v>
      </c>
      <c r="O2025" s="198">
        <f t="shared" si="230"/>
        <v>0</v>
      </c>
      <c r="P2025" s="198">
        <f>'02 项目基础信息（输入）'!$I$63</f>
        <v>0</v>
      </c>
      <c r="Q2025" s="233">
        <f t="shared" si="231"/>
        <v>0</v>
      </c>
      <c r="S2025" s="217"/>
      <c r="U2025" s="220" t="s">
        <v>3814</v>
      </c>
    </row>
    <row r="2026" spans="1:21" ht="0" hidden="1" customHeight="1" outlineLevel="3">
      <c r="A2026" s="192" t="s">
        <v>2018</v>
      </c>
      <c r="B2026" s="192"/>
      <c r="C2026" s="197" t="s">
        <v>1609</v>
      </c>
      <c r="D2026" s="198">
        <f>'02 项目基础信息（输入）'!$C$63</f>
        <v>0</v>
      </c>
      <c r="E2026" s="199" t="s">
        <v>93</v>
      </c>
      <c r="F2026" s="197" t="s">
        <v>1682</v>
      </c>
      <c r="G2026" s="82">
        <v>0</v>
      </c>
      <c r="H2026" s="199" t="s">
        <v>298</v>
      </c>
      <c r="I2026" s="198">
        <f t="shared" si="234"/>
        <v>0</v>
      </c>
      <c r="J2026" s="199" t="s">
        <v>93</v>
      </c>
      <c r="K2026" s="188">
        <v>0</v>
      </c>
      <c r="L2026" s="209" t="s">
        <v>675</v>
      </c>
      <c r="M2026" s="207">
        <f t="shared" si="235"/>
        <v>0</v>
      </c>
      <c r="N2026" s="198">
        <f>'02 项目基础信息（输入）'!$C$63</f>
        <v>0</v>
      </c>
      <c r="O2026" s="198">
        <f t="shared" si="230"/>
        <v>0</v>
      </c>
      <c r="P2026" s="198">
        <f>'02 项目基础信息（输入）'!$I$63</f>
        <v>0</v>
      </c>
      <c r="Q2026" s="233">
        <f t="shared" si="231"/>
        <v>0</v>
      </c>
      <c r="S2026" s="217"/>
      <c r="U2026" s="220" t="s">
        <v>3815</v>
      </c>
    </row>
    <row r="2027" spans="1:21" ht="0" hidden="1" customHeight="1" outlineLevel="3">
      <c r="A2027" s="192" t="s">
        <v>2020</v>
      </c>
      <c r="B2027" s="192"/>
      <c r="C2027" s="197" t="s">
        <v>1609</v>
      </c>
      <c r="D2027" s="198">
        <f>'02 项目基础信息（输入）'!$C$63</f>
        <v>0</v>
      </c>
      <c r="E2027" s="199" t="s">
        <v>93</v>
      </c>
      <c r="F2027" s="197" t="s">
        <v>1682</v>
      </c>
      <c r="G2027" s="82">
        <v>0</v>
      </c>
      <c r="H2027" s="199" t="s">
        <v>298</v>
      </c>
      <c r="I2027" s="198">
        <f t="shared" si="234"/>
        <v>0</v>
      </c>
      <c r="J2027" s="199" t="s">
        <v>93</v>
      </c>
      <c r="K2027" s="188">
        <v>0</v>
      </c>
      <c r="L2027" s="209" t="s">
        <v>675</v>
      </c>
      <c r="M2027" s="207">
        <f t="shared" si="235"/>
        <v>0</v>
      </c>
      <c r="N2027" s="198">
        <f>'02 项目基础信息（输入）'!$C$63</f>
        <v>0</v>
      </c>
      <c r="O2027" s="198">
        <f t="shared" si="230"/>
        <v>0</v>
      </c>
      <c r="P2027" s="198">
        <f>'02 项目基础信息（输入）'!$I$63</f>
        <v>0</v>
      </c>
      <c r="Q2027" s="233">
        <f t="shared" si="231"/>
        <v>0</v>
      </c>
      <c r="S2027" s="217"/>
      <c r="U2027" s="220" t="s">
        <v>3816</v>
      </c>
    </row>
    <row r="2028" spans="1:21" ht="0" hidden="1" customHeight="1" outlineLevel="3">
      <c r="A2028" s="192" t="s">
        <v>2022</v>
      </c>
      <c r="B2028" s="192"/>
      <c r="C2028" s="197" t="s">
        <v>1609</v>
      </c>
      <c r="D2028" s="198">
        <f>'02 项目基础信息（输入）'!$C$63</f>
        <v>0</v>
      </c>
      <c r="E2028" s="199" t="s">
        <v>93</v>
      </c>
      <c r="F2028" s="197" t="s">
        <v>1682</v>
      </c>
      <c r="G2028" s="82">
        <v>0</v>
      </c>
      <c r="H2028" s="199" t="s">
        <v>298</v>
      </c>
      <c r="I2028" s="198">
        <f t="shared" si="234"/>
        <v>0</v>
      </c>
      <c r="J2028" s="199" t="s">
        <v>93</v>
      </c>
      <c r="K2028" s="188">
        <v>0</v>
      </c>
      <c r="L2028" s="209" t="s">
        <v>675</v>
      </c>
      <c r="M2028" s="207">
        <f t="shared" si="235"/>
        <v>0</v>
      </c>
      <c r="N2028" s="198">
        <f>'02 项目基础信息（输入）'!$C$63</f>
        <v>0</v>
      </c>
      <c r="O2028" s="198">
        <f t="shared" si="230"/>
        <v>0</v>
      </c>
      <c r="P2028" s="198">
        <f>'02 项目基础信息（输入）'!$I$63</f>
        <v>0</v>
      </c>
      <c r="Q2028" s="233">
        <f t="shared" si="231"/>
        <v>0</v>
      </c>
      <c r="S2028" s="217"/>
      <c r="U2028" s="220" t="s">
        <v>3817</v>
      </c>
    </row>
    <row r="2029" spans="1:21" ht="0" hidden="1" customHeight="1" outlineLevel="3">
      <c r="A2029" s="192" t="s">
        <v>1694</v>
      </c>
      <c r="B2029" s="192"/>
      <c r="C2029" s="197" t="s">
        <v>1609</v>
      </c>
      <c r="D2029" s="198">
        <f>'02 项目基础信息（输入）'!$C$63</f>
        <v>0</v>
      </c>
      <c r="E2029" s="199" t="s">
        <v>93</v>
      </c>
      <c r="F2029" s="197" t="s">
        <v>1682</v>
      </c>
      <c r="G2029" s="82">
        <v>0</v>
      </c>
      <c r="H2029" s="199" t="s">
        <v>298</v>
      </c>
      <c r="I2029" s="198">
        <f t="shared" si="234"/>
        <v>0</v>
      </c>
      <c r="J2029" s="199" t="s">
        <v>93</v>
      </c>
      <c r="K2029" s="188">
        <v>0</v>
      </c>
      <c r="L2029" s="209" t="s">
        <v>675</v>
      </c>
      <c r="M2029" s="207">
        <f t="shared" si="235"/>
        <v>0</v>
      </c>
      <c r="N2029" s="198">
        <f>'02 项目基础信息（输入）'!$C$63</f>
        <v>0</v>
      </c>
      <c r="O2029" s="198">
        <f t="shared" si="230"/>
        <v>0</v>
      </c>
      <c r="P2029" s="198">
        <f>'02 项目基础信息（输入）'!$I$63</f>
        <v>0</v>
      </c>
      <c r="Q2029" s="233">
        <f t="shared" si="231"/>
        <v>0</v>
      </c>
      <c r="S2029" s="217"/>
      <c r="U2029" s="220" t="s">
        <v>3818</v>
      </c>
    </row>
    <row r="2030" spans="1:21" ht="0" hidden="1" customHeight="1" outlineLevel="3">
      <c r="A2030" s="192" t="s">
        <v>1696</v>
      </c>
      <c r="B2030" s="192"/>
      <c r="C2030" s="197" t="s">
        <v>1609</v>
      </c>
      <c r="D2030" s="198">
        <f>'02 项目基础信息（输入）'!$C$63</f>
        <v>0</v>
      </c>
      <c r="E2030" s="199" t="s">
        <v>93</v>
      </c>
      <c r="F2030" s="197" t="s">
        <v>1682</v>
      </c>
      <c r="G2030" s="82">
        <v>0</v>
      </c>
      <c r="H2030" s="199" t="s">
        <v>298</v>
      </c>
      <c r="I2030" s="198">
        <f t="shared" si="234"/>
        <v>0</v>
      </c>
      <c r="J2030" s="199" t="s">
        <v>93</v>
      </c>
      <c r="K2030" s="188">
        <v>0</v>
      </c>
      <c r="L2030" s="209" t="s">
        <v>675</v>
      </c>
      <c r="M2030" s="207">
        <f t="shared" si="235"/>
        <v>0</v>
      </c>
      <c r="N2030" s="198">
        <f>'02 项目基础信息（输入）'!$C$63</f>
        <v>0</v>
      </c>
      <c r="O2030" s="198">
        <f t="shared" si="230"/>
        <v>0</v>
      </c>
      <c r="P2030" s="198">
        <f>'02 项目基础信息（输入）'!$I$63</f>
        <v>0</v>
      </c>
      <c r="Q2030" s="233">
        <f t="shared" si="231"/>
        <v>0</v>
      </c>
      <c r="S2030" s="217"/>
      <c r="U2030" s="220" t="s">
        <v>3819</v>
      </c>
    </row>
    <row r="2031" spans="1:21" ht="0" hidden="1" customHeight="1" outlineLevel="2">
      <c r="A2031" s="192" t="s">
        <v>1698</v>
      </c>
      <c r="B2031" s="192"/>
      <c r="C2031" s="197" t="s">
        <v>1609</v>
      </c>
      <c r="D2031" s="198">
        <f>'02 项目基础信息（输入）'!$C$63</f>
        <v>0</v>
      </c>
      <c r="E2031" s="199" t="s">
        <v>93</v>
      </c>
      <c r="F2031" s="197"/>
      <c r="G2031" s="199"/>
      <c r="H2031" s="199"/>
      <c r="I2031" s="197"/>
      <c r="J2031" s="199"/>
      <c r="K2031" s="198"/>
      <c r="L2031" s="209"/>
      <c r="M2031" s="198">
        <f>ROUND(SUM(M2032:M2033),6)</f>
        <v>0</v>
      </c>
      <c r="N2031" s="198">
        <f>'02 项目基础信息（输入）'!$C$63</f>
        <v>0</v>
      </c>
      <c r="O2031" s="198">
        <f t="shared" si="230"/>
        <v>0</v>
      </c>
      <c r="P2031" s="198">
        <f>'02 项目基础信息（输入）'!$I$63</f>
        <v>0</v>
      </c>
      <c r="Q2031" s="233">
        <f t="shared" si="231"/>
        <v>0</v>
      </c>
      <c r="S2031" s="217" t="s">
        <v>1313</v>
      </c>
      <c r="U2031" s="220" t="s">
        <v>3820</v>
      </c>
    </row>
    <row r="2032" spans="1:21" ht="0" hidden="1" customHeight="1" outlineLevel="3">
      <c r="A2032" s="192" t="s">
        <v>1700</v>
      </c>
      <c r="B2032" s="192"/>
      <c r="C2032" s="197" t="s">
        <v>1609</v>
      </c>
      <c r="D2032" s="198">
        <f>'02 项目基础信息（输入）'!$C$63</f>
        <v>0</v>
      </c>
      <c r="E2032" s="199" t="s">
        <v>93</v>
      </c>
      <c r="F2032" s="197" t="s">
        <v>1701</v>
      </c>
      <c r="G2032" s="82">
        <v>0</v>
      </c>
      <c r="H2032" s="199" t="s">
        <v>298</v>
      </c>
      <c r="I2032" s="198">
        <f>G2032*D2032</f>
        <v>0</v>
      </c>
      <c r="J2032" s="199" t="s">
        <v>93</v>
      </c>
      <c r="K2032" s="188">
        <v>0</v>
      </c>
      <c r="L2032" s="209" t="s">
        <v>675</v>
      </c>
      <c r="M2032" s="207">
        <f>ROUND(K2032*I2032/10000,6)</f>
        <v>0</v>
      </c>
      <c r="N2032" s="198">
        <f>'02 项目基础信息（输入）'!$C$63</f>
        <v>0</v>
      </c>
      <c r="O2032" s="198">
        <f t="shared" si="230"/>
        <v>0</v>
      </c>
      <c r="P2032" s="198">
        <f>'02 项目基础信息（输入）'!$I$63</f>
        <v>0</v>
      </c>
      <c r="Q2032" s="233">
        <f t="shared" si="231"/>
        <v>0</v>
      </c>
      <c r="S2032" s="217"/>
      <c r="U2032" s="220" t="s">
        <v>3821</v>
      </c>
    </row>
    <row r="2033" spans="1:21" ht="0" hidden="1" customHeight="1" outlineLevel="3">
      <c r="A2033" s="192" t="s">
        <v>1703</v>
      </c>
      <c r="B2033" s="192"/>
      <c r="C2033" s="197" t="s">
        <v>1609</v>
      </c>
      <c r="D2033" s="198">
        <f>'02 项目基础信息（输入）'!$C$63</f>
        <v>0</v>
      </c>
      <c r="E2033" s="199" t="s">
        <v>93</v>
      </c>
      <c r="F2033" s="197" t="s">
        <v>1704</v>
      </c>
      <c r="G2033" s="82">
        <v>0</v>
      </c>
      <c r="H2033" s="199" t="s">
        <v>298</v>
      </c>
      <c r="I2033" s="198">
        <f>G2033*D2033</f>
        <v>0</v>
      </c>
      <c r="J2033" s="199" t="s">
        <v>93</v>
      </c>
      <c r="K2033" s="188">
        <v>0</v>
      </c>
      <c r="L2033" s="209" t="s">
        <v>675</v>
      </c>
      <c r="M2033" s="207">
        <f>ROUND(K2033*I2033/10000,6)</f>
        <v>0</v>
      </c>
      <c r="N2033" s="198">
        <f>'02 项目基础信息（输入）'!$C$63</f>
        <v>0</v>
      </c>
      <c r="O2033" s="198">
        <f t="shared" si="230"/>
        <v>0</v>
      </c>
      <c r="P2033" s="198">
        <f>'02 项目基础信息（输入）'!$I$63</f>
        <v>0</v>
      </c>
      <c r="Q2033" s="233">
        <f t="shared" si="231"/>
        <v>0</v>
      </c>
      <c r="S2033" s="217"/>
      <c r="U2033" s="220" t="s">
        <v>3822</v>
      </c>
    </row>
    <row r="2034" spans="1:21" ht="0" hidden="1" customHeight="1" outlineLevel="2">
      <c r="A2034" s="192" t="s">
        <v>1706</v>
      </c>
      <c r="B2034" s="192"/>
      <c r="C2034" s="197" t="s">
        <v>1609</v>
      </c>
      <c r="D2034" s="198">
        <f>'02 项目基础信息（输入）'!$C$63</f>
        <v>0</v>
      </c>
      <c r="E2034" s="199" t="s">
        <v>93</v>
      </c>
      <c r="F2034" s="197"/>
      <c r="G2034" s="199"/>
      <c r="H2034" s="199"/>
      <c r="I2034" s="197"/>
      <c r="J2034" s="199"/>
      <c r="K2034" s="198"/>
      <c r="L2034" s="209"/>
      <c r="M2034" s="198">
        <f>ROUND(SUM(M2035:M2036),6)</f>
        <v>0</v>
      </c>
      <c r="N2034" s="198">
        <f>'02 项目基础信息（输入）'!$C$63</f>
        <v>0</v>
      </c>
      <c r="O2034" s="198">
        <f t="shared" si="230"/>
        <v>0</v>
      </c>
      <c r="P2034" s="198">
        <f>'02 项目基础信息（输入）'!$I$63</f>
        <v>0</v>
      </c>
      <c r="Q2034" s="233">
        <f t="shared" si="231"/>
        <v>0</v>
      </c>
      <c r="S2034" s="217" t="s">
        <v>1313</v>
      </c>
      <c r="U2034" s="220" t="s">
        <v>3823</v>
      </c>
    </row>
    <row r="2035" spans="1:21" ht="0" hidden="1" customHeight="1" outlineLevel="3">
      <c r="A2035" s="192" t="s">
        <v>1708</v>
      </c>
      <c r="B2035" s="192"/>
      <c r="C2035" s="197" t="s">
        <v>1609</v>
      </c>
      <c r="D2035" s="198">
        <f>'02 项目基础信息（输入）'!$C$63</f>
        <v>0</v>
      </c>
      <c r="E2035" s="199" t="s">
        <v>93</v>
      </c>
      <c r="F2035" s="197" t="s">
        <v>1648</v>
      </c>
      <c r="G2035" s="82">
        <v>0</v>
      </c>
      <c r="H2035" s="199" t="s">
        <v>298</v>
      </c>
      <c r="I2035" s="198">
        <f>G2035*D2035</f>
        <v>0</v>
      </c>
      <c r="J2035" s="199" t="s">
        <v>93</v>
      </c>
      <c r="K2035" s="188">
        <v>0</v>
      </c>
      <c r="L2035" s="209" t="s">
        <v>675</v>
      </c>
      <c r="M2035" s="207">
        <f>ROUND(K2035*I2035/10000,6)</f>
        <v>0</v>
      </c>
      <c r="N2035" s="198">
        <f>'02 项目基础信息（输入）'!$C$63</f>
        <v>0</v>
      </c>
      <c r="O2035" s="198">
        <f t="shared" si="230"/>
        <v>0</v>
      </c>
      <c r="P2035" s="198">
        <f>'02 项目基础信息（输入）'!$I$63</f>
        <v>0</v>
      </c>
      <c r="Q2035" s="233">
        <f t="shared" si="231"/>
        <v>0</v>
      </c>
      <c r="S2035" s="217"/>
      <c r="U2035" s="220" t="s">
        <v>3824</v>
      </c>
    </row>
    <row r="2036" spans="1:21" ht="0" hidden="1" customHeight="1" outlineLevel="3">
      <c r="A2036" s="192" t="s">
        <v>1710</v>
      </c>
      <c r="B2036" s="192"/>
      <c r="C2036" s="197" t="s">
        <v>1609</v>
      </c>
      <c r="D2036" s="198">
        <f>'02 项目基础信息（输入）'!$C$63</f>
        <v>0</v>
      </c>
      <c r="E2036" s="199" t="s">
        <v>93</v>
      </c>
      <c r="F2036" s="197" t="s">
        <v>1648</v>
      </c>
      <c r="G2036" s="82">
        <v>0</v>
      </c>
      <c r="H2036" s="199" t="s">
        <v>298</v>
      </c>
      <c r="I2036" s="198">
        <f>G2036*D2036</f>
        <v>0</v>
      </c>
      <c r="J2036" s="199" t="s">
        <v>93</v>
      </c>
      <c r="K2036" s="188">
        <v>0</v>
      </c>
      <c r="L2036" s="209" t="s">
        <v>675</v>
      </c>
      <c r="M2036" s="207">
        <f>ROUND(K2036*I2036/10000,6)</f>
        <v>0</v>
      </c>
      <c r="N2036" s="198">
        <f>'02 项目基础信息（输入）'!$C$63</f>
        <v>0</v>
      </c>
      <c r="O2036" s="198">
        <f t="shared" si="230"/>
        <v>0</v>
      </c>
      <c r="P2036" s="198">
        <f>'02 项目基础信息（输入）'!$I$63</f>
        <v>0</v>
      </c>
      <c r="Q2036" s="233">
        <f t="shared" si="231"/>
        <v>0</v>
      </c>
      <c r="S2036" s="217"/>
      <c r="U2036" s="220" t="s">
        <v>3825</v>
      </c>
    </row>
    <row r="2037" spans="1:21" ht="0" hidden="1" customHeight="1" outlineLevel="2">
      <c r="A2037" s="192" t="s">
        <v>1712</v>
      </c>
      <c r="B2037" s="192"/>
      <c r="C2037" s="197" t="s">
        <v>1609</v>
      </c>
      <c r="D2037" s="198">
        <f>'02 项目基础信息（输入）'!$C$63</f>
        <v>0</v>
      </c>
      <c r="E2037" s="199" t="s">
        <v>93</v>
      </c>
      <c r="F2037" s="197"/>
      <c r="G2037" s="199"/>
      <c r="H2037" s="199"/>
      <c r="I2037" s="197"/>
      <c r="J2037" s="199"/>
      <c r="K2037" s="198"/>
      <c r="L2037" s="209"/>
      <c r="M2037" s="198">
        <f>ROUND(SUM(M2038:M2055),6)</f>
        <v>0</v>
      </c>
      <c r="N2037" s="198">
        <f>'02 项目基础信息（输入）'!$C$63</f>
        <v>0</v>
      </c>
      <c r="O2037" s="198">
        <f t="shared" si="230"/>
        <v>0</v>
      </c>
      <c r="P2037" s="198">
        <f>'02 项目基础信息（输入）'!$I$63</f>
        <v>0</v>
      </c>
      <c r="Q2037" s="233">
        <f t="shared" si="231"/>
        <v>0</v>
      </c>
      <c r="S2037" s="217" t="s">
        <v>1313</v>
      </c>
      <c r="U2037" s="220" t="s">
        <v>3826</v>
      </c>
    </row>
    <row r="2038" spans="1:21" ht="0" hidden="1" customHeight="1" outlineLevel="3">
      <c r="A2038" s="192" t="s">
        <v>1714</v>
      </c>
      <c r="B2038" s="192"/>
      <c r="C2038" s="197" t="s">
        <v>1609</v>
      </c>
      <c r="D2038" s="198">
        <f>'02 项目基础信息（输入）'!$C$63</f>
        <v>0</v>
      </c>
      <c r="E2038" s="199" t="s">
        <v>93</v>
      </c>
      <c r="F2038" s="197" t="s">
        <v>1609</v>
      </c>
      <c r="G2038" s="199">
        <v>1</v>
      </c>
      <c r="H2038" s="199" t="s">
        <v>298</v>
      </c>
      <c r="I2038" s="198">
        <f t="shared" ref="I2038:I2055" si="236">G2038*D2038</f>
        <v>0</v>
      </c>
      <c r="J2038" s="199" t="s">
        <v>93</v>
      </c>
      <c r="K2038" s="188">
        <v>0</v>
      </c>
      <c r="L2038" s="209" t="s">
        <v>675</v>
      </c>
      <c r="M2038" s="207">
        <f t="shared" ref="M2038:M2055" si="237">ROUND(K2038*I2038/10000,6)</f>
        <v>0</v>
      </c>
      <c r="N2038" s="198">
        <f>'02 项目基础信息（输入）'!$C$63</f>
        <v>0</v>
      </c>
      <c r="O2038" s="198">
        <f t="shared" si="230"/>
        <v>0</v>
      </c>
      <c r="P2038" s="198">
        <f>'02 项目基础信息（输入）'!$I$63</f>
        <v>0</v>
      </c>
      <c r="Q2038" s="233">
        <f t="shared" si="231"/>
        <v>0</v>
      </c>
      <c r="S2038" s="217"/>
      <c r="U2038" s="220" t="s">
        <v>3827</v>
      </c>
    </row>
    <row r="2039" spans="1:21" ht="0" hidden="1" customHeight="1" outlineLevel="3">
      <c r="A2039" s="192" t="s">
        <v>1717</v>
      </c>
      <c r="B2039" s="192"/>
      <c r="C2039" s="197" t="s">
        <v>1609</v>
      </c>
      <c r="D2039" s="198">
        <f>'02 项目基础信息（输入）'!$C$63</f>
        <v>0</v>
      </c>
      <c r="E2039" s="199" t="s">
        <v>93</v>
      </c>
      <c r="F2039" s="197" t="s">
        <v>1609</v>
      </c>
      <c r="G2039" s="199">
        <v>1</v>
      </c>
      <c r="H2039" s="199" t="s">
        <v>298</v>
      </c>
      <c r="I2039" s="198">
        <f t="shared" si="236"/>
        <v>0</v>
      </c>
      <c r="J2039" s="199" t="s">
        <v>93</v>
      </c>
      <c r="K2039" s="188">
        <v>0</v>
      </c>
      <c r="L2039" s="209" t="s">
        <v>675</v>
      </c>
      <c r="M2039" s="207">
        <f t="shared" si="237"/>
        <v>0</v>
      </c>
      <c r="N2039" s="198">
        <f>'02 项目基础信息（输入）'!$C$63</f>
        <v>0</v>
      </c>
      <c r="O2039" s="198">
        <f t="shared" si="230"/>
        <v>0</v>
      </c>
      <c r="P2039" s="198">
        <f>'02 项目基础信息（输入）'!$I$63</f>
        <v>0</v>
      </c>
      <c r="Q2039" s="233">
        <f t="shared" si="231"/>
        <v>0</v>
      </c>
      <c r="S2039" s="217"/>
      <c r="U2039" s="220" t="s">
        <v>3828</v>
      </c>
    </row>
    <row r="2040" spans="1:21" ht="0" hidden="1" customHeight="1" outlineLevel="3">
      <c r="A2040" s="192" t="s">
        <v>1719</v>
      </c>
      <c r="B2040" s="192"/>
      <c r="C2040" s="197" t="s">
        <v>1609</v>
      </c>
      <c r="D2040" s="198">
        <f>'02 项目基础信息（输入）'!$C$63</f>
        <v>0</v>
      </c>
      <c r="E2040" s="199" t="s">
        <v>93</v>
      </c>
      <c r="F2040" s="197" t="s">
        <v>1609</v>
      </c>
      <c r="G2040" s="199">
        <v>1</v>
      </c>
      <c r="H2040" s="199" t="s">
        <v>298</v>
      </c>
      <c r="I2040" s="198">
        <f t="shared" si="236"/>
        <v>0</v>
      </c>
      <c r="J2040" s="199" t="s">
        <v>93</v>
      </c>
      <c r="K2040" s="188">
        <v>0</v>
      </c>
      <c r="L2040" s="209" t="s">
        <v>675</v>
      </c>
      <c r="M2040" s="207">
        <f t="shared" si="237"/>
        <v>0</v>
      </c>
      <c r="N2040" s="198">
        <f>'02 项目基础信息（输入）'!$C$63</f>
        <v>0</v>
      </c>
      <c r="O2040" s="198">
        <f t="shared" si="230"/>
        <v>0</v>
      </c>
      <c r="P2040" s="198">
        <f>'02 项目基础信息（输入）'!$I$63</f>
        <v>0</v>
      </c>
      <c r="Q2040" s="233">
        <f t="shared" si="231"/>
        <v>0</v>
      </c>
      <c r="S2040" s="217"/>
      <c r="U2040" s="220" t="s">
        <v>3829</v>
      </c>
    </row>
    <row r="2041" spans="1:21" ht="0" hidden="1" customHeight="1" outlineLevel="3">
      <c r="A2041" s="192" t="s">
        <v>1721</v>
      </c>
      <c r="B2041" s="192"/>
      <c r="C2041" s="197" t="s">
        <v>1609</v>
      </c>
      <c r="D2041" s="198">
        <f>'02 项目基础信息（输入）'!$C$63</f>
        <v>0</v>
      </c>
      <c r="E2041" s="199" t="s">
        <v>93</v>
      </c>
      <c r="F2041" s="197" t="s">
        <v>1609</v>
      </c>
      <c r="G2041" s="199">
        <v>1</v>
      </c>
      <c r="H2041" s="199" t="s">
        <v>298</v>
      </c>
      <c r="I2041" s="198">
        <f t="shared" si="236"/>
        <v>0</v>
      </c>
      <c r="J2041" s="199" t="s">
        <v>93</v>
      </c>
      <c r="K2041" s="188">
        <v>0</v>
      </c>
      <c r="L2041" s="209" t="s">
        <v>675</v>
      </c>
      <c r="M2041" s="207">
        <f t="shared" si="237"/>
        <v>0</v>
      </c>
      <c r="N2041" s="198">
        <f>'02 项目基础信息（输入）'!$C$63</f>
        <v>0</v>
      </c>
      <c r="O2041" s="198">
        <f t="shared" si="230"/>
        <v>0</v>
      </c>
      <c r="P2041" s="198">
        <f>'02 项目基础信息（输入）'!$I$63</f>
        <v>0</v>
      </c>
      <c r="Q2041" s="233">
        <f t="shared" si="231"/>
        <v>0</v>
      </c>
      <c r="S2041" s="217"/>
      <c r="U2041" s="220" t="s">
        <v>3830</v>
      </c>
    </row>
    <row r="2042" spans="1:21" ht="0" hidden="1" customHeight="1" outlineLevel="3">
      <c r="A2042" s="192" t="s">
        <v>1723</v>
      </c>
      <c r="B2042" s="192"/>
      <c r="C2042" s="197" t="s">
        <v>1609</v>
      </c>
      <c r="D2042" s="198">
        <f>'02 项目基础信息（输入）'!$C$63</f>
        <v>0</v>
      </c>
      <c r="E2042" s="199" t="s">
        <v>93</v>
      </c>
      <c r="F2042" s="197" t="s">
        <v>1609</v>
      </c>
      <c r="G2042" s="199">
        <v>1</v>
      </c>
      <c r="H2042" s="199" t="s">
        <v>298</v>
      </c>
      <c r="I2042" s="198">
        <f t="shared" si="236"/>
        <v>0</v>
      </c>
      <c r="J2042" s="199" t="s">
        <v>93</v>
      </c>
      <c r="K2042" s="188">
        <v>0</v>
      </c>
      <c r="L2042" s="209" t="s">
        <v>675</v>
      </c>
      <c r="M2042" s="207">
        <f t="shared" si="237"/>
        <v>0</v>
      </c>
      <c r="N2042" s="198">
        <f>'02 项目基础信息（输入）'!$C$63</f>
        <v>0</v>
      </c>
      <c r="O2042" s="198">
        <f t="shared" si="230"/>
        <v>0</v>
      </c>
      <c r="P2042" s="198">
        <f>'02 项目基础信息（输入）'!$I$63</f>
        <v>0</v>
      </c>
      <c r="Q2042" s="233">
        <f t="shared" si="231"/>
        <v>0</v>
      </c>
      <c r="S2042" s="217"/>
      <c r="U2042" s="220" t="s">
        <v>3831</v>
      </c>
    </row>
    <row r="2043" spans="1:21" ht="0" hidden="1" customHeight="1" outlineLevel="3">
      <c r="A2043" s="192" t="s">
        <v>1725</v>
      </c>
      <c r="B2043" s="192"/>
      <c r="C2043" s="197" t="s">
        <v>1609</v>
      </c>
      <c r="D2043" s="198">
        <f>'02 项目基础信息（输入）'!$C$63</f>
        <v>0</v>
      </c>
      <c r="E2043" s="199" t="s">
        <v>93</v>
      </c>
      <c r="F2043" s="197" t="s">
        <v>1609</v>
      </c>
      <c r="G2043" s="199">
        <v>1</v>
      </c>
      <c r="H2043" s="199" t="s">
        <v>298</v>
      </c>
      <c r="I2043" s="198">
        <f t="shared" si="236"/>
        <v>0</v>
      </c>
      <c r="J2043" s="199" t="s">
        <v>93</v>
      </c>
      <c r="K2043" s="188">
        <v>0</v>
      </c>
      <c r="L2043" s="209" t="s">
        <v>675</v>
      </c>
      <c r="M2043" s="207">
        <f t="shared" si="237"/>
        <v>0</v>
      </c>
      <c r="N2043" s="198">
        <f>'02 项目基础信息（输入）'!$C$63</f>
        <v>0</v>
      </c>
      <c r="O2043" s="198">
        <f t="shared" si="230"/>
        <v>0</v>
      </c>
      <c r="P2043" s="198">
        <f>'02 项目基础信息（输入）'!$I$63</f>
        <v>0</v>
      </c>
      <c r="Q2043" s="233">
        <f t="shared" si="231"/>
        <v>0</v>
      </c>
      <c r="S2043" s="217"/>
      <c r="U2043" s="220" t="s">
        <v>3832</v>
      </c>
    </row>
    <row r="2044" spans="1:21" ht="0" hidden="1" customHeight="1" outlineLevel="3">
      <c r="A2044" s="192" t="s">
        <v>1727</v>
      </c>
      <c r="B2044" s="192"/>
      <c r="C2044" s="197" t="s">
        <v>1609</v>
      </c>
      <c r="D2044" s="198">
        <f>'02 项目基础信息（输入）'!$C$63</f>
        <v>0</v>
      </c>
      <c r="E2044" s="199" t="s">
        <v>93</v>
      </c>
      <c r="F2044" s="197" t="s">
        <v>1609</v>
      </c>
      <c r="G2044" s="199">
        <v>1</v>
      </c>
      <c r="H2044" s="199" t="s">
        <v>298</v>
      </c>
      <c r="I2044" s="198">
        <f t="shared" si="236"/>
        <v>0</v>
      </c>
      <c r="J2044" s="199" t="s">
        <v>93</v>
      </c>
      <c r="K2044" s="188">
        <v>0</v>
      </c>
      <c r="L2044" s="209" t="s">
        <v>675</v>
      </c>
      <c r="M2044" s="207">
        <f t="shared" si="237"/>
        <v>0</v>
      </c>
      <c r="N2044" s="198">
        <f>'02 项目基础信息（输入）'!$C$63</f>
        <v>0</v>
      </c>
      <c r="O2044" s="198">
        <f t="shared" si="230"/>
        <v>0</v>
      </c>
      <c r="P2044" s="198">
        <f>'02 项目基础信息（输入）'!$I$63</f>
        <v>0</v>
      </c>
      <c r="Q2044" s="233">
        <f t="shared" si="231"/>
        <v>0</v>
      </c>
      <c r="S2044" s="217"/>
      <c r="U2044" s="220" t="s">
        <v>3833</v>
      </c>
    </row>
    <row r="2045" spans="1:21" ht="0" hidden="1" customHeight="1" outlineLevel="3">
      <c r="A2045" s="192" t="s">
        <v>1729</v>
      </c>
      <c r="B2045" s="192"/>
      <c r="C2045" s="197" t="s">
        <v>1609</v>
      </c>
      <c r="D2045" s="198">
        <f>'02 项目基础信息（输入）'!$C$63</f>
        <v>0</v>
      </c>
      <c r="E2045" s="199" t="s">
        <v>93</v>
      </c>
      <c r="F2045" s="197" t="s">
        <v>1609</v>
      </c>
      <c r="G2045" s="199">
        <v>1</v>
      </c>
      <c r="H2045" s="199" t="s">
        <v>298</v>
      </c>
      <c r="I2045" s="198">
        <f t="shared" si="236"/>
        <v>0</v>
      </c>
      <c r="J2045" s="199" t="s">
        <v>93</v>
      </c>
      <c r="K2045" s="188">
        <v>0</v>
      </c>
      <c r="L2045" s="209" t="s">
        <v>675</v>
      </c>
      <c r="M2045" s="207">
        <f t="shared" si="237"/>
        <v>0</v>
      </c>
      <c r="N2045" s="198">
        <f>'02 项目基础信息（输入）'!$C$63</f>
        <v>0</v>
      </c>
      <c r="O2045" s="198">
        <f t="shared" si="230"/>
        <v>0</v>
      </c>
      <c r="P2045" s="198">
        <f>'02 项目基础信息（输入）'!$I$63</f>
        <v>0</v>
      </c>
      <c r="Q2045" s="233">
        <f t="shared" si="231"/>
        <v>0</v>
      </c>
      <c r="S2045" s="217"/>
      <c r="U2045" s="220" t="s">
        <v>3834</v>
      </c>
    </row>
    <row r="2046" spans="1:21" ht="0" hidden="1" customHeight="1" outlineLevel="3">
      <c r="A2046" s="192" t="s">
        <v>1731</v>
      </c>
      <c r="B2046" s="192"/>
      <c r="C2046" s="197" t="s">
        <v>1609</v>
      </c>
      <c r="D2046" s="198">
        <f>'02 项目基础信息（输入）'!$C$63</f>
        <v>0</v>
      </c>
      <c r="E2046" s="199" t="s">
        <v>93</v>
      </c>
      <c r="F2046" s="197" t="s">
        <v>1609</v>
      </c>
      <c r="G2046" s="199">
        <v>1</v>
      </c>
      <c r="H2046" s="199" t="s">
        <v>298</v>
      </c>
      <c r="I2046" s="198">
        <f t="shared" si="236"/>
        <v>0</v>
      </c>
      <c r="J2046" s="199" t="s">
        <v>93</v>
      </c>
      <c r="K2046" s="188">
        <v>0</v>
      </c>
      <c r="L2046" s="209" t="s">
        <v>675</v>
      </c>
      <c r="M2046" s="207">
        <f t="shared" si="237"/>
        <v>0</v>
      </c>
      <c r="N2046" s="198">
        <f>'02 项目基础信息（输入）'!$C$63</f>
        <v>0</v>
      </c>
      <c r="O2046" s="198">
        <f t="shared" si="230"/>
        <v>0</v>
      </c>
      <c r="P2046" s="198">
        <f>'02 项目基础信息（输入）'!$I$63</f>
        <v>0</v>
      </c>
      <c r="Q2046" s="233">
        <f t="shared" si="231"/>
        <v>0</v>
      </c>
      <c r="S2046" s="217"/>
      <c r="U2046" s="220" t="s">
        <v>3835</v>
      </c>
    </row>
    <row r="2047" spans="1:21" ht="0" hidden="1" customHeight="1" outlineLevel="3">
      <c r="A2047" s="192" t="s">
        <v>1733</v>
      </c>
      <c r="B2047" s="192"/>
      <c r="C2047" s="197" t="s">
        <v>1609</v>
      </c>
      <c r="D2047" s="198">
        <f>'02 项目基础信息（输入）'!$C$63</f>
        <v>0</v>
      </c>
      <c r="E2047" s="199" t="s">
        <v>93</v>
      </c>
      <c r="F2047" s="197" t="s">
        <v>1609</v>
      </c>
      <c r="G2047" s="199">
        <v>1</v>
      </c>
      <c r="H2047" s="199" t="s">
        <v>298</v>
      </c>
      <c r="I2047" s="198">
        <f t="shared" si="236"/>
        <v>0</v>
      </c>
      <c r="J2047" s="199" t="s">
        <v>93</v>
      </c>
      <c r="K2047" s="188">
        <v>0</v>
      </c>
      <c r="L2047" s="209" t="s">
        <v>675</v>
      </c>
      <c r="M2047" s="207">
        <f t="shared" si="237"/>
        <v>0</v>
      </c>
      <c r="N2047" s="198">
        <f>'02 项目基础信息（输入）'!$C$63</f>
        <v>0</v>
      </c>
      <c r="O2047" s="198">
        <f t="shared" si="230"/>
        <v>0</v>
      </c>
      <c r="P2047" s="198">
        <f>'02 项目基础信息（输入）'!$I$63</f>
        <v>0</v>
      </c>
      <c r="Q2047" s="233">
        <f t="shared" si="231"/>
        <v>0</v>
      </c>
      <c r="S2047" s="217"/>
      <c r="U2047" s="220" t="s">
        <v>3836</v>
      </c>
    </row>
    <row r="2048" spans="1:21" ht="0" hidden="1" customHeight="1" outlineLevel="3">
      <c r="A2048" s="192" t="s">
        <v>1735</v>
      </c>
      <c r="B2048" s="192"/>
      <c r="C2048" s="197" t="s">
        <v>1609</v>
      </c>
      <c r="D2048" s="198">
        <f>'02 项目基础信息（输入）'!$C$63</f>
        <v>0</v>
      </c>
      <c r="E2048" s="199" t="s">
        <v>93</v>
      </c>
      <c r="F2048" s="197" t="s">
        <v>1609</v>
      </c>
      <c r="G2048" s="199">
        <v>1</v>
      </c>
      <c r="H2048" s="199" t="s">
        <v>298</v>
      </c>
      <c r="I2048" s="198">
        <f t="shared" si="236"/>
        <v>0</v>
      </c>
      <c r="J2048" s="199" t="s">
        <v>93</v>
      </c>
      <c r="K2048" s="188">
        <v>0</v>
      </c>
      <c r="L2048" s="209" t="s">
        <v>675</v>
      </c>
      <c r="M2048" s="207">
        <f t="shared" si="237"/>
        <v>0</v>
      </c>
      <c r="N2048" s="198">
        <f>'02 项目基础信息（输入）'!$C$63</f>
        <v>0</v>
      </c>
      <c r="O2048" s="198">
        <f t="shared" si="230"/>
        <v>0</v>
      </c>
      <c r="P2048" s="198">
        <f>'02 项目基础信息（输入）'!$I$63</f>
        <v>0</v>
      </c>
      <c r="Q2048" s="233">
        <f t="shared" si="231"/>
        <v>0</v>
      </c>
      <c r="S2048" s="217"/>
      <c r="U2048" s="220" t="s">
        <v>3837</v>
      </c>
    </row>
    <row r="2049" spans="1:21" ht="0" hidden="1" customHeight="1" outlineLevel="3">
      <c r="A2049" s="192" t="s">
        <v>1737</v>
      </c>
      <c r="B2049" s="192"/>
      <c r="C2049" s="197" t="s">
        <v>1609</v>
      </c>
      <c r="D2049" s="198">
        <f>'02 项目基础信息（输入）'!$C$63</f>
        <v>0</v>
      </c>
      <c r="E2049" s="199" t="s">
        <v>93</v>
      </c>
      <c r="F2049" s="197" t="s">
        <v>1609</v>
      </c>
      <c r="G2049" s="199">
        <v>1</v>
      </c>
      <c r="H2049" s="199" t="s">
        <v>298</v>
      </c>
      <c r="I2049" s="198">
        <f t="shared" si="236"/>
        <v>0</v>
      </c>
      <c r="J2049" s="199" t="s">
        <v>93</v>
      </c>
      <c r="K2049" s="188">
        <v>0</v>
      </c>
      <c r="L2049" s="209" t="s">
        <v>675</v>
      </c>
      <c r="M2049" s="207">
        <f t="shared" si="237"/>
        <v>0</v>
      </c>
      <c r="N2049" s="198">
        <f>'02 项目基础信息（输入）'!$C$63</f>
        <v>0</v>
      </c>
      <c r="O2049" s="198">
        <f t="shared" si="230"/>
        <v>0</v>
      </c>
      <c r="P2049" s="198">
        <f>'02 项目基础信息（输入）'!$I$63</f>
        <v>0</v>
      </c>
      <c r="Q2049" s="233">
        <f t="shared" si="231"/>
        <v>0</v>
      </c>
      <c r="S2049" s="217"/>
      <c r="U2049" s="220" t="s">
        <v>3838</v>
      </c>
    </row>
    <row r="2050" spans="1:21" ht="0" hidden="1" customHeight="1" outlineLevel="3">
      <c r="A2050" s="192" t="s">
        <v>1739</v>
      </c>
      <c r="B2050" s="192"/>
      <c r="C2050" s="197" t="s">
        <v>1609</v>
      </c>
      <c r="D2050" s="198">
        <f>'02 项目基础信息（输入）'!$C$63</f>
        <v>0</v>
      </c>
      <c r="E2050" s="199" t="s">
        <v>93</v>
      </c>
      <c r="F2050" s="197" t="s">
        <v>1609</v>
      </c>
      <c r="G2050" s="199">
        <v>1</v>
      </c>
      <c r="H2050" s="199" t="s">
        <v>298</v>
      </c>
      <c r="I2050" s="198">
        <f t="shared" si="236"/>
        <v>0</v>
      </c>
      <c r="J2050" s="199" t="s">
        <v>93</v>
      </c>
      <c r="K2050" s="188">
        <v>0</v>
      </c>
      <c r="L2050" s="209" t="s">
        <v>675</v>
      </c>
      <c r="M2050" s="207">
        <f t="shared" si="237"/>
        <v>0</v>
      </c>
      <c r="N2050" s="198">
        <f>'02 项目基础信息（输入）'!$C$63</f>
        <v>0</v>
      </c>
      <c r="O2050" s="198">
        <f t="shared" si="230"/>
        <v>0</v>
      </c>
      <c r="P2050" s="198">
        <f>'02 项目基础信息（输入）'!$I$63</f>
        <v>0</v>
      </c>
      <c r="Q2050" s="233">
        <f t="shared" si="231"/>
        <v>0</v>
      </c>
      <c r="S2050" s="217"/>
      <c r="U2050" s="220" t="s">
        <v>3839</v>
      </c>
    </row>
    <row r="2051" spans="1:21" ht="0" hidden="1" customHeight="1" outlineLevel="3">
      <c r="A2051" s="192" t="s">
        <v>1741</v>
      </c>
      <c r="B2051" s="192"/>
      <c r="C2051" s="197" t="s">
        <v>1609</v>
      </c>
      <c r="D2051" s="198">
        <f>'02 项目基础信息（输入）'!$C$63</f>
        <v>0</v>
      </c>
      <c r="E2051" s="199" t="s">
        <v>93</v>
      </c>
      <c r="F2051" s="197" t="s">
        <v>1609</v>
      </c>
      <c r="G2051" s="199">
        <v>1</v>
      </c>
      <c r="H2051" s="199" t="s">
        <v>298</v>
      </c>
      <c r="I2051" s="198">
        <f t="shared" si="236"/>
        <v>0</v>
      </c>
      <c r="J2051" s="199" t="s">
        <v>93</v>
      </c>
      <c r="K2051" s="188">
        <v>0</v>
      </c>
      <c r="L2051" s="209" t="s">
        <v>675</v>
      </c>
      <c r="M2051" s="207">
        <f t="shared" si="237"/>
        <v>0</v>
      </c>
      <c r="N2051" s="198">
        <f>'02 项目基础信息（输入）'!$C$63</f>
        <v>0</v>
      </c>
      <c r="O2051" s="198">
        <f t="shared" ref="O2051:O2114" si="238">ROUND(IFERROR(M2051*10000/N2051,0),2)</f>
        <v>0</v>
      </c>
      <c r="P2051" s="198">
        <f>'02 项目基础信息（输入）'!$I$63</f>
        <v>0</v>
      </c>
      <c r="Q2051" s="233">
        <f t="shared" ref="Q2051:Q2114" si="239">ROUND(IFERROR(M2051*10000/P2051,0),2)</f>
        <v>0</v>
      </c>
      <c r="S2051" s="217"/>
      <c r="U2051" s="220" t="s">
        <v>3840</v>
      </c>
    </row>
    <row r="2052" spans="1:21" ht="0" hidden="1" customHeight="1" outlineLevel="3">
      <c r="A2052" s="192" t="s">
        <v>1743</v>
      </c>
      <c r="B2052" s="192"/>
      <c r="C2052" s="197" t="s">
        <v>1609</v>
      </c>
      <c r="D2052" s="198">
        <f>'02 项目基础信息（输入）'!$C$63</f>
        <v>0</v>
      </c>
      <c r="E2052" s="199" t="s">
        <v>93</v>
      </c>
      <c r="F2052" s="197" t="s">
        <v>1609</v>
      </c>
      <c r="G2052" s="199">
        <v>1</v>
      </c>
      <c r="H2052" s="199" t="s">
        <v>298</v>
      </c>
      <c r="I2052" s="198">
        <f t="shared" si="236"/>
        <v>0</v>
      </c>
      <c r="J2052" s="199" t="s">
        <v>93</v>
      </c>
      <c r="K2052" s="188">
        <v>0</v>
      </c>
      <c r="L2052" s="209" t="s">
        <v>675</v>
      </c>
      <c r="M2052" s="207">
        <f t="shared" si="237"/>
        <v>0</v>
      </c>
      <c r="N2052" s="198">
        <f>'02 项目基础信息（输入）'!$C$63</f>
        <v>0</v>
      </c>
      <c r="O2052" s="198">
        <f t="shared" si="238"/>
        <v>0</v>
      </c>
      <c r="P2052" s="198">
        <f>'02 项目基础信息（输入）'!$I$63</f>
        <v>0</v>
      </c>
      <c r="Q2052" s="233">
        <f t="shared" si="239"/>
        <v>0</v>
      </c>
      <c r="S2052" s="217"/>
      <c r="U2052" s="220" t="s">
        <v>3841</v>
      </c>
    </row>
    <row r="2053" spans="1:21" ht="0" hidden="1" customHeight="1" outlineLevel="3">
      <c r="A2053" s="192" t="s">
        <v>1745</v>
      </c>
      <c r="B2053" s="192"/>
      <c r="C2053" s="197" t="s">
        <v>1609</v>
      </c>
      <c r="D2053" s="198">
        <f>'02 项目基础信息（输入）'!$C$63</f>
        <v>0</v>
      </c>
      <c r="E2053" s="199" t="s">
        <v>93</v>
      </c>
      <c r="F2053" s="197" t="s">
        <v>1609</v>
      </c>
      <c r="G2053" s="199">
        <v>1</v>
      </c>
      <c r="H2053" s="199" t="s">
        <v>298</v>
      </c>
      <c r="I2053" s="198">
        <f t="shared" si="236"/>
        <v>0</v>
      </c>
      <c r="J2053" s="199" t="s">
        <v>93</v>
      </c>
      <c r="K2053" s="188">
        <v>0</v>
      </c>
      <c r="L2053" s="209" t="s">
        <v>675</v>
      </c>
      <c r="M2053" s="207">
        <f t="shared" si="237"/>
        <v>0</v>
      </c>
      <c r="N2053" s="198">
        <f>'02 项目基础信息（输入）'!$C$63</f>
        <v>0</v>
      </c>
      <c r="O2053" s="198">
        <f t="shared" si="238"/>
        <v>0</v>
      </c>
      <c r="P2053" s="198">
        <f>'02 项目基础信息（输入）'!$I$63</f>
        <v>0</v>
      </c>
      <c r="Q2053" s="233">
        <f t="shared" si="239"/>
        <v>0</v>
      </c>
      <c r="S2053" s="217"/>
      <c r="U2053" s="220" t="s">
        <v>3842</v>
      </c>
    </row>
    <row r="2054" spans="1:21" ht="0" hidden="1" customHeight="1" outlineLevel="3">
      <c r="A2054" s="192" t="s">
        <v>1747</v>
      </c>
      <c r="B2054" s="192"/>
      <c r="C2054" s="197" t="s">
        <v>416</v>
      </c>
      <c r="D2054" s="198">
        <f>'02 项目基础信息（输入）'!$AJ$63</f>
        <v>0</v>
      </c>
      <c r="E2054" s="199" t="s">
        <v>417</v>
      </c>
      <c r="F2054" s="197" t="s">
        <v>416</v>
      </c>
      <c r="G2054" s="199">
        <v>1</v>
      </c>
      <c r="H2054" s="199" t="s">
        <v>1748</v>
      </c>
      <c r="I2054" s="198">
        <f t="shared" si="236"/>
        <v>0</v>
      </c>
      <c r="J2054" s="199" t="s">
        <v>400</v>
      </c>
      <c r="K2054" s="188">
        <v>0</v>
      </c>
      <c r="L2054" s="209" t="s">
        <v>1749</v>
      </c>
      <c r="M2054" s="207">
        <f t="shared" si="237"/>
        <v>0</v>
      </c>
      <c r="N2054" s="198">
        <f>'02 项目基础信息（输入）'!$C$63</f>
        <v>0</v>
      </c>
      <c r="O2054" s="198">
        <f t="shared" si="238"/>
        <v>0</v>
      </c>
      <c r="P2054" s="198">
        <f>'02 项目基础信息（输入）'!$I$63</f>
        <v>0</v>
      </c>
      <c r="Q2054" s="233">
        <f t="shared" si="239"/>
        <v>0</v>
      </c>
      <c r="S2054" s="217"/>
      <c r="U2054" s="220" t="s">
        <v>3843</v>
      </c>
    </row>
    <row r="2055" spans="1:21" ht="0" hidden="1" customHeight="1" outlineLevel="3">
      <c r="A2055" s="192" t="s">
        <v>1751</v>
      </c>
      <c r="B2055" s="192"/>
      <c r="C2055" s="197" t="s">
        <v>1609</v>
      </c>
      <c r="D2055" s="198">
        <f>'02 项目基础信息（输入）'!$C$63</f>
        <v>0</v>
      </c>
      <c r="E2055" s="199" t="s">
        <v>93</v>
      </c>
      <c r="F2055" s="197" t="s">
        <v>1609</v>
      </c>
      <c r="G2055" s="199">
        <v>1</v>
      </c>
      <c r="H2055" s="199" t="s">
        <v>298</v>
      </c>
      <c r="I2055" s="198">
        <f t="shared" si="236"/>
        <v>0</v>
      </c>
      <c r="J2055" s="199" t="s">
        <v>93</v>
      </c>
      <c r="K2055" s="188">
        <v>0</v>
      </c>
      <c r="L2055" s="209" t="s">
        <v>675</v>
      </c>
      <c r="M2055" s="207">
        <f t="shared" si="237"/>
        <v>0</v>
      </c>
      <c r="N2055" s="198">
        <f>'02 项目基础信息（输入）'!$C$63</f>
        <v>0</v>
      </c>
      <c r="O2055" s="198">
        <f t="shared" si="238"/>
        <v>0</v>
      </c>
      <c r="P2055" s="198">
        <f>'02 项目基础信息（输入）'!$I$63</f>
        <v>0</v>
      </c>
      <c r="Q2055" s="233">
        <f t="shared" si="239"/>
        <v>0</v>
      </c>
      <c r="S2055" s="217"/>
      <c r="U2055" s="220" t="s">
        <v>3844</v>
      </c>
    </row>
    <row r="2056" spans="1:21" ht="0" hidden="1" customHeight="1" outlineLevel="2">
      <c r="A2056" s="192" t="s">
        <v>1753</v>
      </c>
      <c r="B2056" s="192"/>
      <c r="C2056" s="197" t="s">
        <v>1609</v>
      </c>
      <c r="D2056" s="198">
        <f>'02 项目基础信息（输入）'!$C$63</f>
        <v>0</v>
      </c>
      <c r="E2056" s="199" t="s">
        <v>93</v>
      </c>
      <c r="F2056" s="197"/>
      <c r="G2056" s="199"/>
      <c r="H2056" s="199"/>
      <c r="I2056" s="197"/>
      <c r="J2056" s="199"/>
      <c r="K2056" s="198"/>
      <c r="L2056" s="209"/>
      <c r="M2056" s="198">
        <f>ROUND(SUM(M2057:M2067),6)</f>
        <v>0</v>
      </c>
      <c r="N2056" s="198">
        <f>'02 项目基础信息（输入）'!$C$63</f>
        <v>0</v>
      </c>
      <c r="O2056" s="198">
        <f t="shared" si="238"/>
        <v>0</v>
      </c>
      <c r="P2056" s="198">
        <f>'02 项目基础信息（输入）'!$I$63</f>
        <v>0</v>
      </c>
      <c r="Q2056" s="233">
        <f t="shared" si="239"/>
        <v>0</v>
      </c>
      <c r="S2056" s="217" t="s">
        <v>1313</v>
      </c>
      <c r="U2056" s="220" t="s">
        <v>3845</v>
      </c>
    </row>
    <row r="2057" spans="1:21" ht="0" hidden="1" customHeight="1" outlineLevel="3">
      <c r="A2057" s="192" t="s">
        <v>1755</v>
      </c>
      <c r="B2057" s="192"/>
      <c r="C2057" s="197" t="s">
        <v>1609</v>
      </c>
      <c r="D2057" s="198">
        <f>'02 项目基础信息（输入）'!$C$63</f>
        <v>0</v>
      </c>
      <c r="E2057" s="199" t="s">
        <v>93</v>
      </c>
      <c r="F2057" s="197" t="s">
        <v>1609</v>
      </c>
      <c r="G2057" s="199">
        <v>1</v>
      </c>
      <c r="H2057" s="199" t="s">
        <v>298</v>
      </c>
      <c r="I2057" s="198">
        <f t="shared" ref="I2057:I2067" si="240">G2057*D2057</f>
        <v>0</v>
      </c>
      <c r="J2057" s="199" t="s">
        <v>93</v>
      </c>
      <c r="K2057" s="188">
        <v>0</v>
      </c>
      <c r="L2057" s="209" t="s">
        <v>675</v>
      </c>
      <c r="M2057" s="207">
        <f t="shared" ref="M2057:M2067" si="241">ROUND(K2057*I2057/10000,6)</f>
        <v>0</v>
      </c>
      <c r="N2057" s="198">
        <f>'02 项目基础信息（输入）'!$C$63</f>
        <v>0</v>
      </c>
      <c r="O2057" s="198">
        <f t="shared" si="238"/>
        <v>0</v>
      </c>
      <c r="P2057" s="198">
        <f>'02 项目基础信息（输入）'!$I$63</f>
        <v>0</v>
      </c>
      <c r="Q2057" s="233">
        <f t="shared" si="239"/>
        <v>0</v>
      </c>
      <c r="S2057" s="217"/>
      <c r="U2057" s="220" t="s">
        <v>3846</v>
      </c>
    </row>
    <row r="2058" spans="1:21" ht="0" hidden="1" customHeight="1" outlineLevel="3">
      <c r="A2058" s="192" t="s">
        <v>1757</v>
      </c>
      <c r="B2058" s="192"/>
      <c r="C2058" s="197" t="s">
        <v>1609</v>
      </c>
      <c r="D2058" s="198">
        <f>'02 项目基础信息（输入）'!$C$63</f>
        <v>0</v>
      </c>
      <c r="E2058" s="199" t="s">
        <v>93</v>
      </c>
      <c r="F2058" s="197" t="s">
        <v>1609</v>
      </c>
      <c r="G2058" s="199">
        <v>1</v>
      </c>
      <c r="H2058" s="199" t="s">
        <v>298</v>
      </c>
      <c r="I2058" s="198">
        <f t="shared" si="240"/>
        <v>0</v>
      </c>
      <c r="J2058" s="199" t="s">
        <v>93</v>
      </c>
      <c r="K2058" s="188">
        <v>0</v>
      </c>
      <c r="L2058" s="209" t="s">
        <v>675</v>
      </c>
      <c r="M2058" s="207">
        <f t="shared" si="241"/>
        <v>0</v>
      </c>
      <c r="N2058" s="198">
        <f>'02 项目基础信息（输入）'!$C$63</f>
        <v>0</v>
      </c>
      <c r="O2058" s="198">
        <f t="shared" si="238"/>
        <v>0</v>
      </c>
      <c r="P2058" s="198">
        <f>'02 项目基础信息（输入）'!$I$63</f>
        <v>0</v>
      </c>
      <c r="Q2058" s="233">
        <f t="shared" si="239"/>
        <v>0</v>
      </c>
      <c r="S2058" s="217"/>
      <c r="U2058" s="220" t="s">
        <v>3847</v>
      </c>
    </row>
    <row r="2059" spans="1:21" ht="0" hidden="1" customHeight="1" outlineLevel="3">
      <c r="A2059" s="192" t="s">
        <v>1759</v>
      </c>
      <c r="B2059" s="192"/>
      <c r="C2059" s="197" t="s">
        <v>1609</v>
      </c>
      <c r="D2059" s="198">
        <f>'02 项目基础信息（输入）'!$C$63</f>
        <v>0</v>
      </c>
      <c r="E2059" s="199" t="s">
        <v>93</v>
      </c>
      <c r="F2059" s="197" t="s">
        <v>1609</v>
      </c>
      <c r="G2059" s="199">
        <v>1</v>
      </c>
      <c r="H2059" s="199" t="s">
        <v>298</v>
      </c>
      <c r="I2059" s="198">
        <f t="shared" si="240"/>
        <v>0</v>
      </c>
      <c r="J2059" s="199" t="s">
        <v>93</v>
      </c>
      <c r="K2059" s="188">
        <v>0</v>
      </c>
      <c r="L2059" s="209" t="s">
        <v>675</v>
      </c>
      <c r="M2059" s="207">
        <f t="shared" si="241"/>
        <v>0</v>
      </c>
      <c r="N2059" s="198">
        <f>'02 项目基础信息（输入）'!$C$63</f>
        <v>0</v>
      </c>
      <c r="O2059" s="198">
        <f t="shared" si="238"/>
        <v>0</v>
      </c>
      <c r="P2059" s="198">
        <f>'02 项目基础信息（输入）'!$I$63</f>
        <v>0</v>
      </c>
      <c r="Q2059" s="233">
        <f t="shared" si="239"/>
        <v>0</v>
      </c>
      <c r="S2059" s="217"/>
      <c r="U2059" s="220" t="s">
        <v>3848</v>
      </c>
    </row>
    <row r="2060" spans="1:21" ht="0" hidden="1" customHeight="1" outlineLevel="3">
      <c r="A2060" s="192" t="s">
        <v>1761</v>
      </c>
      <c r="B2060" s="192"/>
      <c r="C2060" s="197" t="s">
        <v>1609</v>
      </c>
      <c r="D2060" s="198">
        <f>'02 项目基础信息（输入）'!$C$63</f>
        <v>0</v>
      </c>
      <c r="E2060" s="199" t="s">
        <v>93</v>
      </c>
      <c r="F2060" s="197" t="s">
        <v>1609</v>
      </c>
      <c r="G2060" s="199">
        <v>1</v>
      </c>
      <c r="H2060" s="199" t="s">
        <v>298</v>
      </c>
      <c r="I2060" s="198">
        <f t="shared" si="240"/>
        <v>0</v>
      </c>
      <c r="J2060" s="199" t="s">
        <v>93</v>
      </c>
      <c r="K2060" s="188">
        <v>0</v>
      </c>
      <c r="L2060" s="209" t="s">
        <v>675</v>
      </c>
      <c r="M2060" s="207">
        <f t="shared" si="241"/>
        <v>0</v>
      </c>
      <c r="N2060" s="198">
        <f>'02 项目基础信息（输入）'!$C$63</f>
        <v>0</v>
      </c>
      <c r="O2060" s="198">
        <f t="shared" si="238"/>
        <v>0</v>
      </c>
      <c r="P2060" s="198">
        <f>'02 项目基础信息（输入）'!$I$63</f>
        <v>0</v>
      </c>
      <c r="Q2060" s="233">
        <f t="shared" si="239"/>
        <v>0</v>
      </c>
      <c r="S2060" s="217"/>
      <c r="U2060" s="220" t="s">
        <v>3849</v>
      </c>
    </row>
    <row r="2061" spans="1:21" ht="0" hidden="1" customHeight="1" outlineLevel="3">
      <c r="A2061" s="192" t="s">
        <v>1763</v>
      </c>
      <c r="B2061" s="192"/>
      <c r="C2061" s="197" t="s">
        <v>1609</v>
      </c>
      <c r="D2061" s="198">
        <f>'02 项目基础信息（输入）'!$C$63</f>
        <v>0</v>
      </c>
      <c r="E2061" s="199" t="s">
        <v>93</v>
      </c>
      <c r="F2061" s="197" t="s">
        <v>1609</v>
      </c>
      <c r="G2061" s="199">
        <v>1</v>
      </c>
      <c r="H2061" s="199" t="s">
        <v>298</v>
      </c>
      <c r="I2061" s="198">
        <f t="shared" si="240"/>
        <v>0</v>
      </c>
      <c r="J2061" s="199" t="s">
        <v>93</v>
      </c>
      <c r="K2061" s="188">
        <v>0</v>
      </c>
      <c r="L2061" s="209" t="s">
        <v>675</v>
      </c>
      <c r="M2061" s="207">
        <f t="shared" si="241"/>
        <v>0</v>
      </c>
      <c r="N2061" s="198">
        <f>'02 项目基础信息（输入）'!$C$63</f>
        <v>0</v>
      </c>
      <c r="O2061" s="198">
        <f t="shared" si="238"/>
        <v>0</v>
      </c>
      <c r="P2061" s="198">
        <f>'02 项目基础信息（输入）'!$I$63</f>
        <v>0</v>
      </c>
      <c r="Q2061" s="233">
        <f t="shared" si="239"/>
        <v>0</v>
      </c>
      <c r="S2061" s="217"/>
      <c r="U2061" s="220" t="s">
        <v>3850</v>
      </c>
    </row>
    <row r="2062" spans="1:21" ht="0" hidden="1" customHeight="1" outlineLevel="3">
      <c r="A2062" s="192" t="s">
        <v>1765</v>
      </c>
      <c r="B2062" s="192"/>
      <c r="C2062" s="197" t="s">
        <v>1609</v>
      </c>
      <c r="D2062" s="198">
        <f>'02 项目基础信息（输入）'!$C$63</f>
        <v>0</v>
      </c>
      <c r="E2062" s="199" t="s">
        <v>93</v>
      </c>
      <c r="F2062" s="197" t="s">
        <v>1609</v>
      </c>
      <c r="G2062" s="199">
        <v>1</v>
      </c>
      <c r="H2062" s="199" t="s">
        <v>298</v>
      </c>
      <c r="I2062" s="198">
        <f t="shared" si="240"/>
        <v>0</v>
      </c>
      <c r="J2062" s="199" t="s">
        <v>93</v>
      </c>
      <c r="K2062" s="188">
        <v>0</v>
      </c>
      <c r="L2062" s="209" t="s">
        <v>675</v>
      </c>
      <c r="M2062" s="207">
        <f t="shared" si="241"/>
        <v>0</v>
      </c>
      <c r="N2062" s="198">
        <f>'02 项目基础信息（输入）'!$C$63</f>
        <v>0</v>
      </c>
      <c r="O2062" s="198">
        <f t="shared" si="238"/>
        <v>0</v>
      </c>
      <c r="P2062" s="198">
        <f>'02 项目基础信息（输入）'!$I$63</f>
        <v>0</v>
      </c>
      <c r="Q2062" s="233">
        <f t="shared" si="239"/>
        <v>0</v>
      </c>
      <c r="S2062" s="217"/>
      <c r="U2062" s="220" t="s">
        <v>3851</v>
      </c>
    </row>
    <row r="2063" spans="1:21" ht="0" hidden="1" customHeight="1" outlineLevel="3">
      <c r="A2063" s="192" t="s">
        <v>1767</v>
      </c>
      <c r="B2063" s="192"/>
      <c r="C2063" s="197" t="s">
        <v>1609</v>
      </c>
      <c r="D2063" s="198">
        <f>'02 项目基础信息（输入）'!$C$63</f>
        <v>0</v>
      </c>
      <c r="E2063" s="199" t="s">
        <v>93</v>
      </c>
      <c r="F2063" s="197" t="s">
        <v>1609</v>
      </c>
      <c r="G2063" s="199">
        <v>1</v>
      </c>
      <c r="H2063" s="199" t="s">
        <v>298</v>
      </c>
      <c r="I2063" s="198">
        <f t="shared" si="240"/>
        <v>0</v>
      </c>
      <c r="J2063" s="199" t="s">
        <v>93</v>
      </c>
      <c r="K2063" s="188">
        <v>0</v>
      </c>
      <c r="L2063" s="209" t="s">
        <v>675</v>
      </c>
      <c r="M2063" s="207">
        <f t="shared" si="241"/>
        <v>0</v>
      </c>
      <c r="N2063" s="198">
        <f>'02 项目基础信息（输入）'!$C$63</f>
        <v>0</v>
      </c>
      <c r="O2063" s="198">
        <f t="shared" si="238"/>
        <v>0</v>
      </c>
      <c r="P2063" s="198">
        <f>'02 项目基础信息（输入）'!$I$63</f>
        <v>0</v>
      </c>
      <c r="Q2063" s="233">
        <f t="shared" si="239"/>
        <v>0</v>
      </c>
      <c r="S2063" s="217"/>
      <c r="U2063" s="220" t="s">
        <v>3852</v>
      </c>
    </row>
    <row r="2064" spans="1:21" ht="0" hidden="1" customHeight="1" outlineLevel="3">
      <c r="A2064" s="192" t="s">
        <v>1769</v>
      </c>
      <c r="B2064" s="192"/>
      <c r="C2064" s="197" t="s">
        <v>1609</v>
      </c>
      <c r="D2064" s="198">
        <f>'02 项目基础信息（输入）'!$C$63</f>
        <v>0</v>
      </c>
      <c r="E2064" s="199" t="s">
        <v>93</v>
      </c>
      <c r="F2064" s="197" t="s">
        <v>1609</v>
      </c>
      <c r="G2064" s="199">
        <v>1</v>
      </c>
      <c r="H2064" s="199" t="s">
        <v>298</v>
      </c>
      <c r="I2064" s="198">
        <f t="shared" si="240"/>
        <v>0</v>
      </c>
      <c r="J2064" s="199" t="s">
        <v>93</v>
      </c>
      <c r="K2064" s="188">
        <v>0</v>
      </c>
      <c r="L2064" s="209" t="s">
        <v>675</v>
      </c>
      <c r="M2064" s="207">
        <f t="shared" si="241"/>
        <v>0</v>
      </c>
      <c r="N2064" s="198">
        <f>'02 项目基础信息（输入）'!$C$63</f>
        <v>0</v>
      </c>
      <c r="O2064" s="198">
        <f t="shared" si="238"/>
        <v>0</v>
      </c>
      <c r="P2064" s="198">
        <f>'02 项目基础信息（输入）'!$I$63</f>
        <v>0</v>
      </c>
      <c r="Q2064" s="233">
        <f t="shared" si="239"/>
        <v>0</v>
      </c>
      <c r="S2064" s="217"/>
      <c r="U2064" s="220" t="s">
        <v>3853</v>
      </c>
    </row>
    <row r="2065" spans="1:21" ht="0" hidden="1" customHeight="1" outlineLevel="3">
      <c r="A2065" s="192" t="s">
        <v>1771</v>
      </c>
      <c r="B2065" s="192"/>
      <c r="C2065" s="197" t="s">
        <v>1609</v>
      </c>
      <c r="D2065" s="198">
        <f>'02 项目基础信息（输入）'!$C$63</f>
        <v>0</v>
      </c>
      <c r="E2065" s="199" t="s">
        <v>93</v>
      </c>
      <c r="F2065" s="197" t="s">
        <v>1609</v>
      </c>
      <c r="G2065" s="199">
        <v>1</v>
      </c>
      <c r="H2065" s="199" t="s">
        <v>298</v>
      </c>
      <c r="I2065" s="198">
        <f t="shared" si="240"/>
        <v>0</v>
      </c>
      <c r="J2065" s="199" t="s">
        <v>93</v>
      </c>
      <c r="K2065" s="188">
        <v>0</v>
      </c>
      <c r="L2065" s="209" t="s">
        <v>675</v>
      </c>
      <c r="M2065" s="207">
        <f t="shared" si="241"/>
        <v>0</v>
      </c>
      <c r="N2065" s="198">
        <f>'02 项目基础信息（输入）'!$C$63</f>
        <v>0</v>
      </c>
      <c r="O2065" s="198">
        <f t="shared" si="238"/>
        <v>0</v>
      </c>
      <c r="P2065" s="198">
        <f>'02 项目基础信息（输入）'!$I$63</f>
        <v>0</v>
      </c>
      <c r="Q2065" s="233">
        <f t="shared" si="239"/>
        <v>0</v>
      </c>
      <c r="S2065" s="217"/>
      <c r="U2065" s="220" t="s">
        <v>3854</v>
      </c>
    </row>
    <row r="2066" spans="1:21" ht="0" hidden="1" customHeight="1" outlineLevel="3">
      <c r="A2066" s="192" t="s">
        <v>1773</v>
      </c>
      <c r="B2066" s="192"/>
      <c r="C2066" s="197" t="s">
        <v>1609</v>
      </c>
      <c r="D2066" s="198">
        <f>'02 项目基础信息（输入）'!$C$63</f>
        <v>0</v>
      </c>
      <c r="E2066" s="199" t="s">
        <v>93</v>
      </c>
      <c r="F2066" s="197" t="s">
        <v>1609</v>
      </c>
      <c r="G2066" s="199">
        <v>1</v>
      </c>
      <c r="H2066" s="199" t="s">
        <v>298</v>
      </c>
      <c r="I2066" s="198">
        <f t="shared" si="240"/>
        <v>0</v>
      </c>
      <c r="J2066" s="199" t="s">
        <v>93</v>
      </c>
      <c r="K2066" s="188">
        <v>0</v>
      </c>
      <c r="L2066" s="209" t="s">
        <v>675</v>
      </c>
      <c r="M2066" s="207">
        <f t="shared" si="241"/>
        <v>0</v>
      </c>
      <c r="N2066" s="198">
        <f>'02 项目基础信息（输入）'!$C$63</f>
        <v>0</v>
      </c>
      <c r="O2066" s="198">
        <f t="shared" si="238"/>
        <v>0</v>
      </c>
      <c r="P2066" s="198">
        <f>'02 项目基础信息（输入）'!$I$63</f>
        <v>0</v>
      </c>
      <c r="Q2066" s="233">
        <f t="shared" si="239"/>
        <v>0</v>
      </c>
      <c r="S2066" s="217"/>
      <c r="U2066" s="220" t="s">
        <v>3855</v>
      </c>
    </row>
    <row r="2067" spans="1:21" ht="0" hidden="1" customHeight="1" outlineLevel="3">
      <c r="A2067" s="192" t="s">
        <v>1775</v>
      </c>
      <c r="B2067" s="192"/>
      <c r="C2067" s="197" t="s">
        <v>1609</v>
      </c>
      <c r="D2067" s="198">
        <f>'02 项目基础信息（输入）'!$C$63</f>
        <v>0</v>
      </c>
      <c r="E2067" s="199" t="s">
        <v>93</v>
      </c>
      <c r="F2067" s="197" t="s">
        <v>1609</v>
      </c>
      <c r="G2067" s="199">
        <v>1</v>
      </c>
      <c r="H2067" s="199" t="s">
        <v>298</v>
      </c>
      <c r="I2067" s="198">
        <f t="shared" si="240"/>
        <v>0</v>
      </c>
      <c r="J2067" s="199" t="s">
        <v>93</v>
      </c>
      <c r="K2067" s="188">
        <v>0</v>
      </c>
      <c r="L2067" s="209" t="s">
        <v>675</v>
      </c>
      <c r="M2067" s="207">
        <f t="shared" si="241"/>
        <v>0</v>
      </c>
      <c r="N2067" s="198">
        <f>'02 项目基础信息（输入）'!$C$63</f>
        <v>0</v>
      </c>
      <c r="O2067" s="198">
        <f t="shared" si="238"/>
        <v>0</v>
      </c>
      <c r="P2067" s="198">
        <f>'02 项目基础信息（输入）'!$I$63</f>
        <v>0</v>
      </c>
      <c r="Q2067" s="233">
        <f t="shared" si="239"/>
        <v>0</v>
      </c>
      <c r="S2067" s="217"/>
      <c r="U2067" s="220" t="s">
        <v>3856</v>
      </c>
    </row>
    <row r="2068" spans="1:21" ht="0" hidden="1" customHeight="1" outlineLevel="2">
      <c r="A2068" s="192" t="s">
        <v>1777</v>
      </c>
      <c r="B2068" s="192"/>
      <c r="C2068" s="197" t="s">
        <v>1609</v>
      </c>
      <c r="D2068" s="198">
        <f>'02 项目基础信息（输入）'!$C$63</f>
        <v>0</v>
      </c>
      <c r="E2068" s="199" t="s">
        <v>93</v>
      </c>
      <c r="F2068" s="197"/>
      <c r="G2068" s="199"/>
      <c r="H2068" s="199"/>
      <c r="I2068" s="197"/>
      <c r="J2068" s="199"/>
      <c r="K2068" s="198"/>
      <c r="L2068" s="209"/>
      <c r="M2068" s="198">
        <f>ROUND(SUM(M2069),6)</f>
        <v>0</v>
      </c>
      <c r="N2068" s="198">
        <f>'02 项目基础信息（输入）'!$C$63</f>
        <v>0</v>
      </c>
      <c r="O2068" s="198">
        <f t="shared" si="238"/>
        <v>0</v>
      </c>
      <c r="P2068" s="198">
        <f>'02 项目基础信息（输入）'!$I$63</f>
        <v>0</v>
      </c>
      <c r="Q2068" s="233">
        <f t="shared" si="239"/>
        <v>0</v>
      </c>
      <c r="S2068" s="217" t="s">
        <v>1313</v>
      </c>
      <c r="U2068" s="220" t="s">
        <v>3857</v>
      </c>
    </row>
    <row r="2069" spans="1:21" ht="0" hidden="1" customHeight="1" outlineLevel="3">
      <c r="A2069" s="192" t="s">
        <v>1779</v>
      </c>
      <c r="B2069" s="192"/>
      <c r="C2069" s="197" t="s">
        <v>1609</v>
      </c>
      <c r="D2069" s="198">
        <f>'02 项目基础信息（输入）'!$C$63</f>
        <v>0</v>
      </c>
      <c r="E2069" s="199" t="s">
        <v>93</v>
      </c>
      <c r="F2069" s="197" t="s">
        <v>984</v>
      </c>
      <c r="G2069" s="82">
        <v>0</v>
      </c>
      <c r="H2069" s="199" t="s">
        <v>966</v>
      </c>
      <c r="I2069" s="198">
        <f>G2069*D2069</f>
        <v>0</v>
      </c>
      <c r="J2069" s="199" t="s">
        <v>1617</v>
      </c>
      <c r="K2069" s="188">
        <v>0</v>
      </c>
      <c r="L2069" s="209" t="s">
        <v>664</v>
      </c>
      <c r="M2069" s="207">
        <f>ROUND(K2069*I2069/10000,6)</f>
        <v>0</v>
      </c>
      <c r="N2069" s="198">
        <f>'02 项目基础信息（输入）'!$C$63</f>
        <v>0</v>
      </c>
      <c r="O2069" s="198">
        <f t="shared" si="238"/>
        <v>0</v>
      </c>
      <c r="P2069" s="198">
        <f>'02 项目基础信息（输入）'!$I$63</f>
        <v>0</v>
      </c>
      <c r="Q2069" s="233">
        <f t="shared" si="239"/>
        <v>0</v>
      </c>
      <c r="S2069" s="217"/>
      <c r="U2069" s="220" t="s">
        <v>3858</v>
      </c>
    </row>
    <row r="2070" spans="1:21" ht="0" hidden="1" customHeight="1" outlineLevel="2">
      <c r="A2070" s="192" t="s">
        <v>1781</v>
      </c>
      <c r="B2070" s="192"/>
      <c r="C2070" s="197" t="s">
        <v>1609</v>
      </c>
      <c r="D2070" s="198">
        <f>'02 项目基础信息（输入）'!$C$63</f>
        <v>0</v>
      </c>
      <c r="E2070" s="199" t="s">
        <v>93</v>
      </c>
      <c r="F2070" s="197"/>
      <c r="G2070" s="199"/>
      <c r="H2070" s="199"/>
      <c r="I2070" s="197"/>
      <c r="J2070" s="199"/>
      <c r="K2070" s="198"/>
      <c r="L2070" s="209"/>
      <c r="M2070" s="198">
        <f>ROUND(SUM(M2071:M2075),6)</f>
        <v>0</v>
      </c>
      <c r="N2070" s="198">
        <f>'02 项目基础信息（输入）'!$C$63</f>
        <v>0</v>
      </c>
      <c r="O2070" s="198">
        <f t="shared" si="238"/>
        <v>0</v>
      </c>
      <c r="P2070" s="198">
        <f>'02 项目基础信息（输入）'!$I$63</f>
        <v>0</v>
      </c>
      <c r="Q2070" s="233">
        <f t="shared" si="239"/>
        <v>0</v>
      </c>
      <c r="S2070" s="217" t="s">
        <v>1314</v>
      </c>
      <c r="U2070" s="220" t="s">
        <v>3859</v>
      </c>
    </row>
    <row r="2071" spans="1:21" ht="0" hidden="1" customHeight="1" outlineLevel="3">
      <c r="A2071" s="192" t="s">
        <v>2066</v>
      </c>
      <c r="B2071" s="192"/>
      <c r="C2071" s="197" t="s">
        <v>309</v>
      </c>
      <c r="D2071" s="198">
        <f>'02 项目基础信息（输入）'!$AC$63</f>
        <v>0</v>
      </c>
      <c r="E2071" s="199" t="s">
        <v>310</v>
      </c>
      <c r="F2071" s="197" t="s">
        <v>2067</v>
      </c>
      <c r="G2071" s="199">
        <v>1</v>
      </c>
      <c r="H2071" s="199" t="s">
        <v>2067</v>
      </c>
      <c r="I2071" s="198">
        <f>G2071*D2071</f>
        <v>0</v>
      </c>
      <c r="J2071" s="199" t="s">
        <v>1946</v>
      </c>
      <c r="K2071" s="188">
        <v>0</v>
      </c>
      <c r="L2071" s="209" t="s">
        <v>1948</v>
      </c>
      <c r="M2071" s="207">
        <f>ROUND(K2071*I2071/10000,6)</f>
        <v>0</v>
      </c>
      <c r="N2071" s="198">
        <f>'02 项目基础信息（输入）'!$C$63</f>
        <v>0</v>
      </c>
      <c r="O2071" s="198">
        <f t="shared" si="238"/>
        <v>0</v>
      </c>
      <c r="P2071" s="198">
        <f>'02 项目基础信息（输入）'!$I$63</f>
        <v>0</v>
      </c>
      <c r="Q2071" s="233">
        <f t="shared" si="239"/>
        <v>0</v>
      </c>
      <c r="S2071" s="217"/>
      <c r="U2071" s="220" t="s">
        <v>3860</v>
      </c>
    </row>
    <row r="2072" spans="1:21" ht="0" hidden="1" customHeight="1" outlineLevel="3">
      <c r="A2072" s="192" t="s">
        <v>2069</v>
      </c>
      <c r="B2072" s="192"/>
      <c r="C2072" s="197" t="s">
        <v>309</v>
      </c>
      <c r="D2072" s="198">
        <f>'02 项目基础信息（输入）'!$AC$63</f>
        <v>0</v>
      </c>
      <c r="E2072" s="199" t="s">
        <v>310</v>
      </c>
      <c r="F2072" s="197" t="s">
        <v>2067</v>
      </c>
      <c r="G2072" s="199">
        <v>1</v>
      </c>
      <c r="H2072" s="199" t="s">
        <v>2067</v>
      </c>
      <c r="I2072" s="198">
        <f>G2072*D2072</f>
        <v>0</v>
      </c>
      <c r="J2072" s="199" t="s">
        <v>1946</v>
      </c>
      <c r="K2072" s="188">
        <v>0</v>
      </c>
      <c r="L2072" s="209" t="s">
        <v>1948</v>
      </c>
      <c r="M2072" s="207">
        <f>ROUND(K2072*I2072/10000,6)</f>
        <v>0</v>
      </c>
      <c r="N2072" s="198">
        <f>'02 项目基础信息（输入）'!$C$63</f>
        <v>0</v>
      </c>
      <c r="O2072" s="198">
        <f t="shared" si="238"/>
        <v>0</v>
      </c>
      <c r="P2072" s="198">
        <f>'02 项目基础信息（输入）'!$I$63</f>
        <v>0</v>
      </c>
      <c r="Q2072" s="233">
        <f t="shared" si="239"/>
        <v>0</v>
      </c>
      <c r="S2072" s="217"/>
      <c r="U2072" s="220" t="s">
        <v>3861</v>
      </c>
    </row>
    <row r="2073" spans="1:21" ht="0" hidden="1" customHeight="1" outlineLevel="3">
      <c r="A2073" s="192" t="s">
        <v>2071</v>
      </c>
      <c r="B2073" s="192"/>
      <c r="C2073" s="197" t="s">
        <v>309</v>
      </c>
      <c r="D2073" s="198">
        <f>'02 项目基础信息（输入）'!$AC$63</f>
        <v>0</v>
      </c>
      <c r="E2073" s="199" t="s">
        <v>310</v>
      </c>
      <c r="F2073" s="197" t="s">
        <v>2067</v>
      </c>
      <c r="G2073" s="199">
        <v>1</v>
      </c>
      <c r="H2073" s="199" t="s">
        <v>2067</v>
      </c>
      <c r="I2073" s="198">
        <f>G2073*D2073</f>
        <v>0</v>
      </c>
      <c r="J2073" s="199" t="s">
        <v>1946</v>
      </c>
      <c r="K2073" s="188">
        <v>0</v>
      </c>
      <c r="L2073" s="209" t="s">
        <v>1948</v>
      </c>
      <c r="M2073" s="207">
        <f>ROUND(K2073*I2073/10000,6)</f>
        <v>0</v>
      </c>
      <c r="N2073" s="198">
        <f>'02 项目基础信息（输入）'!$C$63</f>
        <v>0</v>
      </c>
      <c r="O2073" s="198">
        <f t="shared" si="238"/>
        <v>0</v>
      </c>
      <c r="P2073" s="198">
        <f>'02 项目基础信息（输入）'!$I$63</f>
        <v>0</v>
      </c>
      <c r="Q2073" s="233">
        <f t="shared" si="239"/>
        <v>0</v>
      </c>
      <c r="S2073" s="217"/>
      <c r="U2073" s="220" t="s">
        <v>3862</v>
      </c>
    </row>
    <row r="2074" spans="1:21" ht="0" hidden="1" customHeight="1" outlineLevel="3">
      <c r="A2074" s="192" t="s">
        <v>2073</v>
      </c>
      <c r="B2074" s="192"/>
      <c r="C2074" s="197" t="s">
        <v>309</v>
      </c>
      <c r="D2074" s="198">
        <f>'02 项目基础信息（输入）'!$AC$63</f>
        <v>0</v>
      </c>
      <c r="E2074" s="199" t="s">
        <v>310</v>
      </c>
      <c r="F2074" s="197" t="s">
        <v>2067</v>
      </c>
      <c r="G2074" s="199">
        <v>1</v>
      </c>
      <c r="H2074" s="199" t="s">
        <v>1946</v>
      </c>
      <c r="I2074" s="198">
        <f>G2074*D2074</f>
        <v>0</v>
      </c>
      <c r="J2074" s="199" t="s">
        <v>1946</v>
      </c>
      <c r="K2074" s="188">
        <v>0</v>
      </c>
      <c r="L2074" s="209" t="s">
        <v>1948</v>
      </c>
      <c r="M2074" s="207">
        <f>ROUND(K2074*I2074/10000,6)</f>
        <v>0</v>
      </c>
      <c r="N2074" s="198">
        <f>'02 项目基础信息（输入）'!$C$63</f>
        <v>0</v>
      </c>
      <c r="O2074" s="198">
        <f t="shared" si="238"/>
        <v>0</v>
      </c>
      <c r="P2074" s="198">
        <f>'02 项目基础信息（输入）'!$I$63</f>
        <v>0</v>
      </c>
      <c r="Q2074" s="233">
        <f t="shared" si="239"/>
        <v>0</v>
      </c>
      <c r="S2074" s="217"/>
      <c r="U2074" s="220" t="s">
        <v>3863</v>
      </c>
    </row>
    <row r="2075" spans="1:21" ht="0" hidden="1" customHeight="1" outlineLevel="3">
      <c r="A2075" s="192" t="s">
        <v>1783</v>
      </c>
      <c r="B2075" s="192"/>
      <c r="C2075" s="197" t="s">
        <v>309</v>
      </c>
      <c r="D2075" s="198">
        <f>'02 项目基础信息（输入）'!$AC$63</f>
        <v>0</v>
      </c>
      <c r="E2075" s="199" t="s">
        <v>310</v>
      </c>
      <c r="F2075" s="197" t="s">
        <v>1784</v>
      </c>
      <c r="G2075" s="199">
        <v>1</v>
      </c>
      <c r="H2075" s="199" t="s">
        <v>1784</v>
      </c>
      <c r="I2075" s="198">
        <f>G2075*D2075</f>
        <v>0</v>
      </c>
      <c r="J2075" s="199" t="s">
        <v>1600</v>
      </c>
      <c r="K2075" s="188">
        <v>0</v>
      </c>
      <c r="L2075" s="209" t="s">
        <v>1601</v>
      </c>
      <c r="M2075" s="207">
        <f>ROUND(K2075*I2075/10000,6)</f>
        <v>0</v>
      </c>
      <c r="N2075" s="198">
        <f>'02 项目基础信息（输入）'!$C$63</f>
        <v>0</v>
      </c>
      <c r="O2075" s="198">
        <f t="shared" si="238"/>
        <v>0</v>
      </c>
      <c r="P2075" s="198">
        <f>'02 项目基础信息（输入）'!$I$63</f>
        <v>0</v>
      </c>
      <c r="Q2075" s="233">
        <f t="shared" si="239"/>
        <v>0</v>
      </c>
      <c r="S2075" s="217"/>
      <c r="U2075" s="220" t="s">
        <v>3864</v>
      </c>
    </row>
    <row r="2076" spans="1:21" ht="0" hidden="1" customHeight="1" outlineLevel="2">
      <c r="A2076" s="192" t="s">
        <v>1786</v>
      </c>
      <c r="B2076" s="192"/>
      <c r="C2076" s="197" t="s">
        <v>1609</v>
      </c>
      <c r="D2076" s="198">
        <f>'02 项目基础信息（输入）'!$C$63</f>
        <v>0</v>
      </c>
      <c r="E2076" s="199" t="s">
        <v>93</v>
      </c>
      <c r="F2076" s="197"/>
      <c r="G2076" s="199"/>
      <c r="H2076" s="199"/>
      <c r="I2076" s="197"/>
      <c r="J2076" s="199"/>
      <c r="K2076" s="198"/>
      <c r="L2076" s="209"/>
      <c r="M2076" s="198">
        <f>ROUND(SUM(M2077:M2081),6)</f>
        <v>0</v>
      </c>
      <c r="N2076" s="198">
        <f>'02 项目基础信息（输入）'!$C$63</f>
        <v>0</v>
      </c>
      <c r="O2076" s="198">
        <f t="shared" si="238"/>
        <v>0</v>
      </c>
      <c r="P2076" s="198">
        <f>'02 项目基础信息（输入）'!$I$63</f>
        <v>0</v>
      </c>
      <c r="Q2076" s="233">
        <f t="shared" si="239"/>
        <v>0</v>
      </c>
      <c r="S2076" s="217" t="s">
        <v>1314</v>
      </c>
      <c r="U2076" s="220" t="s">
        <v>3865</v>
      </c>
    </row>
    <row r="2077" spans="1:21" ht="0" hidden="1" customHeight="1" outlineLevel="3">
      <c r="A2077" s="192" t="s">
        <v>2077</v>
      </c>
      <c r="B2077" s="192"/>
      <c r="C2077" s="197" t="s">
        <v>1609</v>
      </c>
      <c r="D2077" s="198">
        <f>'02 项目基础信息（输入）'!$C$63</f>
        <v>0</v>
      </c>
      <c r="E2077" s="199" t="s">
        <v>93</v>
      </c>
      <c r="F2077" s="197" t="s">
        <v>754</v>
      </c>
      <c r="G2077" s="82">
        <v>0</v>
      </c>
      <c r="H2077" s="199" t="s">
        <v>298</v>
      </c>
      <c r="I2077" s="198">
        <f>G2077*D2077</f>
        <v>0</v>
      </c>
      <c r="J2077" s="199" t="s">
        <v>93</v>
      </c>
      <c r="K2077" s="188">
        <v>0</v>
      </c>
      <c r="L2077" s="209" t="s">
        <v>675</v>
      </c>
      <c r="M2077" s="207">
        <f>ROUND(K2077*I2077/10000,6)</f>
        <v>0</v>
      </c>
      <c r="N2077" s="198">
        <f>'02 项目基础信息（输入）'!$C$63</f>
        <v>0</v>
      </c>
      <c r="O2077" s="198">
        <f t="shared" si="238"/>
        <v>0</v>
      </c>
      <c r="P2077" s="198">
        <f>'02 项目基础信息（输入）'!$I$63</f>
        <v>0</v>
      </c>
      <c r="Q2077" s="233">
        <f t="shared" si="239"/>
        <v>0</v>
      </c>
      <c r="S2077" s="217"/>
      <c r="U2077" s="220" t="s">
        <v>3866</v>
      </c>
    </row>
    <row r="2078" spans="1:21" ht="0" hidden="1" customHeight="1" outlineLevel="3">
      <c r="A2078" s="192" t="s">
        <v>2079</v>
      </c>
      <c r="B2078" s="192"/>
      <c r="C2078" s="197" t="s">
        <v>1609</v>
      </c>
      <c r="D2078" s="198">
        <f>'02 项目基础信息（输入）'!$C$63</f>
        <v>0</v>
      </c>
      <c r="E2078" s="199" t="s">
        <v>93</v>
      </c>
      <c r="F2078" s="197" t="s">
        <v>754</v>
      </c>
      <c r="G2078" s="82">
        <v>0</v>
      </c>
      <c r="H2078" s="199" t="s">
        <v>298</v>
      </c>
      <c r="I2078" s="198">
        <f>G2078*D2078</f>
        <v>0</v>
      </c>
      <c r="J2078" s="199" t="s">
        <v>93</v>
      </c>
      <c r="K2078" s="188">
        <v>0</v>
      </c>
      <c r="L2078" s="209" t="s">
        <v>675</v>
      </c>
      <c r="M2078" s="207">
        <f>ROUND(K2078*I2078/10000,6)</f>
        <v>0</v>
      </c>
      <c r="N2078" s="198">
        <f>'02 项目基础信息（输入）'!$C$63</f>
        <v>0</v>
      </c>
      <c r="O2078" s="198">
        <f t="shared" si="238"/>
        <v>0</v>
      </c>
      <c r="P2078" s="198">
        <f>'02 项目基础信息（输入）'!$I$63</f>
        <v>0</v>
      </c>
      <c r="Q2078" s="233">
        <f t="shared" si="239"/>
        <v>0</v>
      </c>
      <c r="S2078" s="217"/>
      <c r="U2078" s="220" t="s">
        <v>3867</v>
      </c>
    </row>
    <row r="2079" spans="1:21" ht="0" hidden="1" customHeight="1" outlineLevel="3">
      <c r="A2079" s="192" t="s">
        <v>2081</v>
      </c>
      <c r="B2079" s="192"/>
      <c r="C2079" s="197" t="s">
        <v>1609</v>
      </c>
      <c r="D2079" s="198">
        <f>'02 项目基础信息（输入）'!$C$63</f>
        <v>0</v>
      </c>
      <c r="E2079" s="199" t="s">
        <v>93</v>
      </c>
      <c r="F2079" s="197" t="s">
        <v>754</v>
      </c>
      <c r="G2079" s="82">
        <v>0</v>
      </c>
      <c r="H2079" s="199" t="s">
        <v>298</v>
      </c>
      <c r="I2079" s="198">
        <f>G2079*D2079</f>
        <v>0</v>
      </c>
      <c r="J2079" s="199" t="s">
        <v>93</v>
      </c>
      <c r="K2079" s="188">
        <v>0</v>
      </c>
      <c r="L2079" s="209" t="s">
        <v>675</v>
      </c>
      <c r="M2079" s="207">
        <f>ROUND(K2079*I2079/10000,6)</f>
        <v>0</v>
      </c>
      <c r="N2079" s="198">
        <f>'02 项目基础信息（输入）'!$C$63</f>
        <v>0</v>
      </c>
      <c r="O2079" s="198">
        <f t="shared" si="238"/>
        <v>0</v>
      </c>
      <c r="P2079" s="198">
        <f>'02 项目基础信息（输入）'!$I$63</f>
        <v>0</v>
      </c>
      <c r="Q2079" s="233">
        <f t="shared" si="239"/>
        <v>0</v>
      </c>
      <c r="S2079" s="217"/>
      <c r="U2079" s="220" t="s">
        <v>3868</v>
      </c>
    </row>
    <row r="2080" spans="1:21" ht="0" hidden="1" customHeight="1" outlineLevel="3">
      <c r="A2080" s="192" t="s">
        <v>2083</v>
      </c>
      <c r="B2080" s="192"/>
      <c r="C2080" s="197" t="s">
        <v>1609</v>
      </c>
      <c r="D2080" s="198">
        <f>'02 项目基础信息（输入）'!$C$63</f>
        <v>0</v>
      </c>
      <c r="E2080" s="199" t="s">
        <v>93</v>
      </c>
      <c r="F2080" s="197" t="s">
        <v>2084</v>
      </c>
      <c r="G2080" s="82">
        <v>0</v>
      </c>
      <c r="H2080" s="199" t="s">
        <v>298</v>
      </c>
      <c r="I2080" s="198">
        <f>G2080*D2080</f>
        <v>0</v>
      </c>
      <c r="J2080" s="199" t="s">
        <v>93</v>
      </c>
      <c r="K2080" s="188">
        <v>0</v>
      </c>
      <c r="L2080" s="209" t="s">
        <v>675</v>
      </c>
      <c r="M2080" s="207">
        <f>ROUND(K2080*I2080/10000,6)</f>
        <v>0</v>
      </c>
      <c r="N2080" s="198">
        <f>'02 项目基础信息（输入）'!$C$63</f>
        <v>0</v>
      </c>
      <c r="O2080" s="198">
        <f t="shared" si="238"/>
        <v>0</v>
      </c>
      <c r="P2080" s="198">
        <f>'02 项目基础信息（输入）'!$I$63</f>
        <v>0</v>
      </c>
      <c r="Q2080" s="233">
        <f t="shared" si="239"/>
        <v>0</v>
      </c>
      <c r="S2080" s="217"/>
      <c r="U2080" s="220" t="s">
        <v>3869</v>
      </c>
    </row>
    <row r="2081" spans="1:21" ht="0" hidden="1" customHeight="1" outlineLevel="3">
      <c r="A2081" s="192" t="s">
        <v>1788</v>
      </c>
      <c r="B2081" s="192"/>
      <c r="C2081" s="197" t="s">
        <v>1609</v>
      </c>
      <c r="D2081" s="198">
        <f>'02 项目基础信息（输入）'!$C$63</f>
        <v>0</v>
      </c>
      <c r="E2081" s="199" t="s">
        <v>93</v>
      </c>
      <c r="F2081" s="197" t="s">
        <v>1609</v>
      </c>
      <c r="G2081" s="199">
        <v>1</v>
      </c>
      <c r="H2081" s="199" t="s">
        <v>298</v>
      </c>
      <c r="I2081" s="198">
        <f>G2081*D2081</f>
        <v>0</v>
      </c>
      <c r="J2081" s="199" t="s">
        <v>93</v>
      </c>
      <c r="K2081" s="188">
        <v>0</v>
      </c>
      <c r="L2081" s="209" t="s">
        <v>675</v>
      </c>
      <c r="M2081" s="207">
        <f>ROUND(K2081*I2081/10000,6)</f>
        <v>0</v>
      </c>
      <c r="N2081" s="198">
        <f>'02 项目基础信息（输入）'!$C$63</f>
        <v>0</v>
      </c>
      <c r="O2081" s="198">
        <f t="shared" si="238"/>
        <v>0</v>
      </c>
      <c r="P2081" s="198">
        <f>'02 项目基础信息（输入）'!$I$63</f>
        <v>0</v>
      </c>
      <c r="Q2081" s="233">
        <f t="shared" si="239"/>
        <v>0</v>
      </c>
      <c r="S2081" s="217"/>
      <c r="U2081" s="220" t="s">
        <v>3870</v>
      </c>
    </row>
    <row r="2082" spans="1:21" ht="0" hidden="1" customHeight="1" outlineLevel="2">
      <c r="A2082" s="192" t="s">
        <v>1790</v>
      </c>
      <c r="B2082" s="192"/>
      <c r="C2082" s="197" t="s">
        <v>1609</v>
      </c>
      <c r="D2082" s="198">
        <f>'02 项目基础信息（输入）'!$C$63</f>
        <v>0</v>
      </c>
      <c r="E2082" s="199" t="s">
        <v>93</v>
      </c>
      <c r="F2082" s="197"/>
      <c r="G2082" s="199"/>
      <c r="H2082" s="199"/>
      <c r="I2082" s="197"/>
      <c r="J2082" s="199"/>
      <c r="K2082" s="198"/>
      <c r="L2082" s="209"/>
      <c r="M2082" s="198">
        <f>ROUND(SUM(M2083:M2086),6)</f>
        <v>0</v>
      </c>
      <c r="N2082" s="198">
        <f>'02 项目基础信息（输入）'!$C$63</f>
        <v>0</v>
      </c>
      <c r="O2082" s="198">
        <f t="shared" si="238"/>
        <v>0</v>
      </c>
      <c r="P2082" s="198">
        <f>'02 项目基础信息（输入）'!$I$63</f>
        <v>0</v>
      </c>
      <c r="Q2082" s="233">
        <f t="shared" si="239"/>
        <v>0</v>
      </c>
      <c r="S2082" s="217" t="s">
        <v>1313</v>
      </c>
      <c r="U2082" s="220" t="s">
        <v>3871</v>
      </c>
    </row>
    <row r="2083" spans="1:21" ht="0" hidden="1" customHeight="1" outlineLevel="3">
      <c r="A2083" s="192" t="s">
        <v>1792</v>
      </c>
      <c r="B2083" s="192"/>
      <c r="C2083" s="197" t="s">
        <v>1609</v>
      </c>
      <c r="D2083" s="198">
        <f>'02 项目基础信息（输入）'!$C$63</f>
        <v>0</v>
      </c>
      <c r="E2083" s="199" t="s">
        <v>93</v>
      </c>
      <c r="F2083" s="197" t="s">
        <v>727</v>
      </c>
      <c r="G2083" s="82">
        <v>0</v>
      </c>
      <c r="H2083" s="199" t="s">
        <v>298</v>
      </c>
      <c r="I2083" s="198">
        <f>G2083*D2083</f>
        <v>0</v>
      </c>
      <c r="J2083" s="199" t="s">
        <v>93</v>
      </c>
      <c r="K2083" s="188">
        <v>0</v>
      </c>
      <c r="L2083" s="209" t="s">
        <v>675</v>
      </c>
      <c r="M2083" s="207">
        <f>ROUND(K2083*I2083/10000,6)</f>
        <v>0</v>
      </c>
      <c r="N2083" s="198">
        <f>'02 项目基础信息（输入）'!$C$63</f>
        <v>0</v>
      </c>
      <c r="O2083" s="198">
        <f t="shared" si="238"/>
        <v>0</v>
      </c>
      <c r="P2083" s="198">
        <f>'02 项目基础信息（输入）'!$I$63</f>
        <v>0</v>
      </c>
      <c r="Q2083" s="233">
        <f t="shared" si="239"/>
        <v>0</v>
      </c>
      <c r="S2083" s="217"/>
      <c r="U2083" s="220" t="s">
        <v>3872</v>
      </c>
    </row>
    <row r="2084" spans="1:21" ht="0" hidden="1" customHeight="1" outlineLevel="3">
      <c r="A2084" s="192" t="s">
        <v>1794</v>
      </c>
      <c r="B2084" s="192"/>
      <c r="C2084" s="197" t="s">
        <v>1609</v>
      </c>
      <c r="D2084" s="198">
        <f>'02 项目基础信息（输入）'!$C$63</f>
        <v>0</v>
      </c>
      <c r="E2084" s="199" t="s">
        <v>93</v>
      </c>
      <c r="F2084" s="197" t="s">
        <v>727</v>
      </c>
      <c r="G2084" s="82">
        <v>0</v>
      </c>
      <c r="H2084" s="199" t="s">
        <v>298</v>
      </c>
      <c r="I2084" s="198">
        <f>G2084*D2084</f>
        <v>0</v>
      </c>
      <c r="J2084" s="199" t="s">
        <v>93</v>
      </c>
      <c r="K2084" s="188">
        <v>0</v>
      </c>
      <c r="L2084" s="209" t="s">
        <v>675</v>
      </c>
      <c r="M2084" s="207">
        <f>ROUND(K2084*I2084/10000,6)</f>
        <v>0</v>
      </c>
      <c r="N2084" s="198">
        <f>'02 项目基础信息（输入）'!$C$63</f>
        <v>0</v>
      </c>
      <c r="O2084" s="198">
        <f t="shared" si="238"/>
        <v>0</v>
      </c>
      <c r="P2084" s="198">
        <f>'02 项目基础信息（输入）'!$I$63</f>
        <v>0</v>
      </c>
      <c r="Q2084" s="233">
        <f t="shared" si="239"/>
        <v>0</v>
      </c>
      <c r="S2084" s="217"/>
      <c r="U2084" s="220" t="s">
        <v>3873</v>
      </c>
    </row>
    <row r="2085" spans="1:21" ht="0" hidden="1" customHeight="1" outlineLevel="3">
      <c r="A2085" s="192" t="s">
        <v>1796</v>
      </c>
      <c r="B2085" s="192"/>
      <c r="C2085" s="197" t="s">
        <v>1609</v>
      </c>
      <c r="D2085" s="198">
        <f>'02 项目基础信息（输入）'!$C$63</f>
        <v>0</v>
      </c>
      <c r="E2085" s="199" t="s">
        <v>93</v>
      </c>
      <c r="F2085" s="197" t="s">
        <v>727</v>
      </c>
      <c r="G2085" s="82">
        <v>0</v>
      </c>
      <c r="H2085" s="199" t="s">
        <v>298</v>
      </c>
      <c r="I2085" s="198">
        <f>G2085*D2085</f>
        <v>0</v>
      </c>
      <c r="J2085" s="199" t="s">
        <v>93</v>
      </c>
      <c r="K2085" s="188">
        <v>0</v>
      </c>
      <c r="L2085" s="209" t="s">
        <v>675</v>
      </c>
      <c r="M2085" s="207">
        <f>ROUND(K2085*I2085/10000,6)</f>
        <v>0</v>
      </c>
      <c r="N2085" s="198">
        <f>'02 项目基础信息（输入）'!$C$63</f>
        <v>0</v>
      </c>
      <c r="O2085" s="198">
        <f t="shared" si="238"/>
        <v>0</v>
      </c>
      <c r="P2085" s="198">
        <f>'02 项目基础信息（输入）'!$I$63</f>
        <v>0</v>
      </c>
      <c r="Q2085" s="233">
        <f t="shared" si="239"/>
        <v>0</v>
      </c>
      <c r="S2085" s="217"/>
      <c r="U2085" s="220" t="s">
        <v>3874</v>
      </c>
    </row>
    <row r="2086" spans="1:21" ht="0" hidden="1" customHeight="1" outlineLevel="3">
      <c r="A2086" s="192" t="s">
        <v>1798</v>
      </c>
      <c r="B2086" s="192"/>
      <c r="C2086" s="197" t="s">
        <v>1609</v>
      </c>
      <c r="D2086" s="198">
        <f>'02 项目基础信息（输入）'!$C$63</f>
        <v>0</v>
      </c>
      <c r="E2086" s="199" t="s">
        <v>93</v>
      </c>
      <c r="F2086" s="197" t="s">
        <v>727</v>
      </c>
      <c r="G2086" s="82">
        <v>0</v>
      </c>
      <c r="H2086" s="199" t="s">
        <v>298</v>
      </c>
      <c r="I2086" s="198">
        <f>G2086*D2086</f>
        <v>0</v>
      </c>
      <c r="J2086" s="199" t="s">
        <v>93</v>
      </c>
      <c r="K2086" s="188">
        <v>0</v>
      </c>
      <c r="L2086" s="209" t="s">
        <v>675</v>
      </c>
      <c r="M2086" s="207">
        <f>ROUND(K2086*I2086/10000,6)</f>
        <v>0</v>
      </c>
      <c r="N2086" s="198">
        <f>'02 项目基础信息（输入）'!$C$63</f>
        <v>0</v>
      </c>
      <c r="O2086" s="198">
        <f t="shared" si="238"/>
        <v>0</v>
      </c>
      <c r="P2086" s="198">
        <f>'02 项目基础信息（输入）'!$I$63</f>
        <v>0</v>
      </c>
      <c r="Q2086" s="233">
        <f t="shared" si="239"/>
        <v>0</v>
      </c>
      <c r="S2086" s="217"/>
      <c r="U2086" s="220" t="s">
        <v>3875</v>
      </c>
    </row>
    <row r="2087" spans="1:21" ht="0" hidden="1" customHeight="1" outlineLevel="2">
      <c r="A2087" s="192" t="s">
        <v>1800</v>
      </c>
      <c r="B2087" s="192"/>
      <c r="C2087" s="197" t="s">
        <v>1609</v>
      </c>
      <c r="D2087" s="198">
        <f>'02 项目基础信息（输入）'!$C$63</f>
        <v>0</v>
      </c>
      <c r="E2087" s="199" t="s">
        <v>93</v>
      </c>
      <c r="F2087" s="197"/>
      <c r="G2087" s="199"/>
      <c r="H2087" s="199"/>
      <c r="I2087" s="197"/>
      <c r="J2087" s="199"/>
      <c r="K2087" s="198"/>
      <c r="L2087" s="209"/>
      <c r="M2087" s="198">
        <f>ROUND(SUM(M2088:M2103),6)</f>
        <v>0</v>
      </c>
      <c r="N2087" s="198">
        <f>'02 项目基础信息（输入）'!$C$63</f>
        <v>0</v>
      </c>
      <c r="O2087" s="198">
        <f t="shared" si="238"/>
        <v>0</v>
      </c>
      <c r="P2087" s="198">
        <f>'02 项目基础信息（输入）'!$I$63</f>
        <v>0</v>
      </c>
      <c r="Q2087" s="233">
        <f t="shared" si="239"/>
        <v>0</v>
      </c>
      <c r="S2087" s="217" t="s">
        <v>1314</v>
      </c>
      <c r="U2087" s="220" t="s">
        <v>3876</v>
      </c>
    </row>
    <row r="2088" spans="1:21" ht="0" hidden="1" customHeight="1" outlineLevel="3">
      <c r="A2088" s="192" t="s">
        <v>1802</v>
      </c>
      <c r="B2088" s="192"/>
      <c r="C2088" s="197" t="s">
        <v>476</v>
      </c>
      <c r="D2088" s="198">
        <f>'02 项目基础信息（输入）'!$AF$63</f>
        <v>0</v>
      </c>
      <c r="E2088" s="199" t="s">
        <v>93</v>
      </c>
      <c r="F2088" s="197" t="s">
        <v>1803</v>
      </c>
      <c r="G2088" s="237">
        <v>0</v>
      </c>
      <c r="H2088" s="199" t="s">
        <v>123</v>
      </c>
      <c r="I2088" s="198">
        <f t="shared" ref="I2088:I2101" si="242">G2088*D2088/100</f>
        <v>0</v>
      </c>
      <c r="J2088" s="199" t="s">
        <v>93</v>
      </c>
      <c r="K2088" s="188">
        <v>0</v>
      </c>
      <c r="L2088" s="209" t="s">
        <v>675</v>
      </c>
      <c r="M2088" s="207">
        <f t="shared" ref="M2088:M2103" si="243">ROUND(K2088*I2088/10000,6)</f>
        <v>0</v>
      </c>
      <c r="N2088" s="198">
        <f>'02 项目基础信息（输入）'!$C$63</f>
        <v>0</v>
      </c>
      <c r="O2088" s="198">
        <f t="shared" si="238"/>
        <v>0</v>
      </c>
      <c r="P2088" s="198">
        <f>'02 项目基础信息（输入）'!$I$63</f>
        <v>0</v>
      </c>
      <c r="Q2088" s="233">
        <f t="shared" si="239"/>
        <v>0</v>
      </c>
      <c r="S2088" s="217"/>
      <c r="U2088" s="220" t="s">
        <v>3877</v>
      </c>
    </row>
    <row r="2089" spans="1:21" ht="0" hidden="1" customHeight="1" outlineLevel="3">
      <c r="A2089" s="192" t="s">
        <v>1805</v>
      </c>
      <c r="B2089" s="192"/>
      <c r="C2089" s="197" t="s">
        <v>476</v>
      </c>
      <c r="D2089" s="198">
        <f>'02 项目基础信息（输入）'!$AF$63</f>
        <v>0</v>
      </c>
      <c r="E2089" s="199" t="s">
        <v>93</v>
      </c>
      <c r="F2089" s="197" t="s">
        <v>1803</v>
      </c>
      <c r="G2089" s="237">
        <v>0</v>
      </c>
      <c r="H2089" s="199" t="s">
        <v>123</v>
      </c>
      <c r="I2089" s="198">
        <f t="shared" si="242"/>
        <v>0</v>
      </c>
      <c r="J2089" s="199" t="s">
        <v>93</v>
      </c>
      <c r="K2089" s="188">
        <v>0</v>
      </c>
      <c r="L2089" s="209" t="s">
        <v>675</v>
      </c>
      <c r="M2089" s="207">
        <f t="shared" si="243"/>
        <v>0</v>
      </c>
      <c r="N2089" s="198">
        <f>'02 项目基础信息（输入）'!$C$63</f>
        <v>0</v>
      </c>
      <c r="O2089" s="198">
        <f t="shared" si="238"/>
        <v>0</v>
      </c>
      <c r="P2089" s="198">
        <f>'02 项目基础信息（输入）'!$I$63</f>
        <v>0</v>
      </c>
      <c r="Q2089" s="233">
        <f t="shared" si="239"/>
        <v>0</v>
      </c>
      <c r="S2089" s="217"/>
      <c r="U2089" s="220" t="s">
        <v>3878</v>
      </c>
    </row>
    <row r="2090" spans="1:21" ht="0" hidden="1" customHeight="1" outlineLevel="3">
      <c r="A2090" s="192" t="s">
        <v>1807</v>
      </c>
      <c r="B2090" s="192"/>
      <c r="C2090" s="197" t="s">
        <v>476</v>
      </c>
      <c r="D2090" s="198">
        <f>'02 项目基础信息（输入）'!$AF$63</f>
        <v>0</v>
      </c>
      <c r="E2090" s="199" t="s">
        <v>93</v>
      </c>
      <c r="F2090" s="197" t="s">
        <v>1803</v>
      </c>
      <c r="G2090" s="237">
        <v>0</v>
      </c>
      <c r="H2090" s="199" t="s">
        <v>123</v>
      </c>
      <c r="I2090" s="198">
        <f t="shared" si="242"/>
        <v>0</v>
      </c>
      <c r="J2090" s="199" t="s">
        <v>93</v>
      </c>
      <c r="K2090" s="188">
        <v>0</v>
      </c>
      <c r="L2090" s="209" t="s">
        <v>675</v>
      </c>
      <c r="M2090" s="207">
        <f t="shared" si="243"/>
        <v>0</v>
      </c>
      <c r="N2090" s="198">
        <f>'02 项目基础信息（输入）'!$C$63</f>
        <v>0</v>
      </c>
      <c r="O2090" s="198">
        <f t="shared" si="238"/>
        <v>0</v>
      </c>
      <c r="P2090" s="198">
        <f>'02 项目基础信息（输入）'!$I$63</f>
        <v>0</v>
      </c>
      <c r="Q2090" s="233">
        <f t="shared" si="239"/>
        <v>0</v>
      </c>
      <c r="S2090" s="217"/>
      <c r="U2090" s="220" t="s">
        <v>3879</v>
      </c>
    </row>
    <row r="2091" spans="1:21" ht="0" hidden="1" customHeight="1" outlineLevel="3">
      <c r="A2091" s="192" t="s">
        <v>1809</v>
      </c>
      <c r="B2091" s="192"/>
      <c r="C2091" s="197" t="s">
        <v>476</v>
      </c>
      <c r="D2091" s="198">
        <f>'02 项目基础信息（输入）'!$AF$63</f>
        <v>0</v>
      </c>
      <c r="E2091" s="199" t="s">
        <v>93</v>
      </c>
      <c r="F2091" s="197" t="s">
        <v>1803</v>
      </c>
      <c r="G2091" s="237">
        <v>0</v>
      </c>
      <c r="H2091" s="199" t="s">
        <v>123</v>
      </c>
      <c r="I2091" s="198">
        <f t="shared" si="242"/>
        <v>0</v>
      </c>
      <c r="J2091" s="199" t="s">
        <v>93</v>
      </c>
      <c r="K2091" s="188">
        <v>0</v>
      </c>
      <c r="L2091" s="209" t="s">
        <v>675</v>
      </c>
      <c r="M2091" s="207">
        <f t="shared" si="243"/>
        <v>0</v>
      </c>
      <c r="N2091" s="198">
        <f>'02 项目基础信息（输入）'!$C$63</f>
        <v>0</v>
      </c>
      <c r="O2091" s="198">
        <f t="shared" si="238"/>
        <v>0</v>
      </c>
      <c r="P2091" s="198">
        <f>'02 项目基础信息（输入）'!$I$63</f>
        <v>0</v>
      </c>
      <c r="Q2091" s="233">
        <f t="shared" si="239"/>
        <v>0</v>
      </c>
      <c r="S2091" s="217"/>
      <c r="U2091" s="220" t="s">
        <v>3880</v>
      </c>
    </row>
    <row r="2092" spans="1:21" ht="0" hidden="1" customHeight="1" outlineLevel="3">
      <c r="A2092" s="192" t="s">
        <v>1811</v>
      </c>
      <c r="B2092" s="192"/>
      <c r="C2092" s="197" t="s">
        <v>476</v>
      </c>
      <c r="D2092" s="198">
        <f>'02 项目基础信息（输入）'!$AF$63</f>
        <v>0</v>
      </c>
      <c r="E2092" s="199" t="s">
        <v>93</v>
      </c>
      <c r="F2092" s="197" t="s">
        <v>1803</v>
      </c>
      <c r="G2092" s="237">
        <v>0</v>
      </c>
      <c r="H2092" s="199" t="s">
        <v>123</v>
      </c>
      <c r="I2092" s="198">
        <f t="shared" si="242"/>
        <v>0</v>
      </c>
      <c r="J2092" s="199" t="s">
        <v>93</v>
      </c>
      <c r="K2092" s="188">
        <v>0</v>
      </c>
      <c r="L2092" s="209" t="s">
        <v>675</v>
      </c>
      <c r="M2092" s="207">
        <f t="shared" si="243"/>
        <v>0</v>
      </c>
      <c r="N2092" s="198">
        <f>'02 项目基础信息（输入）'!$C$63</f>
        <v>0</v>
      </c>
      <c r="O2092" s="198">
        <f t="shared" si="238"/>
        <v>0</v>
      </c>
      <c r="P2092" s="198">
        <f>'02 项目基础信息（输入）'!$I$63</f>
        <v>0</v>
      </c>
      <c r="Q2092" s="233">
        <f t="shared" si="239"/>
        <v>0</v>
      </c>
      <c r="S2092" s="217"/>
      <c r="U2092" s="220" t="s">
        <v>3881</v>
      </c>
    </row>
    <row r="2093" spans="1:21" ht="0" hidden="1" customHeight="1" outlineLevel="3">
      <c r="A2093" s="192" t="s">
        <v>1813</v>
      </c>
      <c r="B2093" s="192"/>
      <c r="C2093" s="197" t="s">
        <v>476</v>
      </c>
      <c r="D2093" s="198">
        <f>'02 项目基础信息（输入）'!$AF$63</f>
        <v>0</v>
      </c>
      <c r="E2093" s="199" t="s">
        <v>93</v>
      </c>
      <c r="F2093" s="197" t="s">
        <v>1803</v>
      </c>
      <c r="G2093" s="237">
        <v>0</v>
      </c>
      <c r="H2093" s="199" t="s">
        <v>123</v>
      </c>
      <c r="I2093" s="198">
        <f t="shared" si="242"/>
        <v>0</v>
      </c>
      <c r="J2093" s="199" t="s">
        <v>93</v>
      </c>
      <c r="K2093" s="188">
        <v>0</v>
      </c>
      <c r="L2093" s="209" t="s">
        <v>675</v>
      </c>
      <c r="M2093" s="207">
        <f t="shared" si="243"/>
        <v>0</v>
      </c>
      <c r="N2093" s="198">
        <f>'02 项目基础信息（输入）'!$C$63</f>
        <v>0</v>
      </c>
      <c r="O2093" s="198">
        <f t="shared" si="238"/>
        <v>0</v>
      </c>
      <c r="P2093" s="198">
        <f>'02 项目基础信息（输入）'!$I$63</f>
        <v>0</v>
      </c>
      <c r="Q2093" s="233">
        <f t="shared" si="239"/>
        <v>0</v>
      </c>
      <c r="S2093" s="217"/>
      <c r="U2093" s="220" t="s">
        <v>3882</v>
      </c>
    </row>
    <row r="2094" spans="1:21" ht="0" hidden="1" customHeight="1" outlineLevel="3">
      <c r="A2094" s="192" t="s">
        <v>1815</v>
      </c>
      <c r="B2094" s="192"/>
      <c r="C2094" s="197" t="s">
        <v>476</v>
      </c>
      <c r="D2094" s="198">
        <f>'02 项目基础信息（输入）'!$AF$63</f>
        <v>0</v>
      </c>
      <c r="E2094" s="199" t="s">
        <v>93</v>
      </c>
      <c r="F2094" s="197" t="s">
        <v>1803</v>
      </c>
      <c r="G2094" s="237">
        <v>0</v>
      </c>
      <c r="H2094" s="199" t="s">
        <v>123</v>
      </c>
      <c r="I2094" s="198">
        <f t="shared" si="242"/>
        <v>0</v>
      </c>
      <c r="J2094" s="199" t="s">
        <v>93</v>
      </c>
      <c r="K2094" s="188">
        <v>0</v>
      </c>
      <c r="L2094" s="209" t="s">
        <v>675</v>
      </c>
      <c r="M2094" s="207">
        <f t="shared" si="243"/>
        <v>0</v>
      </c>
      <c r="N2094" s="198">
        <f>'02 项目基础信息（输入）'!$C$63</f>
        <v>0</v>
      </c>
      <c r="O2094" s="198">
        <f t="shared" si="238"/>
        <v>0</v>
      </c>
      <c r="P2094" s="198">
        <f>'02 项目基础信息（输入）'!$I$63</f>
        <v>0</v>
      </c>
      <c r="Q2094" s="233">
        <f t="shared" si="239"/>
        <v>0</v>
      </c>
      <c r="S2094" s="217"/>
      <c r="U2094" s="220" t="s">
        <v>3883</v>
      </c>
    </row>
    <row r="2095" spans="1:21" ht="0" hidden="1" customHeight="1" outlineLevel="3">
      <c r="A2095" s="192" t="s">
        <v>1817</v>
      </c>
      <c r="B2095" s="192"/>
      <c r="C2095" s="197" t="s">
        <v>476</v>
      </c>
      <c r="D2095" s="198">
        <f>'02 项目基础信息（输入）'!$AF$63</f>
        <v>0</v>
      </c>
      <c r="E2095" s="199" t="s">
        <v>93</v>
      </c>
      <c r="F2095" s="197" t="s">
        <v>1803</v>
      </c>
      <c r="G2095" s="237">
        <v>0</v>
      </c>
      <c r="H2095" s="199" t="s">
        <v>123</v>
      </c>
      <c r="I2095" s="198">
        <f t="shared" si="242"/>
        <v>0</v>
      </c>
      <c r="J2095" s="199" t="s">
        <v>93</v>
      </c>
      <c r="K2095" s="188">
        <v>0</v>
      </c>
      <c r="L2095" s="209" t="s">
        <v>675</v>
      </c>
      <c r="M2095" s="207">
        <f t="shared" si="243"/>
        <v>0</v>
      </c>
      <c r="N2095" s="198">
        <f>'02 项目基础信息（输入）'!$C$63</f>
        <v>0</v>
      </c>
      <c r="O2095" s="198">
        <f t="shared" si="238"/>
        <v>0</v>
      </c>
      <c r="P2095" s="198">
        <f>'02 项目基础信息（输入）'!$I$63</f>
        <v>0</v>
      </c>
      <c r="Q2095" s="233">
        <f t="shared" si="239"/>
        <v>0</v>
      </c>
      <c r="S2095" s="217"/>
      <c r="U2095" s="220" t="s">
        <v>3884</v>
      </c>
    </row>
    <row r="2096" spans="1:21" ht="0" hidden="1" customHeight="1" outlineLevel="3">
      <c r="A2096" s="192" t="s">
        <v>1819</v>
      </c>
      <c r="B2096" s="192"/>
      <c r="C2096" s="197" t="s">
        <v>476</v>
      </c>
      <c r="D2096" s="198">
        <f>'02 项目基础信息（输入）'!$AF$63</f>
        <v>0</v>
      </c>
      <c r="E2096" s="199" t="s">
        <v>93</v>
      </c>
      <c r="F2096" s="197" t="s">
        <v>1803</v>
      </c>
      <c r="G2096" s="237">
        <v>0</v>
      </c>
      <c r="H2096" s="199" t="s">
        <v>123</v>
      </c>
      <c r="I2096" s="198">
        <f t="shared" si="242"/>
        <v>0</v>
      </c>
      <c r="J2096" s="199" t="s">
        <v>93</v>
      </c>
      <c r="K2096" s="188">
        <v>0</v>
      </c>
      <c r="L2096" s="209" t="s">
        <v>675</v>
      </c>
      <c r="M2096" s="207">
        <f t="shared" si="243"/>
        <v>0</v>
      </c>
      <c r="N2096" s="198">
        <f>'02 项目基础信息（输入）'!$C$63</f>
        <v>0</v>
      </c>
      <c r="O2096" s="198">
        <f t="shared" si="238"/>
        <v>0</v>
      </c>
      <c r="P2096" s="198">
        <f>'02 项目基础信息（输入）'!$I$63</f>
        <v>0</v>
      </c>
      <c r="Q2096" s="233">
        <f t="shared" si="239"/>
        <v>0</v>
      </c>
      <c r="S2096" s="217"/>
      <c r="U2096" s="220" t="s">
        <v>3885</v>
      </c>
    </row>
    <row r="2097" spans="1:21" ht="0" hidden="1" customHeight="1" outlineLevel="3">
      <c r="A2097" s="192" t="s">
        <v>1821</v>
      </c>
      <c r="B2097" s="192"/>
      <c r="C2097" s="197" t="s">
        <v>476</v>
      </c>
      <c r="D2097" s="198">
        <f>'02 项目基础信息（输入）'!$AF$63</f>
        <v>0</v>
      </c>
      <c r="E2097" s="199" t="s">
        <v>93</v>
      </c>
      <c r="F2097" s="197" t="s">
        <v>1803</v>
      </c>
      <c r="G2097" s="237">
        <v>0</v>
      </c>
      <c r="H2097" s="199" t="s">
        <v>123</v>
      </c>
      <c r="I2097" s="198">
        <f t="shared" si="242"/>
        <v>0</v>
      </c>
      <c r="J2097" s="199" t="s">
        <v>93</v>
      </c>
      <c r="K2097" s="188">
        <v>0</v>
      </c>
      <c r="L2097" s="209" t="s">
        <v>675</v>
      </c>
      <c r="M2097" s="207">
        <f t="shared" si="243"/>
        <v>0</v>
      </c>
      <c r="N2097" s="198">
        <f>'02 项目基础信息（输入）'!$C$63</f>
        <v>0</v>
      </c>
      <c r="O2097" s="198">
        <f t="shared" si="238"/>
        <v>0</v>
      </c>
      <c r="P2097" s="198">
        <f>'02 项目基础信息（输入）'!$I$63</f>
        <v>0</v>
      </c>
      <c r="Q2097" s="233">
        <f t="shared" si="239"/>
        <v>0</v>
      </c>
      <c r="S2097" s="217"/>
      <c r="U2097" s="220" t="s">
        <v>3886</v>
      </c>
    </row>
    <row r="2098" spans="1:21" ht="0" hidden="1" customHeight="1" outlineLevel="3">
      <c r="A2098" s="192" t="s">
        <v>1823</v>
      </c>
      <c r="B2098" s="192"/>
      <c r="C2098" s="197" t="s">
        <v>476</v>
      </c>
      <c r="D2098" s="198">
        <f>'02 项目基础信息（输入）'!$AF$63</f>
        <v>0</v>
      </c>
      <c r="E2098" s="199" t="s">
        <v>93</v>
      </c>
      <c r="F2098" s="197" t="s">
        <v>1803</v>
      </c>
      <c r="G2098" s="237">
        <v>0</v>
      </c>
      <c r="H2098" s="199" t="s">
        <v>123</v>
      </c>
      <c r="I2098" s="198">
        <f t="shared" si="242"/>
        <v>0</v>
      </c>
      <c r="J2098" s="199" t="s">
        <v>93</v>
      </c>
      <c r="K2098" s="188">
        <v>0</v>
      </c>
      <c r="L2098" s="209" t="s">
        <v>675</v>
      </c>
      <c r="M2098" s="207">
        <f t="shared" si="243"/>
        <v>0</v>
      </c>
      <c r="N2098" s="198">
        <f>'02 项目基础信息（输入）'!$C$63</f>
        <v>0</v>
      </c>
      <c r="O2098" s="198">
        <f t="shared" si="238"/>
        <v>0</v>
      </c>
      <c r="P2098" s="198">
        <f>'02 项目基础信息（输入）'!$I$63</f>
        <v>0</v>
      </c>
      <c r="Q2098" s="233">
        <f t="shared" si="239"/>
        <v>0</v>
      </c>
      <c r="S2098" s="217"/>
      <c r="U2098" s="220" t="s">
        <v>3887</v>
      </c>
    </row>
    <row r="2099" spans="1:21" ht="0" hidden="1" customHeight="1" outlineLevel="3">
      <c r="A2099" s="192" t="s">
        <v>1825</v>
      </c>
      <c r="B2099" s="192"/>
      <c r="C2099" s="197" t="s">
        <v>476</v>
      </c>
      <c r="D2099" s="198">
        <f>'02 项目基础信息（输入）'!$AF$63</f>
        <v>0</v>
      </c>
      <c r="E2099" s="199" t="s">
        <v>93</v>
      </c>
      <c r="F2099" s="197" t="s">
        <v>1803</v>
      </c>
      <c r="G2099" s="237">
        <v>0</v>
      </c>
      <c r="H2099" s="199" t="s">
        <v>123</v>
      </c>
      <c r="I2099" s="198">
        <f t="shared" si="242"/>
        <v>0</v>
      </c>
      <c r="J2099" s="199" t="s">
        <v>93</v>
      </c>
      <c r="K2099" s="188">
        <v>0</v>
      </c>
      <c r="L2099" s="209" t="s">
        <v>675</v>
      </c>
      <c r="M2099" s="207">
        <f t="shared" si="243"/>
        <v>0</v>
      </c>
      <c r="N2099" s="198">
        <f>'02 项目基础信息（输入）'!$C$63</f>
        <v>0</v>
      </c>
      <c r="O2099" s="198">
        <f t="shared" si="238"/>
        <v>0</v>
      </c>
      <c r="P2099" s="198">
        <f>'02 项目基础信息（输入）'!$I$63</f>
        <v>0</v>
      </c>
      <c r="Q2099" s="233">
        <f t="shared" si="239"/>
        <v>0</v>
      </c>
      <c r="S2099" s="217"/>
      <c r="U2099" s="220" t="s">
        <v>3888</v>
      </c>
    </row>
    <row r="2100" spans="1:21" ht="0" hidden="1" customHeight="1" outlineLevel="3">
      <c r="A2100" s="192" t="s">
        <v>1827</v>
      </c>
      <c r="B2100" s="192"/>
      <c r="C2100" s="197" t="s">
        <v>476</v>
      </c>
      <c r="D2100" s="198">
        <f>'02 项目基础信息（输入）'!$AF$63</f>
        <v>0</v>
      </c>
      <c r="E2100" s="199" t="s">
        <v>93</v>
      </c>
      <c r="F2100" s="197" t="s">
        <v>1803</v>
      </c>
      <c r="G2100" s="237">
        <v>0</v>
      </c>
      <c r="H2100" s="199" t="s">
        <v>123</v>
      </c>
      <c r="I2100" s="198">
        <f t="shared" si="242"/>
        <v>0</v>
      </c>
      <c r="J2100" s="199" t="s">
        <v>93</v>
      </c>
      <c r="K2100" s="188">
        <v>0</v>
      </c>
      <c r="L2100" s="209" t="s">
        <v>675</v>
      </c>
      <c r="M2100" s="207">
        <f t="shared" si="243"/>
        <v>0</v>
      </c>
      <c r="N2100" s="198">
        <f>'02 项目基础信息（输入）'!$C$63</f>
        <v>0</v>
      </c>
      <c r="O2100" s="198">
        <f t="shared" si="238"/>
        <v>0</v>
      </c>
      <c r="P2100" s="198">
        <f>'02 项目基础信息（输入）'!$I$63</f>
        <v>0</v>
      </c>
      <c r="Q2100" s="233">
        <f t="shared" si="239"/>
        <v>0</v>
      </c>
      <c r="S2100" s="217"/>
      <c r="U2100" s="220" t="s">
        <v>3889</v>
      </c>
    </row>
    <row r="2101" spans="1:21" ht="0" hidden="1" customHeight="1" outlineLevel="3">
      <c r="A2101" s="192" t="s">
        <v>1829</v>
      </c>
      <c r="B2101" s="192"/>
      <c r="C2101" s="197" t="s">
        <v>476</v>
      </c>
      <c r="D2101" s="198">
        <f>'02 项目基础信息（输入）'!$AF$63</f>
        <v>0</v>
      </c>
      <c r="E2101" s="199" t="s">
        <v>93</v>
      </c>
      <c r="F2101" s="197" t="s">
        <v>1803</v>
      </c>
      <c r="G2101" s="237">
        <v>0</v>
      </c>
      <c r="H2101" s="199" t="s">
        <v>123</v>
      </c>
      <c r="I2101" s="198">
        <f t="shared" si="242"/>
        <v>0</v>
      </c>
      <c r="J2101" s="199" t="s">
        <v>93</v>
      </c>
      <c r="K2101" s="188">
        <v>0</v>
      </c>
      <c r="L2101" s="209" t="s">
        <v>675</v>
      </c>
      <c r="M2101" s="207">
        <f t="shared" si="243"/>
        <v>0</v>
      </c>
      <c r="N2101" s="198">
        <f>'02 项目基础信息（输入）'!$C$63</f>
        <v>0</v>
      </c>
      <c r="O2101" s="198">
        <f t="shared" si="238"/>
        <v>0</v>
      </c>
      <c r="P2101" s="198">
        <f>'02 项目基础信息（输入）'!$I$63</f>
        <v>0</v>
      </c>
      <c r="Q2101" s="233">
        <f t="shared" si="239"/>
        <v>0</v>
      </c>
      <c r="S2101" s="217"/>
      <c r="U2101" s="220" t="s">
        <v>3890</v>
      </c>
    </row>
    <row r="2102" spans="1:21" ht="0" hidden="1" customHeight="1" outlineLevel="3">
      <c r="A2102" s="192" t="s">
        <v>1831</v>
      </c>
      <c r="B2102" s="192"/>
      <c r="C2102" s="197" t="s">
        <v>1609</v>
      </c>
      <c r="D2102" s="198">
        <f>'02 项目基础信息（输入）'!$C$63</f>
        <v>0</v>
      </c>
      <c r="E2102" s="199" t="s">
        <v>93</v>
      </c>
      <c r="F2102" s="197" t="s">
        <v>1609</v>
      </c>
      <c r="G2102" s="199">
        <v>1</v>
      </c>
      <c r="H2102" s="199" t="s">
        <v>298</v>
      </c>
      <c r="I2102" s="198">
        <f>G2102*D2102</f>
        <v>0</v>
      </c>
      <c r="J2102" s="199" t="s">
        <v>93</v>
      </c>
      <c r="K2102" s="188">
        <v>0</v>
      </c>
      <c r="L2102" s="209" t="s">
        <v>675</v>
      </c>
      <c r="M2102" s="207">
        <f t="shared" si="243"/>
        <v>0</v>
      </c>
      <c r="N2102" s="198">
        <f>'02 项目基础信息（输入）'!$C$63</f>
        <v>0</v>
      </c>
      <c r="O2102" s="198">
        <f t="shared" si="238"/>
        <v>0</v>
      </c>
      <c r="P2102" s="198">
        <f>'02 项目基础信息（输入）'!$I$63</f>
        <v>0</v>
      </c>
      <c r="Q2102" s="233">
        <f t="shared" si="239"/>
        <v>0</v>
      </c>
      <c r="S2102" s="217"/>
      <c r="U2102" s="220" t="s">
        <v>3891</v>
      </c>
    </row>
    <row r="2103" spans="1:21" ht="0" hidden="1" customHeight="1" outlineLevel="3">
      <c r="A2103" s="192" t="s">
        <v>1833</v>
      </c>
      <c r="B2103" s="192"/>
      <c r="C2103" s="197" t="s">
        <v>1609</v>
      </c>
      <c r="D2103" s="198">
        <f>'02 项目基础信息（输入）'!$C$63</f>
        <v>0</v>
      </c>
      <c r="E2103" s="199" t="s">
        <v>93</v>
      </c>
      <c r="F2103" s="197" t="s">
        <v>1609</v>
      </c>
      <c r="G2103" s="199">
        <v>1</v>
      </c>
      <c r="H2103" s="199" t="s">
        <v>298</v>
      </c>
      <c r="I2103" s="198">
        <f>G2103*D2103</f>
        <v>0</v>
      </c>
      <c r="J2103" s="199" t="s">
        <v>93</v>
      </c>
      <c r="K2103" s="188">
        <v>0</v>
      </c>
      <c r="L2103" s="209" t="s">
        <v>675</v>
      </c>
      <c r="M2103" s="207">
        <f t="shared" si="243"/>
        <v>0</v>
      </c>
      <c r="N2103" s="198">
        <f>'02 项目基础信息（输入）'!$C$63</f>
        <v>0</v>
      </c>
      <c r="O2103" s="198">
        <f t="shared" si="238"/>
        <v>0</v>
      </c>
      <c r="P2103" s="198">
        <f>'02 项目基础信息（输入）'!$I$63</f>
        <v>0</v>
      </c>
      <c r="Q2103" s="233">
        <f t="shared" si="239"/>
        <v>0</v>
      </c>
      <c r="S2103" s="217"/>
      <c r="U2103" s="220" t="s">
        <v>3892</v>
      </c>
    </row>
    <row r="2104" spans="1:21" ht="0" hidden="1" customHeight="1" outlineLevel="2">
      <c r="A2104" s="192" t="s">
        <v>1835</v>
      </c>
      <c r="B2104" s="192"/>
      <c r="C2104" s="197" t="s">
        <v>1609</v>
      </c>
      <c r="D2104" s="198">
        <f>'02 项目基础信息（输入）'!$C$63</f>
        <v>0</v>
      </c>
      <c r="E2104" s="199" t="s">
        <v>93</v>
      </c>
      <c r="F2104" s="197"/>
      <c r="G2104" s="199"/>
      <c r="H2104" s="199"/>
      <c r="I2104" s="197"/>
      <c r="J2104" s="199"/>
      <c r="K2104" s="198"/>
      <c r="L2104" s="209"/>
      <c r="M2104" s="198">
        <f>ROUND(SUM(M2105:M2108),6)</f>
        <v>0</v>
      </c>
      <c r="N2104" s="198">
        <f>'02 项目基础信息（输入）'!$C$63</f>
        <v>0</v>
      </c>
      <c r="O2104" s="198">
        <f t="shared" si="238"/>
        <v>0</v>
      </c>
      <c r="P2104" s="198">
        <f>'02 项目基础信息（输入）'!$I$63</f>
        <v>0</v>
      </c>
      <c r="Q2104" s="233">
        <f t="shared" si="239"/>
        <v>0</v>
      </c>
      <c r="S2104" s="217" t="s">
        <v>1314</v>
      </c>
      <c r="U2104" s="220" t="s">
        <v>3893</v>
      </c>
    </row>
    <row r="2105" spans="1:21" ht="0" hidden="1" customHeight="1" outlineLevel="3">
      <c r="A2105" s="192" t="s">
        <v>2110</v>
      </c>
      <c r="B2105" s="192"/>
      <c r="C2105" s="197" t="s">
        <v>309</v>
      </c>
      <c r="D2105" s="198">
        <f>'02 项目基础信息（输入）'!$AC$63</f>
        <v>0</v>
      </c>
      <c r="E2105" s="199" t="s">
        <v>310</v>
      </c>
      <c r="F2105" s="197" t="s">
        <v>1843</v>
      </c>
      <c r="G2105" s="82">
        <v>0</v>
      </c>
      <c r="H2105" s="199" t="s">
        <v>789</v>
      </c>
      <c r="I2105" s="198">
        <f>G2105*D2105</f>
        <v>0</v>
      </c>
      <c r="J2105" s="199" t="s">
        <v>131</v>
      </c>
      <c r="K2105" s="188">
        <v>0</v>
      </c>
      <c r="L2105" s="209" t="s">
        <v>792</v>
      </c>
      <c r="M2105" s="207">
        <f>ROUND(K2105*I2105/10000,6)</f>
        <v>0</v>
      </c>
      <c r="N2105" s="198">
        <f>'02 项目基础信息（输入）'!$C$63</f>
        <v>0</v>
      </c>
      <c r="O2105" s="198">
        <f t="shared" si="238"/>
        <v>0</v>
      </c>
      <c r="P2105" s="198">
        <f>'02 项目基础信息（输入）'!$I$63</f>
        <v>0</v>
      </c>
      <c r="Q2105" s="233">
        <f t="shared" si="239"/>
        <v>0</v>
      </c>
      <c r="S2105" s="217"/>
      <c r="U2105" s="220" t="s">
        <v>3894</v>
      </c>
    </row>
    <row r="2106" spans="1:21" ht="0" hidden="1" customHeight="1" outlineLevel="3">
      <c r="A2106" s="192" t="s">
        <v>2112</v>
      </c>
      <c r="B2106" s="192"/>
      <c r="C2106" s="197" t="s">
        <v>309</v>
      </c>
      <c r="D2106" s="198">
        <f>'02 项目基础信息（输入）'!$AC$63</f>
        <v>0</v>
      </c>
      <c r="E2106" s="199" t="s">
        <v>310</v>
      </c>
      <c r="F2106" s="197" t="s">
        <v>1843</v>
      </c>
      <c r="G2106" s="82">
        <v>0</v>
      </c>
      <c r="H2106" s="199" t="s">
        <v>789</v>
      </c>
      <c r="I2106" s="198">
        <f>G2106*D2106</f>
        <v>0</v>
      </c>
      <c r="J2106" s="199" t="s">
        <v>131</v>
      </c>
      <c r="K2106" s="188">
        <v>0</v>
      </c>
      <c r="L2106" s="209" t="s">
        <v>792</v>
      </c>
      <c r="M2106" s="207">
        <f>ROUND(K2106*I2106/10000,6)</f>
        <v>0</v>
      </c>
      <c r="N2106" s="198">
        <f>'02 项目基础信息（输入）'!$C$63</f>
        <v>0</v>
      </c>
      <c r="O2106" s="198">
        <f t="shared" si="238"/>
        <v>0</v>
      </c>
      <c r="P2106" s="198">
        <f>'02 项目基础信息（输入）'!$I$63</f>
        <v>0</v>
      </c>
      <c r="Q2106" s="233">
        <f t="shared" si="239"/>
        <v>0</v>
      </c>
      <c r="S2106" s="217"/>
      <c r="U2106" s="220" t="s">
        <v>3895</v>
      </c>
    </row>
    <row r="2107" spans="1:21" ht="0" hidden="1" customHeight="1" outlineLevel="3">
      <c r="A2107" s="192" t="s">
        <v>1837</v>
      </c>
      <c r="B2107" s="192"/>
      <c r="C2107" s="197" t="s">
        <v>472</v>
      </c>
      <c r="D2107" s="198">
        <f>'02 项目基础信息（输入）'!$AA$63</f>
        <v>0</v>
      </c>
      <c r="E2107" s="199" t="s">
        <v>1838</v>
      </c>
      <c r="F2107" s="197" t="s">
        <v>1839</v>
      </c>
      <c r="G2107" s="82">
        <v>0</v>
      </c>
      <c r="H2107" s="199" t="s">
        <v>1840</v>
      </c>
      <c r="I2107" s="198">
        <f>G2107*D2107</f>
        <v>0</v>
      </c>
      <c r="J2107" s="199" t="s">
        <v>131</v>
      </c>
      <c r="K2107" s="188">
        <v>0</v>
      </c>
      <c r="L2107" s="209" t="s">
        <v>792</v>
      </c>
      <c r="M2107" s="207">
        <f>ROUND(K2107*I2107/10000,6)</f>
        <v>0</v>
      </c>
      <c r="N2107" s="198">
        <f>'02 项目基础信息（输入）'!$C$63</f>
        <v>0</v>
      </c>
      <c r="O2107" s="198">
        <f t="shared" si="238"/>
        <v>0</v>
      </c>
      <c r="P2107" s="198">
        <f>'02 项目基础信息（输入）'!$I$63</f>
        <v>0</v>
      </c>
      <c r="Q2107" s="233">
        <f t="shared" si="239"/>
        <v>0</v>
      </c>
      <c r="S2107" s="217"/>
      <c r="U2107" s="220" t="s">
        <v>3896</v>
      </c>
    </row>
    <row r="2108" spans="1:21" ht="0" hidden="1" customHeight="1" outlineLevel="3">
      <c r="A2108" s="192" t="s">
        <v>1842</v>
      </c>
      <c r="B2108" s="192"/>
      <c r="C2108" s="197" t="s">
        <v>309</v>
      </c>
      <c r="D2108" s="198">
        <f>'02 项目基础信息（输入）'!$AC$63</f>
        <v>0</v>
      </c>
      <c r="E2108" s="199" t="s">
        <v>310</v>
      </c>
      <c r="F2108" s="197" t="s">
        <v>1843</v>
      </c>
      <c r="G2108" s="82">
        <v>0</v>
      </c>
      <c r="H2108" s="199" t="s">
        <v>789</v>
      </c>
      <c r="I2108" s="198">
        <f>G2108*D2108</f>
        <v>0</v>
      </c>
      <c r="J2108" s="199" t="s">
        <v>131</v>
      </c>
      <c r="K2108" s="188">
        <v>0</v>
      </c>
      <c r="L2108" s="209" t="s">
        <v>792</v>
      </c>
      <c r="M2108" s="207">
        <f>ROUND(K2108*I2108/10000,6)</f>
        <v>0</v>
      </c>
      <c r="N2108" s="198">
        <f>'02 项目基础信息（输入）'!$C$63</f>
        <v>0</v>
      </c>
      <c r="O2108" s="198">
        <f t="shared" si="238"/>
        <v>0</v>
      </c>
      <c r="P2108" s="198">
        <f>'02 项目基础信息（输入）'!$I$63</f>
        <v>0</v>
      </c>
      <c r="Q2108" s="233">
        <f t="shared" si="239"/>
        <v>0</v>
      </c>
      <c r="S2108" s="217"/>
      <c r="U2108" s="220" t="s">
        <v>3897</v>
      </c>
    </row>
    <row r="2109" spans="1:21" ht="0" hidden="1" customHeight="1" outlineLevel="2">
      <c r="A2109" s="192" t="s">
        <v>1845</v>
      </c>
      <c r="B2109" s="192"/>
      <c r="C2109" s="197" t="s">
        <v>1609</v>
      </c>
      <c r="D2109" s="198">
        <f>'02 项目基础信息（输入）'!$C$63</f>
        <v>0</v>
      </c>
      <c r="E2109" s="199" t="s">
        <v>93</v>
      </c>
      <c r="F2109" s="197"/>
      <c r="G2109" s="199"/>
      <c r="H2109" s="199"/>
      <c r="I2109" s="197"/>
      <c r="J2109" s="199"/>
      <c r="K2109" s="198"/>
      <c r="L2109" s="209"/>
      <c r="M2109" s="198">
        <f>ROUND(M2110+M2119+M2128+M2129+M2130,6)</f>
        <v>0</v>
      </c>
      <c r="N2109" s="198">
        <f>'02 项目基础信息（输入）'!$C$63</f>
        <v>0</v>
      </c>
      <c r="O2109" s="198">
        <f t="shared" si="238"/>
        <v>0</v>
      </c>
      <c r="P2109" s="198">
        <f>'02 项目基础信息（输入）'!$I$63</f>
        <v>0</v>
      </c>
      <c r="Q2109" s="233">
        <f t="shared" si="239"/>
        <v>0</v>
      </c>
      <c r="S2109" s="217" t="s">
        <v>1314</v>
      </c>
      <c r="U2109" s="220" t="s">
        <v>3898</v>
      </c>
    </row>
    <row r="2110" spans="1:21" ht="0" hidden="1" customHeight="1" outlineLevel="3">
      <c r="A2110" s="192" t="s">
        <v>2117</v>
      </c>
      <c r="B2110" s="192"/>
      <c r="C2110" s="197"/>
      <c r="D2110" s="197">
        <v>0</v>
      </c>
      <c r="E2110" s="199"/>
      <c r="F2110" s="197"/>
      <c r="G2110" s="199"/>
      <c r="H2110" s="199"/>
      <c r="I2110" s="197">
        <v>0</v>
      </c>
      <c r="J2110" s="199"/>
      <c r="K2110" s="198"/>
      <c r="L2110" s="209"/>
      <c r="M2110" s="198">
        <f>ROUND(SUM(M2111:M2118),6)</f>
        <v>0</v>
      </c>
      <c r="N2110" s="198">
        <f>'02 项目基础信息（输入）'!$C$63</f>
        <v>0</v>
      </c>
      <c r="O2110" s="198">
        <f t="shared" si="238"/>
        <v>0</v>
      </c>
      <c r="P2110" s="198">
        <f>'02 项目基础信息（输入）'!$I$63</f>
        <v>0</v>
      </c>
      <c r="Q2110" s="233">
        <f t="shared" si="239"/>
        <v>0</v>
      </c>
      <c r="S2110" s="217"/>
      <c r="U2110" s="220" t="s">
        <v>3899</v>
      </c>
    </row>
    <row r="2111" spans="1:21" ht="0" hidden="1" customHeight="1" outlineLevel="4">
      <c r="A2111" s="192" t="s">
        <v>1849</v>
      </c>
      <c r="B2111" s="192"/>
      <c r="C2111" s="197" t="s">
        <v>1850</v>
      </c>
      <c r="D2111" s="198">
        <f>'02 项目基础信息（输入）'!$N$63</f>
        <v>0</v>
      </c>
      <c r="E2111" s="199" t="s">
        <v>411</v>
      </c>
      <c r="F2111" s="197" t="s">
        <v>460</v>
      </c>
      <c r="G2111" s="235">
        <f>'02 项目基础信息（输入）'!$O$63</f>
        <v>0</v>
      </c>
      <c r="H2111" s="199" t="s">
        <v>400</v>
      </c>
      <c r="I2111" s="198">
        <f t="shared" ref="I2111:I2118" si="244">G2111*D2111</f>
        <v>0</v>
      </c>
      <c r="J2111" s="199" t="s">
        <v>93</v>
      </c>
      <c r="K2111" s="188">
        <v>0</v>
      </c>
      <c r="L2111" s="209" t="s">
        <v>675</v>
      </c>
      <c r="M2111" s="207">
        <f t="shared" ref="M2111:M2118" si="245">ROUND(K2111*I2111/10000,6)</f>
        <v>0</v>
      </c>
      <c r="N2111" s="198">
        <f>'02 项目基础信息（输入）'!$C$63</f>
        <v>0</v>
      </c>
      <c r="O2111" s="198">
        <f t="shared" si="238"/>
        <v>0</v>
      </c>
      <c r="P2111" s="198">
        <f>'02 项目基础信息（输入）'!$I$63</f>
        <v>0</v>
      </c>
      <c r="Q2111" s="233">
        <f t="shared" si="239"/>
        <v>0</v>
      </c>
      <c r="S2111" s="217"/>
      <c r="U2111" s="220" t="s">
        <v>3900</v>
      </c>
    </row>
    <row r="2112" spans="1:21" ht="0" hidden="1" customHeight="1" outlineLevel="4">
      <c r="A2112" s="192" t="s">
        <v>1852</v>
      </c>
      <c r="B2112" s="192"/>
      <c r="C2112" s="197" t="s">
        <v>1850</v>
      </c>
      <c r="D2112" s="198">
        <f>'02 项目基础信息（输入）'!$N$63</f>
        <v>0</v>
      </c>
      <c r="E2112" s="199" t="s">
        <v>411</v>
      </c>
      <c r="F2112" s="197" t="s">
        <v>460</v>
      </c>
      <c r="G2112" s="235">
        <f>'02 项目基础信息（输入）'!$O$63</f>
        <v>0</v>
      </c>
      <c r="H2112" s="199" t="s">
        <v>400</v>
      </c>
      <c r="I2112" s="198">
        <f t="shared" si="244"/>
        <v>0</v>
      </c>
      <c r="J2112" s="199" t="s">
        <v>93</v>
      </c>
      <c r="K2112" s="188">
        <v>0</v>
      </c>
      <c r="L2112" s="209" t="s">
        <v>675</v>
      </c>
      <c r="M2112" s="207">
        <f t="shared" si="245"/>
        <v>0</v>
      </c>
      <c r="N2112" s="198">
        <f>'02 项目基础信息（输入）'!$C$63</f>
        <v>0</v>
      </c>
      <c r="O2112" s="198">
        <f t="shared" si="238"/>
        <v>0</v>
      </c>
      <c r="P2112" s="198">
        <f>'02 项目基础信息（输入）'!$I$63</f>
        <v>0</v>
      </c>
      <c r="Q2112" s="233">
        <f t="shared" si="239"/>
        <v>0</v>
      </c>
      <c r="S2112" s="217"/>
      <c r="U2112" s="220" t="s">
        <v>3901</v>
      </c>
    </row>
    <row r="2113" spans="1:21" ht="0" hidden="1" customHeight="1" outlineLevel="4">
      <c r="A2113" s="192" t="s">
        <v>1854</v>
      </c>
      <c r="B2113" s="192"/>
      <c r="C2113" s="197" t="s">
        <v>1850</v>
      </c>
      <c r="D2113" s="198">
        <f>'02 项目基础信息（输入）'!$N$63</f>
        <v>0</v>
      </c>
      <c r="E2113" s="199" t="s">
        <v>411</v>
      </c>
      <c r="F2113" s="197" t="s">
        <v>460</v>
      </c>
      <c r="G2113" s="235">
        <f>'02 项目基础信息（输入）'!$O$63</f>
        <v>0</v>
      </c>
      <c r="H2113" s="199" t="s">
        <v>400</v>
      </c>
      <c r="I2113" s="198">
        <f t="shared" si="244"/>
        <v>0</v>
      </c>
      <c r="J2113" s="199" t="s">
        <v>93</v>
      </c>
      <c r="K2113" s="188">
        <v>0</v>
      </c>
      <c r="L2113" s="209" t="s">
        <v>675</v>
      </c>
      <c r="M2113" s="207">
        <f t="shared" si="245"/>
        <v>0</v>
      </c>
      <c r="N2113" s="198">
        <f>'02 项目基础信息（输入）'!$C$63</f>
        <v>0</v>
      </c>
      <c r="O2113" s="198">
        <f t="shared" si="238"/>
        <v>0</v>
      </c>
      <c r="P2113" s="198">
        <f>'02 项目基础信息（输入）'!$I$63</f>
        <v>0</v>
      </c>
      <c r="Q2113" s="233">
        <f t="shared" si="239"/>
        <v>0</v>
      </c>
      <c r="S2113" s="217"/>
      <c r="U2113" s="220" t="s">
        <v>3902</v>
      </c>
    </row>
    <row r="2114" spans="1:21" ht="0" hidden="1" customHeight="1" outlineLevel="4">
      <c r="A2114" s="192" t="s">
        <v>1856</v>
      </c>
      <c r="B2114" s="192"/>
      <c r="C2114" s="197" t="s">
        <v>1850</v>
      </c>
      <c r="D2114" s="198">
        <f>'02 项目基础信息（输入）'!$N$63</f>
        <v>0</v>
      </c>
      <c r="E2114" s="199" t="s">
        <v>411</v>
      </c>
      <c r="F2114" s="197" t="s">
        <v>460</v>
      </c>
      <c r="G2114" s="235">
        <f>'02 项目基础信息（输入）'!$O$63</f>
        <v>0</v>
      </c>
      <c r="H2114" s="199" t="s">
        <v>400</v>
      </c>
      <c r="I2114" s="198">
        <f t="shared" si="244"/>
        <v>0</v>
      </c>
      <c r="J2114" s="199" t="s">
        <v>93</v>
      </c>
      <c r="K2114" s="188">
        <v>0</v>
      </c>
      <c r="L2114" s="209" t="s">
        <v>675</v>
      </c>
      <c r="M2114" s="207">
        <f t="shared" si="245"/>
        <v>0</v>
      </c>
      <c r="N2114" s="198">
        <f>'02 项目基础信息（输入）'!$C$63</f>
        <v>0</v>
      </c>
      <c r="O2114" s="198">
        <f t="shared" si="238"/>
        <v>0</v>
      </c>
      <c r="P2114" s="198">
        <f>'02 项目基础信息（输入）'!$I$63</f>
        <v>0</v>
      </c>
      <c r="Q2114" s="233">
        <f t="shared" si="239"/>
        <v>0</v>
      </c>
      <c r="S2114" s="217"/>
      <c r="U2114" s="220" t="s">
        <v>3903</v>
      </c>
    </row>
    <row r="2115" spans="1:21" ht="0" hidden="1" customHeight="1" outlineLevel="4">
      <c r="A2115" s="192" t="s">
        <v>1858</v>
      </c>
      <c r="B2115" s="192"/>
      <c r="C2115" s="197" t="s">
        <v>1850</v>
      </c>
      <c r="D2115" s="198">
        <f>'02 项目基础信息（输入）'!$N$63</f>
        <v>0</v>
      </c>
      <c r="E2115" s="199" t="s">
        <v>411</v>
      </c>
      <c r="F2115" s="197" t="s">
        <v>460</v>
      </c>
      <c r="G2115" s="235">
        <f>'02 项目基础信息（输入）'!$O$63</f>
        <v>0</v>
      </c>
      <c r="H2115" s="199" t="s">
        <v>400</v>
      </c>
      <c r="I2115" s="198">
        <f t="shared" si="244"/>
        <v>0</v>
      </c>
      <c r="J2115" s="199" t="s">
        <v>93</v>
      </c>
      <c r="K2115" s="188">
        <v>0</v>
      </c>
      <c r="L2115" s="209" t="s">
        <v>675</v>
      </c>
      <c r="M2115" s="207">
        <f t="shared" si="245"/>
        <v>0</v>
      </c>
      <c r="N2115" s="198">
        <f>'02 项目基础信息（输入）'!$C$63</f>
        <v>0</v>
      </c>
      <c r="O2115" s="198">
        <f t="shared" ref="O2115:O2178" si="246">ROUND(IFERROR(M2115*10000/N2115,0),2)</f>
        <v>0</v>
      </c>
      <c r="P2115" s="198">
        <f>'02 项目基础信息（输入）'!$I$63</f>
        <v>0</v>
      </c>
      <c r="Q2115" s="233">
        <f t="shared" ref="Q2115:Q2178" si="247">ROUND(IFERROR(M2115*10000/P2115,0),2)</f>
        <v>0</v>
      </c>
      <c r="S2115" s="217"/>
      <c r="U2115" s="220" t="s">
        <v>3904</v>
      </c>
    </row>
    <row r="2116" spans="1:21" ht="0" hidden="1" customHeight="1" outlineLevel="4">
      <c r="A2116" s="192" t="s">
        <v>1860</v>
      </c>
      <c r="B2116" s="192"/>
      <c r="C2116" s="197" t="s">
        <v>1850</v>
      </c>
      <c r="D2116" s="198">
        <f>'02 项目基础信息（输入）'!$N$63</f>
        <v>0</v>
      </c>
      <c r="E2116" s="199" t="s">
        <v>411</v>
      </c>
      <c r="F2116" s="197" t="s">
        <v>460</v>
      </c>
      <c r="G2116" s="235">
        <f>'02 项目基础信息（输入）'!$O$63</f>
        <v>0</v>
      </c>
      <c r="H2116" s="199" t="s">
        <v>400</v>
      </c>
      <c r="I2116" s="198">
        <f t="shared" si="244"/>
        <v>0</v>
      </c>
      <c r="J2116" s="199" t="s">
        <v>93</v>
      </c>
      <c r="K2116" s="188">
        <v>0</v>
      </c>
      <c r="L2116" s="209" t="s">
        <v>675</v>
      </c>
      <c r="M2116" s="207">
        <f t="shared" si="245"/>
        <v>0</v>
      </c>
      <c r="N2116" s="198">
        <f>'02 项目基础信息（输入）'!$C$63</f>
        <v>0</v>
      </c>
      <c r="O2116" s="198">
        <f t="shared" si="246"/>
        <v>0</v>
      </c>
      <c r="P2116" s="198">
        <f>'02 项目基础信息（输入）'!$I$63</f>
        <v>0</v>
      </c>
      <c r="Q2116" s="233">
        <f t="shared" si="247"/>
        <v>0</v>
      </c>
      <c r="S2116" s="217"/>
      <c r="U2116" s="220" t="s">
        <v>3905</v>
      </c>
    </row>
    <row r="2117" spans="1:21" ht="0" hidden="1" customHeight="1" outlineLevel="4">
      <c r="A2117" s="192" t="s">
        <v>1862</v>
      </c>
      <c r="B2117" s="192"/>
      <c r="C2117" s="197" t="s">
        <v>1850</v>
      </c>
      <c r="D2117" s="198">
        <f>'02 项目基础信息（输入）'!$N$63</f>
        <v>0</v>
      </c>
      <c r="E2117" s="199" t="s">
        <v>411</v>
      </c>
      <c r="F2117" s="197" t="s">
        <v>460</v>
      </c>
      <c r="G2117" s="235">
        <f>'02 项目基础信息（输入）'!$O$63</f>
        <v>0</v>
      </c>
      <c r="H2117" s="199" t="s">
        <v>400</v>
      </c>
      <c r="I2117" s="198">
        <f t="shared" si="244"/>
        <v>0</v>
      </c>
      <c r="J2117" s="199" t="s">
        <v>93</v>
      </c>
      <c r="K2117" s="188">
        <v>0</v>
      </c>
      <c r="L2117" s="209" t="s">
        <v>675</v>
      </c>
      <c r="M2117" s="207">
        <f t="shared" si="245"/>
        <v>0</v>
      </c>
      <c r="N2117" s="198">
        <f>'02 项目基础信息（输入）'!$C$63</f>
        <v>0</v>
      </c>
      <c r="O2117" s="198">
        <f t="shared" si="246"/>
        <v>0</v>
      </c>
      <c r="P2117" s="198">
        <f>'02 项目基础信息（输入）'!$I$63</f>
        <v>0</v>
      </c>
      <c r="Q2117" s="233">
        <f t="shared" si="247"/>
        <v>0</v>
      </c>
      <c r="S2117" s="217"/>
      <c r="U2117" s="220" t="s">
        <v>3906</v>
      </c>
    </row>
    <row r="2118" spans="1:21" ht="0" hidden="1" customHeight="1" outlineLevel="4">
      <c r="A2118" s="192" t="s">
        <v>1864</v>
      </c>
      <c r="B2118" s="192"/>
      <c r="C2118" s="197" t="s">
        <v>1850</v>
      </c>
      <c r="D2118" s="198">
        <f>'02 项目基础信息（输入）'!$N$63</f>
        <v>0</v>
      </c>
      <c r="E2118" s="199" t="s">
        <v>411</v>
      </c>
      <c r="F2118" s="197" t="s">
        <v>460</v>
      </c>
      <c r="G2118" s="235">
        <f>'02 项目基础信息（输入）'!$O$63</f>
        <v>0</v>
      </c>
      <c r="H2118" s="199" t="s">
        <v>400</v>
      </c>
      <c r="I2118" s="198">
        <f t="shared" si="244"/>
        <v>0</v>
      </c>
      <c r="J2118" s="199" t="s">
        <v>93</v>
      </c>
      <c r="K2118" s="188">
        <v>0</v>
      </c>
      <c r="L2118" s="209" t="s">
        <v>675</v>
      </c>
      <c r="M2118" s="207">
        <f t="shared" si="245"/>
        <v>0</v>
      </c>
      <c r="N2118" s="198">
        <f>'02 项目基础信息（输入）'!$C$63</f>
        <v>0</v>
      </c>
      <c r="O2118" s="198">
        <f t="shared" si="246"/>
        <v>0</v>
      </c>
      <c r="P2118" s="198">
        <f>'02 项目基础信息（输入）'!$I$63</f>
        <v>0</v>
      </c>
      <c r="Q2118" s="233">
        <f t="shared" si="247"/>
        <v>0</v>
      </c>
      <c r="S2118" s="217"/>
      <c r="U2118" s="220" t="s">
        <v>3907</v>
      </c>
    </row>
    <row r="2119" spans="1:21" ht="0" hidden="1" customHeight="1" outlineLevel="3">
      <c r="A2119" s="192" t="s">
        <v>2127</v>
      </c>
      <c r="B2119" s="192"/>
      <c r="C2119" s="197"/>
      <c r="D2119" s="197">
        <v>0</v>
      </c>
      <c r="E2119" s="199"/>
      <c r="F2119" s="197"/>
      <c r="G2119" s="199"/>
      <c r="H2119" s="199"/>
      <c r="I2119" s="197">
        <v>0</v>
      </c>
      <c r="J2119" s="199"/>
      <c r="K2119" s="198"/>
      <c r="L2119" s="209"/>
      <c r="M2119" s="198">
        <f>ROUND(SUM(M2120:M2127),6)</f>
        <v>0</v>
      </c>
      <c r="N2119" s="198">
        <f>'02 项目基础信息（输入）'!$C$63</f>
        <v>0</v>
      </c>
      <c r="O2119" s="198">
        <f t="shared" si="246"/>
        <v>0</v>
      </c>
      <c r="P2119" s="198">
        <f>'02 项目基础信息（输入）'!$I$63</f>
        <v>0</v>
      </c>
      <c r="Q2119" s="233">
        <f t="shared" si="247"/>
        <v>0</v>
      </c>
      <c r="S2119" s="217"/>
      <c r="U2119" s="220" t="s">
        <v>3908</v>
      </c>
    </row>
    <row r="2120" spans="1:21" ht="0" hidden="1" customHeight="1" outlineLevel="4">
      <c r="A2120" s="192" t="s">
        <v>2129</v>
      </c>
      <c r="B2120" s="192"/>
      <c r="C2120" s="197" t="s">
        <v>2130</v>
      </c>
      <c r="D2120" s="198">
        <f>'02 项目基础信息（输入）'!$K$63</f>
        <v>0</v>
      </c>
      <c r="E2120" s="199" t="s">
        <v>411</v>
      </c>
      <c r="F2120" s="197" t="s">
        <v>457</v>
      </c>
      <c r="G2120" s="235">
        <f>'02 项目基础信息（输入）'!$L$63</f>
        <v>0</v>
      </c>
      <c r="H2120" s="199" t="s">
        <v>400</v>
      </c>
      <c r="I2120" s="198">
        <f t="shared" ref="I2120:I2130" si="248">G2120*D2120</f>
        <v>0</v>
      </c>
      <c r="J2120" s="199" t="s">
        <v>93</v>
      </c>
      <c r="K2120" s="188">
        <v>0</v>
      </c>
      <c r="L2120" s="209" t="s">
        <v>675</v>
      </c>
      <c r="M2120" s="198">
        <f t="shared" ref="M2120:M2130" si="249">ROUND(K2120*I2120/10000,6)</f>
        <v>0</v>
      </c>
      <c r="N2120" s="198">
        <f>'02 项目基础信息（输入）'!$C$63</f>
        <v>0</v>
      </c>
      <c r="O2120" s="198">
        <f t="shared" si="246"/>
        <v>0</v>
      </c>
      <c r="P2120" s="198">
        <f>'02 项目基础信息（输入）'!$I$63</f>
        <v>0</v>
      </c>
      <c r="Q2120" s="233">
        <f t="shared" si="247"/>
        <v>0</v>
      </c>
      <c r="S2120" s="217"/>
      <c r="U2120" s="220" t="s">
        <v>3909</v>
      </c>
    </row>
    <row r="2121" spans="1:21" ht="0" hidden="1" customHeight="1" outlineLevel="4">
      <c r="A2121" s="192" t="s">
        <v>2132</v>
      </c>
      <c r="B2121" s="192"/>
      <c r="C2121" s="197" t="s">
        <v>2130</v>
      </c>
      <c r="D2121" s="198">
        <f>'02 项目基础信息（输入）'!$K$63</f>
        <v>0</v>
      </c>
      <c r="E2121" s="199" t="s">
        <v>411</v>
      </c>
      <c r="F2121" s="197" t="s">
        <v>457</v>
      </c>
      <c r="G2121" s="235">
        <f>'02 项目基础信息（输入）'!$L$63</f>
        <v>0</v>
      </c>
      <c r="H2121" s="199" t="s">
        <v>400</v>
      </c>
      <c r="I2121" s="198">
        <f t="shared" si="248"/>
        <v>0</v>
      </c>
      <c r="J2121" s="199" t="s">
        <v>93</v>
      </c>
      <c r="K2121" s="188">
        <v>0</v>
      </c>
      <c r="L2121" s="209" t="s">
        <v>675</v>
      </c>
      <c r="M2121" s="198">
        <f t="shared" si="249"/>
        <v>0</v>
      </c>
      <c r="N2121" s="198">
        <f>'02 项目基础信息（输入）'!$C$63</f>
        <v>0</v>
      </c>
      <c r="O2121" s="198">
        <f t="shared" si="246"/>
        <v>0</v>
      </c>
      <c r="P2121" s="198">
        <f>'02 项目基础信息（输入）'!$I$63</f>
        <v>0</v>
      </c>
      <c r="Q2121" s="233">
        <f t="shared" si="247"/>
        <v>0</v>
      </c>
      <c r="S2121" s="217"/>
      <c r="U2121" s="220" t="s">
        <v>3910</v>
      </c>
    </row>
    <row r="2122" spans="1:21" ht="0" hidden="1" customHeight="1" outlineLevel="4">
      <c r="A2122" s="192" t="s">
        <v>2134</v>
      </c>
      <c r="B2122" s="192"/>
      <c r="C2122" s="197" t="s">
        <v>2130</v>
      </c>
      <c r="D2122" s="198">
        <f>'02 项目基础信息（输入）'!$K$63</f>
        <v>0</v>
      </c>
      <c r="E2122" s="199" t="s">
        <v>411</v>
      </c>
      <c r="F2122" s="197" t="s">
        <v>457</v>
      </c>
      <c r="G2122" s="235">
        <f>'02 项目基础信息（输入）'!$L$63</f>
        <v>0</v>
      </c>
      <c r="H2122" s="199" t="s">
        <v>400</v>
      </c>
      <c r="I2122" s="198">
        <f t="shared" si="248"/>
        <v>0</v>
      </c>
      <c r="J2122" s="199" t="s">
        <v>93</v>
      </c>
      <c r="K2122" s="188">
        <v>0</v>
      </c>
      <c r="L2122" s="209" t="s">
        <v>675</v>
      </c>
      <c r="M2122" s="198">
        <f t="shared" si="249"/>
        <v>0</v>
      </c>
      <c r="N2122" s="198">
        <f>'02 项目基础信息（输入）'!$C$63</f>
        <v>0</v>
      </c>
      <c r="O2122" s="198">
        <f t="shared" si="246"/>
        <v>0</v>
      </c>
      <c r="P2122" s="198">
        <f>'02 项目基础信息（输入）'!$I$63</f>
        <v>0</v>
      </c>
      <c r="Q2122" s="233">
        <f t="shared" si="247"/>
        <v>0</v>
      </c>
      <c r="S2122" s="217"/>
      <c r="U2122" s="220" t="s">
        <v>3911</v>
      </c>
    </row>
    <row r="2123" spans="1:21" ht="0" hidden="1" customHeight="1" outlineLevel="4">
      <c r="A2123" s="192" t="s">
        <v>2136</v>
      </c>
      <c r="B2123" s="192"/>
      <c r="C2123" s="197" t="s">
        <v>2130</v>
      </c>
      <c r="D2123" s="198">
        <f>'02 项目基础信息（输入）'!$K$63</f>
        <v>0</v>
      </c>
      <c r="E2123" s="199" t="s">
        <v>411</v>
      </c>
      <c r="F2123" s="197" t="s">
        <v>457</v>
      </c>
      <c r="G2123" s="235">
        <f>'02 项目基础信息（输入）'!$L$63</f>
        <v>0</v>
      </c>
      <c r="H2123" s="199" t="s">
        <v>400</v>
      </c>
      <c r="I2123" s="198">
        <f t="shared" si="248"/>
        <v>0</v>
      </c>
      <c r="J2123" s="199" t="s">
        <v>93</v>
      </c>
      <c r="K2123" s="188">
        <v>0</v>
      </c>
      <c r="L2123" s="209" t="s">
        <v>675</v>
      </c>
      <c r="M2123" s="198">
        <f t="shared" si="249"/>
        <v>0</v>
      </c>
      <c r="N2123" s="198">
        <f>'02 项目基础信息（输入）'!$C$63</f>
        <v>0</v>
      </c>
      <c r="O2123" s="198">
        <f t="shared" si="246"/>
        <v>0</v>
      </c>
      <c r="P2123" s="198">
        <f>'02 项目基础信息（输入）'!$I$63</f>
        <v>0</v>
      </c>
      <c r="Q2123" s="233">
        <f t="shared" si="247"/>
        <v>0</v>
      </c>
      <c r="S2123" s="217"/>
      <c r="U2123" s="220" t="s">
        <v>3912</v>
      </c>
    </row>
    <row r="2124" spans="1:21" ht="0" hidden="1" customHeight="1" outlineLevel="4">
      <c r="A2124" s="192" t="s">
        <v>2138</v>
      </c>
      <c r="B2124" s="192"/>
      <c r="C2124" s="197" t="s">
        <v>2130</v>
      </c>
      <c r="D2124" s="198">
        <f>'02 项目基础信息（输入）'!$K$63</f>
        <v>0</v>
      </c>
      <c r="E2124" s="199" t="s">
        <v>411</v>
      </c>
      <c r="F2124" s="197" t="s">
        <v>457</v>
      </c>
      <c r="G2124" s="235">
        <f>'02 项目基础信息（输入）'!$L$63</f>
        <v>0</v>
      </c>
      <c r="H2124" s="199" t="s">
        <v>400</v>
      </c>
      <c r="I2124" s="198">
        <f t="shared" si="248"/>
        <v>0</v>
      </c>
      <c r="J2124" s="199" t="s">
        <v>93</v>
      </c>
      <c r="K2124" s="188">
        <v>0</v>
      </c>
      <c r="L2124" s="209" t="s">
        <v>675</v>
      </c>
      <c r="M2124" s="198">
        <f t="shared" si="249"/>
        <v>0</v>
      </c>
      <c r="N2124" s="198">
        <f>'02 项目基础信息（输入）'!$C$63</f>
        <v>0</v>
      </c>
      <c r="O2124" s="198">
        <f t="shared" si="246"/>
        <v>0</v>
      </c>
      <c r="P2124" s="198">
        <f>'02 项目基础信息（输入）'!$I$63</f>
        <v>0</v>
      </c>
      <c r="Q2124" s="233">
        <f t="shared" si="247"/>
        <v>0</v>
      </c>
      <c r="S2124" s="217"/>
      <c r="U2124" s="220" t="s">
        <v>3913</v>
      </c>
    </row>
    <row r="2125" spans="1:21" ht="0" hidden="1" customHeight="1" outlineLevel="4">
      <c r="A2125" s="192" t="s">
        <v>2140</v>
      </c>
      <c r="B2125" s="192"/>
      <c r="C2125" s="197" t="s">
        <v>2130</v>
      </c>
      <c r="D2125" s="198">
        <f>'02 项目基础信息（输入）'!$K$63</f>
        <v>0</v>
      </c>
      <c r="E2125" s="199" t="s">
        <v>411</v>
      </c>
      <c r="F2125" s="197" t="s">
        <v>457</v>
      </c>
      <c r="G2125" s="235">
        <f>'02 项目基础信息（输入）'!$L$63</f>
        <v>0</v>
      </c>
      <c r="H2125" s="199" t="s">
        <v>400</v>
      </c>
      <c r="I2125" s="198">
        <f t="shared" si="248"/>
        <v>0</v>
      </c>
      <c r="J2125" s="199" t="s">
        <v>93</v>
      </c>
      <c r="K2125" s="188">
        <v>0</v>
      </c>
      <c r="L2125" s="209" t="s">
        <v>675</v>
      </c>
      <c r="M2125" s="198">
        <f t="shared" si="249"/>
        <v>0</v>
      </c>
      <c r="N2125" s="198">
        <f>'02 项目基础信息（输入）'!$C$63</f>
        <v>0</v>
      </c>
      <c r="O2125" s="198">
        <f t="shared" si="246"/>
        <v>0</v>
      </c>
      <c r="P2125" s="198">
        <f>'02 项目基础信息（输入）'!$I$63</f>
        <v>0</v>
      </c>
      <c r="Q2125" s="233">
        <f t="shared" si="247"/>
        <v>0</v>
      </c>
      <c r="S2125" s="217"/>
      <c r="U2125" s="220" t="s">
        <v>3914</v>
      </c>
    </row>
    <row r="2126" spans="1:21" ht="0" hidden="1" customHeight="1" outlineLevel="4">
      <c r="A2126" s="192" t="s">
        <v>2142</v>
      </c>
      <c r="B2126" s="192"/>
      <c r="C2126" s="197" t="s">
        <v>2130</v>
      </c>
      <c r="D2126" s="198">
        <f>'02 项目基础信息（输入）'!$K$63</f>
        <v>0</v>
      </c>
      <c r="E2126" s="199" t="s">
        <v>411</v>
      </c>
      <c r="F2126" s="197" t="s">
        <v>457</v>
      </c>
      <c r="G2126" s="235">
        <f>'02 项目基础信息（输入）'!$L$63</f>
        <v>0</v>
      </c>
      <c r="H2126" s="199" t="s">
        <v>400</v>
      </c>
      <c r="I2126" s="198">
        <f t="shared" si="248"/>
        <v>0</v>
      </c>
      <c r="J2126" s="199" t="s">
        <v>93</v>
      </c>
      <c r="K2126" s="188">
        <v>0</v>
      </c>
      <c r="L2126" s="209" t="s">
        <v>675</v>
      </c>
      <c r="M2126" s="198">
        <f t="shared" si="249"/>
        <v>0</v>
      </c>
      <c r="N2126" s="198">
        <f>'02 项目基础信息（输入）'!$C$63</f>
        <v>0</v>
      </c>
      <c r="O2126" s="198">
        <f t="shared" si="246"/>
        <v>0</v>
      </c>
      <c r="P2126" s="198">
        <f>'02 项目基础信息（输入）'!$I$63</f>
        <v>0</v>
      </c>
      <c r="Q2126" s="233">
        <f t="shared" si="247"/>
        <v>0</v>
      </c>
      <c r="S2126" s="217"/>
      <c r="U2126" s="220" t="s">
        <v>3915</v>
      </c>
    </row>
    <row r="2127" spans="1:21" ht="0" hidden="1" customHeight="1" outlineLevel="4">
      <c r="A2127" s="192" t="s">
        <v>2144</v>
      </c>
      <c r="B2127" s="192"/>
      <c r="C2127" s="197" t="s">
        <v>2130</v>
      </c>
      <c r="D2127" s="198">
        <f>'02 项目基础信息（输入）'!$K$63</f>
        <v>0</v>
      </c>
      <c r="E2127" s="199" t="s">
        <v>411</v>
      </c>
      <c r="F2127" s="197" t="s">
        <v>457</v>
      </c>
      <c r="G2127" s="235">
        <f>'02 项目基础信息（输入）'!$L$63</f>
        <v>0</v>
      </c>
      <c r="H2127" s="199" t="s">
        <v>400</v>
      </c>
      <c r="I2127" s="198">
        <f t="shared" si="248"/>
        <v>0</v>
      </c>
      <c r="J2127" s="199" t="s">
        <v>93</v>
      </c>
      <c r="K2127" s="188">
        <v>0</v>
      </c>
      <c r="L2127" s="209" t="s">
        <v>675</v>
      </c>
      <c r="M2127" s="198">
        <f t="shared" si="249"/>
        <v>0</v>
      </c>
      <c r="N2127" s="198">
        <f>'02 项目基础信息（输入）'!$C$63</f>
        <v>0</v>
      </c>
      <c r="O2127" s="198">
        <f t="shared" si="246"/>
        <v>0</v>
      </c>
      <c r="P2127" s="198">
        <f>'02 项目基础信息（输入）'!$I$63</f>
        <v>0</v>
      </c>
      <c r="Q2127" s="233">
        <f t="shared" si="247"/>
        <v>0</v>
      </c>
      <c r="S2127" s="217"/>
      <c r="U2127" s="220" t="s">
        <v>3916</v>
      </c>
    </row>
    <row r="2128" spans="1:21" ht="0" hidden="1" customHeight="1" outlineLevel="3">
      <c r="A2128" s="192" t="s">
        <v>2146</v>
      </c>
      <c r="B2128" s="192"/>
      <c r="C2128" s="197" t="s">
        <v>455</v>
      </c>
      <c r="D2128" s="198">
        <f>'02 项目基础信息（输入）'!$J$63</f>
        <v>0</v>
      </c>
      <c r="E2128" s="199" t="s">
        <v>400</v>
      </c>
      <c r="F2128" s="197" t="s">
        <v>455</v>
      </c>
      <c r="G2128" s="199">
        <v>1</v>
      </c>
      <c r="H2128" s="199" t="s">
        <v>1748</v>
      </c>
      <c r="I2128" s="198">
        <f t="shared" si="248"/>
        <v>0</v>
      </c>
      <c r="J2128" s="199" t="s">
        <v>400</v>
      </c>
      <c r="K2128" s="188">
        <v>0</v>
      </c>
      <c r="L2128" s="209" t="s">
        <v>1749</v>
      </c>
      <c r="M2128" s="198">
        <f t="shared" si="249"/>
        <v>0</v>
      </c>
      <c r="N2128" s="198">
        <f>'02 项目基础信息（输入）'!$C$63</f>
        <v>0</v>
      </c>
      <c r="O2128" s="198">
        <f t="shared" si="246"/>
        <v>0</v>
      </c>
      <c r="P2128" s="198">
        <f>'02 项目基础信息（输入）'!$I$63</f>
        <v>0</v>
      </c>
      <c r="Q2128" s="233">
        <f t="shared" si="247"/>
        <v>0</v>
      </c>
      <c r="S2128" s="217"/>
      <c r="U2128" s="220" t="s">
        <v>3917</v>
      </c>
    </row>
    <row r="2129" spans="1:21" ht="0" hidden="1" customHeight="1" outlineLevel="3">
      <c r="A2129" s="192" t="s">
        <v>2148</v>
      </c>
      <c r="B2129" s="192"/>
      <c r="C2129" s="197" t="s">
        <v>309</v>
      </c>
      <c r="D2129" s="198">
        <f>'02 项目基础信息（输入）'!$AC$63</f>
        <v>0</v>
      </c>
      <c r="E2129" s="199" t="s">
        <v>310</v>
      </c>
      <c r="F2129" s="197" t="s">
        <v>2149</v>
      </c>
      <c r="G2129" s="199">
        <v>1</v>
      </c>
      <c r="H2129" s="199" t="s">
        <v>2150</v>
      </c>
      <c r="I2129" s="198">
        <f t="shared" si="248"/>
        <v>0</v>
      </c>
      <c r="J2129" s="199" t="s">
        <v>400</v>
      </c>
      <c r="K2129" s="188">
        <v>0</v>
      </c>
      <c r="L2129" s="209" t="s">
        <v>1749</v>
      </c>
      <c r="M2129" s="207">
        <f t="shared" si="249"/>
        <v>0</v>
      </c>
      <c r="N2129" s="198">
        <f>'02 项目基础信息（输入）'!$C$63</f>
        <v>0</v>
      </c>
      <c r="O2129" s="198">
        <f t="shared" si="246"/>
        <v>0</v>
      </c>
      <c r="P2129" s="198">
        <f>'02 项目基础信息（输入）'!$I$63</f>
        <v>0</v>
      </c>
      <c r="Q2129" s="233">
        <f t="shared" si="247"/>
        <v>0</v>
      </c>
      <c r="S2129" s="217"/>
      <c r="U2129" s="220" t="s">
        <v>3918</v>
      </c>
    </row>
    <row r="2130" spans="1:21" ht="0" hidden="1" customHeight="1" outlineLevel="3">
      <c r="A2130" s="192" t="s">
        <v>1868</v>
      </c>
      <c r="B2130" s="192"/>
      <c r="C2130" s="197" t="s">
        <v>1609</v>
      </c>
      <c r="D2130" s="198">
        <f>'02 项目基础信息（输入）'!$C$63</f>
        <v>0</v>
      </c>
      <c r="E2130" s="199" t="s">
        <v>93</v>
      </c>
      <c r="F2130" s="197" t="s">
        <v>1648</v>
      </c>
      <c r="G2130" s="82">
        <v>0</v>
      </c>
      <c r="H2130" s="199" t="s">
        <v>298</v>
      </c>
      <c r="I2130" s="198">
        <f t="shared" si="248"/>
        <v>0</v>
      </c>
      <c r="J2130" s="199" t="s">
        <v>93</v>
      </c>
      <c r="K2130" s="188">
        <v>0</v>
      </c>
      <c r="L2130" s="209" t="s">
        <v>675</v>
      </c>
      <c r="M2130" s="207">
        <f t="shared" si="249"/>
        <v>0</v>
      </c>
      <c r="N2130" s="198">
        <f>'02 项目基础信息（输入）'!$C$63</f>
        <v>0</v>
      </c>
      <c r="O2130" s="198">
        <f t="shared" si="246"/>
        <v>0</v>
      </c>
      <c r="P2130" s="198">
        <f>'02 项目基础信息（输入）'!$I$63</f>
        <v>0</v>
      </c>
      <c r="Q2130" s="233">
        <f t="shared" si="247"/>
        <v>0</v>
      </c>
      <c r="S2130" s="217"/>
      <c r="U2130" s="220" t="s">
        <v>3919</v>
      </c>
    </row>
    <row r="2131" spans="1:21" ht="0" hidden="1" customHeight="1" outlineLevel="2">
      <c r="A2131" s="192" t="s">
        <v>1870</v>
      </c>
      <c r="B2131" s="192"/>
      <c r="C2131" s="197" t="s">
        <v>1609</v>
      </c>
      <c r="D2131" s="198">
        <f>'02 项目基础信息（输入）'!$C$63</f>
        <v>0</v>
      </c>
      <c r="E2131" s="199" t="s">
        <v>93</v>
      </c>
      <c r="F2131" s="197"/>
      <c r="G2131" s="199"/>
      <c r="H2131" s="199"/>
      <c r="I2131" s="197"/>
      <c r="J2131" s="199"/>
      <c r="K2131" s="198"/>
      <c r="L2131" s="209"/>
      <c r="M2131" s="198">
        <f>ROUND(SUM(M2132),6)</f>
        <v>0</v>
      </c>
      <c r="N2131" s="198">
        <f>'02 项目基础信息（输入）'!$C$63</f>
        <v>0</v>
      </c>
      <c r="O2131" s="198">
        <f t="shared" si="246"/>
        <v>0</v>
      </c>
      <c r="P2131" s="198">
        <f>'02 项目基础信息（输入）'!$I$63</f>
        <v>0</v>
      </c>
      <c r="Q2131" s="233">
        <f t="shared" si="247"/>
        <v>0</v>
      </c>
      <c r="S2131" s="217" t="s">
        <v>1313</v>
      </c>
      <c r="U2131" s="220" t="s">
        <v>3920</v>
      </c>
    </row>
    <row r="2132" spans="1:21" ht="0" hidden="1" customHeight="1" outlineLevel="3">
      <c r="A2132" s="192" t="s">
        <v>1872</v>
      </c>
      <c r="B2132" s="192"/>
      <c r="C2132" s="197" t="s">
        <v>460</v>
      </c>
      <c r="D2132" s="198">
        <f>'02 项目基础信息（输入）'!$O$63</f>
        <v>0</v>
      </c>
      <c r="E2132" s="199" t="s">
        <v>400</v>
      </c>
      <c r="F2132" s="197" t="s">
        <v>460</v>
      </c>
      <c r="G2132" s="199">
        <v>1</v>
      </c>
      <c r="H2132" s="199" t="s">
        <v>1873</v>
      </c>
      <c r="I2132" s="198">
        <f>G2132*D2132</f>
        <v>0</v>
      </c>
      <c r="J2132" s="199" t="s">
        <v>1052</v>
      </c>
      <c r="K2132" s="188">
        <v>0</v>
      </c>
      <c r="L2132" s="209" t="s">
        <v>746</v>
      </c>
      <c r="M2132" s="207">
        <f>ROUND(K2132*I2132/10000,6)</f>
        <v>0</v>
      </c>
      <c r="N2132" s="198">
        <f>'02 项目基础信息（输入）'!$C$63</f>
        <v>0</v>
      </c>
      <c r="O2132" s="198">
        <f t="shared" si="246"/>
        <v>0</v>
      </c>
      <c r="P2132" s="198">
        <f>'02 项目基础信息（输入）'!$I$63</f>
        <v>0</v>
      </c>
      <c r="Q2132" s="233">
        <f t="shared" si="247"/>
        <v>0</v>
      </c>
      <c r="S2132" s="217"/>
      <c r="U2132" s="220" t="s">
        <v>3921</v>
      </c>
    </row>
    <row r="2133" spans="1:21" ht="0" hidden="1" customHeight="1" outlineLevel="2">
      <c r="A2133" s="192" t="s">
        <v>1875</v>
      </c>
      <c r="B2133" s="192"/>
      <c r="C2133" s="197" t="s">
        <v>1609</v>
      </c>
      <c r="D2133" s="198">
        <f>'02 项目基础信息（输入）'!$C$63</f>
        <v>0</v>
      </c>
      <c r="E2133" s="199" t="s">
        <v>93</v>
      </c>
      <c r="F2133" s="197"/>
      <c r="G2133" s="199"/>
      <c r="H2133" s="199"/>
      <c r="I2133" s="197"/>
      <c r="J2133" s="199"/>
      <c r="K2133" s="198"/>
      <c r="L2133" s="209"/>
      <c r="M2133" s="198">
        <f>ROUND(SUM(M2134:M2136),6)</f>
        <v>0</v>
      </c>
      <c r="N2133" s="198">
        <f>'02 项目基础信息（输入）'!$C$63</f>
        <v>0</v>
      </c>
      <c r="O2133" s="198">
        <f t="shared" si="246"/>
        <v>0</v>
      </c>
      <c r="P2133" s="198">
        <f>'02 项目基础信息（输入）'!$I$63</f>
        <v>0</v>
      </c>
      <c r="Q2133" s="233">
        <f t="shared" si="247"/>
        <v>0</v>
      </c>
      <c r="S2133" s="217" t="s">
        <v>1313</v>
      </c>
      <c r="U2133" s="220" t="s">
        <v>3922</v>
      </c>
    </row>
    <row r="2134" spans="1:21" ht="0" hidden="1" customHeight="1" outlineLevel="3">
      <c r="A2134" s="192" t="s">
        <v>1877</v>
      </c>
      <c r="B2134" s="192"/>
      <c r="C2134" s="197" t="s">
        <v>1609</v>
      </c>
      <c r="D2134" s="198">
        <f>'02 项目基础信息（输入）'!$C$63</f>
        <v>0</v>
      </c>
      <c r="E2134" s="199" t="s">
        <v>93</v>
      </c>
      <c r="F2134" s="197" t="s">
        <v>694</v>
      </c>
      <c r="G2134" s="82"/>
      <c r="H2134" s="199" t="s">
        <v>298</v>
      </c>
      <c r="I2134" s="198">
        <f>G2134*D2134</f>
        <v>0</v>
      </c>
      <c r="J2134" s="199" t="s">
        <v>93</v>
      </c>
      <c r="K2134" s="188">
        <v>0</v>
      </c>
      <c r="L2134" s="209" t="s">
        <v>675</v>
      </c>
      <c r="M2134" s="207">
        <f>ROUND(K2134*I2134/10000,6)</f>
        <v>0</v>
      </c>
      <c r="N2134" s="198">
        <f>'02 项目基础信息（输入）'!$C$63</f>
        <v>0</v>
      </c>
      <c r="O2134" s="198">
        <f t="shared" si="246"/>
        <v>0</v>
      </c>
      <c r="P2134" s="198">
        <f>'02 项目基础信息（输入）'!$I$63</f>
        <v>0</v>
      </c>
      <c r="Q2134" s="233">
        <f t="shared" si="247"/>
        <v>0</v>
      </c>
      <c r="S2134" s="217"/>
      <c r="U2134" s="220" t="s">
        <v>3923</v>
      </c>
    </row>
    <row r="2135" spans="1:21" ht="0" hidden="1" customHeight="1" outlineLevel="3">
      <c r="A2135" s="192" t="s">
        <v>1879</v>
      </c>
      <c r="B2135" s="192"/>
      <c r="C2135" s="197" t="s">
        <v>1609</v>
      </c>
      <c r="D2135" s="198">
        <f>'02 项目基础信息（输入）'!$C$63</f>
        <v>0</v>
      </c>
      <c r="E2135" s="199" t="s">
        <v>93</v>
      </c>
      <c r="F2135" s="197" t="s">
        <v>694</v>
      </c>
      <c r="G2135" s="82"/>
      <c r="H2135" s="199" t="s">
        <v>298</v>
      </c>
      <c r="I2135" s="198">
        <f>G2135*D2135</f>
        <v>0</v>
      </c>
      <c r="J2135" s="199" t="s">
        <v>93</v>
      </c>
      <c r="K2135" s="188">
        <v>0</v>
      </c>
      <c r="L2135" s="209" t="s">
        <v>675</v>
      </c>
      <c r="M2135" s="207">
        <f>ROUND(K2135*I2135/10000,6)</f>
        <v>0</v>
      </c>
      <c r="N2135" s="198">
        <f>'02 项目基础信息（输入）'!$C$63</f>
        <v>0</v>
      </c>
      <c r="O2135" s="198">
        <f t="shared" si="246"/>
        <v>0</v>
      </c>
      <c r="P2135" s="198">
        <f>'02 项目基础信息（输入）'!$I$63</f>
        <v>0</v>
      </c>
      <c r="Q2135" s="233">
        <f t="shared" si="247"/>
        <v>0</v>
      </c>
      <c r="S2135" s="217"/>
      <c r="U2135" s="220" t="s">
        <v>3924</v>
      </c>
    </row>
    <row r="2136" spans="1:21" ht="0" hidden="1" customHeight="1" outlineLevel="3">
      <c r="A2136" s="192" t="s">
        <v>1881</v>
      </c>
      <c r="B2136" s="192"/>
      <c r="C2136" s="197" t="s">
        <v>1609</v>
      </c>
      <c r="D2136" s="198">
        <f>'02 项目基础信息（输入）'!$C$63</f>
        <v>0</v>
      </c>
      <c r="E2136" s="199" t="s">
        <v>93</v>
      </c>
      <c r="F2136" s="197" t="s">
        <v>694</v>
      </c>
      <c r="G2136" s="82"/>
      <c r="H2136" s="199" t="s">
        <v>298</v>
      </c>
      <c r="I2136" s="198">
        <f>G2136*D2136</f>
        <v>0</v>
      </c>
      <c r="J2136" s="199" t="s">
        <v>93</v>
      </c>
      <c r="K2136" s="188">
        <v>0</v>
      </c>
      <c r="L2136" s="209" t="s">
        <v>675</v>
      </c>
      <c r="M2136" s="207">
        <f>ROUND(K2136*I2136/10000,6)</f>
        <v>0</v>
      </c>
      <c r="N2136" s="198">
        <f>'02 项目基础信息（输入）'!$C$63</f>
        <v>0</v>
      </c>
      <c r="O2136" s="198">
        <f t="shared" si="246"/>
        <v>0</v>
      </c>
      <c r="P2136" s="198">
        <f>'02 项目基础信息（输入）'!$I$63</f>
        <v>0</v>
      </c>
      <c r="Q2136" s="233">
        <f t="shared" si="247"/>
        <v>0</v>
      </c>
      <c r="S2136" s="217"/>
      <c r="U2136" s="220" t="s">
        <v>3925</v>
      </c>
    </row>
    <row r="2137" spans="1:21" ht="0" hidden="1" customHeight="1" outlineLevel="2">
      <c r="A2137" s="192" t="s">
        <v>2159</v>
      </c>
      <c r="B2137" s="192"/>
      <c r="C2137" s="197" t="s">
        <v>1609</v>
      </c>
      <c r="D2137" s="198">
        <f>'02 项目基础信息（输入）'!$C$63</f>
        <v>0</v>
      </c>
      <c r="E2137" s="199" t="s">
        <v>93</v>
      </c>
      <c r="F2137" s="197"/>
      <c r="G2137" s="199"/>
      <c r="H2137" s="199"/>
      <c r="I2137" s="197"/>
      <c r="J2137" s="199"/>
      <c r="K2137" s="198"/>
      <c r="L2137" s="209"/>
      <c r="M2137" s="198">
        <f>ROUND(SUM(M2138),6)</f>
        <v>0</v>
      </c>
      <c r="N2137" s="198">
        <f>'02 项目基础信息（输入）'!$C$63</f>
        <v>0</v>
      </c>
      <c r="O2137" s="198">
        <f t="shared" si="246"/>
        <v>0</v>
      </c>
      <c r="P2137" s="198">
        <f>'02 项目基础信息（输入）'!$I$63</f>
        <v>0</v>
      </c>
      <c r="Q2137" s="233">
        <f t="shared" si="247"/>
        <v>0</v>
      </c>
      <c r="S2137" s="217" t="s">
        <v>1313</v>
      </c>
      <c r="U2137" s="220" t="s">
        <v>3926</v>
      </c>
    </row>
    <row r="2138" spans="1:21" ht="0" hidden="1" customHeight="1" outlineLevel="3">
      <c r="A2138" s="192" t="s">
        <v>2161</v>
      </c>
      <c r="B2138" s="192"/>
      <c r="C2138" s="197" t="s">
        <v>1609</v>
      </c>
      <c r="D2138" s="198">
        <f>'02 项目基础信息（输入）'!$C$63</f>
        <v>0</v>
      </c>
      <c r="E2138" s="199" t="s">
        <v>93</v>
      </c>
      <c r="F2138" s="197" t="s">
        <v>1886</v>
      </c>
      <c r="G2138" s="199">
        <v>1</v>
      </c>
      <c r="H2138" s="199" t="s">
        <v>298</v>
      </c>
      <c r="I2138" s="198">
        <f>G2138*D2138</f>
        <v>0</v>
      </c>
      <c r="J2138" s="199" t="s">
        <v>93</v>
      </c>
      <c r="K2138" s="188">
        <v>0</v>
      </c>
      <c r="L2138" s="209" t="s">
        <v>675</v>
      </c>
      <c r="M2138" s="207">
        <f>ROUND(K2138*I2138/10000,6)</f>
        <v>0</v>
      </c>
      <c r="N2138" s="198">
        <f>'02 项目基础信息（输入）'!$C$63</f>
        <v>0</v>
      </c>
      <c r="O2138" s="198">
        <f t="shared" si="246"/>
        <v>0</v>
      </c>
      <c r="P2138" s="198">
        <f>'02 项目基础信息（输入）'!$I$63</f>
        <v>0</v>
      </c>
      <c r="Q2138" s="233">
        <f t="shared" si="247"/>
        <v>0</v>
      </c>
      <c r="S2138" s="217"/>
      <c r="U2138" s="220" t="s">
        <v>3927</v>
      </c>
    </row>
    <row r="2139" spans="1:21" ht="0" hidden="1" customHeight="1" outlineLevel="2">
      <c r="A2139" s="192" t="s">
        <v>1883</v>
      </c>
      <c r="B2139" s="192"/>
      <c r="C2139" s="197" t="s">
        <v>1609</v>
      </c>
      <c r="D2139" s="198">
        <f>'02 项目基础信息（输入）'!$C$63</f>
        <v>0</v>
      </c>
      <c r="E2139" s="199" t="s">
        <v>93</v>
      </c>
      <c r="F2139" s="197"/>
      <c r="G2139" s="199"/>
      <c r="H2139" s="199"/>
      <c r="I2139" s="197"/>
      <c r="J2139" s="199"/>
      <c r="K2139" s="198"/>
      <c r="L2139" s="209"/>
      <c r="M2139" s="198">
        <f>ROUND(SUM(M2140),6)</f>
        <v>0</v>
      </c>
      <c r="N2139" s="198">
        <f>'02 项目基础信息（输入）'!$C$63</f>
        <v>0</v>
      </c>
      <c r="O2139" s="198">
        <f t="shared" si="246"/>
        <v>0</v>
      </c>
      <c r="P2139" s="198">
        <f>'02 项目基础信息（输入）'!$I$63</f>
        <v>0</v>
      </c>
      <c r="Q2139" s="233">
        <f t="shared" si="247"/>
        <v>0</v>
      </c>
      <c r="S2139" s="217" t="s">
        <v>1313</v>
      </c>
      <c r="U2139" s="220" t="s">
        <v>3928</v>
      </c>
    </row>
    <row r="2140" spans="1:21" ht="0" hidden="1" customHeight="1" outlineLevel="3">
      <c r="A2140" s="192" t="s">
        <v>1885</v>
      </c>
      <c r="B2140" s="192"/>
      <c r="C2140" s="197" t="s">
        <v>1609</v>
      </c>
      <c r="D2140" s="198">
        <f>'02 项目基础信息（输入）'!$C$63</f>
        <v>0</v>
      </c>
      <c r="E2140" s="199" t="s">
        <v>93</v>
      </c>
      <c r="F2140" s="197" t="s">
        <v>1886</v>
      </c>
      <c r="G2140" s="199">
        <v>1</v>
      </c>
      <c r="H2140" s="199" t="s">
        <v>298</v>
      </c>
      <c r="I2140" s="198">
        <f>G2140*D2140</f>
        <v>0</v>
      </c>
      <c r="J2140" s="199" t="s">
        <v>93</v>
      </c>
      <c r="K2140" s="188">
        <v>0</v>
      </c>
      <c r="L2140" s="209" t="s">
        <v>675</v>
      </c>
      <c r="M2140" s="207">
        <f>ROUND(K2140*I2140/10000,6)</f>
        <v>0</v>
      </c>
      <c r="N2140" s="198">
        <f>'02 项目基础信息（输入）'!$C$63</f>
        <v>0</v>
      </c>
      <c r="O2140" s="198">
        <f t="shared" si="246"/>
        <v>0</v>
      </c>
      <c r="P2140" s="198">
        <f>'02 项目基础信息（输入）'!$I$63</f>
        <v>0</v>
      </c>
      <c r="Q2140" s="233">
        <f t="shared" si="247"/>
        <v>0</v>
      </c>
      <c r="S2140" s="217"/>
      <c r="U2140" s="220" t="s">
        <v>3929</v>
      </c>
    </row>
    <row r="2141" spans="1:21" ht="0" hidden="1" customHeight="1" outlineLevel="2">
      <c r="A2141" s="192" t="s">
        <v>1888</v>
      </c>
      <c r="B2141" s="192"/>
      <c r="C2141" s="197" t="s">
        <v>1609</v>
      </c>
      <c r="D2141" s="198">
        <f>'02 项目基础信息（输入）'!$C$63</f>
        <v>0</v>
      </c>
      <c r="E2141" s="199" t="s">
        <v>93</v>
      </c>
      <c r="F2141" s="197"/>
      <c r="G2141" s="199"/>
      <c r="H2141" s="199"/>
      <c r="I2141" s="197"/>
      <c r="J2141" s="199"/>
      <c r="K2141" s="198"/>
      <c r="L2141" s="209"/>
      <c r="M2141" s="198">
        <f>ROUND(SUM(M2142:M2146),6)</f>
        <v>0</v>
      </c>
      <c r="N2141" s="198">
        <f>'02 项目基础信息（输入）'!$C$63</f>
        <v>0</v>
      </c>
      <c r="O2141" s="198">
        <f t="shared" si="246"/>
        <v>0</v>
      </c>
      <c r="P2141" s="198">
        <f>'02 项目基础信息（输入）'!$I$63</f>
        <v>0</v>
      </c>
      <c r="Q2141" s="233">
        <f t="shared" si="247"/>
        <v>0</v>
      </c>
      <c r="S2141" s="217" t="s">
        <v>1313</v>
      </c>
      <c r="U2141" s="220" t="s">
        <v>3930</v>
      </c>
    </row>
    <row r="2142" spans="1:21" ht="0" hidden="1" customHeight="1" outlineLevel="3">
      <c r="A2142" s="192" t="s">
        <v>1890</v>
      </c>
      <c r="B2142" s="192"/>
      <c r="C2142" s="197" t="s">
        <v>1609</v>
      </c>
      <c r="D2142" s="198">
        <f>'02 项目基础信息（输入）'!$C$63</f>
        <v>0</v>
      </c>
      <c r="E2142" s="199" t="s">
        <v>93</v>
      </c>
      <c r="F2142" s="197" t="s">
        <v>1886</v>
      </c>
      <c r="G2142" s="199">
        <v>1</v>
      </c>
      <c r="H2142" s="199" t="s">
        <v>298</v>
      </c>
      <c r="I2142" s="198">
        <f>G2142*D2142</f>
        <v>0</v>
      </c>
      <c r="J2142" s="199" t="s">
        <v>93</v>
      </c>
      <c r="K2142" s="188">
        <v>0</v>
      </c>
      <c r="L2142" s="209" t="s">
        <v>675</v>
      </c>
      <c r="M2142" s="207">
        <f>ROUND(K2142*I2142/10000,6)</f>
        <v>0</v>
      </c>
      <c r="N2142" s="198">
        <f>'02 项目基础信息（输入）'!$C$63</f>
        <v>0</v>
      </c>
      <c r="O2142" s="198">
        <f t="shared" si="246"/>
        <v>0</v>
      </c>
      <c r="P2142" s="198">
        <f>'02 项目基础信息（输入）'!$I$63</f>
        <v>0</v>
      </c>
      <c r="Q2142" s="233">
        <f t="shared" si="247"/>
        <v>0</v>
      </c>
      <c r="S2142" s="217"/>
      <c r="U2142" s="220" t="s">
        <v>3931</v>
      </c>
    </row>
    <row r="2143" spans="1:21" ht="0" hidden="1" customHeight="1" outlineLevel="3">
      <c r="A2143" s="192" t="s">
        <v>1892</v>
      </c>
      <c r="B2143" s="192"/>
      <c r="C2143" s="197" t="s">
        <v>1609</v>
      </c>
      <c r="D2143" s="198">
        <f>'02 项目基础信息（输入）'!$C$63</f>
        <v>0</v>
      </c>
      <c r="E2143" s="199" t="s">
        <v>93</v>
      </c>
      <c r="F2143" s="197" t="s">
        <v>1886</v>
      </c>
      <c r="G2143" s="199">
        <v>1</v>
      </c>
      <c r="H2143" s="199" t="s">
        <v>298</v>
      </c>
      <c r="I2143" s="198">
        <f>G2143*D2143</f>
        <v>0</v>
      </c>
      <c r="J2143" s="199" t="s">
        <v>93</v>
      </c>
      <c r="K2143" s="188">
        <v>0</v>
      </c>
      <c r="L2143" s="209" t="s">
        <v>675</v>
      </c>
      <c r="M2143" s="207">
        <f>ROUND(K2143*I2143/10000,6)</f>
        <v>0</v>
      </c>
      <c r="N2143" s="198">
        <f>'02 项目基础信息（输入）'!$C$63</f>
        <v>0</v>
      </c>
      <c r="O2143" s="198">
        <f t="shared" si="246"/>
        <v>0</v>
      </c>
      <c r="P2143" s="198">
        <f>'02 项目基础信息（输入）'!$I$63</f>
        <v>0</v>
      </c>
      <c r="Q2143" s="233">
        <f t="shared" si="247"/>
        <v>0</v>
      </c>
      <c r="S2143" s="217"/>
      <c r="U2143" s="220" t="s">
        <v>3932</v>
      </c>
    </row>
    <row r="2144" spans="1:21" ht="0" hidden="1" customHeight="1" outlineLevel="3">
      <c r="A2144" s="192" t="s">
        <v>1894</v>
      </c>
      <c r="B2144" s="192"/>
      <c r="C2144" s="197" t="s">
        <v>1609</v>
      </c>
      <c r="D2144" s="198">
        <f>'02 项目基础信息（输入）'!$C$63</f>
        <v>0</v>
      </c>
      <c r="E2144" s="199" t="s">
        <v>93</v>
      </c>
      <c r="F2144" s="197" t="s">
        <v>1886</v>
      </c>
      <c r="G2144" s="199">
        <v>1</v>
      </c>
      <c r="H2144" s="199" t="s">
        <v>298</v>
      </c>
      <c r="I2144" s="198">
        <f>G2144*D2144</f>
        <v>0</v>
      </c>
      <c r="J2144" s="199" t="s">
        <v>93</v>
      </c>
      <c r="K2144" s="188">
        <v>0</v>
      </c>
      <c r="L2144" s="209" t="s">
        <v>675</v>
      </c>
      <c r="M2144" s="207">
        <f>ROUND(K2144*I2144/10000,6)</f>
        <v>0</v>
      </c>
      <c r="N2144" s="198">
        <f>'02 项目基础信息（输入）'!$C$63</f>
        <v>0</v>
      </c>
      <c r="O2144" s="198">
        <f t="shared" si="246"/>
        <v>0</v>
      </c>
      <c r="P2144" s="198">
        <f>'02 项目基础信息（输入）'!$I$63</f>
        <v>0</v>
      </c>
      <c r="Q2144" s="233">
        <f t="shared" si="247"/>
        <v>0</v>
      </c>
      <c r="S2144" s="217"/>
      <c r="U2144" s="220" t="s">
        <v>3933</v>
      </c>
    </row>
    <row r="2145" spans="1:21" ht="0" hidden="1" customHeight="1" outlineLevel="3">
      <c r="A2145" s="192" t="s">
        <v>1896</v>
      </c>
      <c r="B2145" s="192"/>
      <c r="C2145" s="197" t="s">
        <v>1609</v>
      </c>
      <c r="D2145" s="198">
        <f>'02 项目基础信息（输入）'!$C$63</f>
        <v>0</v>
      </c>
      <c r="E2145" s="199" t="s">
        <v>93</v>
      </c>
      <c r="F2145" s="197" t="s">
        <v>1886</v>
      </c>
      <c r="G2145" s="199">
        <v>1</v>
      </c>
      <c r="H2145" s="199" t="s">
        <v>298</v>
      </c>
      <c r="I2145" s="198">
        <f>G2145*D2145</f>
        <v>0</v>
      </c>
      <c r="J2145" s="199" t="s">
        <v>93</v>
      </c>
      <c r="K2145" s="188">
        <v>0</v>
      </c>
      <c r="L2145" s="209" t="s">
        <v>675</v>
      </c>
      <c r="M2145" s="207">
        <f>ROUND(K2145*I2145/10000,6)</f>
        <v>0</v>
      </c>
      <c r="N2145" s="198">
        <f>'02 项目基础信息（输入）'!$C$63</f>
        <v>0</v>
      </c>
      <c r="O2145" s="198">
        <f t="shared" si="246"/>
        <v>0</v>
      </c>
      <c r="P2145" s="198">
        <f>'02 项目基础信息（输入）'!$I$63</f>
        <v>0</v>
      </c>
      <c r="Q2145" s="233">
        <f t="shared" si="247"/>
        <v>0</v>
      </c>
      <c r="S2145" s="217"/>
      <c r="U2145" s="220" t="s">
        <v>3934</v>
      </c>
    </row>
    <row r="2146" spans="1:21" ht="0" hidden="1" customHeight="1" outlineLevel="3">
      <c r="A2146" s="192" t="s">
        <v>1898</v>
      </c>
      <c r="B2146" s="192"/>
      <c r="C2146" s="197" t="s">
        <v>1609</v>
      </c>
      <c r="D2146" s="198">
        <f>'02 项目基础信息（输入）'!$C$63</f>
        <v>0</v>
      </c>
      <c r="E2146" s="199" t="s">
        <v>93</v>
      </c>
      <c r="F2146" s="197" t="s">
        <v>1886</v>
      </c>
      <c r="G2146" s="199">
        <v>1</v>
      </c>
      <c r="H2146" s="199" t="s">
        <v>298</v>
      </c>
      <c r="I2146" s="198">
        <f>G2146*D2146</f>
        <v>0</v>
      </c>
      <c r="J2146" s="199" t="s">
        <v>93</v>
      </c>
      <c r="K2146" s="188">
        <v>0</v>
      </c>
      <c r="L2146" s="209" t="s">
        <v>675</v>
      </c>
      <c r="M2146" s="207">
        <f>ROUND(K2146*I2146/10000,6)</f>
        <v>0</v>
      </c>
      <c r="N2146" s="198">
        <f>'02 项目基础信息（输入）'!$C$63</f>
        <v>0</v>
      </c>
      <c r="O2146" s="198">
        <f t="shared" si="246"/>
        <v>0</v>
      </c>
      <c r="P2146" s="198">
        <f>'02 项目基础信息（输入）'!$I$63</f>
        <v>0</v>
      </c>
      <c r="Q2146" s="233">
        <f t="shared" si="247"/>
        <v>0</v>
      </c>
      <c r="S2146" s="217"/>
      <c r="U2146" s="220" t="s">
        <v>3935</v>
      </c>
    </row>
    <row r="2147" spans="1:21" ht="0" hidden="1" customHeight="1" outlineLevel="2">
      <c r="A2147" s="192" t="s">
        <v>1900</v>
      </c>
      <c r="B2147" s="192"/>
      <c r="C2147" s="197" t="s">
        <v>1609</v>
      </c>
      <c r="D2147" s="198">
        <f>'02 项目基础信息（输入）'!$C$63</f>
        <v>0</v>
      </c>
      <c r="E2147" s="199" t="s">
        <v>93</v>
      </c>
      <c r="F2147" s="197"/>
      <c r="G2147" s="199"/>
      <c r="H2147" s="199"/>
      <c r="I2147" s="197"/>
      <c r="J2147" s="199"/>
      <c r="K2147" s="198"/>
      <c r="L2147" s="209"/>
      <c r="M2147" s="198">
        <f>ROUND(SUM(M2148:M2153),6)</f>
        <v>0</v>
      </c>
      <c r="N2147" s="198">
        <f>'02 项目基础信息（输入）'!$C$63</f>
        <v>0</v>
      </c>
      <c r="O2147" s="198">
        <f t="shared" si="246"/>
        <v>0</v>
      </c>
      <c r="P2147" s="198">
        <f>'02 项目基础信息（输入）'!$I$63</f>
        <v>0</v>
      </c>
      <c r="Q2147" s="233">
        <f t="shared" si="247"/>
        <v>0</v>
      </c>
      <c r="S2147" s="217" t="s">
        <v>1314</v>
      </c>
      <c r="U2147" s="220" t="s">
        <v>3936</v>
      </c>
    </row>
    <row r="2148" spans="1:21" ht="0" hidden="1" customHeight="1" outlineLevel="3">
      <c r="A2148" s="192" t="s">
        <v>1902</v>
      </c>
      <c r="B2148" s="192"/>
      <c r="C2148" s="197" t="s">
        <v>309</v>
      </c>
      <c r="D2148" s="198">
        <f>'02 项目基础信息（输入）'!$AC$63</f>
        <v>0</v>
      </c>
      <c r="E2148" s="199" t="s">
        <v>310</v>
      </c>
      <c r="F2148" s="197" t="s">
        <v>309</v>
      </c>
      <c r="G2148" s="199">
        <v>1</v>
      </c>
      <c r="H2148" s="199" t="s">
        <v>1903</v>
      </c>
      <c r="I2148" s="198">
        <f t="shared" ref="I2148:I2153" si="250">G2148*D2148</f>
        <v>0</v>
      </c>
      <c r="J2148" s="199" t="s">
        <v>310</v>
      </c>
      <c r="K2148" s="188">
        <v>0</v>
      </c>
      <c r="L2148" s="209" t="s">
        <v>736</v>
      </c>
      <c r="M2148" s="207">
        <f t="shared" ref="M2148:M2153" si="251">ROUND(K2148*I2148/10000,6)</f>
        <v>0</v>
      </c>
      <c r="N2148" s="198">
        <f>'02 项目基础信息（输入）'!$C$63</f>
        <v>0</v>
      </c>
      <c r="O2148" s="198">
        <f t="shared" si="246"/>
        <v>0</v>
      </c>
      <c r="P2148" s="198">
        <f>'02 项目基础信息（输入）'!$I$63</f>
        <v>0</v>
      </c>
      <c r="Q2148" s="233">
        <f t="shared" si="247"/>
        <v>0</v>
      </c>
      <c r="S2148" s="217"/>
      <c r="U2148" s="220" t="s">
        <v>3937</v>
      </c>
    </row>
    <row r="2149" spans="1:21" ht="0" hidden="1" customHeight="1" outlineLevel="3">
      <c r="A2149" s="192" t="s">
        <v>1905</v>
      </c>
      <c r="B2149" s="192"/>
      <c r="C2149" s="197" t="s">
        <v>309</v>
      </c>
      <c r="D2149" s="198">
        <f>'02 项目基础信息（输入）'!$AC$63</f>
        <v>0</v>
      </c>
      <c r="E2149" s="199" t="s">
        <v>310</v>
      </c>
      <c r="F2149" s="197" t="s">
        <v>309</v>
      </c>
      <c r="G2149" s="199">
        <v>1</v>
      </c>
      <c r="H2149" s="199" t="s">
        <v>1903</v>
      </c>
      <c r="I2149" s="198">
        <f t="shared" si="250"/>
        <v>0</v>
      </c>
      <c r="J2149" s="199" t="s">
        <v>310</v>
      </c>
      <c r="K2149" s="188">
        <v>0</v>
      </c>
      <c r="L2149" s="209" t="s">
        <v>736</v>
      </c>
      <c r="M2149" s="207">
        <f t="shared" si="251"/>
        <v>0</v>
      </c>
      <c r="N2149" s="198">
        <f>'02 项目基础信息（输入）'!$C$63</f>
        <v>0</v>
      </c>
      <c r="O2149" s="198">
        <f t="shared" si="246"/>
        <v>0</v>
      </c>
      <c r="P2149" s="198">
        <f>'02 项目基础信息（输入）'!$I$63</f>
        <v>0</v>
      </c>
      <c r="Q2149" s="233">
        <f t="shared" si="247"/>
        <v>0</v>
      </c>
      <c r="S2149" s="217"/>
      <c r="U2149" s="220" t="s">
        <v>3938</v>
      </c>
    </row>
    <row r="2150" spans="1:21" ht="0" hidden="1" customHeight="1" outlineLevel="3">
      <c r="A2150" s="192" t="s">
        <v>1907</v>
      </c>
      <c r="B2150" s="192"/>
      <c r="C2150" s="197" t="s">
        <v>309</v>
      </c>
      <c r="D2150" s="198">
        <f>'02 项目基础信息（输入）'!$AC$63</f>
        <v>0</v>
      </c>
      <c r="E2150" s="199" t="s">
        <v>310</v>
      </c>
      <c r="F2150" s="197" t="s">
        <v>309</v>
      </c>
      <c r="G2150" s="199">
        <v>1</v>
      </c>
      <c r="H2150" s="199" t="s">
        <v>1903</v>
      </c>
      <c r="I2150" s="198">
        <f t="shared" si="250"/>
        <v>0</v>
      </c>
      <c r="J2150" s="199" t="s">
        <v>310</v>
      </c>
      <c r="K2150" s="188">
        <v>0</v>
      </c>
      <c r="L2150" s="209" t="s">
        <v>736</v>
      </c>
      <c r="M2150" s="207">
        <f t="shared" si="251"/>
        <v>0</v>
      </c>
      <c r="N2150" s="198">
        <f>'02 项目基础信息（输入）'!$C$63</f>
        <v>0</v>
      </c>
      <c r="O2150" s="198">
        <f t="shared" si="246"/>
        <v>0</v>
      </c>
      <c r="P2150" s="198">
        <f>'02 项目基础信息（输入）'!$I$63</f>
        <v>0</v>
      </c>
      <c r="Q2150" s="233">
        <f t="shared" si="247"/>
        <v>0</v>
      </c>
      <c r="S2150" s="217"/>
      <c r="U2150" s="220" t="s">
        <v>3939</v>
      </c>
    </row>
    <row r="2151" spans="1:21" ht="0" hidden="1" customHeight="1" outlineLevel="3">
      <c r="A2151" s="192" t="s">
        <v>1909</v>
      </c>
      <c r="B2151" s="192"/>
      <c r="C2151" s="197" t="s">
        <v>309</v>
      </c>
      <c r="D2151" s="198">
        <f>'02 项目基础信息（输入）'!$AC$63</f>
        <v>0</v>
      </c>
      <c r="E2151" s="199" t="s">
        <v>310</v>
      </c>
      <c r="F2151" s="197" t="s">
        <v>309</v>
      </c>
      <c r="G2151" s="199">
        <v>1</v>
      </c>
      <c r="H2151" s="199" t="s">
        <v>1903</v>
      </c>
      <c r="I2151" s="198">
        <f t="shared" si="250"/>
        <v>0</v>
      </c>
      <c r="J2151" s="199" t="s">
        <v>310</v>
      </c>
      <c r="K2151" s="188">
        <v>0</v>
      </c>
      <c r="L2151" s="209" t="s">
        <v>736</v>
      </c>
      <c r="M2151" s="207">
        <f t="shared" si="251"/>
        <v>0</v>
      </c>
      <c r="N2151" s="198">
        <f>'02 项目基础信息（输入）'!$C$63</f>
        <v>0</v>
      </c>
      <c r="O2151" s="198">
        <f t="shared" si="246"/>
        <v>0</v>
      </c>
      <c r="P2151" s="198">
        <f>'02 项目基础信息（输入）'!$I$63</f>
        <v>0</v>
      </c>
      <c r="Q2151" s="233">
        <f t="shared" si="247"/>
        <v>0</v>
      </c>
      <c r="S2151" s="217"/>
      <c r="U2151" s="220" t="s">
        <v>3940</v>
      </c>
    </row>
    <row r="2152" spans="1:21" ht="0" hidden="1" customHeight="1" outlineLevel="3">
      <c r="A2152" s="192" t="s">
        <v>1911</v>
      </c>
      <c r="B2152" s="192"/>
      <c r="C2152" s="197" t="s">
        <v>309</v>
      </c>
      <c r="D2152" s="198">
        <f>'02 项目基础信息（输入）'!$AC$63</f>
        <v>0</v>
      </c>
      <c r="E2152" s="199" t="s">
        <v>310</v>
      </c>
      <c r="F2152" s="197" t="s">
        <v>309</v>
      </c>
      <c r="G2152" s="199">
        <v>1</v>
      </c>
      <c r="H2152" s="199" t="s">
        <v>1903</v>
      </c>
      <c r="I2152" s="198">
        <f t="shared" si="250"/>
        <v>0</v>
      </c>
      <c r="J2152" s="199" t="s">
        <v>310</v>
      </c>
      <c r="K2152" s="188">
        <v>0</v>
      </c>
      <c r="L2152" s="209" t="s">
        <v>736</v>
      </c>
      <c r="M2152" s="207">
        <f t="shared" si="251"/>
        <v>0</v>
      </c>
      <c r="N2152" s="198">
        <f>'02 项目基础信息（输入）'!$C$63</f>
        <v>0</v>
      </c>
      <c r="O2152" s="198">
        <f t="shared" si="246"/>
        <v>0</v>
      </c>
      <c r="P2152" s="198">
        <f>'02 项目基础信息（输入）'!$I$63</f>
        <v>0</v>
      </c>
      <c r="Q2152" s="233">
        <f t="shared" si="247"/>
        <v>0</v>
      </c>
      <c r="S2152" s="217"/>
      <c r="U2152" s="220" t="s">
        <v>3941</v>
      </c>
    </row>
    <row r="2153" spans="1:21" ht="0" hidden="1" customHeight="1" outlineLevel="3">
      <c r="A2153" s="192" t="s">
        <v>1913</v>
      </c>
      <c r="B2153" s="192"/>
      <c r="C2153" s="197" t="s">
        <v>309</v>
      </c>
      <c r="D2153" s="198">
        <f>'02 项目基础信息（输入）'!$AC$63</f>
        <v>0</v>
      </c>
      <c r="E2153" s="199" t="s">
        <v>310</v>
      </c>
      <c r="F2153" s="197" t="s">
        <v>309</v>
      </c>
      <c r="G2153" s="199">
        <v>1</v>
      </c>
      <c r="H2153" s="199" t="s">
        <v>1903</v>
      </c>
      <c r="I2153" s="198">
        <f t="shared" si="250"/>
        <v>0</v>
      </c>
      <c r="J2153" s="199" t="s">
        <v>310</v>
      </c>
      <c r="K2153" s="188">
        <v>0</v>
      </c>
      <c r="L2153" s="209" t="s">
        <v>736</v>
      </c>
      <c r="M2153" s="207">
        <f t="shared" si="251"/>
        <v>0</v>
      </c>
      <c r="N2153" s="198">
        <f>'02 项目基础信息（输入）'!$C$63</f>
        <v>0</v>
      </c>
      <c r="O2153" s="198">
        <f t="shared" si="246"/>
        <v>0</v>
      </c>
      <c r="P2153" s="198">
        <f>'02 项目基础信息（输入）'!$I$63</f>
        <v>0</v>
      </c>
      <c r="Q2153" s="233">
        <f t="shared" si="247"/>
        <v>0</v>
      </c>
      <c r="S2153" s="217"/>
      <c r="U2153" s="220" t="s">
        <v>3942</v>
      </c>
    </row>
    <row r="2154" spans="1:21" ht="0" hidden="1" customHeight="1" outlineLevel="2">
      <c r="A2154" s="192" t="s">
        <v>2178</v>
      </c>
      <c r="B2154" s="192"/>
      <c r="C2154" s="197" t="s">
        <v>1609</v>
      </c>
      <c r="D2154" s="198">
        <f>'02 项目基础信息（输入）'!$C$63</f>
        <v>0</v>
      </c>
      <c r="E2154" s="199" t="s">
        <v>93</v>
      </c>
      <c r="F2154" s="197"/>
      <c r="G2154" s="199"/>
      <c r="H2154" s="199"/>
      <c r="I2154" s="197"/>
      <c r="J2154" s="199"/>
      <c r="K2154" s="198"/>
      <c r="L2154" s="209"/>
      <c r="M2154" s="198">
        <f>ROUND(SUM(M2155),6)</f>
        <v>0</v>
      </c>
      <c r="N2154" s="198">
        <f>'02 项目基础信息（输入）'!$C$63</f>
        <v>0</v>
      </c>
      <c r="O2154" s="198">
        <f t="shared" si="246"/>
        <v>0</v>
      </c>
      <c r="P2154" s="198">
        <f>'02 项目基础信息（输入）'!$I$63</f>
        <v>0</v>
      </c>
      <c r="Q2154" s="233">
        <f t="shared" si="247"/>
        <v>0</v>
      </c>
      <c r="S2154" s="217" t="s">
        <v>1313</v>
      </c>
      <c r="U2154" s="220" t="s">
        <v>3943</v>
      </c>
    </row>
    <row r="2155" spans="1:21" ht="0" hidden="1" customHeight="1" outlineLevel="3">
      <c r="A2155" s="192" t="s">
        <v>2180</v>
      </c>
      <c r="B2155" s="192"/>
      <c r="C2155" s="197" t="s">
        <v>309</v>
      </c>
      <c r="D2155" s="198">
        <f>'02 项目基础信息（输入）'!$AC$63</f>
        <v>0</v>
      </c>
      <c r="E2155" s="199" t="s">
        <v>310</v>
      </c>
      <c r="F2155" s="197" t="s">
        <v>309</v>
      </c>
      <c r="G2155" s="199">
        <v>1</v>
      </c>
      <c r="H2155" s="199" t="s">
        <v>1903</v>
      </c>
      <c r="I2155" s="198">
        <f>G2155*D2155</f>
        <v>0</v>
      </c>
      <c r="J2155" s="199" t="s">
        <v>310</v>
      </c>
      <c r="K2155" s="188">
        <v>0</v>
      </c>
      <c r="L2155" s="209" t="s">
        <v>736</v>
      </c>
      <c r="M2155" s="207">
        <f>ROUND(K2155*I2155/10000,6)</f>
        <v>0</v>
      </c>
      <c r="N2155" s="198">
        <f>'02 项目基础信息（输入）'!$C$63</f>
        <v>0</v>
      </c>
      <c r="O2155" s="198">
        <f t="shared" si="246"/>
        <v>0</v>
      </c>
      <c r="P2155" s="198">
        <f>'02 项目基础信息（输入）'!$I$63</f>
        <v>0</v>
      </c>
      <c r="Q2155" s="233">
        <f t="shared" si="247"/>
        <v>0</v>
      </c>
      <c r="S2155" s="217"/>
      <c r="U2155" s="220" t="s">
        <v>3944</v>
      </c>
    </row>
    <row r="2156" spans="1:21" ht="0" hidden="1" customHeight="1" outlineLevel="2">
      <c r="A2156" s="192" t="s">
        <v>2182</v>
      </c>
      <c r="B2156" s="192"/>
      <c r="C2156" s="197" t="s">
        <v>1609</v>
      </c>
      <c r="D2156" s="198">
        <f>'02 项目基础信息（输入）'!$C$63</f>
        <v>0</v>
      </c>
      <c r="E2156" s="199" t="s">
        <v>93</v>
      </c>
      <c r="F2156" s="197"/>
      <c r="G2156" s="199"/>
      <c r="H2156" s="199"/>
      <c r="I2156" s="197"/>
      <c r="J2156" s="199"/>
      <c r="K2156" s="198"/>
      <c r="L2156" s="209"/>
      <c r="M2156" s="198">
        <f>ROUND(SUM(M2157),6)</f>
        <v>0</v>
      </c>
      <c r="N2156" s="198">
        <f>'02 项目基础信息（输入）'!$C$63</f>
        <v>0</v>
      </c>
      <c r="O2156" s="198">
        <f t="shared" si="246"/>
        <v>0</v>
      </c>
      <c r="P2156" s="198">
        <f>'02 项目基础信息（输入）'!$I$63</f>
        <v>0</v>
      </c>
      <c r="Q2156" s="233">
        <f t="shared" si="247"/>
        <v>0</v>
      </c>
      <c r="S2156" s="217" t="s">
        <v>1313</v>
      </c>
      <c r="U2156" s="220" t="s">
        <v>3945</v>
      </c>
    </row>
    <row r="2157" spans="1:21" ht="0" hidden="1" customHeight="1" outlineLevel="3">
      <c r="A2157" s="192" t="s">
        <v>2184</v>
      </c>
      <c r="B2157" s="192"/>
      <c r="C2157" s="197" t="s">
        <v>309</v>
      </c>
      <c r="D2157" s="198">
        <f>'02 项目基础信息（输入）'!$AC$63</f>
        <v>0</v>
      </c>
      <c r="E2157" s="199" t="s">
        <v>310</v>
      </c>
      <c r="F2157" s="197" t="s">
        <v>309</v>
      </c>
      <c r="G2157" s="199">
        <v>1</v>
      </c>
      <c r="H2157" s="199" t="s">
        <v>1903</v>
      </c>
      <c r="I2157" s="198">
        <f>G2157*D2157</f>
        <v>0</v>
      </c>
      <c r="J2157" s="199" t="s">
        <v>310</v>
      </c>
      <c r="K2157" s="188">
        <v>0</v>
      </c>
      <c r="L2157" s="209" t="s">
        <v>736</v>
      </c>
      <c r="M2157" s="198">
        <f>ROUND(K2157*I2157/10000,6)</f>
        <v>0</v>
      </c>
      <c r="N2157" s="198">
        <f>'02 项目基础信息（输入）'!$C$63</f>
        <v>0</v>
      </c>
      <c r="O2157" s="198">
        <f t="shared" si="246"/>
        <v>0</v>
      </c>
      <c r="P2157" s="198">
        <f>'02 项目基础信息（输入）'!$I$63</f>
        <v>0</v>
      </c>
      <c r="Q2157" s="233">
        <f t="shared" si="247"/>
        <v>0</v>
      </c>
      <c r="S2157" s="217"/>
      <c r="U2157" s="220" t="s">
        <v>3946</v>
      </c>
    </row>
    <row r="2158" spans="1:21" ht="0" hidden="1" customHeight="1" outlineLevel="2">
      <c r="A2158" s="192" t="s">
        <v>1915</v>
      </c>
      <c r="B2158" s="192"/>
      <c r="C2158" s="197" t="s">
        <v>1609</v>
      </c>
      <c r="D2158" s="198">
        <f>'02 项目基础信息（输入）'!$C$63</f>
        <v>0</v>
      </c>
      <c r="E2158" s="199" t="s">
        <v>93</v>
      </c>
      <c r="F2158" s="197"/>
      <c r="G2158" s="199"/>
      <c r="H2158" s="199"/>
      <c r="I2158" s="197"/>
      <c r="J2158" s="199"/>
      <c r="K2158" s="198"/>
      <c r="L2158" s="209"/>
      <c r="M2158" s="198">
        <f>ROUND(SUM(M2159:M2161),6)</f>
        <v>0</v>
      </c>
      <c r="N2158" s="198">
        <f>'02 项目基础信息（输入）'!$C$63</f>
        <v>0</v>
      </c>
      <c r="O2158" s="198">
        <f t="shared" si="246"/>
        <v>0</v>
      </c>
      <c r="P2158" s="198">
        <f>'02 项目基础信息（输入）'!$I$63</f>
        <v>0</v>
      </c>
      <c r="Q2158" s="233">
        <f t="shared" si="247"/>
        <v>0</v>
      </c>
      <c r="S2158" s="217" t="s">
        <v>1314</v>
      </c>
      <c r="U2158" s="220" t="s">
        <v>3947</v>
      </c>
    </row>
    <row r="2159" spans="1:21" ht="0" hidden="1" customHeight="1" outlineLevel="3">
      <c r="A2159" s="192" t="s">
        <v>1917</v>
      </c>
      <c r="B2159" s="192"/>
      <c r="C2159" s="197" t="s">
        <v>455</v>
      </c>
      <c r="D2159" s="198">
        <f>'02 项目基础信息（输入）'!$J$63</f>
        <v>0</v>
      </c>
      <c r="E2159" s="199" t="s">
        <v>400</v>
      </c>
      <c r="F2159" s="197" t="s">
        <v>455</v>
      </c>
      <c r="G2159" s="199">
        <v>1</v>
      </c>
      <c r="H2159" s="199" t="s">
        <v>1918</v>
      </c>
      <c r="I2159" s="198">
        <f>G2159*D2159</f>
        <v>0</v>
      </c>
      <c r="J2159" s="199" t="s">
        <v>1082</v>
      </c>
      <c r="K2159" s="188">
        <v>0</v>
      </c>
      <c r="L2159" s="209" t="s">
        <v>1087</v>
      </c>
      <c r="M2159" s="207">
        <f>ROUND(K2159*I2159/10000,6)</f>
        <v>0</v>
      </c>
      <c r="N2159" s="198">
        <f>'02 项目基础信息（输入）'!$C$63</f>
        <v>0</v>
      </c>
      <c r="O2159" s="198">
        <f t="shared" si="246"/>
        <v>0</v>
      </c>
      <c r="P2159" s="198">
        <f>'02 项目基础信息（输入）'!$I$63</f>
        <v>0</v>
      </c>
      <c r="Q2159" s="233">
        <f t="shared" si="247"/>
        <v>0</v>
      </c>
      <c r="S2159" s="217"/>
      <c r="U2159" s="220" t="s">
        <v>3948</v>
      </c>
    </row>
    <row r="2160" spans="1:21" ht="0" hidden="1" customHeight="1" outlineLevel="3">
      <c r="A2160" s="192" t="s">
        <v>1920</v>
      </c>
      <c r="B2160" s="192"/>
      <c r="C2160" s="197" t="s">
        <v>455</v>
      </c>
      <c r="D2160" s="198">
        <f>'02 项目基础信息（输入）'!$J$63</f>
        <v>0</v>
      </c>
      <c r="E2160" s="199" t="s">
        <v>400</v>
      </c>
      <c r="F2160" s="197" t="s">
        <v>455</v>
      </c>
      <c r="G2160" s="199">
        <v>1</v>
      </c>
      <c r="H2160" s="199" t="s">
        <v>1918</v>
      </c>
      <c r="I2160" s="198">
        <f>G2160*D2160</f>
        <v>0</v>
      </c>
      <c r="J2160" s="199" t="s">
        <v>1082</v>
      </c>
      <c r="K2160" s="188">
        <v>0</v>
      </c>
      <c r="L2160" s="209" t="s">
        <v>1087</v>
      </c>
      <c r="M2160" s="207">
        <f>ROUND(K2160*I2160/10000,6)</f>
        <v>0</v>
      </c>
      <c r="N2160" s="198">
        <f>'02 项目基础信息（输入）'!$C$63</f>
        <v>0</v>
      </c>
      <c r="O2160" s="198">
        <f t="shared" si="246"/>
        <v>0</v>
      </c>
      <c r="P2160" s="198">
        <f>'02 项目基础信息（输入）'!$I$63</f>
        <v>0</v>
      </c>
      <c r="Q2160" s="233">
        <f t="shared" si="247"/>
        <v>0</v>
      </c>
      <c r="S2160" s="217"/>
      <c r="U2160" s="220" t="s">
        <v>3949</v>
      </c>
    </row>
    <row r="2161" spans="1:21" ht="0" hidden="1" customHeight="1" outlineLevel="3">
      <c r="A2161" s="192" t="s">
        <v>1922</v>
      </c>
      <c r="B2161" s="192"/>
      <c r="C2161" s="197" t="s">
        <v>455</v>
      </c>
      <c r="D2161" s="198">
        <f>'02 项目基础信息（输入）'!$J$63</f>
        <v>0</v>
      </c>
      <c r="E2161" s="199" t="s">
        <v>400</v>
      </c>
      <c r="F2161" s="197" t="s">
        <v>455</v>
      </c>
      <c r="G2161" s="199">
        <v>1</v>
      </c>
      <c r="H2161" s="199" t="s">
        <v>1918</v>
      </c>
      <c r="I2161" s="198">
        <f>G2161*D2161</f>
        <v>0</v>
      </c>
      <c r="J2161" s="199" t="s">
        <v>1082</v>
      </c>
      <c r="K2161" s="188">
        <v>0</v>
      </c>
      <c r="L2161" s="209" t="s">
        <v>1087</v>
      </c>
      <c r="M2161" s="207">
        <f>ROUND(K2161*I2161/10000,6)</f>
        <v>0</v>
      </c>
      <c r="N2161" s="198">
        <f>'02 项目基础信息（输入）'!$C$63</f>
        <v>0</v>
      </c>
      <c r="O2161" s="198">
        <f t="shared" si="246"/>
        <v>0</v>
      </c>
      <c r="P2161" s="198">
        <f>'02 项目基础信息（输入）'!$I$63</f>
        <v>0</v>
      </c>
      <c r="Q2161" s="233">
        <f t="shared" si="247"/>
        <v>0</v>
      </c>
      <c r="S2161" s="217"/>
      <c r="U2161" s="220" t="s">
        <v>3950</v>
      </c>
    </row>
    <row r="2162" spans="1:21" ht="0" hidden="1" customHeight="1" outlineLevel="2">
      <c r="A2162" s="192" t="s">
        <v>1924</v>
      </c>
      <c r="B2162" s="192"/>
      <c r="C2162" s="197" t="s">
        <v>1609</v>
      </c>
      <c r="D2162" s="198">
        <f>'02 项目基础信息（输入）'!$C$63</f>
        <v>0</v>
      </c>
      <c r="E2162" s="199" t="s">
        <v>93</v>
      </c>
      <c r="F2162" s="197"/>
      <c r="G2162" s="199"/>
      <c r="H2162" s="199"/>
      <c r="I2162" s="197"/>
      <c r="J2162" s="199"/>
      <c r="K2162" s="198"/>
      <c r="L2162" s="209"/>
      <c r="M2162" s="198">
        <f>ROUND(SUM(M2163),6)</f>
        <v>0</v>
      </c>
      <c r="N2162" s="198">
        <f>'02 项目基础信息（输入）'!$C$63</f>
        <v>0</v>
      </c>
      <c r="O2162" s="198">
        <f t="shared" si="246"/>
        <v>0</v>
      </c>
      <c r="P2162" s="198">
        <f>'02 项目基础信息（输入）'!$I$63</f>
        <v>0</v>
      </c>
      <c r="Q2162" s="233">
        <f t="shared" si="247"/>
        <v>0</v>
      </c>
      <c r="S2162" s="217" t="s">
        <v>1313</v>
      </c>
      <c r="U2162" s="220" t="s">
        <v>3951</v>
      </c>
    </row>
    <row r="2163" spans="1:21" ht="0" hidden="1" customHeight="1" outlineLevel="3">
      <c r="A2163" s="192" t="s">
        <v>1926</v>
      </c>
      <c r="B2163" s="192"/>
      <c r="C2163" s="197" t="s">
        <v>1609</v>
      </c>
      <c r="D2163" s="198">
        <f>'02 项目基础信息（输入）'!$C$63</f>
        <v>0</v>
      </c>
      <c r="E2163" s="199" t="s">
        <v>93</v>
      </c>
      <c r="F2163" s="197" t="s">
        <v>1927</v>
      </c>
      <c r="G2163" s="82">
        <v>0</v>
      </c>
      <c r="H2163" s="199" t="s">
        <v>298</v>
      </c>
      <c r="I2163" s="198">
        <f>G2163*D2163</f>
        <v>0</v>
      </c>
      <c r="J2163" s="199" t="s">
        <v>93</v>
      </c>
      <c r="K2163" s="188">
        <v>0</v>
      </c>
      <c r="L2163" s="209" t="s">
        <v>675</v>
      </c>
      <c r="M2163" s="207">
        <f>ROUND(K2163*I2163/10000,6)</f>
        <v>0</v>
      </c>
      <c r="N2163" s="198">
        <f>'02 项目基础信息（输入）'!$C$63</f>
        <v>0</v>
      </c>
      <c r="O2163" s="198">
        <f t="shared" si="246"/>
        <v>0</v>
      </c>
      <c r="P2163" s="198">
        <f>'02 项目基础信息（输入）'!$I$63</f>
        <v>0</v>
      </c>
      <c r="Q2163" s="233">
        <f t="shared" si="247"/>
        <v>0</v>
      </c>
      <c r="S2163" s="217"/>
      <c r="U2163" s="220" t="s">
        <v>3952</v>
      </c>
    </row>
    <row r="2164" spans="1:21" ht="0" hidden="1" customHeight="1" outlineLevel="2">
      <c r="A2164" s="192" t="s">
        <v>1931</v>
      </c>
      <c r="B2164" s="192"/>
      <c r="C2164" s="197" t="s">
        <v>1609</v>
      </c>
      <c r="D2164" s="198">
        <f>'02 项目基础信息（输入）'!$C$63</f>
        <v>0</v>
      </c>
      <c r="E2164" s="199" t="s">
        <v>93</v>
      </c>
      <c r="F2164" s="197"/>
      <c r="G2164" s="199"/>
      <c r="H2164" s="199"/>
      <c r="I2164" s="197"/>
      <c r="J2164" s="199"/>
      <c r="K2164" s="198"/>
      <c r="L2164" s="209"/>
      <c r="M2164" s="198">
        <f>ROUND(SUM(M2165),6)</f>
        <v>0</v>
      </c>
      <c r="N2164" s="198">
        <f>'02 项目基础信息（输入）'!$C$63</f>
        <v>0</v>
      </c>
      <c r="O2164" s="198">
        <f t="shared" si="246"/>
        <v>0</v>
      </c>
      <c r="P2164" s="198">
        <f>'02 项目基础信息（输入）'!$I$63</f>
        <v>0</v>
      </c>
      <c r="Q2164" s="233">
        <f t="shared" si="247"/>
        <v>0</v>
      </c>
      <c r="S2164" s="217" t="s">
        <v>1313</v>
      </c>
      <c r="U2164" s="220" t="s">
        <v>3953</v>
      </c>
    </row>
    <row r="2165" spans="1:21" ht="0" hidden="1" customHeight="1" outlineLevel="3">
      <c r="A2165" s="192" t="s">
        <v>1933</v>
      </c>
      <c r="B2165" s="192"/>
      <c r="C2165" s="197" t="s">
        <v>1609</v>
      </c>
      <c r="D2165" s="198">
        <f>'02 项目基础信息（输入）'!$C$63</f>
        <v>0</v>
      </c>
      <c r="E2165" s="199" t="s">
        <v>93</v>
      </c>
      <c r="F2165" s="197" t="s">
        <v>1886</v>
      </c>
      <c r="G2165" s="199">
        <v>1</v>
      </c>
      <c r="H2165" s="199" t="s">
        <v>298</v>
      </c>
      <c r="I2165" s="198">
        <f>G2165*D2165</f>
        <v>0</v>
      </c>
      <c r="J2165" s="199" t="s">
        <v>93</v>
      </c>
      <c r="K2165" s="188">
        <v>0</v>
      </c>
      <c r="L2165" s="209" t="s">
        <v>675</v>
      </c>
      <c r="M2165" s="207">
        <f>ROUND(K2165*I2165/10000,6)</f>
        <v>0</v>
      </c>
      <c r="N2165" s="198">
        <f>'02 项目基础信息（输入）'!$C$63</f>
        <v>0</v>
      </c>
      <c r="O2165" s="198">
        <f t="shared" si="246"/>
        <v>0</v>
      </c>
      <c r="P2165" s="198">
        <f>'02 项目基础信息（输入）'!$I$63</f>
        <v>0</v>
      </c>
      <c r="Q2165" s="233">
        <f t="shared" si="247"/>
        <v>0</v>
      </c>
      <c r="S2165" s="217"/>
      <c r="U2165" s="220" t="s">
        <v>3954</v>
      </c>
    </row>
    <row r="2166" spans="1:21" ht="0" hidden="1" customHeight="1" outlineLevel="2">
      <c r="A2166" s="192" t="s">
        <v>1935</v>
      </c>
      <c r="B2166" s="192"/>
      <c r="C2166" s="197" t="s">
        <v>1609</v>
      </c>
      <c r="D2166" s="198">
        <f>'02 项目基础信息（输入）'!$C$63</f>
        <v>0</v>
      </c>
      <c r="E2166" s="199" t="s">
        <v>93</v>
      </c>
      <c r="F2166" s="197"/>
      <c r="G2166" s="199"/>
      <c r="H2166" s="199"/>
      <c r="I2166" s="197"/>
      <c r="J2166" s="199"/>
      <c r="K2166" s="198"/>
      <c r="L2166" s="209"/>
      <c r="M2166" s="198">
        <f>ROUND(SUM(M2167:M2169),6)</f>
        <v>0</v>
      </c>
      <c r="N2166" s="198">
        <f>'02 项目基础信息（输入）'!$C$63</f>
        <v>0</v>
      </c>
      <c r="O2166" s="198">
        <f t="shared" si="246"/>
        <v>0</v>
      </c>
      <c r="P2166" s="198">
        <f>'02 项目基础信息（输入）'!$I$63</f>
        <v>0</v>
      </c>
      <c r="Q2166" s="233">
        <f t="shared" si="247"/>
        <v>0</v>
      </c>
      <c r="S2166" s="217" t="s">
        <v>1313</v>
      </c>
      <c r="U2166" s="220" t="s">
        <v>3955</v>
      </c>
    </row>
    <row r="2167" spans="1:21" ht="0" hidden="1" customHeight="1" outlineLevel="3">
      <c r="A2167" s="192" t="s">
        <v>2195</v>
      </c>
      <c r="B2167" s="192"/>
      <c r="C2167" s="197" t="s">
        <v>309</v>
      </c>
      <c r="D2167" s="198">
        <f>'02 项目基础信息（输入）'!$AC$63</f>
        <v>0</v>
      </c>
      <c r="E2167" s="199" t="s">
        <v>310</v>
      </c>
      <c r="F2167" s="197" t="s">
        <v>2196</v>
      </c>
      <c r="G2167" s="82">
        <v>0</v>
      </c>
      <c r="H2167" s="199" t="s">
        <v>2197</v>
      </c>
      <c r="I2167" s="198">
        <f>G2167*D2167</f>
        <v>0</v>
      </c>
      <c r="J2167" s="199" t="s">
        <v>2198</v>
      </c>
      <c r="K2167" s="188">
        <v>0</v>
      </c>
      <c r="L2167" s="209" t="s">
        <v>841</v>
      </c>
      <c r="M2167" s="207">
        <f>ROUND(K2167*I2167/10000,6)</f>
        <v>0</v>
      </c>
      <c r="N2167" s="198">
        <f>'02 项目基础信息（输入）'!$C$63</f>
        <v>0</v>
      </c>
      <c r="O2167" s="198">
        <f t="shared" si="246"/>
        <v>0</v>
      </c>
      <c r="P2167" s="198">
        <f>'02 项目基础信息（输入）'!$I$63</f>
        <v>0</v>
      </c>
      <c r="Q2167" s="233">
        <f t="shared" si="247"/>
        <v>0</v>
      </c>
      <c r="S2167" s="217"/>
      <c r="U2167" s="220" t="s">
        <v>3956</v>
      </c>
    </row>
    <row r="2168" spans="1:21" ht="0" hidden="1" customHeight="1" outlineLevel="3">
      <c r="A2168" s="192" t="s">
        <v>2200</v>
      </c>
      <c r="B2168" s="192"/>
      <c r="C2168" s="197" t="s">
        <v>309</v>
      </c>
      <c r="D2168" s="198">
        <f>'02 项目基础信息（输入）'!$AC$63</f>
        <v>0</v>
      </c>
      <c r="E2168" s="199" t="s">
        <v>310</v>
      </c>
      <c r="F2168" s="197" t="s">
        <v>2196</v>
      </c>
      <c r="G2168" s="82">
        <v>0</v>
      </c>
      <c r="H2168" s="199" t="s">
        <v>2197</v>
      </c>
      <c r="I2168" s="198">
        <f>G2168*D2168</f>
        <v>0</v>
      </c>
      <c r="J2168" s="199" t="s">
        <v>2198</v>
      </c>
      <c r="K2168" s="188">
        <v>0</v>
      </c>
      <c r="L2168" s="209" t="s">
        <v>841</v>
      </c>
      <c r="M2168" s="207">
        <f>ROUND(K2168*I2168/10000,6)</f>
        <v>0</v>
      </c>
      <c r="N2168" s="198">
        <f>'02 项目基础信息（输入）'!$C$63</f>
        <v>0</v>
      </c>
      <c r="O2168" s="198">
        <f t="shared" si="246"/>
        <v>0</v>
      </c>
      <c r="P2168" s="198">
        <f>'02 项目基础信息（输入）'!$I$63</f>
        <v>0</v>
      </c>
      <c r="Q2168" s="233">
        <f t="shared" si="247"/>
        <v>0</v>
      </c>
      <c r="S2168" s="217"/>
      <c r="U2168" s="220" t="s">
        <v>3957</v>
      </c>
    </row>
    <row r="2169" spans="1:21" ht="0" hidden="1" customHeight="1" outlineLevel="3">
      <c r="A2169" s="192" t="s">
        <v>2202</v>
      </c>
      <c r="B2169" s="192"/>
      <c r="C2169" s="197" t="s">
        <v>309</v>
      </c>
      <c r="D2169" s="198">
        <f>'02 项目基础信息（输入）'!$AC$63</f>
        <v>0</v>
      </c>
      <c r="E2169" s="199" t="s">
        <v>310</v>
      </c>
      <c r="F2169" s="197" t="s">
        <v>2196</v>
      </c>
      <c r="G2169" s="82">
        <v>0</v>
      </c>
      <c r="H2169" s="199" t="s">
        <v>2197</v>
      </c>
      <c r="I2169" s="198">
        <f>G2169*D2169</f>
        <v>0</v>
      </c>
      <c r="J2169" s="199" t="s">
        <v>2198</v>
      </c>
      <c r="K2169" s="188">
        <v>0</v>
      </c>
      <c r="L2169" s="209" t="s">
        <v>841</v>
      </c>
      <c r="M2169" s="207">
        <f>ROUND(K2169*I2169/10000,6)</f>
        <v>0</v>
      </c>
      <c r="N2169" s="198">
        <f>'02 项目基础信息（输入）'!$C$63</f>
        <v>0</v>
      </c>
      <c r="O2169" s="198">
        <f t="shared" si="246"/>
        <v>0</v>
      </c>
      <c r="P2169" s="198">
        <f>'02 项目基础信息（输入）'!$I$63</f>
        <v>0</v>
      </c>
      <c r="Q2169" s="233">
        <f t="shared" si="247"/>
        <v>0</v>
      </c>
      <c r="S2169" s="217"/>
      <c r="U2169" s="220" t="s">
        <v>3958</v>
      </c>
    </row>
    <row r="2170" spans="1:21" ht="0" hidden="1" customHeight="1" outlineLevel="2">
      <c r="A2170" s="192" t="s">
        <v>1937</v>
      </c>
      <c r="B2170" s="192"/>
      <c r="C2170" s="197" t="s">
        <v>1609</v>
      </c>
      <c r="D2170" s="198">
        <f>'02 项目基础信息（输入）'!$C$63</f>
        <v>0</v>
      </c>
      <c r="E2170" s="199" t="s">
        <v>93</v>
      </c>
      <c r="F2170" s="197"/>
      <c r="G2170" s="199"/>
      <c r="H2170" s="199"/>
      <c r="I2170" s="197"/>
      <c r="J2170" s="199"/>
      <c r="K2170" s="198"/>
      <c r="L2170" s="209"/>
      <c r="M2170" s="198">
        <f>ROUND(SUM(M2171),6)</f>
        <v>0</v>
      </c>
      <c r="N2170" s="198">
        <f>'02 项目基础信息（输入）'!$C$63</f>
        <v>0</v>
      </c>
      <c r="O2170" s="198">
        <f t="shared" si="246"/>
        <v>0</v>
      </c>
      <c r="P2170" s="198">
        <f>'02 项目基础信息（输入）'!$I$63</f>
        <v>0</v>
      </c>
      <c r="Q2170" s="233">
        <f t="shared" si="247"/>
        <v>0</v>
      </c>
      <c r="S2170" s="217" t="s">
        <v>1313</v>
      </c>
      <c r="U2170" s="220" t="s">
        <v>3959</v>
      </c>
    </row>
    <row r="2171" spans="1:21" ht="0" hidden="1" customHeight="1" outlineLevel="3">
      <c r="A2171" s="192" t="s">
        <v>2205</v>
      </c>
      <c r="B2171" s="192"/>
      <c r="C2171" s="197" t="s">
        <v>1609</v>
      </c>
      <c r="D2171" s="198">
        <f>'02 项目基础信息（输入）'!$C$63</f>
        <v>0</v>
      </c>
      <c r="E2171" s="199" t="s">
        <v>93</v>
      </c>
      <c r="F2171" s="197" t="s">
        <v>1609</v>
      </c>
      <c r="G2171" s="199">
        <v>1</v>
      </c>
      <c r="H2171" s="199" t="s">
        <v>298</v>
      </c>
      <c r="I2171" s="198">
        <f>G2171*D2171</f>
        <v>0</v>
      </c>
      <c r="J2171" s="199" t="s">
        <v>93</v>
      </c>
      <c r="K2171" s="188">
        <v>0</v>
      </c>
      <c r="L2171" s="209" t="s">
        <v>675</v>
      </c>
      <c r="M2171" s="207">
        <f>ROUND(K2171*I2171/10000,6)</f>
        <v>0</v>
      </c>
      <c r="N2171" s="198">
        <f>'02 项目基础信息（输入）'!$C$63</f>
        <v>0</v>
      </c>
      <c r="O2171" s="198">
        <f t="shared" si="246"/>
        <v>0</v>
      </c>
      <c r="P2171" s="198">
        <f>'02 项目基础信息（输入）'!$I$63</f>
        <v>0</v>
      </c>
      <c r="Q2171" s="233">
        <f t="shared" si="247"/>
        <v>0</v>
      </c>
      <c r="S2171" s="217"/>
      <c r="U2171" s="220" t="s">
        <v>3960</v>
      </c>
    </row>
    <row r="2172" spans="1:21" ht="0" hidden="1" customHeight="1" outlineLevel="2">
      <c r="A2172" s="192" t="s">
        <v>1939</v>
      </c>
      <c r="B2172" s="192"/>
      <c r="C2172" s="197" t="s">
        <v>1609</v>
      </c>
      <c r="D2172" s="198">
        <f>'02 项目基础信息（输入）'!$C$63</f>
        <v>0</v>
      </c>
      <c r="E2172" s="199" t="s">
        <v>93</v>
      </c>
      <c r="F2172" s="197"/>
      <c r="G2172" s="199"/>
      <c r="H2172" s="199"/>
      <c r="I2172" s="197"/>
      <c r="J2172" s="199"/>
      <c r="K2172" s="198"/>
      <c r="L2172" s="209"/>
      <c r="M2172" s="198">
        <f>ROUND(SUM(M2173),6)</f>
        <v>0</v>
      </c>
      <c r="N2172" s="198">
        <f>'02 项目基础信息（输入）'!$C$63</f>
        <v>0</v>
      </c>
      <c r="O2172" s="198">
        <f t="shared" si="246"/>
        <v>0</v>
      </c>
      <c r="P2172" s="198">
        <f>'02 项目基础信息（输入）'!$I$63</f>
        <v>0</v>
      </c>
      <c r="Q2172" s="233">
        <f t="shared" si="247"/>
        <v>0</v>
      </c>
      <c r="S2172" s="217" t="s">
        <v>1313</v>
      </c>
      <c r="U2172" s="220" t="s">
        <v>3961</v>
      </c>
    </row>
    <row r="2173" spans="1:21" ht="0" hidden="1" customHeight="1" outlineLevel="3">
      <c r="A2173" s="192" t="s">
        <v>2208</v>
      </c>
      <c r="B2173" s="192"/>
      <c r="C2173" s="197" t="s">
        <v>477</v>
      </c>
      <c r="D2173" s="198">
        <f>'02 项目基础信息（输入）'!$AG$63</f>
        <v>0</v>
      </c>
      <c r="E2173" s="199" t="s">
        <v>2209</v>
      </c>
      <c r="F2173" s="197" t="s">
        <v>477</v>
      </c>
      <c r="G2173" s="199">
        <v>1</v>
      </c>
      <c r="H2173" s="199" t="s">
        <v>2210</v>
      </c>
      <c r="I2173" s="198">
        <f>G2173*D2173</f>
        <v>0</v>
      </c>
      <c r="J2173" s="199" t="s">
        <v>2209</v>
      </c>
      <c r="K2173" s="188">
        <v>0</v>
      </c>
      <c r="L2173" s="209" t="s">
        <v>2211</v>
      </c>
      <c r="M2173" s="207">
        <f>ROUND(K2173*I2173/10000,6)</f>
        <v>0</v>
      </c>
      <c r="N2173" s="198">
        <f>'02 项目基础信息（输入）'!$C$63</f>
        <v>0</v>
      </c>
      <c r="O2173" s="198">
        <f t="shared" si="246"/>
        <v>0</v>
      </c>
      <c r="P2173" s="198">
        <f>'02 项目基础信息（输入）'!$I$63</f>
        <v>0</v>
      </c>
      <c r="Q2173" s="233">
        <f t="shared" si="247"/>
        <v>0</v>
      </c>
      <c r="S2173" s="217"/>
      <c r="U2173" s="220" t="s">
        <v>3962</v>
      </c>
    </row>
    <row r="2174" spans="1:21" ht="0" hidden="1" customHeight="1" outlineLevel="2">
      <c r="A2174" s="192" t="s">
        <v>1941</v>
      </c>
      <c r="B2174" s="192"/>
      <c r="C2174" s="197" t="s">
        <v>1609</v>
      </c>
      <c r="D2174" s="198">
        <f>'02 项目基础信息（输入）'!$C$63</f>
        <v>0</v>
      </c>
      <c r="E2174" s="199" t="s">
        <v>93</v>
      </c>
      <c r="F2174" s="197"/>
      <c r="G2174" s="199"/>
      <c r="H2174" s="199"/>
      <c r="I2174" s="197"/>
      <c r="J2174" s="199"/>
      <c r="K2174" s="198"/>
      <c r="L2174" s="209"/>
      <c r="M2174" s="197">
        <v>0</v>
      </c>
      <c r="N2174" s="198">
        <f>'02 项目基础信息（输入）'!$C$63</f>
        <v>0</v>
      </c>
      <c r="O2174" s="198">
        <f t="shared" si="246"/>
        <v>0</v>
      </c>
      <c r="P2174" s="198">
        <f>'02 项目基础信息（输入）'!$I$63</f>
        <v>0</v>
      </c>
      <c r="Q2174" s="233">
        <f t="shared" si="247"/>
        <v>0</v>
      </c>
      <c r="S2174" s="217" t="s">
        <v>1313</v>
      </c>
      <c r="U2174" s="220" t="s">
        <v>3963</v>
      </c>
    </row>
    <row r="2175" spans="1:21" ht="0" hidden="1" customHeight="1" outlineLevel="2">
      <c r="A2175" s="192" t="s">
        <v>1952</v>
      </c>
      <c r="B2175" s="192"/>
      <c r="C2175" s="197" t="s">
        <v>1609</v>
      </c>
      <c r="D2175" s="198">
        <f>'02 项目基础信息（输入）'!$C$63</f>
        <v>0</v>
      </c>
      <c r="E2175" s="199" t="s">
        <v>93</v>
      </c>
      <c r="F2175" s="197"/>
      <c r="G2175" s="199"/>
      <c r="H2175" s="199"/>
      <c r="I2175" s="197"/>
      <c r="J2175" s="199"/>
      <c r="K2175" s="198"/>
      <c r="L2175" s="209"/>
      <c r="M2175" s="197">
        <v>0</v>
      </c>
      <c r="N2175" s="198">
        <f>'02 项目基础信息（输入）'!$C$63</f>
        <v>0</v>
      </c>
      <c r="O2175" s="198">
        <f t="shared" si="246"/>
        <v>0</v>
      </c>
      <c r="P2175" s="198">
        <f>'02 项目基础信息（输入）'!$I$63</f>
        <v>0</v>
      </c>
      <c r="Q2175" s="233">
        <f t="shared" si="247"/>
        <v>0</v>
      </c>
      <c r="S2175" s="217" t="s">
        <v>1313</v>
      </c>
      <c r="U2175" s="220" t="s">
        <v>3964</v>
      </c>
    </row>
    <row r="2176" spans="1:21" ht="0" hidden="1" customHeight="1" outlineLevel="2">
      <c r="A2176" s="192" t="s">
        <v>1957</v>
      </c>
      <c r="B2176" s="192"/>
      <c r="C2176" s="197" t="s">
        <v>1609</v>
      </c>
      <c r="D2176" s="198">
        <f>'02 项目基础信息（输入）'!$C$63</f>
        <v>0</v>
      </c>
      <c r="E2176" s="199" t="s">
        <v>93</v>
      </c>
      <c r="F2176" s="197"/>
      <c r="G2176" s="199"/>
      <c r="H2176" s="199"/>
      <c r="I2176" s="197"/>
      <c r="J2176" s="199"/>
      <c r="K2176" s="198"/>
      <c r="L2176" s="209"/>
      <c r="M2176" s="198">
        <f>ROUND(SUM(M2177:M2180),6)</f>
        <v>0</v>
      </c>
      <c r="N2176" s="198">
        <f>'02 项目基础信息（输入）'!$C$63</f>
        <v>0</v>
      </c>
      <c r="O2176" s="198">
        <f t="shared" si="246"/>
        <v>0</v>
      </c>
      <c r="P2176" s="198">
        <f>'02 项目基础信息（输入）'!$I$63</f>
        <v>0</v>
      </c>
      <c r="Q2176" s="233">
        <f t="shared" si="247"/>
        <v>0</v>
      </c>
      <c r="S2176" s="217" t="s">
        <v>1313</v>
      </c>
      <c r="U2176" s="220" t="s">
        <v>3965</v>
      </c>
    </row>
    <row r="2177" spans="1:21" ht="0" hidden="1" customHeight="1" outlineLevel="3">
      <c r="A2177" s="192" t="s">
        <v>1959</v>
      </c>
      <c r="B2177" s="192"/>
      <c r="C2177" s="197" t="s">
        <v>1609</v>
      </c>
      <c r="D2177" s="198">
        <f>'02 项目基础信息（输入）'!$C$63</f>
        <v>0</v>
      </c>
      <c r="E2177" s="199" t="s">
        <v>93</v>
      </c>
      <c r="F2177" s="197" t="s">
        <v>1960</v>
      </c>
      <c r="G2177" s="82">
        <v>0</v>
      </c>
      <c r="H2177" s="199" t="s">
        <v>298</v>
      </c>
      <c r="I2177" s="198">
        <f>G2177*D2177</f>
        <v>0</v>
      </c>
      <c r="J2177" s="199" t="s">
        <v>93</v>
      </c>
      <c r="K2177" s="188">
        <v>0</v>
      </c>
      <c r="L2177" s="209" t="s">
        <v>675</v>
      </c>
      <c r="M2177" s="207">
        <f>ROUND(K2177*I2177/10000,6)</f>
        <v>0</v>
      </c>
      <c r="N2177" s="198">
        <f>'02 项目基础信息（输入）'!$C$63</f>
        <v>0</v>
      </c>
      <c r="O2177" s="198">
        <f t="shared" si="246"/>
        <v>0</v>
      </c>
      <c r="P2177" s="198">
        <f>'02 项目基础信息（输入）'!$I$63</f>
        <v>0</v>
      </c>
      <c r="Q2177" s="233">
        <f t="shared" si="247"/>
        <v>0</v>
      </c>
      <c r="S2177" s="217"/>
      <c r="U2177" s="220" t="s">
        <v>3966</v>
      </c>
    </row>
    <row r="2178" spans="1:21" ht="0" hidden="1" customHeight="1" outlineLevel="3">
      <c r="A2178" s="192" t="s">
        <v>1962</v>
      </c>
      <c r="B2178" s="192"/>
      <c r="C2178" s="197" t="s">
        <v>1609</v>
      </c>
      <c r="D2178" s="198">
        <f>'02 项目基础信息（输入）'!$C$63</f>
        <v>0</v>
      </c>
      <c r="E2178" s="199" t="s">
        <v>93</v>
      </c>
      <c r="F2178" s="197" t="s">
        <v>1960</v>
      </c>
      <c r="G2178" s="82">
        <v>0</v>
      </c>
      <c r="H2178" s="199" t="s">
        <v>298</v>
      </c>
      <c r="I2178" s="198">
        <f>G2178*D2178</f>
        <v>0</v>
      </c>
      <c r="J2178" s="199" t="s">
        <v>93</v>
      </c>
      <c r="K2178" s="188">
        <v>0</v>
      </c>
      <c r="L2178" s="209" t="s">
        <v>675</v>
      </c>
      <c r="M2178" s="207">
        <f>ROUND(K2178*I2178/10000,6)</f>
        <v>0</v>
      </c>
      <c r="N2178" s="198">
        <f>'02 项目基础信息（输入）'!$C$63</f>
        <v>0</v>
      </c>
      <c r="O2178" s="198">
        <f t="shared" si="246"/>
        <v>0</v>
      </c>
      <c r="P2178" s="198">
        <f>'02 项目基础信息（输入）'!$I$63</f>
        <v>0</v>
      </c>
      <c r="Q2178" s="233">
        <f t="shared" si="247"/>
        <v>0</v>
      </c>
      <c r="S2178" s="217"/>
      <c r="U2178" s="220" t="s">
        <v>3967</v>
      </c>
    </row>
    <row r="2179" spans="1:21" ht="0" hidden="1" customHeight="1" outlineLevel="3">
      <c r="A2179" s="192" t="s">
        <v>1964</v>
      </c>
      <c r="B2179" s="192"/>
      <c r="C2179" s="197" t="s">
        <v>1609</v>
      </c>
      <c r="D2179" s="198">
        <f>'02 项目基础信息（输入）'!$C$63</f>
        <v>0</v>
      </c>
      <c r="E2179" s="199" t="s">
        <v>93</v>
      </c>
      <c r="F2179" s="197" t="s">
        <v>1960</v>
      </c>
      <c r="G2179" s="82">
        <v>0</v>
      </c>
      <c r="H2179" s="199" t="s">
        <v>298</v>
      </c>
      <c r="I2179" s="198">
        <f>G2179*D2179</f>
        <v>0</v>
      </c>
      <c r="J2179" s="199" t="s">
        <v>93</v>
      </c>
      <c r="K2179" s="188">
        <v>0</v>
      </c>
      <c r="L2179" s="209" t="s">
        <v>675</v>
      </c>
      <c r="M2179" s="207">
        <f>ROUND(K2179*I2179/10000,6)</f>
        <v>0</v>
      </c>
      <c r="N2179" s="198">
        <f>'02 项目基础信息（输入）'!$C$63</f>
        <v>0</v>
      </c>
      <c r="O2179" s="198">
        <f t="shared" ref="O2179:O2242" si="252">ROUND(IFERROR(M2179*10000/N2179,0),2)</f>
        <v>0</v>
      </c>
      <c r="P2179" s="198">
        <f>'02 项目基础信息（输入）'!$I$63</f>
        <v>0</v>
      </c>
      <c r="Q2179" s="233">
        <f t="shared" ref="Q2179:Q2242" si="253">ROUND(IFERROR(M2179*10000/P2179,0),2)</f>
        <v>0</v>
      </c>
      <c r="S2179" s="217"/>
      <c r="U2179" s="220" t="s">
        <v>3968</v>
      </c>
    </row>
    <row r="2180" spans="1:21" ht="0" hidden="1" customHeight="1" outlineLevel="3">
      <c r="A2180" s="192" t="s">
        <v>1966</v>
      </c>
      <c r="B2180" s="192"/>
      <c r="C2180" s="197" t="s">
        <v>1609</v>
      </c>
      <c r="D2180" s="198">
        <f>'02 项目基础信息（输入）'!$C$63</f>
        <v>0</v>
      </c>
      <c r="E2180" s="199" t="s">
        <v>93</v>
      </c>
      <c r="F2180" s="197" t="s">
        <v>1960</v>
      </c>
      <c r="G2180" s="82">
        <v>0</v>
      </c>
      <c r="H2180" s="199" t="s">
        <v>298</v>
      </c>
      <c r="I2180" s="198">
        <f>G2180*D2180</f>
        <v>0</v>
      </c>
      <c r="J2180" s="199" t="s">
        <v>93</v>
      </c>
      <c r="K2180" s="188">
        <v>0</v>
      </c>
      <c r="L2180" s="209" t="s">
        <v>675</v>
      </c>
      <c r="M2180" s="207">
        <f>ROUND(K2180*I2180/10000,6)</f>
        <v>0</v>
      </c>
      <c r="N2180" s="198">
        <f>'02 项目基础信息（输入）'!$C$63</f>
        <v>0</v>
      </c>
      <c r="O2180" s="198">
        <f t="shared" si="252"/>
        <v>0</v>
      </c>
      <c r="P2180" s="198">
        <f>'02 项目基础信息（输入）'!$I$63</f>
        <v>0</v>
      </c>
      <c r="Q2180" s="233">
        <f t="shared" si="253"/>
        <v>0</v>
      </c>
      <c r="S2180" s="217"/>
      <c r="U2180" s="220" t="s">
        <v>3969</v>
      </c>
    </row>
    <row r="2181" spans="1:21" ht="0" hidden="1" customHeight="1" outlineLevel="2">
      <c r="A2181" s="192" t="s">
        <v>1968</v>
      </c>
      <c r="B2181" s="192"/>
      <c r="C2181" s="197" t="s">
        <v>1609</v>
      </c>
      <c r="D2181" s="198">
        <f>'02 项目基础信息（输入）'!$C$63</f>
        <v>0</v>
      </c>
      <c r="E2181" s="199" t="s">
        <v>93</v>
      </c>
      <c r="F2181" s="197"/>
      <c r="G2181" s="199"/>
      <c r="H2181" s="199"/>
      <c r="I2181" s="197"/>
      <c r="J2181" s="199"/>
      <c r="K2181" s="198"/>
      <c r="L2181" s="209"/>
      <c r="M2181" s="198">
        <f>ROUND(SUM(M2182),6)</f>
        <v>0</v>
      </c>
      <c r="N2181" s="198">
        <f>'02 项目基础信息（输入）'!$C$63</f>
        <v>0</v>
      </c>
      <c r="O2181" s="198">
        <f t="shared" si="252"/>
        <v>0</v>
      </c>
      <c r="P2181" s="198">
        <f>'02 项目基础信息（输入）'!$I$63</f>
        <v>0</v>
      </c>
      <c r="Q2181" s="233">
        <f t="shared" si="253"/>
        <v>0</v>
      </c>
      <c r="S2181" s="217" t="s">
        <v>1313</v>
      </c>
      <c r="U2181" s="220" t="s">
        <v>3970</v>
      </c>
    </row>
    <row r="2182" spans="1:21" ht="0" hidden="1" customHeight="1" outlineLevel="3">
      <c r="A2182" s="192" t="s">
        <v>1970</v>
      </c>
      <c r="B2182" s="192"/>
      <c r="C2182" s="197" t="s">
        <v>1609</v>
      </c>
      <c r="D2182" s="198">
        <f>'02 项目基础信息（输入）'!$C$63</f>
        <v>0</v>
      </c>
      <c r="E2182" s="199" t="s">
        <v>93</v>
      </c>
      <c r="F2182" s="197" t="s">
        <v>1609</v>
      </c>
      <c r="G2182" s="199">
        <v>1</v>
      </c>
      <c r="H2182" s="199" t="s">
        <v>298</v>
      </c>
      <c r="I2182" s="198">
        <f>G2182*D2182</f>
        <v>0</v>
      </c>
      <c r="J2182" s="199" t="s">
        <v>93</v>
      </c>
      <c r="K2182" s="188">
        <v>0</v>
      </c>
      <c r="L2182" s="209" t="s">
        <v>675</v>
      </c>
      <c r="M2182" s="207">
        <f>ROUND(K2182*I2182/10000,6)</f>
        <v>0</v>
      </c>
      <c r="N2182" s="198">
        <f>'02 项目基础信息（输入）'!$C$63</f>
        <v>0</v>
      </c>
      <c r="O2182" s="198">
        <f t="shared" si="252"/>
        <v>0</v>
      </c>
      <c r="P2182" s="198">
        <f>'02 项目基础信息（输入）'!$I$63</f>
        <v>0</v>
      </c>
      <c r="Q2182" s="233">
        <f t="shared" si="253"/>
        <v>0</v>
      </c>
      <c r="S2182" s="217"/>
      <c r="U2182" s="220" t="s">
        <v>3971</v>
      </c>
    </row>
    <row r="2183" spans="1:21" ht="0" hidden="1" customHeight="1" outlineLevel="2">
      <c r="A2183" s="192" t="s">
        <v>1972</v>
      </c>
      <c r="B2183" s="192"/>
      <c r="C2183" s="197" t="s">
        <v>1609</v>
      </c>
      <c r="D2183" s="198">
        <f>'02 项目基础信息（输入）'!$C$63</f>
        <v>0</v>
      </c>
      <c r="E2183" s="199" t="s">
        <v>93</v>
      </c>
      <c r="F2183" s="197"/>
      <c r="G2183" s="199"/>
      <c r="H2183" s="199"/>
      <c r="I2183" s="197"/>
      <c r="J2183" s="199"/>
      <c r="K2183" s="198"/>
      <c r="L2183" s="209"/>
      <c r="M2183" s="198">
        <f>ROUND(SUM(M2184),6)</f>
        <v>0</v>
      </c>
      <c r="N2183" s="198">
        <f>'02 项目基础信息（输入）'!$C$63</f>
        <v>0</v>
      </c>
      <c r="O2183" s="198">
        <f t="shared" si="252"/>
        <v>0</v>
      </c>
      <c r="P2183" s="198">
        <f>'02 项目基础信息（输入）'!$I$63</f>
        <v>0</v>
      </c>
      <c r="Q2183" s="233">
        <f t="shared" si="253"/>
        <v>0</v>
      </c>
      <c r="S2183" s="217" t="s">
        <v>1313</v>
      </c>
      <c r="U2183" s="220" t="s">
        <v>3972</v>
      </c>
    </row>
    <row r="2184" spans="1:21" ht="0" hidden="1" customHeight="1" outlineLevel="3">
      <c r="A2184" s="192" t="s">
        <v>1974</v>
      </c>
      <c r="B2184" s="192"/>
      <c r="C2184" s="197" t="s">
        <v>1609</v>
      </c>
      <c r="D2184" s="198">
        <f>'02 项目基础信息（输入）'!$C$63</f>
        <v>0</v>
      </c>
      <c r="E2184" s="199" t="s">
        <v>93</v>
      </c>
      <c r="F2184" s="197" t="s">
        <v>1609</v>
      </c>
      <c r="G2184" s="199">
        <v>1</v>
      </c>
      <c r="H2184" s="199" t="s">
        <v>298</v>
      </c>
      <c r="I2184" s="198">
        <f>G2184*D2184</f>
        <v>0</v>
      </c>
      <c r="J2184" s="199" t="s">
        <v>93</v>
      </c>
      <c r="K2184" s="188">
        <v>0</v>
      </c>
      <c r="L2184" s="209" t="s">
        <v>675</v>
      </c>
      <c r="M2184" s="207">
        <f>ROUND(K2184*I2184/10000,6)</f>
        <v>0</v>
      </c>
      <c r="N2184" s="198">
        <f>'02 项目基础信息（输入）'!$C$63</f>
        <v>0</v>
      </c>
      <c r="O2184" s="198">
        <f t="shared" si="252"/>
        <v>0</v>
      </c>
      <c r="P2184" s="198">
        <f>'02 项目基础信息（输入）'!$I$63</f>
        <v>0</v>
      </c>
      <c r="Q2184" s="233">
        <f t="shared" si="253"/>
        <v>0</v>
      </c>
      <c r="S2184" s="217"/>
      <c r="U2184" s="220" t="s">
        <v>3973</v>
      </c>
    </row>
    <row r="2185" spans="1:21" ht="20.25" customHeight="1" outlineLevel="1">
      <c r="A2185" s="196" t="s">
        <v>532</v>
      </c>
      <c r="B2185" s="196"/>
      <c r="C2185" s="197" t="s">
        <v>1609</v>
      </c>
      <c r="D2185" s="198">
        <f>'02 项目基础信息（输入）'!$C$66</f>
        <v>815</v>
      </c>
      <c r="E2185" s="199" t="s">
        <v>93</v>
      </c>
      <c r="F2185" s="197"/>
      <c r="G2185" s="199"/>
      <c r="H2185" s="199"/>
      <c r="I2185" s="197"/>
      <c r="J2185" s="199"/>
      <c r="K2185" s="197"/>
      <c r="L2185" s="209"/>
      <c r="M2185" s="198">
        <f>ROUND(M2186+M2208+M2211+M2224+M2227+M2230+M2249+M2261+M2263+M2269+M2275+M2280+M2297+M2302+M2324+M2326+M2330+M2332+M2334+M2340+M2347+M2349+M2351+M2355+M2357+M2359+M2363+M2365+M2367+M2368+M2369+M2374+M2376,6)</f>
        <v>454.02508899999998</v>
      </c>
      <c r="N2185" s="198">
        <f>'02 项目基础信息（输入）'!$C$66</f>
        <v>815</v>
      </c>
      <c r="O2185" s="198">
        <f t="shared" si="252"/>
        <v>5570.86</v>
      </c>
      <c r="P2185" s="198">
        <f>'02 项目基础信息（输入）'!$I$66</f>
        <v>815</v>
      </c>
      <c r="Q2185" s="233">
        <f t="shared" si="253"/>
        <v>5570.86</v>
      </c>
      <c r="S2185" s="217"/>
      <c r="U2185" s="220" t="s">
        <v>3974</v>
      </c>
    </row>
    <row r="2186" spans="1:21" ht="20.25" customHeight="1" outlineLevel="2" collapsed="1">
      <c r="A2186" s="192" t="s">
        <v>1611</v>
      </c>
      <c r="B2186" s="192"/>
      <c r="C2186" s="197" t="s">
        <v>1609</v>
      </c>
      <c r="D2186" s="198">
        <f>'02 项目基础信息（输入）'!$C$66</f>
        <v>815</v>
      </c>
      <c r="E2186" s="199" t="s">
        <v>93</v>
      </c>
      <c r="F2186" s="197"/>
      <c r="G2186" s="199"/>
      <c r="H2186" s="199"/>
      <c r="I2186" s="197"/>
      <c r="J2186" s="199"/>
      <c r="K2186" s="197"/>
      <c r="L2186" s="209"/>
      <c r="M2186" s="198">
        <f>ROUND(M2187+M2190+M2191+M2196+M2197+M2203+M2204+M2207,6)</f>
        <v>173.22790900000001</v>
      </c>
      <c r="N2186" s="198">
        <f>'02 项目基础信息（输入）'!$C$66</f>
        <v>815</v>
      </c>
      <c r="O2186" s="198">
        <f t="shared" si="252"/>
        <v>2125.5</v>
      </c>
      <c r="P2186" s="198">
        <f>'02 项目基础信息（输入）'!$I$66</f>
        <v>815</v>
      </c>
      <c r="Q2186" s="233">
        <f t="shared" si="253"/>
        <v>2125.5</v>
      </c>
      <c r="S2186" s="217" t="s">
        <v>1313</v>
      </c>
      <c r="U2186" s="220" t="s">
        <v>3975</v>
      </c>
    </row>
    <row r="2187" spans="1:21" ht="20.25" hidden="1" customHeight="1" outlineLevel="3">
      <c r="A2187" s="192" t="s">
        <v>1613</v>
      </c>
      <c r="B2187" s="192"/>
      <c r="C2187" s="197"/>
      <c r="D2187" s="198">
        <f>'02 项目基础信息（输入）'!$C$66</f>
        <v>815</v>
      </c>
      <c r="E2187" s="199"/>
      <c r="F2187" s="197"/>
      <c r="G2187" s="199"/>
      <c r="H2187" s="199"/>
      <c r="I2187" s="197">
        <v>0</v>
      </c>
      <c r="J2187" s="199"/>
      <c r="K2187" s="197"/>
      <c r="L2187" s="209"/>
      <c r="M2187" s="198">
        <f>ROUND(SUM(M2188:M2189),6)</f>
        <v>23.440214999999998</v>
      </c>
      <c r="N2187" s="198">
        <f>'02 项目基础信息（输入）'!$C$66</f>
        <v>815</v>
      </c>
      <c r="O2187" s="198">
        <f t="shared" si="252"/>
        <v>287.61</v>
      </c>
      <c r="P2187" s="198">
        <f>'02 项目基础信息（输入）'!$I$66</f>
        <v>815</v>
      </c>
      <c r="Q2187" s="233">
        <f t="shared" si="253"/>
        <v>287.61</v>
      </c>
      <c r="S2187" s="217"/>
      <c r="U2187" s="220" t="s">
        <v>3976</v>
      </c>
    </row>
    <row r="2188" spans="1:21" ht="20.25" hidden="1" customHeight="1" outlineLevel="4">
      <c r="A2188" s="192" t="s">
        <v>1615</v>
      </c>
      <c r="B2188" s="192"/>
      <c r="C2188" s="197" t="s">
        <v>1609</v>
      </c>
      <c r="D2188" s="198">
        <f>'02 项目基础信息（输入）'!$C$66</f>
        <v>815</v>
      </c>
      <c r="E2188" s="199" t="s">
        <v>93</v>
      </c>
      <c r="F2188" s="197" t="s">
        <v>1616</v>
      </c>
      <c r="G2188" s="701">
        <v>50</v>
      </c>
      <c r="H2188" s="199" t="s">
        <v>966</v>
      </c>
      <c r="I2188" s="198">
        <f>G2188*D2188</f>
        <v>40750</v>
      </c>
      <c r="J2188" s="199" t="s">
        <v>1617</v>
      </c>
      <c r="K2188" s="699">
        <v>3.51</v>
      </c>
      <c r="L2188" s="209" t="s">
        <v>664</v>
      </c>
      <c r="M2188" s="198">
        <f>ROUND(K2188*I2188/10000,6)</f>
        <v>14.30325</v>
      </c>
      <c r="N2188" s="198">
        <f>'02 项目基础信息（输入）'!$C$66</f>
        <v>815</v>
      </c>
      <c r="O2188" s="198">
        <f t="shared" si="252"/>
        <v>175.5</v>
      </c>
      <c r="P2188" s="198">
        <f>'02 项目基础信息（输入）'!$I$66</f>
        <v>815</v>
      </c>
      <c r="Q2188" s="233">
        <f t="shared" si="253"/>
        <v>175.5</v>
      </c>
      <c r="S2188" s="217"/>
      <c r="U2188" s="220" t="s">
        <v>3977</v>
      </c>
    </row>
    <row r="2189" spans="1:21" ht="20.25" hidden="1" customHeight="1" outlineLevel="4">
      <c r="A2189" s="192" t="s">
        <v>1619</v>
      </c>
      <c r="B2189" s="192"/>
      <c r="C2189" s="197" t="s">
        <v>1609</v>
      </c>
      <c r="D2189" s="198">
        <f>'02 项目基础信息（输入）'!$C$66</f>
        <v>815</v>
      </c>
      <c r="E2189" s="199" t="s">
        <v>93</v>
      </c>
      <c r="F2189" s="197" t="s">
        <v>1616</v>
      </c>
      <c r="G2189" s="701">
        <v>50</v>
      </c>
      <c r="H2189" s="199" t="s">
        <v>966</v>
      </c>
      <c r="I2189" s="198">
        <f>G2189*D2189</f>
        <v>40750</v>
      </c>
      <c r="J2189" s="199" t="s">
        <v>1617</v>
      </c>
      <c r="K2189" s="699">
        <v>2.2422</v>
      </c>
      <c r="L2189" s="209" t="s">
        <v>664</v>
      </c>
      <c r="M2189" s="198">
        <f>ROUND(K2189*I2189/10000,6)</f>
        <v>9.136965</v>
      </c>
      <c r="N2189" s="198">
        <f>'02 项目基础信息（输入）'!$C$66</f>
        <v>815</v>
      </c>
      <c r="O2189" s="198">
        <f t="shared" si="252"/>
        <v>112.11</v>
      </c>
      <c r="P2189" s="198">
        <f>'02 项目基础信息（输入）'!$I$66</f>
        <v>815</v>
      </c>
      <c r="Q2189" s="233">
        <f t="shared" si="253"/>
        <v>112.11</v>
      </c>
      <c r="S2189" s="217"/>
      <c r="U2189" s="220" t="s">
        <v>3978</v>
      </c>
    </row>
    <row r="2190" spans="1:21" ht="20.25" hidden="1" customHeight="1" outlineLevel="3">
      <c r="A2190" s="192" t="s">
        <v>1621</v>
      </c>
      <c r="B2190" s="192"/>
      <c r="C2190" s="197" t="s">
        <v>1609</v>
      </c>
      <c r="D2190" s="198">
        <f>'02 项目基础信息（输入）'!$C$66</f>
        <v>815</v>
      </c>
      <c r="E2190" s="199" t="s">
        <v>93</v>
      </c>
      <c r="F2190" s="197" t="s">
        <v>1622</v>
      </c>
      <c r="G2190" s="701">
        <v>3.95</v>
      </c>
      <c r="H2190" s="199" t="s">
        <v>298</v>
      </c>
      <c r="I2190" s="198">
        <f>G2190*D2190</f>
        <v>3219.25</v>
      </c>
      <c r="J2190" s="199" t="s">
        <v>93</v>
      </c>
      <c r="K2190" s="699">
        <v>78.78</v>
      </c>
      <c r="L2190" s="209" t="s">
        <v>675</v>
      </c>
      <c r="M2190" s="198">
        <f>ROUND(K2190*I2190/10000,6)</f>
        <v>25.361252</v>
      </c>
      <c r="N2190" s="198">
        <f>'02 项目基础信息（输入）'!$C$66</f>
        <v>815</v>
      </c>
      <c r="O2190" s="198">
        <f t="shared" si="252"/>
        <v>311.18</v>
      </c>
      <c r="P2190" s="198">
        <f>'02 项目基础信息（输入）'!$I$66</f>
        <v>815</v>
      </c>
      <c r="Q2190" s="233">
        <f t="shared" si="253"/>
        <v>311.18</v>
      </c>
      <c r="S2190" s="217"/>
      <c r="U2190" s="220" t="s">
        <v>3979</v>
      </c>
    </row>
    <row r="2191" spans="1:21" ht="20.25" hidden="1" customHeight="1" outlineLevel="3">
      <c r="A2191" s="192" t="s">
        <v>1624</v>
      </c>
      <c r="B2191" s="192"/>
      <c r="C2191" s="197"/>
      <c r="D2191" s="198">
        <f>'02 项目基础信息（输入）'!$C$66</f>
        <v>815</v>
      </c>
      <c r="E2191" s="199"/>
      <c r="F2191" s="197"/>
      <c r="G2191" s="199"/>
      <c r="H2191" s="199"/>
      <c r="I2191" s="197">
        <v>0</v>
      </c>
      <c r="J2191" s="199"/>
      <c r="K2191" s="198"/>
      <c r="L2191" s="209"/>
      <c r="M2191" s="198">
        <f>ROUND(SUM(M2192:M2195),6)</f>
        <v>20.406606</v>
      </c>
      <c r="N2191" s="198">
        <f>'02 项目基础信息（输入）'!$C$66</f>
        <v>815</v>
      </c>
      <c r="O2191" s="198">
        <f t="shared" si="252"/>
        <v>250.39</v>
      </c>
      <c r="P2191" s="198">
        <f>'02 项目基础信息（输入）'!$I$66</f>
        <v>815</v>
      </c>
      <c r="Q2191" s="233">
        <f t="shared" si="253"/>
        <v>250.39</v>
      </c>
      <c r="S2191" s="217"/>
      <c r="U2191" s="220" t="s">
        <v>3980</v>
      </c>
    </row>
    <row r="2192" spans="1:21" ht="20.25" hidden="1" customHeight="1" outlineLevel="4">
      <c r="A2192" s="192" t="s">
        <v>1626</v>
      </c>
      <c r="B2192" s="192"/>
      <c r="C2192" s="197" t="s">
        <v>1609</v>
      </c>
      <c r="D2192" s="198">
        <f>'02 项目基础信息（输入）'!$C$66</f>
        <v>815</v>
      </c>
      <c r="E2192" s="199" t="s">
        <v>93</v>
      </c>
      <c r="F2192" s="197" t="s">
        <v>1627</v>
      </c>
      <c r="G2192" s="701">
        <v>0.47</v>
      </c>
      <c r="H2192" s="199" t="s">
        <v>976</v>
      </c>
      <c r="I2192" s="198">
        <f>G2192*D2192</f>
        <v>383.04999999999995</v>
      </c>
      <c r="J2192" s="199" t="s">
        <v>1511</v>
      </c>
      <c r="K2192" s="699">
        <v>418.22</v>
      </c>
      <c r="L2192" s="209" t="s">
        <v>671</v>
      </c>
      <c r="M2192" s="198">
        <f>ROUND(K2192*I2192/10000,6)</f>
        <v>16.019917</v>
      </c>
      <c r="N2192" s="198">
        <f>'02 项目基础信息（输入）'!$C$66</f>
        <v>815</v>
      </c>
      <c r="O2192" s="198">
        <f t="shared" si="252"/>
        <v>196.56</v>
      </c>
      <c r="P2192" s="198">
        <f>'02 项目基础信息（输入）'!$I$66</f>
        <v>815</v>
      </c>
      <c r="Q2192" s="233">
        <f t="shared" si="253"/>
        <v>196.56</v>
      </c>
      <c r="S2192" s="217"/>
      <c r="U2192" s="220" t="s">
        <v>3981</v>
      </c>
    </row>
    <row r="2193" spans="1:21" ht="20.25" hidden="1" customHeight="1" outlineLevel="4">
      <c r="A2193" s="192" t="s">
        <v>1629</v>
      </c>
      <c r="B2193" s="192"/>
      <c r="C2193" s="197" t="s">
        <v>1609</v>
      </c>
      <c r="D2193" s="198">
        <f>'02 项目基础信息（输入）'!$C$66</f>
        <v>815</v>
      </c>
      <c r="E2193" s="199" t="s">
        <v>93</v>
      </c>
      <c r="F2193" s="197" t="s">
        <v>1627</v>
      </c>
      <c r="G2193" s="701">
        <v>0.47</v>
      </c>
      <c r="H2193" s="199" t="s">
        <v>976</v>
      </c>
      <c r="I2193" s="198">
        <f>G2193*D2193</f>
        <v>383.04999999999995</v>
      </c>
      <c r="J2193" s="199" t="s">
        <v>1511</v>
      </c>
      <c r="K2193" s="699">
        <v>114.52</v>
      </c>
      <c r="L2193" s="209" t="s">
        <v>671</v>
      </c>
      <c r="M2193" s="198">
        <f>ROUND(K2193*I2193/10000,6)</f>
        <v>4.3866889999999996</v>
      </c>
      <c r="N2193" s="198">
        <f>'02 项目基础信息（输入）'!$C$66</f>
        <v>815</v>
      </c>
      <c r="O2193" s="198">
        <f t="shared" si="252"/>
        <v>53.82</v>
      </c>
      <c r="P2193" s="198">
        <f>'02 项目基础信息（输入）'!$I$66</f>
        <v>815</v>
      </c>
      <c r="Q2193" s="233">
        <f t="shared" si="253"/>
        <v>53.82</v>
      </c>
      <c r="S2193" s="217"/>
      <c r="U2193" s="220" t="s">
        <v>3982</v>
      </c>
    </row>
    <row r="2194" spans="1:21" ht="20.25" hidden="1" customHeight="1" outlineLevel="4">
      <c r="A2194" s="192" t="s">
        <v>1631</v>
      </c>
      <c r="B2194" s="192"/>
      <c r="C2194" s="197" t="s">
        <v>1609</v>
      </c>
      <c r="D2194" s="198">
        <f>'02 项目基础信息（输入）'!$C$66</f>
        <v>815</v>
      </c>
      <c r="E2194" s="199" t="s">
        <v>93</v>
      </c>
      <c r="F2194" s="197" t="s">
        <v>1632</v>
      </c>
      <c r="G2194" s="701"/>
      <c r="H2194" s="199" t="s">
        <v>976</v>
      </c>
      <c r="I2194" s="198">
        <f>G2194*D2194</f>
        <v>0</v>
      </c>
      <c r="J2194" s="199" t="s">
        <v>93</v>
      </c>
      <c r="K2194" s="699"/>
      <c r="L2194" s="209" t="s">
        <v>675</v>
      </c>
      <c r="M2194" s="198">
        <f>ROUND(K2194*I2194/10000,6)</f>
        <v>0</v>
      </c>
      <c r="N2194" s="198">
        <f>'02 项目基础信息（输入）'!$C$66</f>
        <v>815</v>
      </c>
      <c r="O2194" s="198">
        <f t="shared" si="252"/>
        <v>0</v>
      </c>
      <c r="P2194" s="198">
        <f>'02 项目基础信息（输入）'!$I$66</f>
        <v>815</v>
      </c>
      <c r="Q2194" s="233">
        <f t="shared" si="253"/>
        <v>0</v>
      </c>
      <c r="S2194" s="217"/>
      <c r="U2194" s="220" t="s">
        <v>3983</v>
      </c>
    </row>
    <row r="2195" spans="1:21" ht="20.25" hidden="1" customHeight="1" outlineLevel="4">
      <c r="A2195" s="192" t="s">
        <v>1634</v>
      </c>
      <c r="B2195" s="192"/>
      <c r="C2195" s="197" t="s">
        <v>1609</v>
      </c>
      <c r="D2195" s="198">
        <f>'02 项目基础信息（输入）'!$C$66</f>
        <v>815</v>
      </c>
      <c r="E2195" s="199" t="s">
        <v>93</v>
      </c>
      <c r="F2195" s="197" t="s">
        <v>1632</v>
      </c>
      <c r="G2195" s="701"/>
      <c r="H2195" s="199" t="s">
        <v>976</v>
      </c>
      <c r="I2195" s="198">
        <f>G2195*D2195</f>
        <v>0</v>
      </c>
      <c r="J2195" s="199" t="s">
        <v>93</v>
      </c>
      <c r="K2195" s="699"/>
      <c r="L2195" s="209" t="s">
        <v>675</v>
      </c>
      <c r="M2195" s="198">
        <f>ROUND(K2195*I2195/10000,6)</f>
        <v>0</v>
      </c>
      <c r="N2195" s="198">
        <f>'02 项目基础信息（输入）'!$C$66</f>
        <v>815</v>
      </c>
      <c r="O2195" s="198">
        <f t="shared" si="252"/>
        <v>0</v>
      </c>
      <c r="P2195" s="198">
        <f>'02 项目基础信息（输入）'!$I$66</f>
        <v>815</v>
      </c>
      <c r="Q2195" s="233">
        <f t="shared" si="253"/>
        <v>0</v>
      </c>
      <c r="S2195" s="217"/>
      <c r="U2195" s="220" t="s">
        <v>3984</v>
      </c>
    </row>
    <row r="2196" spans="1:21" ht="20.25" hidden="1" customHeight="1" outlineLevel="3">
      <c r="A2196" s="192" t="s">
        <v>1636</v>
      </c>
      <c r="B2196" s="192"/>
      <c r="C2196" s="197" t="s">
        <v>1609</v>
      </c>
      <c r="D2196" s="198">
        <f>'02 项目基础信息（输入）'!$C$66</f>
        <v>815</v>
      </c>
      <c r="E2196" s="199" t="s">
        <v>93</v>
      </c>
      <c r="F2196" s="197" t="s">
        <v>1637</v>
      </c>
      <c r="G2196" s="701">
        <v>0.17</v>
      </c>
      <c r="H2196" s="199" t="s">
        <v>976</v>
      </c>
      <c r="I2196" s="198">
        <f>G2196*D2196</f>
        <v>138.55000000000001</v>
      </c>
      <c r="J2196" s="199" t="s">
        <v>1511</v>
      </c>
      <c r="K2196" s="699">
        <v>818.1</v>
      </c>
      <c r="L2196" s="209" t="s">
        <v>671</v>
      </c>
      <c r="M2196" s="198">
        <f>ROUND(K2196*I2196/10000,6)</f>
        <v>11.334776</v>
      </c>
      <c r="N2196" s="198">
        <f>'02 项目基础信息（输入）'!$C$66</f>
        <v>815</v>
      </c>
      <c r="O2196" s="198">
        <f t="shared" si="252"/>
        <v>139.08000000000001</v>
      </c>
      <c r="P2196" s="198">
        <f>'02 项目基础信息（输入）'!$I$66</f>
        <v>815</v>
      </c>
      <c r="Q2196" s="233">
        <f t="shared" si="253"/>
        <v>139.08000000000001</v>
      </c>
      <c r="S2196" s="217"/>
      <c r="U2196" s="220" t="s">
        <v>3985</v>
      </c>
    </row>
    <row r="2197" spans="1:21" ht="20.25" hidden="1" customHeight="1" outlineLevel="3">
      <c r="A2197" s="192" t="s">
        <v>1640</v>
      </c>
      <c r="B2197" s="192"/>
      <c r="C2197" s="197"/>
      <c r="D2197" s="198">
        <f>'02 项目基础信息（输入）'!$C$66</f>
        <v>815</v>
      </c>
      <c r="E2197" s="199"/>
      <c r="F2197" s="197"/>
      <c r="G2197" s="199"/>
      <c r="H2197" s="199"/>
      <c r="I2197" s="197">
        <v>0</v>
      </c>
      <c r="J2197" s="199"/>
      <c r="K2197" s="197"/>
      <c r="L2197" s="209"/>
      <c r="M2197" s="198">
        <f>ROUND(SUM(M2198:M2202),6)</f>
        <v>24.928405000000001</v>
      </c>
      <c r="N2197" s="198">
        <f>'02 项目基础信息（输入）'!$C$66</f>
        <v>815</v>
      </c>
      <c r="O2197" s="198">
        <f t="shared" si="252"/>
        <v>305.87</v>
      </c>
      <c r="P2197" s="198">
        <f>'02 项目基础信息（输入）'!$I$66</f>
        <v>815</v>
      </c>
      <c r="Q2197" s="233">
        <f t="shared" si="253"/>
        <v>305.87</v>
      </c>
      <c r="S2197" s="217"/>
      <c r="U2197" s="220" t="s">
        <v>3986</v>
      </c>
    </row>
    <row r="2198" spans="1:21" ht="20.25" hidden="1" customHeight="1" outlineLevel="4">
      <c r="A2198" s="192" t="s">
        <v>1642</v>
      </c>
      <c r="B2198" s="192"/>
      <c r="C2198" s="197" t="s">
        <v>1609</v>
      </c>
      <c r="D2198" s="198">
        <f>'02 项目基础信息（输入）'!$C$66</f>
        <v>815</v>
      </c>
      <c r="E2198" s="199" t="s">
        <v>93</v>
      </c>
      <c r="F2198" s="197" t="s">
        <v>1609</v>
      </c>
      <c r="G2198" s="199">
        <v>1</v>
      </c>
      <c r="H2198" s="199" t="s">
        <v>298</v>
      </c>
      <c r="I2198" s="198">
        <f t="shared" ref="I2198:I2203" si="254">G2198*D2198</f>
        <v>815</v>
      </c>
      <c r="J2198" s="199" t="s">
        <v>93</v>
      </c>
      <c r="K2198" s="699">
        <v>305.87</v>
      </c>
      <c r="L2198" s="209" t="s">
        <v>675</v>
      </c>
      <c r="M2198" s="198">
        <f t="shared" ref="M2198:M2203" si="255">ROUND(K2198*I2198/10000,6)</f>
        <v>24.928405000000001</v>
      </c>
      <c r="N2198" s="198">
        <f>'02 项目基础信息（输入）'!$C$66</f>
        <v>815</v>
      </c>
      <c r="O2198" s="198">
        <f t="shared" si="252"/>
        <v>305.87</v>
      </c>
      <c r="P2198" s="198">
        <f>'02 项目基础信息（输入）'!$I$66</f>
        <v>815</v>
      </c>
      <c r="Q2198" s="233">
        <f t="shared" si="253"/>
        <v>305.87</v>
      </c>
      <c r="S2198" s="217"/>
      <c r="U2198" s="220" t="s">
        <v>3987</v>
      </c>
    </row>
    <row r="2199" spans="1:21" ht="20.25" hidden="1" customHeight="1" outlineLevel="4">
      <c r="A2199" s="192" t="s">
        <v>1645</v>
      </c>
      <c r="B2199" s="192"/>
      <c r="C2199" s="197" t="s">
        <v>1609</v>
      </c>
      <c r="D2199" s="198">
        <f>'02 项目基础信息（输入）'!$C$66</f>
        <v>815</v>
      </c>
      <c r="E2199" s="199" t="s">
        <v>93</v>
      </c>
      <c r="F2199" s="197" t="s">
        <v>1609</v>
      </c>
      <c r="G2199" s="199">
        <v>1</v>
      </c>
      <c r="H2199" s="199" t="s">
        <v>298</v>
      </c>
      <c r="I2199" s="198">
        <f t="shared" si="254"/>
        <v>815</v>
      </c>
      <c r="J2199" s="199" t="s">
        <v>93</v>
      </c>
      <c r="K2199" s="699"/>
      <c r="L2199" s="209" t="s">
        <v>675</v>
      </c>
      <c r="M2199" s="198">
        <f t="shared" si="255"/>
        <v>0</v>
      </c>
      <c r="N2199" s="198">
        <f>'02 项目基础信息（输入）'!$C$66</f>
        <v>815</v>
      </c>
      <c r="O2199" s="198">
        <f t="shared" si="252"/>
        <v>0</v>
      </c>
      <c r="P2199" s="198">
        <f>'02 项目基础信息（输入）'!$I$66</f>
        <v>815</v>
      </c>
      <c r="Q2199" s="233">
        <f t="shared" si="253"/>
        <v>0</v>
      </c>
      <c r="S2199" s="217"/>
      <c r="U2199" s="220" t="s">
        <v>3988</v>
      </c>
    </row>
    <row r="2200" spans="1:21" ht="20.25" hidden="1" customHeight="1" outlineLevel="4">
      <c r="A2200" s="192" t="s">
        <v>1647</v>
      </c>
      <c r="B2200" s="192"/>
      <c r="C2200" s="197" t="s">
        <v>1609</v>
      </c>
      <c r="D2200" s="198">
        <f>'02 项目基础信息（输入）'!$C$66</f>
        <v>815</v>
      </c>
      <c r="E2200" s="199" t="s">
        <v>93</v>
      </c>
      <c r="F2200" s="197" t="s">
        <v>1648</v>
      </c>
      <c r="G2200" s="701" t="s">
        <v>717</v>
      </c>
      <c r="H2200" s="199" t="s">
        <v>298</v>
      </c>
      <c r="I2200" s="198">
        <f t="shared" si="254"/>
        <v>0</v>
      </c>
      <c r="J2200" s="199" t="s">
        <v>93</v>
      </c>
      <c r="K2200" s="699" t="s">
        <v>717</v>
      </c>
      <c r="L2200" s="209" t="s">
        <v>675</v>
      </c>
      <c r="M2200" s="198">
        <f t="shared" si="255"/>
        <v>0</v>
      </c>
      <c r="N2200" s="198">
        <f>'02 项目基础信息（输入）'!$C$66</f>
        <v>815</v>
      </c>
      <c r="O2200" s="198">
        <f t="shared" si="252"/>
        <v>0</v>
      </c>
      <c r="P2200" s="198">
        <f>'02 项目基础信息（输入）'!$I$66</f>
        <v>815</v>
      </c>
      <c r="Q2200" s="233">
        <f t="shared" si="253"/>
        <v>0</v>
      </c>
      <c r="S2200" s="217"/>
      <c r="U2200" s="220" t="s">
        <v>3989</v>
      </c>
    </row>
    <row r="2201" spans="1:21" ht="20.25" hidden="1" customHeight="1" outlineLevel="4">
      <c r="A2201" s="192" t="s">
        <v>1993</v>
      </c>
      <c r="B2201" s="192"/>
      <c r="C2201" s="197" t="s">
        <v>1609</v>
      </c>
      <c r="D2201" s="198">
        <f>'02 项目基础信息（输入）'!$C$66</f>
        <v>815</v>
      </c>
      <c r="E2201" s="199" t="s">
        <v>93</v>
      </c>
      <c r="F2201" s="197" t="s">
        <v>1648</v>
      </c>
      <c r="G2201" s="701" t="s">
        <v>717</v>
      </c>
      <c r="H2201" s="199" t="s">
        <v>298</v>
      </c>
      <c r="I2201" s="198">
        <f t="shared" si="254"/>
        <v>0</v>
      </c>
      <c r="J2201" s="199" t="s">
        <v>93</v>
      </c>
      <c r="K2201" s="699" t="s">
        <v>717</v>
      </c>
      <c r="L2201" s="209" t="s">
        <v>675</v>
      </c>
      <c r="M2201" s="198">
        <f t="shared" si="255"/>
        <v>0</v>
      </c>
      <c r="N2201" s="198">
        <f>'02 项目基础信息（输入）'!$C$66</f>
        <v>815</v>
      </c>
      <c r="O2201" s="198">
        <f t="shared" si="252"/>
        <v>0</v>
      </c>
      <c r="P2201" s="198">
        <f>'02 项目基础信息（输入）'!$I$66</f>
        <v>815</v>
      </c>
      <c r="Q2201" s="233">
        <f t="shared" si="253"/>
        <v>0</v>
      </c>
      <c r="S2201" s="217"/>
      <c r="U2201" s="220" t="s">
        <v>3990</v>
      </c>
    </row>
    <row r="2202" spans="1:21" ht="20.25" hidden="1" customHeight="1" outlineLevel="4">
      <c r="A2202" s="192" t="s">
        <v>1650</v>
      </c>
      <c r="B2202" s="192"/>
      <c r="C2202" s="197" t="s">
        <v>1609</v>
      </c>
      <c r="D2202" s="198">
        <f>'02 项目基础信息（输入）'!$C$66</f>
        <v>815</v>
      </c>
      <c r="E2202" s="199" t="s">
        <v>93</v>
      </c>
      <c r="F2202" s="197" t="s">
        <v>1648</v>
      </c>
      <c r="G2202" s="701" t="s">
        <v>717</v>
      </c>
      <c r="H2202" s="199" t="s">
        <v>298</v>
      </c>
      <c r="I2202" s="198">
        <f t="shared" si="254"/>
        <v>0</v>
      </c>
      <c r="J2202" s="199" t="s">
        <v>93</v>
      </c>
      <c r="K2202" s="699" t="s">
        <v>717</v>
      </c>
      <c r="L2202" s="209" t="s">
        <v>675</v>
      </c>
      <c r="M2202" s="198">
        <f t="shared" si="255"/>
        <v>0</v>
      </c>
      <c r="N2202" s="198">
        <f>'02 项目基础信息（输入）'!$C$66</f>
        <v>815</v>
      </c>
      <c r="O2202" s="198">
        <f t="shared" si="252"/>
        <v>0</v>
      </c>
      <c r="P2202" s="198">
        <f>'02 项目基础信息（输入）'!$I$66</f>
        <v>815</v>
      </c>
      <c r="Q2202" s="233">
        <f t="shared" si="253"/>
        <v>0</v>
      </c>
      <c r="S2202" s="217"/>
      <c r="U2202" s="220" t="s">
        <v>3991</v>
      </c>
    </row>
    <row r="2203" spans="1:21" ht="20.25" hidden="1" customHeight="1" outlineLevel="3">
      <c r="A2203" s="192" t="s">
        <v>1652</v>
      </c>
      <c r="B2203" s="192"/>
      <c r="C2203" s="197" t="s">
        <v>1609</v>
      </c>
      <c r="D2203" s="198">
        <f>'02 项目基础信息（输入）'!$C$66</f>
        <v>815</v>
      </c>
      <c r="E2203" s="199" t="s">
        <v>93</v>
      </c>
      <c r="F2203" s="197" t="s">
        <v>1648</v>
      </c>
      <c r="G2203" s="701" t="s">
        <v>717</v>
      </c>
      <c r="H2203" s="199" t="s">
        <v>298</v>
      </c>
      <c r="I2203" s="198">
        <f t="shared" si="254"/>
        <v>0</v>
      </c>
      <c r="J2203" s="199" t="s">
        <v>93</v>
      </c>
      <c r="K2203" s="699" t="s">
        <v>717</v>
      </c>
      <c r="L2203" s="209" t="s">
        <v>675</v>
      </c>
      <c r="M2203" s="198">
        <f t="shared" si="255"/>
        <v>0</v>
      </c>
      <c r="N2203" s="198">
        <f>'02 项目基础信息（输入）'!$C$66</f>
        <v>815</v>
      </c>
      <c r="O2203" s="198">
        <f t="shared" si="252"/>
        <v>0</v>
      </c>
      <c r="P2203" s="198">
        <f>'02 项目基础信息（输入）'!$I$66</f>
        <v>815</v>
      </c>
      <c r="Q2203" s="233">
        <f t="shared" si="253"/>
        <v>0</v>
      </c>
      <c r="S2203" s="217"/>
      <c r="U2203" s="220" t="s">
        <v>3992</v>
      </c>
    </row>
    <row r="2204" spans="1:21" ht="20.25" hidden="1" customHeight="1" outlineLevel="3">
      <c r="A2204" s="192" t="s">
        <v>1654</v>
      </c>
      <c r="B2204" s="192"/>
      <c r="C2204" s="197"/>
      <c r="D2204" s="198">
        <f>'02 项目基础信息（输入）'!$C$66</f>
        <v>815</v>
      </c>
      <c r="E2204" s="199"/>
      <c r="F2204" s="197"/>
      <c r="G2204" s="199"/>
      <c r="H2204" s="199"/>
      <c r="I2204" s="197">
        <v>0</v>
      </c>
      <c r="J2204" s="199"/>
      <c r="K2204" s="197"/>
      <c r="L2204" s="209"/>
      <c r="M2204" s="198">
        <f>ROUND(SUM(M2205:M2206),6)</f>
        <v>26.84121</v>
      </c>
      <c r="N2204" s="198">
        <f>'02 项目基础信息（输入）'!$C$66</f>
        <v>815</v>
      </c>
      <c r="O2204" s="198">
        <f t="shared" si="252"/>
        <v>329.34</v>
      </c>
      <c r="P2204" s="198">
        <f>'02 项目基础信息（输入）'!$I$66</f>
        <v>815</v>
      </c>
      <c r="Q2204" s="233">
        <f t="shared" si="253"/>
        <v>329.34</v>
      </c>
      <c r="S2204" s="217"/>
      <c r="U2204" s="220" t="s">
        <v>3993</v>
      </c>
    </row>
    <row r="2205" spans="1:21" ht="20.25" hidden="1" customHeight="1" outlineLevel="4">
      <c r="A2205" s="192" t="s">
        <v>1656</v>
      </c>
      <c r="B2205" s="192"/>
      <c r="C2205" s="197" t="s">
        <v>1609</v>
      </c>
      <c r="D2205" s="198">
        <f>'02 项目基础信息（输入）'!$C$66</f>
        <v>815</v>
      </c>
      <c r="E2205" s="199" t="s">
        <v>93</v>
      </c>
      <c r="F2205" s="197" t="s">
        <v>1657</v>
      </c>
      <c r="G2205" s="701" t="s">
        <v>717</v>
      </c>
      <c r="H2205" s="199" t="s">
        <v>1998</v>
      </c>
      <c r="I2205" s="198">
        <f>G2205*D2205</f>
        <v>0</v>
      </c>
      <c r="J2205" s="199" t="s">
        <v>93</v>
      </c>
      <c r="K2205" s="699" t="s">
        <v>717</v>
      </c>
      <c r="L2205" s="209" t="s">
        <v>675</v>
      </c>
      <c r="M2205" s="198">
        <f>ROUND(K2205*I2205/10000,6)</f>
        <v>0</v>
      </c>
      <c r="N2205" s="198">
        <f>'02 项目基础信息（输入）'!$C$66</f>
        <v>815</v>
      </c>
      <c r="O2205" s="198">
        <f t="shared" si="252"/>
        <v>0</v>
      </c>
      <c r="P2205" s="198">
        <f>'02 项目基础信息（输入）'!$I$66</f>
        <v>815</v>
      </c>
      <c r="Q2205" s="233">
        <f t="shared" si="253"/>
        <v>0</v>
      </c>
      <c r="S2205" s="217"/>
      <c r="U2205" s="220" t="s">
        <v>3994</v>
      </c>
    </row>
    <row r="2206" spans="1:21" ht="20.25" hidden="1" customHeight="1" outlineLevel="4">
      <c r="A2206" s="192" t="s">
        <v>1661</v>
      </c>
      <c r="B2206" s="192"/>
      <c r="C2206" s="197" t="s">
        <v>1609</v>
      </c>
      <c r="D2206" s="198">
        <f>'02 项目基础信息（输入）'!$C$66</f>
        <v>815</v>
      </c>
      <c r="E2206" s="199" t="s">
        <v>93</v>
      </c>
      <c r="F2206" s="197" t="s">
        <v>1609</v>
      </c>
      <c r="G2206" s="199">
        <v>1</v>
      </c>
      <c r="H2206" s="199" t="s">
        <v>298</v>
      </c>
      <c r="I2206" s="198">
        <f>G2206*D2206</f>
        <v>815</v>
      </c>
      <c r="J2206" s="199" t="s">
        <v>93</v>
      </c>
      <c r="K2206" s="699">
        <v>329.34</v>
      </c>
      <c r="L2206" s="209" t="s">
        <v>675</v>
      </c>
      <c r="M2206" s="198">
        <f>ROUND(K2206*I2206/10000,6)</f>
        <v>26.84121</v>
      </c>
      <c r="N2206" s="198">
        <f>'02 项目基础信息（输入）'!$C$66</f>
        <v>815</v>
      </c>
      <c r="O2206" s="198">
        <f t="shared" si="252"/>
        <v>329.34</v>
      </c>
      <c r="P2206" s="198">
        <f>'02 项目基础信息（输入）'!$I$66</f>
        <v>815</v>
      </c>
      <c r="Q2206" s="233">
        <f t="shared" si="253"/>
        <v>329.34</v>
      </c>
      <c r="S2206" s="217"/>
      <c r="U2206" s="220" t="s">
        <v>3995</v>
      </c>
    </row>
    <row r="2207" spans="1:21" ht="20.25" hidden="1" customHeight="1" outlineLevel="3">
      <c r="A2207" s="192" t="s">
        <v>1664</v>
      </c>
      <c r="B2207" s="192"/>
      <c r="C2207" s="197" t="s">
        <v>1665</v>
      </c>
      <c r="D2207" s="198">
        <f>SUM(M2187+M2190+M2191+M2196+M2197+M2203+M2204)*10000</f>
        <v>1323124.6400000001</v>
      </c>
      <c r="E2207" s="199" t="s">
        <v>1666</v>
      </c>
      <c r="F2207" s="197" t="s">
        <v>1667</v>
      </c>
      <c r="G2207" s="226">
        <f>IFERROR(I2207/D2207*100,0)</f>
        <v>30.923348990008975</v>
      </c>
      <c r="H2207" s="195" t="s">
        <v>123</v>
      </c>
      <c r="I2207" s="194">
        <f>K2207*N2207</f>
        <v>409154.44999999995</v>
      </c>
      <c r="J2207" s="195" t="s">
        <v>1666</v>
      </c>
      <c r="K2207" s="699">
        <v>502.03</v>
      </c>
      <c r="L2207" s="230" t="s">
        <v>1669</v>
      </c>
      <c r="M2207" s="231">
        <f>ROUND(I2207/10000,6)</f>
        <v>40.915444999999998</v>
      </c>
      <c r="N2207" s="198">
        <f>'02 项目基础信息（输入）'!$C$66</f>
        <v>815</v>
      </c>
      <c r="O2207" s="198">
        <f t="shared" si="252"/>
        <v>502.03</v>
      </c>
      <c r="P2207" s="198">
        <f>'02 项目基础信息（输入）'!$I$66</f>
        <v>815</v>
      </c>
      <c r="Q2207" s="233">
        <f t="shared" si="253"/>
        <v>502.03</v>
      </c>
      <c r="S2207" s="217"/>
      <c r="U2207" s="220" t="s">
        <v>3996</v>
      </c>
    </row>
    <row r="2208" spans="1:21" ht="20.25" customHeight="1" outlineLevel="2" collapsed="1">
      <c r="A2208" s="192" t="s">
        <v>1671</v>
      </c>
      <c r="B2208" s="192"/>
      <c r="C2208" s="197" t="s">
        <v>1609</v>
      </c>
      <c r="D2208" s="198">
        <f>'02 项目基础信息（输入）'!$C$66</f>
        <v>815</v>
      </c>
      <c r="E2208" s="199" t="s">
        <v>93</v>
      </c>
      <c r="F2208" s="197"/>
      <c r="G2208" s="199"/>
      <c r="H2208" s="199"/>
      <c r="I2208" s="197"/>
      <c r="J2208" s="199"/>
      <c r="K2208" s="197"/>
      <c r="L2208" s="209"/>
      <c r="M2208" s="198">
        <f>ROUND(SUM(M2209:M2210),6)</f>
        <v>0</v>
      </c>
      <c r="N2208" s="198">
        <f>'02 项目基础信息（输入）'!$C$66</f>
        <v>815</v>
      </c>
      <c r="O2208" s="198">
        <f t="shared" si="252"/>
        <v>0</v>
      </c>
      <c r="P2208" s="198">
        <f>'02 项目基础信息（输入）'!$I$66</f>
        <v>815</v>
      </c>
      <c r="Q2208" s="233">
        <f t="shared" si="253"/>
        <v>0</v>
      </c>
      <c r="S2208" s="217" t="s">
        <v>1313</v>
      </c>
      <c r="U2208" s="220" t="s">
        <v>3997</v>
      </c>
    </row>
    <row r="2209" spans="1:21" ht="20.25" hidden="1" customHeight="1" outlineLevel="3">
      <c r="A2209" s="192" t="s">
        <v>1673</v>
      </c>
      <c r="B2209" s="192"/>
      <c r="C2209" s="197" t="s">
        <v>1609</v>
      </c>
      <c r="D2209" s="198">
        <f>'02 项目基础信息（输入）'!$C$66</f>
        <v>815</v>
      </c>
      <c r="E2209" s="199" t="s">
        <v>93</v>
      </c>
      <c r="F2209" s="197" t="s">
        <v>705</v>
      </c>
      <c r="G2209" s="199">
        <v>0</v>
      </c>
      <c r="H2209" s="199" t="s">
        <v>298</v>
      </c>
      <c r="I2209" s="198">
        <f>G2209*D2209</f>
        <v>0</v>
      </c>
      <c r="J2209" s="199" t="s">
        <v>93</v>
      </c>
      <c r="K2209" s="207">
        <v>0</v>
      </c>
      <c r="L2209" s="209" t="s">
        <v>675</v>
      </c>
      <c r="M2209" s="207">
        <f>ROUND(K2209*I2209/10000,6)</f>
        <v>0</v>
      </c>
      <c r="N2209" s="198">
        <f>'02 项目基础信息（输入）'!$C$66</f>
        <v>815</v>
      </c>
      <c r="O2209" s="198">
        <f t="shared" si="252"/>
        <v>0</v>
      </c>
      <c r="P2209" s="198">
        <f>'02 项目基础信息（输入）'!$I$66</f>
        <v>815</v>
      </c>
      <c r="Q2209" s="233">
        <f t="shared" si="253"/>
        <v>0</v>
      </c>
      <c r="S2209" s="217"/>
      <c r="U2209" s="220" t="s">
        <v>3998</v>
      </c>
    </row>
    <row r="2210" spans="1:21" ht="20.25" hidden="1" customHeight="1" outlineLevel="3">
      <c r="A2210" s="192" t="s">
        <v>1676</v>
      </c>
      <c r="B2210" s="192"/>
      <c r="C2210" s="197" t="s">
        <v>1609</v>
      </c>
      <c r="D2210" s="198">
        <f>'02 项目基础信息（输入）'!$C$66</f>
        <v>815</v>
      </c>
      <c r="E2210" s="199" t="s">
        <v>93</v>
      </c>
      <c r="F2210" s="197" t="s">
        <v>705</v>
      </c>
      <c r="G2210" s="199">
        <v>0</v>
      </c>
      <c r="H2210" s="199" t="s">
        <v>298</v>
      </c>
      <c r="I2210" s="198">
        <f>G2210*D2210</f>
        <v>0</v>
      </c>
      <c r="J2210" s="199" t="s">
        <v>93</v>
      </c>
      <c r="K2210" s="207">
        <v>0</v>
      </c>
      <c r="L2210" s="209" t="s">
        <v>675</v>
      </c>
      <c r="M2210" s="207">
        <f>ROUND(K2210*I2210/10000,6)</f>
        <v>0</v>
      </c>
      <c r="N2210" s="198">
        <f>'02 项目基础信息（输入）'!$C$66</f>
        <v>815</v>
      </c>
      <c r="O2210" s="198">
        <f t="shared" si="252"/>
        <v>0</v>
      </c>
      <c r="P2210" s="198">
        <f>'02 项目基础信息（输入）'!$I$66</f>
        <v>815</v>
      </c>
      <c r="Q2210" s="233">
        <f t="shared" si="253"/>
        <v>0</v>
      </c>
      <c r="S2210" s="217"/>
      <c r="U2210" s="220" t="s">
        <v>3999</v>
      </c>
    </row>
    <row r="2211" spans="1:21" ht="20.25" customHeight="1" outlineLevel="2" collapsed="1">
      <c r="A2211" s="192" t="s">
        <v>1679</v>
      </c>
      <c r="B2211" s="192"/>
      <c r="C2211" s="197" t="s">
        <v>1609</v>
      </c>
      <c r="D2211" s="198">
        <f>'02 项目基础信息（输入）'!$C$66</f>
        <v>815</v>
      </c>
      <c r="E2211" s="199" t="s">
        <v>93</v>
      </c>
      <c r="F2211" s="197"/>
      <c r="G2211" s="199"/>
      <c r="H2211" s="199"/>
      <c r="I2211" s="197"/>
      <c r="J2211" s="199"/>
      <c r="K2211" s="197"/>
      <c r="L2211" s="209"/>
      <c r="M2211" s="198">
        <f>ROUND(SUM(M2212:M2223),6)</f>
        <v>8.1434800000000003</v>
      </c>
      <c r="N2211" s="198">
        <f>'02 项目基础信息（输入）'!$C$66</f>
        <v>815</v>
      </c>
      <c r="O2211" s="198">
        <f t="shared" si="252"/>
        <v>99.92</v>
      </c>
      <c r="P2211" s="198">
        <f>'02 项目基础信息（输入）'!$I$66</f>
        <v>815</v>
      </c>
      <c r="Q2211" s="233">
        <f t="shared" si="253"/>
        <v>99.92</v>
      </c>
      <c r="S2211" s="217" t="s">
        <v>1313</v>
      </c>
      <c r="U2211" s="220" t="s">
        <v>4000</v>
      </c>
    </row>
    <row r="2212" spans="1:21" ht="20.25" hidden="1" customHeight="1" outlineLevel="3">
      <c r="A2212" s="192" t="s">
        <v>1681</v>
      </c>
      <c r="B2212" s="192"/>
      <c r="C2212" s="197" t="s">
        <v>1609</v>
      </c>
      <c r="D2212" s="198">
        <f>'02 项目基础信息（输入）'!$C$66</f>
        <v>815</v>
      </c>
      <c r="E2212" s="199" t="s">
        <v>93</v>
      </c>
      <c r="F2212" s="197" t="s">
        <v>1682</v>
      </c>
      <c r="G2212" s="701">
        <v>1</v>
      </c>
      <c r="H2212" s="199" t="s">
        <v>298</v>
      </c>
      <c r="I2212" s="198">
        <f t="shared" ref="I2212:I2223" si="256">G2212*D2212</f>
        <v>815</v>
      </c>
      <c r="J2212" s="199" t="s">
        <v>93</v>
      </c>
      <c r="K2212" s="699">
        <v>99.92</v>
      </c>
      <c r="L2212" s="209" t="s">
        <v>675</v>
      </c>
      <c r="M2212" s="207">
        <f t="shared" ref="M2212:M2223" si="257">ROUND(K2212*I2212/10000,6)</f>
        <v>8.1434800000000003</v>
      </c>
      <c r="N2212" s="198">
        <f>'02 项目基础信息（输入）'!$C$66</f>
        <v>815</v>
      </c>
      <c r="O2212" s="198">
        <f t="shared" si="252"/>
        <v>99.92</v>
      </c>
      <c r="P2212" s="198">
        <f>'02 项目基础信息（输入）'!$I$66</f>
        <v>815</v>
      </c>
      <c r="Q2212" s="233">
        <f t="shared" si="253"/>
        <v>99.92</v>
      </c>
      <c r="S2212" s="217"/>
      <c r="U2212" s="220" t="s">
        <v>4001</v>
      </c>
    </row>
    <row r="2213" spans="1:21" ht="20.25" hidden="1" customHeight="1" outlineLevel="3">
      <c r="A2213" s="192" t="s">
        <v>1684</v>
      </c>
      <c r="B2213" s="192"/>
      <c r="C2213" s="197" t="s">
        <v>1609</v>
      </c>
      <c r="D2213" s="198">
        <f>'02 项目基础信息（输入）'!$C$66</f>
        <v>815</v>
      </c>
      <c r="E2213" s="199" t="s">
        <v>93</v>
      </c>
      <c r="F2213" s="197" t="s">
        <v>1682</v>
      </c>
      <c r="G2213" s="701" t="s">
        <v>717</v>
      </c>
      <c r="H2213" s="199" t="s">
        <v>298</v>
      </c>
      <c r="I2213" s="198">
        <f t="shared" si="256"/>
        <v>0</v>
      </c>
      <c r="J2213" s="199" t="s">
        <v>93</v>
      </c>
      <c r="K2213" s="699" t="s">
        <v>717</v>
      </c>
      <c r="L2213" s="209" t="s">
        <v>675</v>
      </c>
      <c r="M2213" s="207">
        <f t="shared" si="257"/>
        <v>0</v>
      </c>
      <c r="N2213" s="198">
        <f>'02 项目基础信息（输入）'!$C$66</f>
        <v>815</v>
      </c>
      <c r="O2213" s="198">
        <f t="shared" si="252"/>
        <v>0</v>
      </c>
      <c r="P2213" s="198">
        <f>'02 项目基础信息（输入）'!$I$66</f>
        <v>815</v>
      </c>
      <c r="Q2213" s="233">
        <f t="shared" si="253"/>
        <v>0</v>
      </c>
      <c r="S2213" s="217"/>
      <c r="U2213" s="220" t="s">
        <v>4002</v>
      </c>
    </row>
    <row r="2214" spans="1:21" ht="20.25" hidden="1" customHeight="1" outlineLevel="3">
      <c r="A2214" s="192" t="s">
        <v>2008</v>
      </c>
      <c r="B2214" s="192"/>
      <c r="C2214" s="197" t="s">
        <v>1609</v>
      </c>
      <c r="D2214" s="198">
        <f>'02 项目基础信息（输入）'!$C$66</f>
        <v>815</v>
      </c>
      <c r="E2214" s="199" t="s">
        <v>93</v>
      </c>
      <c r="F2214" s="197" t="s">
        <v>1682</v>
      </c>
      <c r="G2214" s="701" t="s">
        <v>717</v>
      </c>
      <c r="H2214" s="199" t="s">
        <v>298</v>
      </c>
      <c r="I2214" s="198">
        <f t="shared" si="256"/>
        <v>0</v>
      </c>
      <c r="J2214" s="199" t="s">
        <v>93</v>
      </c>
      <c r="K2214" s="699" t="s">
        <v>717</v>
      </c>
      <c r="L2214" s="209" t="s">
        <v>675</v>
      </c>
      <c r="M2214" s="207">
        <f t="shared" si="257"/>
        <v>0</v>
      </c>
      <c r="N2214" s="198">
        <f>'02 项目基础信息（输入）'!$C$66</f>
        <v>815</v>
      </c>
      <c r="O2214" s="198">
        <f t="shared" si="252"/>
        <v>0</v>
      </c>
      <c r="P2214" s="198">
        <f>'02 项目基础信息（输入）'!$I$66</f>
        <v>815</v>
      </c>
      <c r="Q2214" s="233">
        <f t="shared" si="253"/>
        <v>0</v>
      </c>
      <c r="S2214" s="217"/>
      <c r="U2214" s="220" t="s">
        <v>4003</v>
      </c>
    </row>
    <row r="2215" spans="1:21" ht="20.25" hidden="1" customHeight="1" outlineLevel="3">
      <c r="A2215" s="192" t="s">
        <v>2010</v>
      </c>
      <c r="B2215" s="192"/>
      <c r="C2215" s="197" t="s">
        <v>1609</v>
      </c>
      <c r="D2215" s="198">
        <f>'02 项目基础信息（输入）'!$C$66</f>
        <v>815</v>
      </c>
      <c r="E2215" s="199" t="s">
        <v>93</v>
      </c>
      <c r="F2215" s="197" t="s">
        <v>1682</v>
      </c>
      <c r="G2215" s="701" t="s">
        <v>717</v>
      </c>
      <c r="H2215" s="199" t="s">
        <v>298</v>
      </c>
      <c r="I2215" s="198">
        <f t="shared" si="256"/>
        <v>0</v>
      </c>
      <c r="J2215" s="199" t="s">
        <v>93</v>
      </c>
      <c r="K2215" s="699" t="s">
        <v>717</v>
      </c>
      <c r="L2215" s="209" t="s">
        <v>675</v>
      </c>
      <c r="M2215" s="207">
        <f t="shared" si="257"/>
        <v>0</v>
      </c>
      <c r="N2215" s="198">
        <f>'02 项目基础信息（输入）'!$C$66</f>
        <v>815</v>
      </c>
      <c r="O2215" s="198">
        <f t="shared" si="252"/>
        <v>0</v>
      </c>
      <c r="P2215" s="198">
        <f>'02 项目基础信息（输入）'!$I$66</f>
        <v>815</v>
      </c>
      <c r="Q2215" s="233">
        <f t="shared" si="253"/>
        <v>0</v>
      </c>
      <c r="S2215" s="217"/>
      <c r="U2215" s="220" t="s">
        <v>4004</v>
      </c>
    </row>
    <row r="2216" spans="1:21" ht="20.25" hidden="1" customHeight="1" outlineLevel="3">
      <c r="A2216" s="192" t="s">
        <v>2012</v>
      </c>
      <c r="B2216" s="192"/>
      <c r="C2216" s="197" t="s">
        <v>474</v>
      </c>
      <c r="D2216" s="198">
        <f>'02 项目基础信息（输入）'!$AD$66</f>
        <v>0</v>
      </c>
      <c r="E2216" s="199" t="s">
        <v>400</v>
      </c>
      <c r="F2216" s="197" t="s">
        <v>1682</v>
      </c>
      <c r="G2216" s="701" t="s">
        <v>717</v>
      </c>
      <c r="H2216" s="199" t="s">
        <v>411</v>
      </c>
      <c r="I2216" s="198">
        <f t="shared" si="256"/>
        <v>0</v>
      </c>
      <c r="J2216" s="199" t="s">
        <v>93</v>
      </c>
      <c r="K2216" s="699" t="s">
        <v>717</v>
      </c>
      <c r="L2216" s="209" t="s">
        <v>675</v>
      </c>
      <c r="M2216" s="207">
        <f t="shared" si="257"/>
        <v>0</v>
      </c>
      <c r="N2216" s="198">
        <f>'02 项目基础信息（输入）'!$C$66</f>
        <v>815</v>
      </c>
      <c r="O2216" s="198">
        <f t="shared" si="252"/>
        <v>0</v>
      </c>
      <c r="P2216" s="198">
        <f>'02 项目基础信息（输入）'!$I$66</f>
        <v>815</v>
      </c>
      <c r="Q2216" s="233">
        <f t="shared" si="253"/>
        <v>0</v>
      </c>
      <c r="S2216" s="217"/>
      <c r="U2216" s="220" t="s">
        <v>4005</v>
      </c>
    </row>
    <row r="2217" spans="1:21" ht="20.25" hidden="1" customHeight="1" outlineLevel="3">
      <c r="A2217" s="192" t="s">
        <v>2014</v>
      </c>
      <c r="B2217" s="192"/>
      <c r="C2217" s="197" t="s">
        <v>474</v>
      </c>
      <c r="D2217" s="198">
        <f>'02 项目基础信息（输入）'!$AD$66</f>
        <v>0</v>
      </c>
      <c r="E2217" s="199" t="s">
        <v>400</v>
      </c>
      <c r="F2217" s="197" t="s">
        <v>1682</v>
      </c>
      <c r="G2217" s="701" t="s">
        <v>717</v>
      </c>
      <c r="H2217" s="199" t="s">
        <v>411</v>
      </c>
      <c r="I2217" s="198">
        <f t="shared" si="256"/>
        <v>0</v>
      </c>
      <c r="J2217" s="199" t="s">
        <v>93</v>
      </c>
      <c r="K2217" s="699" t="s">
        <v>717</v>
      </c>
      <c r="L2217" s="209" t="s">
        <v>675</v>
      </c>
      <c r="M2217" s="207">
        <f t="shared" si="257"/>
        <v>0</v>
      </c>
      <c r="N2217" s="198">
        <f>'02 项目基础信息（输入）'!$C$66</f>
        <v>815</v>
      </c>
      <c r="O2217" s="198">
        <f t="shared" si="252"/>
        <v>0</v>
      </c>
      <c r="P2217" s="198">
        <f>'02 项目基础信息（输入）'!$I$66</f>
        <v>815</v>
      </c>
      <c r="Q2217" s="233">
        <f t="shared" si="253"/>
        <v>0</v>
      </c>
      <c r="S2217" s="217"/>
      <c r="U2217" s="220" t="s">
        <v>4006</v>
      </c>
    </row>
    <row r="2218" spans="1:21" ht="20.25" hidden="1" customHeight="1" outlineLevel="3">
      <c r="A2218" s="192" t="s">
        <v>2016</v>
      </c>
      <c r="B2218" s="192"/>
      <c r="C2218" s="197" t="s">
        <v>1609</v>
      </c>
      <c r="D2218" s="198">
        <f>'02 项目基础信息（输入）'!$C$66</f>
        <v>815</v>
      </c>
      <c r="E2218" s="199" t="s">
        <v>93</v>
      </c>
      <c r="F2218" s="197" t="s">
        <v>1682</v>
      </c>
      <c r="G2218" s="701" t="s">
        <v>717</v>
      </c>
      <c r="H2218" s="199" t="s">
        <v>411</v>
      </c>
      <c r="I2218" s="198">
        <f t="shared" si="256"/>
        <v>0</v>
      </c>
      <c r="J2218" s="199" t="s">
        <v>93</v>
      </c>
      <c r="K2218" s="699" t="s">
        <v>717</v>
      </c>
      <c r="L2218" s="209" t="s">
        <v>675</v>
      </c>
      <c r="M2218" s="207">
        <f t="shared" si="257"/>
        <v>0</v>
      </c>
      <c r="N2218" s="198">
        <f>'02 项目基础信息（输入）'!$C$66</f>
        <v>815</v>
      </c>
      <c r="O2218" s="198">
        <f t="shared" si="252"/>
        <v>0</v>
      </c>
      <c r="P2218" s="198">
        <f>'02 项目基础信息（输入）'!$I$66</f>
        <v>815</v>
      </c>
      <c r="Q2218" s="233">
        <f t="shared" si="253"/>
        <v>0</v>
      </c>
      <c r="S2218" s="217"/>
      <c r="U2218" s="220" t="s">
        <v>4007</v>
      </c>
    </row>
    <row r="2219" spans="1:21" ht="20.25" hidden="1" customHeight="1" outlineLevel="3">
      <c r="A2219" s="192" t="s">
        <v>2018</v>
      </c>
      <c r="B2219" s="192"/>
      <c r="C2219" s="197" t="s">
        <v>1609</v>
      </c>
      <c r="D2219" s="198">
        <f>'02 项目基础信息（输入）'!$C$66</f>
        <v>815</v>
      </c>
      <c r="E2219" s="199" t="s">
        <v>93</v>
      </c>
      <c r="F2219" s="197" t="s">
        <v>1682</v>
      </c>
      <c r="G2219" s="701" t="s">
        <v>717</v>
      </c>
      <c r="H2219" s="199" t="s">
        <v>298</v>
      </c>
      <c r="I2219" s="198">
        <f t="shared" si="256"/>
        <v>0</v>
      </c>
      <c r="J2219" s="199" t="s">
        <v>93</v>
      </c>
      <c r="K2219" s="699" t="s">
        <v>717</v>
      </c>
      <c r="L2219" s="209" t="s">
        <v>675</v>
      </c>
      <c r="M2219" s="207">
        <f t="shared" si="257"/>
        <v>0</v>
      </c>
      <c r="N2219" s="198">
        <f>'02 项目基础信息（输入）'!$C$66</f>
        <v>815</v>
      </c>
      <c r="O2219" s="198">
        <f t="shared" si="252"/>
        <v>0</v>
      </c>
      <c r="P2219" s="198">
        <f>'02 项目基础信息（输入）'!$I$66</f>
        <v>815</v>
      </c>
      <c r="Q2219" s="233">
        <f t="shared" si="253"/>
        <v>0</v>
      </c>
      <c r="S2219" s="217"/>
      <c r="U2219" s="220" t="s">
        <v>4008</v>
      </c>
    </row>
    <row r="2220" spans="1:21" ht="20.25" hidden="1" customHeight="1" outlineLevel="3">
      <c r="A2220" s="192" t="s">
        <v>2020</v>
      </c>
      <c r="B2220" s="192"/>
      <c r="C2220" s="197" t="s">
        <v>1609</v>
      </c>
      <c r="D2220" s="198">
        <f>'02 项目基础信息（输入）'!$C$66</f>
        <v>815</v>
      </c>
      <c r="E2220" s="199" t="s">
        <v>93</v>
      </c>
      <c r="F2220" s="197" t="s">
        <v>1682</v>
      </c>
      <c r="G2220" s="701" t="s">
        <v>717</v>
      </c>
      <c r="H2220" s="199" t="s">
        <v>298</v>
      </c>
      <c r="I2220" s="198">
        <f t="shared" si="256"/>
        <v>0</v>
      </c>
      <c r="J2220" s="199" t="s">
        <v>93</v>
      </c>
      <c r="K2220" s="699" t="s">
        <v>717</v>
      </c>
      <c r="L2220" s="209" t="s">
        <v>675</v>
      </c>
      <c r="M2220" s="207">
        <f t="shared" si="257"/>
        <v>0</v>
      </c>
      <c r="N2220" s="198">
        <f>'02 项目基础信息（输入）'!$C$66</f>
        <v>815</v>
      </c>
      <c r="O2220" s="198">
        <f t="shared" si="252"/>
        <v>0</v>
      </c>
      <c r="P2220" s="198">
        <f>'02 项目基础信息（输入）'!$I$66</f>
        <v>815</v>
      </c>
      <c r="Q2220" s="233">
        <f t="shared" si="253"/>
        <v>0</v>
      </c>
      <c r="S2220" s="217"/>
      <c r="U2220" s="220" t="s">
        <v>4009</v>
      </c>
    </row>
    <row r="2221" spans="1:21" ht="20.25" hidden="1" customHeight="1" outlineLevel="3">
      <c r="A2221" s="192" t="s">
        <v>2022</v>
      </c>
      <c r="B2221" s="192"/>
      <c r="C2221" s="197" t="s">
        <v>1609</v>
      </c>
      <c r="D2221" s="198">
        <f>'02 项目基础信息（输入）'!$C$66</f>
        <v>815</v>
      </c>
      <c r="E2221" s="199" t="s">
        <v>93</v>
      </c>
      <c r="F2221" s="197" t="s">
        <v>1682</v>
      </c>
      <c r="G2221" s="701" t="s">
        <v>717</v>
      </c>
      <c r="H2221" s="199" t="s">
        <v>298</v>
      </c>
      <c r="I2221" s="198">
        <f t="shared" si="256"/>
        <v>0</v>
      </c>
      <c r="J2221" s="199" t="s">
        <v>93</v>
      </c>
      <c r="K2221" s="699" t="s">
        <v>717</v>
      </c>
      <c r="L2221" s="209" t="s">
        <v>675</v>
      </c>
      <c r="M2221" s="207">
        <f t="shared" si="257"/>
        <v>0</v>
      </c>
      <c r="N2221" s="198">
        <f>'02 项目基础信息（输入）'!$C$66</f>
        <v>815</v>
      </c>
      <c r="O2221" s="198">
        <f t="shared" si="252"/>
        <v>0</v>
      </c>
      <c r="P2221" s="198">
        <f>'02 项目基础信息（输入）'!$I$66</f>
        <v>815</v>
      </c>
      <c r="Q2221" s="233">
        <f t="shared" si="253"/>
        <v>0</v>
      </c>
      <c r="S2221" s="217"/>
      <c r="U2221" s="220" t="s">
        <v>4010</v>
      </c>
    </row>
    <row r="2222" spans="1:21" ht="20.25" hidden="1" customHeight="1" outlineLevel="3">
      <c r="A2222" s="192" t="s">
        <v>1694</v>
      </c>
      <c r="B2222" s="192"/>
      <c r="C2222" s="197" t="s">
        <v>1609</v>
      </c>
      <c r="D2222" s="198">
        <f>'02 项目基础信息（输入）'!$C$66</f>
        <v>815</v>
      </c>
      <c r="E2222" s="199" t="s">
        <v>93</v>
      </c>
      <c r="F2222" s="197" t="s">
        <v>1682</v>
      </c>
      <c r="G2222" s="701" t="s">
        <v>717</v>
      </c>
      <c r="H2222" s="199" t="s">
        <v>298</v>
      </c>
      <c r="I2222" s="198">
        <f t="shared" si="256"/>
        <v>0</v>
      </c>
      <c r="J2222" s="199" t="s">
        <v>93</v>
      </c>
      <c r="K2222" s="699" t="s">
        <v>717</v>
      </c>
      <c r="L2222" s="209" t="s">
        <v>675</v>
      </c>
      <c r="M2222" s="207">
        <f t="shared" si="257"/>
        <v>0</v>
      </c>
      <c r="N2222" s="198">
        <f>'02 项目基础信息（输入）'!$C$66</f>
        <v>815</v>
      </c>
      <c r="O2222" s="198">
        <f t="shared" si="252"/>
        <v>0</v>
      </c>
      <c r="P2222" s="198">
        <f>'02 项目基础信息（输入）'!$I$66</f>
        <v>815</v>
      </c>
      <c r="Q2222" s="233">
        <f t="shared" si="253"/>
        <v>0</v>
      </c>
      <c r="S2222" s="217"/>
      <c r="U2222" s="220" t="s">
        <v>4011</v>
      </c>
    </row>
    <row r="2223" spans="1:21" ht="20.25" hidden="1" customHeight="1" outlineLevel="3">
      <c r="A2223" s="192" t="s">
        <v>1696</v>
      </c>
      <c r="B2223" s="192"/>
      <c r="C2223" s="197" t="s">
        <v>1609</v>
      </c>
      <c r="D2223" s="198">
        <f>'02 项目基础信息（输入）'!$C$66</f>
        <v>815</v>
      </c>
      <c r="E2223" s="199" t="s">
        <v>93</v>
      </c>
      <c r="F2223" s="197" t="s">
        <v>1682</v>
      </c>
      <c r="G2223" s="701" t="s">
        <v>717</v>
      </c>
      <c r="H2223" s="199" t="s">
        <v>298</v>
      </c>
      <c r="I2223" s="198">
        <f t="shared" si="256"/>
        <v>0</v>
      </c>
      <c r="J2223" s="199" t="s">
        <v>93</v>
      </c>
      <c r="K2223" s="699" t="s">
        <v>717</v>
      </c>
      <c r="L2223" s="209" t="s">
        <v>675</v>
      </c>
      <c r="M2223" s="207">
        <f t="shared" si="257"/>
        <v>0</v>
      </c>
      <c r="N2223" s="198">
        <f>'02 项目基础信息（输入）'!$C$66</f>
        <v>815</v>
      </c>
      <c r="O2223" s="198">
        <f t="shared" si="252"/>
        <v>0</v>
      </c>
      <c r="P2223" s="198">
        <f>'02 项目基础信息（输入）'!$I$66</f>
        <v>815</v>
      </c>
      <c r="Q2223" s="233">
        <f t="shared" si="253"/>
        <v>0</v>
      </c>
      <c r="S2223" s="217"/>
      <c r="U2223" s="220" t="s">
        <v>4012</v>
      </c>
    </row>
    <row r="2224" spans="1:21" ht="20.25" customHeight="1" outlineLevel="2" collapsed="1">
      <c r="A2224" s="192" t="s">
        <v>1698</v>
      </c>
      <c r="B2224" s="192"/>
      <c r="C2224" s="197" t="s">
        <v>1609</v>
      </c>
      <c r="D2224" s="198">
        <f>'02 项目基础信息（输入）'!$C$66</f>
        <v>815</v>
      </c>
      <c r="E2224" s="199" t="s">
        <v>93</v>
      </c>
      <c r="F2224" s="197"/>
      <c r="G2224" s="199"/>
      <c r="H2224" s="199"/>
      <c r="I2224" s="197"/>
      <c r="J2224" s="199"/>
      <c r="K2224" s="198"/>
      <c r="L2224" s="209"/>
      <c r="M2224" s="198">
        <f>ROUND(SUM(M2225:M2226),6)</f>
        <v>0.96577500000000005</v>
      </c>
      <c r="N2224" s="198">
        <f>'02 项目基础信息（输入）'!$C$66</f>
        <v>815</v>
      </c>
      <c r="O2224" s="198">
        <f t="shared" si="252"/>
        <v>11.85</v>
      </c>
      <c r="P2224" s="198">
        <f>'02 项目基础信息（输入）'!$I$66</f>
        <v>815</v>
      </c>
      <c r="Q2224" s="233">
        <f t="shared" si="253"/>
        <v>11.85</v>
      </c>
      <c r="S2224" s="217" t="s">
        <v>1313</v>
      </c>
      <c r="U2224" s="220" t="s">
        <v>4013</v>
      </c>
    </row>
    <row r="2225" spans="1:21" ht="20.25" hidden="1" customHeight="1" outlineLevel="3">
      <c r="A2225" s="192" t="s">
        <v>1700</v>
      </c>
      <c r="B2225" s="192"/>
      <c r="C2225" s="197" t="s">
        <v>1609</v>
      </c>
      <c r="D2225" s="198">
        <f>'02 项目基础信息（输入）'!$C$66</f>
        <v>815</v>
      </c>
      <c r="E2225" s="199" t="s">
        <v>93</v>
      </c>
      <c r="F2225" s="197" t="s">
        <v>1701</v>
      </c>
      <c r="G2225" s="701">
        <v>0.03</v>
      </c>
      <c r="H2225" s="199" t="s">
        <v>298</v>
      </c>
      <c r="I2225" s="198">
        <f>G2225*D2225</f>
        <v>24.45</v>
      </c>
      <c r="J2225" s="199" t="s">
        <v>93</v>
      </c>
      <c r="K2225" s="699">
        <v>395</v>
      </c>
      <c r="L2225" s="209" t="s">
        <v>675</v>
      </c>
      <c r="M2225" s="207">
        <f>ROUND(K2225*I2225/10000,6)</f>
        <v>0.96577500000000005</v>
      </c>
      <c r="N2225" s="198">
        <f>'02 项目基础信息（输入）'!$C$66</f>
        <v>815</v>
      </c>
      <c r="O2225" s="198">
        <f t="shared" si="252"/>
        <v>11.85</v>
      </c>
      <c r="P2225" s="198">
        <f>'02 项目基础信息（输入）'!$I$66</f>
        <v>815</v>
      </c>
      <c r="Q2225" s="233">
        <f t="shared" si="253"/>
        <v>11.85</v>
      </c>
      <c r="S2225" s="217"/>
      <c r="U2225" s="220" t="s">
        <v>4014</v>
      </c>
    </row>
    <row r="2226" spans="1:21" ht="20.25" hidden="1" customHeight="1" outlineLevel="3">
      <c r="A2226" s="192" t="s">
        <v>1703</v>
      </c>
      <c r="B2226" s="192"/>
      <c r="C2226" s="197" t="s">
        <v>1609</v>
      </c>
      <c r="D2226" s="198">
        <f>'02 项目基础信息（输入）'!$C$66</f>
        <v>815</v>
      </c>
      <c r="E2226" s="199" t="s">
        <v>93</v>
      </c>
      <c r="F2226" s="197" t="s">
        <v>1704</v>
      </c>
      <c r="G2226" s="701" t="s">
        <v>717</v>
      </c>
      <c r="H2226" s="199" t="s">
        <v>298</v>
      </c>
      <c r="I2226" s="198">
        <f>G2226*D2226</f>
        <v>0</v>
      </c>
      <c r="J2226" s="199" t="s">
        <v>93</v>
      </c>
      <c r="K2226" s="699" t="s">
        <v>717</v>
      </c>
      <c r="L2226" s="209" t="s">
        <v>675</v>
      </c>
      <c r="M2226" s="207">
        <f>ROUND(K2226*I2226/10000,6)</f>
        <v>0</v>
      </c>
      <c r="N2226" s="198">
        <f>'02 项目基础信息（输入）'!$C$66</f>
        <v>815</v>
      </c>
      <c r="O2226" s="198">
        <f t="shared" si="252"/>
        <v>0</v>
      </c>
      <c r="P2226" s="198">
        <f>'02 项目基础信息（输入）'!$I$66</f>
        <v>815</v>
      </c>
      <c r="Q2226" s="233">
        <f t="shared" si="253"/>
        <v>0</v>
      </c>
      <c r="S2226" s="217"/>
      <c r="U2226" s="220" t="s">
        <v>4015</v>
      </c>
    </row>
    <row r="2227" spans="1:21" ht="20.25" customHeight="1" outlineLevel="2" collapsed="1">
      <c r="A2227" s="192" t="s">
        <v>1706</v>
      </c>
      <c r="B2227" s="192"/>
      <c r="C2227" s="197" t="s">
        <v>1609</v>
      </c>
      <c r="D2227" s="198">
        <f>'02 项目基础信息（输入）'!$C$66</f>
        <v>815</v>
      </c>
      <c r="E2227" s="199" t="s">
        <v>93</v>
      </c>
      <c r="F2227" s="197"/>
      <c r="G2227" s="199"/>
      <c r="H2227" s="199"/>
      <c r="I2227" s="197"/>
      <c r="J2227" s="199"/>
      <c r="K2227" s="198"/>
      <c r="L2227" s="209"/>
      <c r="M2227" s="198">
        <f>ROUND(SUM(M2228:M2229),6)</f>
        <v>0</v>
      </c>
      <c r="N2227" s="198">
        <f>'02 项目基础信息（输入）'!$C$66</f>
        <v>815</v>
      </c>
      <c r="O2227" s="198">
        <f t="shared" si="252"/>
        <v>0</v>
      </c>
      <c r="P2227" s="198">
        <f>'02 项目基础信息（输入）'!$I$66</f>
        <v>815</v>
      </c>
      <c r="Q2227" s="233">
        <f t="shared" si="253"/>
        <v>0</v>
      </c>
      <c r="S2227" s="217" t="s">
        <v>1313</v>
      </c>
      <c r="U2227" s="220" t="s">
        <v>4016</v>
      </c>
    </row>
    <row r="2228" spans="1:21" ht="20.25" hidden="1" customHeight="1" outlineLevel="3">
      <c r="A2228" s="192" t="s">
        <v>1708</v>
      </c>
      <c r="B2228" s="192"/>
      <c r="C2228" s="197" t="s">
        <v>1609</v>
      </c>
      <c r="D2228" s="198">
        <f>'02 项目基础信息（输入）'!$C$66</f>
        <v>815</v>
      </c>
      <c r="E2228" s="199" t="s">
        <v>93</v>
      </c>
      <c r="F2228" s="197" t="s">
        <v>1648</v>
      </c>
      <c r="G2228" s="701" t="s">
        <v>717</v>
      </c>
      <c r="H2228" s="199" t="s">
        <v>298</v>
      </c>
      <c r="I2228" s="198">
        <f>G2228*D2228</f>
        <v>0</v>
      </c>
      <c r="J2228" s="199" t="s">
        <v>93</v>
      </c>
      <c r="K2228" s="699" t="s">
        <v>717</v>
      </c>
      <c r="L2228" s="209" t="s">
        <v>675</v>
      </c>
      <c r="M2228" s="207">
        <f>ROUND(K2228*I2228/10000,6)</f>
        <v>0</v>
      </c>
      <c r="N2228" s="198">
        <f>'02 项目基础信息（输入）'!$C$66</f>
        <v>815</v>
      </c>
      <c r="O2228" s="198">
        <f t="shared" si="252"/>
        <v>0</v>
      </c>
      <c r="P2228" s="198">
        <f>'02 项目基础信息（输入）'!$I$66</f>
        <v>815</v>
      </c>
      <c r="Q2228" s="233">
        <f t="shared" si="253"/>
        <v>0</v>
      </c>
      <c r="S2228" s="217"/>
      <c r="U2228" s="220" t="s">
        <v>4017</v>
      </c>
    </row>
    <row r="2229" spans="1:21" ht="20.25" hidden="1" customHeight="1" outlineLevel="3">
      <c r="A2229" s="192" t="s">
        <v>1710</v>
      </c>
      <c r="B2229" s="192"/>
      <c r="C2229" s="197" t="s">
        <v>1609</v>
      </c>
      <c r="D2229" s="198">
        <f>'02 项目基础信息（输入）'!$C$66</f>
        <v>815</v>
      </c>
      <c r="E2229" s="199" t="s">
        <v>93</v>
      </c>
      <c r="F2229" s="197" t="s">
        <v>1648</v>
      </c>
      <c r="G2229" s="701" t="s">
        <v>717</v>
      </c>
      <c r="H2229" s="199" t="s">
        <v>298</v>
      </c>
      <c r="I2229" s="198">
        <f>G2229*D2229</f>
        <v>0</v>
      </c>
      <c r="J2229" s="199" t="s">
        <v>93</v>
      </c>
      <c r="K2229" s="699" t="s">
        <v>717</v>
      </c>
      <c r="L2229" s="209" t="s">
        <v>675</v>
      </c>
      <c r="M2229" s="207">
        <f>ROUND(K2229*I2229/10000,6)</f>
        <v>0</v>
      </c>
      <c r="N2229" s="198">
        <f>'02 项目基础信息（输入）'!$C$66</f>
        <v>815</v>
      </c>
      <c r="O2229" s="198">
        <f t="shared" si="252"/>
        <v>0</v>
      </c>
      <c r="P2229" s="198">
        <f>'02 项目基础信息（输入）'!$I$66</f>
        <v>815</v>
      </c>
      <c r="Q2229" s="233">
        <f t="shared" si="253"/>
        <v>0</v>
      </c>
      <c r="S2229" s="217"/>
      <c r="U2229" s="220" t="s">
        <v>4018</v>
      </c>
    </row>
    <row r="2230" spans="1:21" ht="20.25" customHeight="1" outlineLevel="2" collapsed="1">
      <c r="A2230" s="192" t="s">
        <v>1712</v>
      </c>
      <c r="B2230" s="192"/>
      <c r="C2230" s="197" t="s">
        <v>1609</v>
      </c>
      <c r="D2230" s="198">
        <f>'02 项目基础信息（输入）'!$C$66</f>
        <v>815</v>
      </c>
      <c r="E2230" s="199" t="s">
        <v>93</v>
      </c>
      <c r="F2230" s="197"/>
      <c r="G2230" s="199"/>
      <c r="H2230" s="199"/>
      <c r="I2230" s="197"/>
      <c r="J2230" s="199"/>
      <c r="K2230" s="198"/>
      <c r="L2230" s="209"/>
      <c r="M2230" s="198">
        <f>ROUND(SUM(M2231:M2248),6)</f>
        <v>18.659424999999999</v>
      </c>
      <c r="N2230" s="198">
        <f>'02 项目基础信息（输入）'!$C$66</f>
        <v>815</v>
      </c>
      <c r="O2230" s="198">
        <f t="shared" si="252"/>
        <v>228.95</v>
      </c>
      <c r="P2230" s="198">
        <f>'02 项目基础信息（输入）'!$I$66</f>
        <v>815</v>
      </c>
      <c r="Q2230" s="233">
        <f t="shared" si="253"/>
        <v>228.95</v>
      </c>
      <c r="S2230" s="217" t="s">
        <v>1313</v>
      </c>
      <c r="U2230" s="220" t="s">
        <v>4019</v>
      </c>
    </row>
    <row r="2231" spans="1:21" ht="20.25" hidden="1" customHeight="1" outlineLevel="3">
      <c r="A2231" s="192" t="s">
        <v>1714</v>
      </c>
      <c r="B2231" s="192"/>
      <c r="C2231" s="197" t="s">
        <v>1609</v>
      </c>
      <c r="D2231" s="198">
        <f>'02 项目基础信息（输入）'!$C$66</f>
        <v>815</v>
      </c>
      <c r="E2231" s="199" t="s">
        <v>93</v>
      </c>
      <c r="F2231" s="197" t="s">
        <v>1609</v>
      </c>
      <c r="G2231" s="199">
        <v>1</v>
      </c>
      <c r="H2231" s="199" t="s">
        <v>298</v>
      </c>
      <c r="I2231" s="198">
        <f t="shared" ref="I2231:I2248" si="258">G2231*D2231</f>
        <v>815</v>
      </c>
      <c r="J2231" s="199" t="s">
        <v>93</v>
      </c>
      <c r="K2231" s="699">
        <v>228.95</v>
      </c>
      <c r="L2231" s="209" t="s">
        <v>675</v>
      </c>
      <c r="M2231" s="207">
        <f t="shared" ref="M2231:M2248" si="259">ROUND(K2231*I2231/10000,6)</f>
        <v>18.659424999999999</v>
      </c>
      <c r="N2231" s="198">
        <f>'02 项目基础信息（输入）'!$C$66</f>
        <v>815</v>
      </c>
      <c r="O2231" s="198">
        <f t="shared" si="252"/>
        <v>228.95</v>
      </c>
      <c r="P2231" s="198">
        <f>'02 项目基础信息（输入）'!$I$66</f>
        <v>815</v>
      </c>
      <c r="Q2231" s="233">
        <f t="shared" si="253"/>
        <v>228.95</v>
      </c>
      <c r="S2231" s="217"/>
      <c r="U2231" s="220" t="s">
        <v>4020</v>
      </c>
    </row>
    <row r="2232" spans="1:21" ht="20.25" hidden="1" customHeight="1" outlineLevel="3">
      <c r="A2232" s="192" t="s">
        <v>1717</v>
      </c>
      <c r="B2232" s="192"/>
      <c r="C2232" s="197" t="s">
        <v>1609</v>
      </c>
      <c r="D2232" s="198">
        <f>'02 项目基础信息（输入）'!$C$66</f>
        <v>815</v>
      </c>
      <c r="E2232" s="199" t="s">
        <v>93</v>
      </c>
      <c r="F2232" s="197" t="s">
        <v>1609</v>
      </c>
      <c r="G2232" s="199">
        <v>1</v>
      </c>
      <c r="H2232" s="199" t="s">
        <v>298</v>
      </c>
      <c r="I2232" s="198">
        <f t="shared" si="258"/>
        <v>815</v>
      </c>
      <c r="J2232" s="199" t="s">
        <v>93</v>
      </c>
      <c r="K2232" s="699" t="s">
        <v>717</v>
      </c>
      <c r="L2232" s="209" t="s">
        <v>675</v>
      </c>
      <c r="M2232" s="207">
        <f t="shared" si="259"/>
        <v>0</v>
      </c>
      <c r="N2232" s="198">
        <f>'02 项目基础信息（输入）'!$C$66</f>
        <v>815</v>
      </c>
      <c r="O2232" s="198">
        <f t="shared" si="252"/>
        <v>0</v>
      </c>
      <c r="P2232" s="198">
        <f>'02 项目基础信息（输入）'!$I$66</f>
        <v>815</v>
      </c>
      <c r="Q2232" s="233">
        <f t="shared" si="253"/>
        <v>0</v>
      </c>
      <c r="S2232" s="217"/>
      <c r="U2232" s="220" t="s">
        <v>4021</v>
      </c>
    </row>
    <row r="2233" spans="1:21" ht="20.25" hidden="1" customHeight="1" outlineLevel="3">
      <c r="A2233" s="192" t="s">
        <v>1719</v>
      </c>
      <c r="B2233" s="192"/>
      <c r="C2233" s="197" t="s">
        <v>1609</v>
      </c>
      <c r="D2233" s="198">
        <f>'02 项目基础信息（输入）'!$C$66</f>
        <v>815</v>
      </c>
      <c r="E2233" s="199" t="s">
        <v>93</v>
      </c>
      <c r="F2233" s="197" t="s">
        <v>1609</v>
      </c>
      <c r="G2233" s="199">
        <v>1</v>
      </c>
      <c r="H2233" s="199" t="s">
        <v>298</v>
      </c>
      <c r="I2233" s="198">
        <f t="shared" si="258"/>
        <v>815</v>
      </c>
      <c r="J2233" s="199" t="s">
        <v>93</v>
      </c>
      <c r="K2233" s="699" t="s">
        <v>717</v>
      </c>
      <c r="L2233" s="209" t="s">
        <v>675</v>
      </c>
      <c r="M2233" s="207">
        <f t="shared" si="259"/>
        <v>0</v>
      </c>
      <c r="N2233" s="198">
        <f>'02 项目基础信息（输入）'!$C$66</f>
        <v>815</v>
      </c>
      <c r="O2233" s="198">
        <f t="shared" si="252"/>
        <v>0</v>
      </c>
      <c r="P2233" s="198">
        <f>'02 项目基础信息（输入）'!$I$66</f>
        <v>815</v>
      </c>
      <c r="Q2233" s="233">
        <f t="shared" si="253"/>
        <v>0</v>
      </c>
      <c r="S2233" s="217"/>
      <c r="U2233" s="220" t="s">
        <v>4022</v>
      </c>
    </row>
    <row r="2234" spans="1:21" ht="20.25" hidden="1" customHeight="1" outlineLevel="3">
      <c r="A2234" s="192" t="s">
        <v>1721</v>
      </c>
      <c r="B2234" s="192"/>
      <c r="C2234" s="197" t="s">
        <v>1609</v>
      </c>
      <c r="D2234" s="198">
        <f>'02 项目基础信息（输入）'!$C$66</f>
        <v>815</v>
      </c>
      <c r="E2234" s="199" t="s">
        <v>93</v>
      </c>
      <c r="F2234" s="197" t="s">
        <v>1609</v>
      </c>
      <c r="G2234" s="199">
        <v>1</v>
      </c>
      <c r="H2234" s="199" t="s">
        <v>298</v>
      </c>
      <c r="I2234" s="198">
        <f t="shared" si="258"/>
        <v>815</v>
      </c>
      <c r="J2234" s="199" t="s">
        <v>93</v>
      </c>
      <c r="K2234" s="699" t="s">
        <v>717</v>
      </c>
      <c r="L2234" s="209" t="s">
        <v>675</v>
      </c>
      <c r="M2234" s="207">
        <f t="shared" si="259"/>
        <v>0</v>
      </c>
      <c r="N2234" s="198">
        <f>'02 项目基础信息（输入）'!$C$66</f>
        <v>815</v>
      </c>
      <c r="O2234" s="198">
        <f t="shared" si="252"/>
        <v>0</v>
      </c>
      <c r="P2234" s="198">
        <f>'02 项目基础信息（输入）'!$I$66</f>
        <v>815</v>
      </c>
      <c r="Q2234" s="233">
        <f t="shared" si="253"/>
        <v>0</v>
      </c>
      <c r="S2234" s="217"/>
      <c r="U2234" s="220" t="s">
        <v>4023</v>
      </c>
    </row>
    <row r="2235" spans="1:21" ht="20.25" hidden="1" customHeight="1" outlineLevel="3">
      <c r="A2235" s="192" t="s">
        <v>1723</v>
      </c>
      <c r="B2235" s="192"/>
      <c r="C2235" s="197" t="s">
        <v>1609</v>
      </c>
      <c r="D2235" s="198">
        <f>'02 项目基础信息（输入）'!$C$66</f>
        <v>815</v>
      </c>
      <c r="E2235" s="199" t="s">
        <v>93</v>
      </c>
      <c r="F2235" s="197" t="s">
        <v>1609</v>
      </c>
      <c r="G2235" s="199">
        <v>1</v>
      </c>
      <c r="H2235" s="199" t="s">
        <v>298</v>
      </c>
      <c r="I2235" s="198">
        <f t="shared" si="258"/>
        <v>815</v>
      </c>
      <c r="J2235" s="199" t="s">
        <v>93</v>
      </c>
      <c r="K2235" s="699" t="s">
        <v>717</v>
      </c>
      <c r="L2235" s="209" t="s">
        <v>675</v>
      </c>
      <c r="M2235" s="207">
        <f t="shared" si="259"/>
        <v>0</v>
      </c>
      <c r="N2235" s="198">
        <f>'02 项目基础信息（输入）'!$C$66</f>
        <v>815</v>
      </c>
      <c r="O2235" s="198">
        <f t="shared" si="252"/>
        <v>0</v>
      </c>
      <c r="P2235" s="198">
        <f>'02 项目基础信息（输入）'!$I$66</f>
        <v>815</v>
      </c>
      <c r="Q2235" s="233">
        <f t="shared" si="253"/>
        <v>0</v>
      </c>
      <c r="S2235" s="217"/>
      <c r="U2235" s="220" t="s">
        <v>4024</v>
      </c>
    </row>
    <row r="2236" spans="1:21" ht="20.25" hidden="1" customHeight="1" outlineLevel="3">
      <c r="A2236" s="192" t="s">
        <v>1725</v>
      </c>
      <c r="B2236" s="192"/>
      <c r="C2236" s="197" t="s">
        <v>1609</v>
      </c>
      <c r="D2236" s="198">
        <f>'02 项目基础信息（输入）'!$C$66</f>
        <v>815</v>
      </c>
      <c r="E2236" s="199" t="s">
        <v>93</v>
      </c>
      <c r="F2236" s="197" t="s">
        <v>1609</v>
      </c>
      <c r="G2236" s="199">
        <v>1</v>
      </c>
      <c r="H2236" s="199" t="s">
        <v>298</v>
      </c>
      <c r="I2236" s="198">
        <f t="shared" si="258"/>
        <v>815</v>
      </c>
      <c r="J2236" s="199" t="s">
        <v>93</v>
      </c>
      <c r="K2236" s="699" t="s">
        <v>717</v>
      </c>
      <c r="L2236" s="209" t="s">
        <v>675</v>
      </c>
      <c r="M2236" s="207">
        <f t="shared" si="259"/>
        <v>0</v>
      </c>
      <c r="N2236" s="198">
        <f>'02 项目基础信息（输入）'!$C$66</f>
        <v>815</v>
      </c>
      <c r="O2236" s="198">
        <f t="shared" si="252"/>
        <v>0</v>
      </c>
      <c r="P2236" s="198">
        <f>'02 项目基础信息（输入）'!$I$66</f>
        <v>815</v>
      </c>
      <c r="Q2236" s="233">
        <f t="shared" si="253"/>
        <v>0</v>
      </c>
      <c r="S2236" s="217"/>
      <c r="U2236" s="220" t="s">
        <v>4025</v>
      </c>
    </row>
    <row r="2237" spans="1:21" ht="20.25" hidden="1" customHeight="1" outlineLevel="3">
      <c r="A2237" s="192" t="s">
        <v>1727</v>
      </c>
      <c r="B2237" s="192"/>
      <c r="C2237" s="197" t="s">
        <v>1609</v>
      </c>
      <c r="D2237" s="198">
        <f>'02 项目基础信息（输入）'!$C$66</f>
        <v>815</v>
      </c>
      <c r="E2237" s="199" t="s">
        <v>93</v>
      </c>
      <c r="F2237" s="197" t="s">
        <v>1609</v>
      </c>
      <c r="G2237" s="199">
        <v>1</v>
      </c>
      <c r="H2237" s="199" t="s">
        <v>298</v>
      </c>
      <c r="I2237" s="198">
        <f t="shared" si="258"/>
        <v>815</v>
      </c>
      <c r="J2237" s="199" t="s">
        <v>93</v>
      </c>
      <c r="K2237" s="699" t="s">
        <v>717</v>
      </c>
      <c r="L2237" s="209" t="s">
        <v>675</v>
      </c>
      <c r="M2237" s="207">
        <f t="shared" si="259"/>
        <v>0</v>
      </c>
      <c r="N2237" s="198">
        <f>'02 项目基础信息（输入）'!$C$66</f>
        <v>815</v>
      </c>
      <c r="O2237" s="198">
        <f t="shared" si="252"/>
        <v>0</v>
      </c>
      <c r="P2237" s="198">
        <f>'02 项目基础信息（输入）'!$I$66</f>
        <v>815</v>
      </c>
      <c r="Q2237" s="233">
        <f t="shared" si="253"/>
        <v>0</v>
      </c>
      <c r="S2237" s="217"/>
      <c r="U2237" s="220" t="s">
        <v>4026</v>
      </c>
    </row>
    <row r="2238" spans="1:21" ht="20.25" hidden="1" customHeight="1" outlineLevel="3">
      <c r="A2238" s="192" t="s">
        <v>1729</v>
      </c>
      <c r="B2238" s="192"/>
      <c r="C2238" s="197" t="s">
        <v>1609</v>
      </c>
      <c r="D2238" s="198">
        <f>'02 项目基础信息（输入）'!$C$66</f>
        <v>815</v>
      </c>
      <c r="E2238" s="199" t="s">
        <v>93</v>
      </c>
      <c r="F2238" s="197" t="s">
        <v>1609</v>
      </c>
      <c r="G2238" s="199">
        <v>1</v>
      </c>
      <c r="H2238" s="199" t="s">
        <v>298</v>
      </c>
      <c r="I2238" s="198">
        <f t="shared" si="258"/>
        <v>815</v>
      </c>
      <c r="J2238" s="199" t="s">
        <v>93</v>
      </c>
      <c r="K2238" s="699" t="s">
        <v>717</v>
      </c>
      <c r="L2238" s="209" t="s">
        <v>675</v>
      </c>
      <c r="M2238" s="207">
        <f t="shared" si="259"/>
        <v>0</v>
      </c>
      <c r="N2238" s="198">
        <f>'02 项目基础信息（输入）'!$C$66</f>
        <v>815</v>
      </c>
      <c r="O2238" s="198">
        <f t="shared" si="252"/>
        <v>0</v>
      </c>
      <c r="P2238" s="198">
        <f>'02 项目基础信息（输入）'!$I$66</f>
        <v>815</v>
      </c>
      <c r="Q2238" s="233">
        <f t="shared" si="253"/>
        <v>0</v>
      </c>
      <c r="S2238" s="217"/>
      <c r="U2238" s="220" t="s">
        <v>4027</v>
      </c>
    </row>
    <row r="2239" spans="1:21" ht="20.25" hidden="1" customHeight="1" outlineLevel="3">
      <c r="A2239" s="192" t="s">
        <v>1731</v>
      </c>
      <c r="B2239" s="192"/>
      <c r="C2239" s="197" t="s">
        <v>1609</v>
      </c>
      <c r="D2239" s="198">
        <f>'02 项目基础信息（输入）'!$C$66</f>
        <v>815</v>
      </c>
      <c r="E2239" s="199" t="s">
        <v>93</v>
      </c>
      <c r="F2239" s="197" t="s">
        <v>1609</v>
      </c>
      <c r="G2239" s="199">
        <v>1</v>
      </c>
      <c r="H2239" s="199" t="s">
        <v>298</v>
      </c>
      <c r="I2239" s="198">
        <f t="shared" si="258"/>
        <v>815</v>
      </c>
      <c r="J2239" s="199" t="s">
        <v>93</v>
      </c>
      <c r="K2239" s="699" t="s">
        <v>717</v>
      </c>
      <c r="L2239" s="209" t="s">
        <v>675</v>
      </c>
      <c r="M2239" s="207">
        <f t="shared" si="259"/>
        <v>0</v>
      </c>
      <c r="N2239" s="198">
        <f>'02 项目基础信息（输入）'!$C$66</f>
        <v>815</v>
      </c>
      <c r="O2239" s="198">
        <f t="shared" si="252"/>
        <v>0</v>
      </c>
      <c r="P2239" s="198">
        <f>'02 项目基础信息（输入）'!$I$66</f>
        <v>815</v>
      </c>
      <c r="Q2239" s="233">
        <f t="shared" si="253"/>
        <v>0</v>
      </c>
      <c r="S2239" s="217"/>
      <c r="U2239" s="220" t="s">
        <v>4028</v>
      </c>
    </row>
    <row r="2240" spans="1:21" ht="20.25" hidden="1" customHeight="1" outlineLevel="3">
      <c r="A2240" s="192" t="s">
        <v>1733</v>
      </c>
      <c r="B2240" s="192"/>
      <c r="C2240" s="197" t="s">
        <v>1609</v>
      </c>
      <c r="D2240" s="198">
        <f>'02 项目基础信息（输入）'!$C$66</f>
        <v>815</v>
      </c>
      <c r="E2240" s="199" t="s">
        <v>93</v>
      </c>
      <c r="F2240" s="197" t="s">
        <v>1609</v>
      </c>
      <c r="G2240" s="199">
        <v>1</v>
      </c>
      <c r="H2240" s="199" t="s">
        <v>298</v>
      </c>
      <c r="I2240" s="198">
        <f t="shared" si="258"/>
        <v>815</v>
      </c>
      <c r="J2240" s="199" t="s">
        <v>93</v>
      </c>
      <c r="K2240" s="699" t="s">
        <v>717</v>
      </c>
      <c r="L2240" s="209" t="s">
        <v>675</v>
      </c>
      <c r="M2240" s="207">
        <f t="shared" si="259"/>
        <v>0</v>
      </c>
      <c r="N2240" s="198">
        <f>'02 项目基础信息（输入）'!$C$66</f>
        <v>815</v>
      </c>
      <c r="O2240" s="198">
        <f t="shared" si="252"/>
        <v>0</v>
      </c>
      <c r="P2240" s="198">
        <f>'02 项目基础信息（输入）'!$I$66</f>
        <v>815</v>
      </c>
      <c r="Q2240" s="233">
        <f t="shared" si="253"/>
        <v>0</v>
      </c>
      <c r="S2240" s="217"/>
      <c r="U2240" s="220" t="s">
        <v>4029</v>
      </c>
    </row>
    <row r="2241" spans="1:21" ht="20.25" hidden="1" customHeight="1" outlineLevel="3">
      <c r="A2241" s="192" t="s">
        <v>1735</v>
      </c>
      <c r="B2241" s="192"/>
      <c r="C2241" s="197" t="s">
        <v>1609</v>
      </c>
      <c r="D2241" s="198">
        <f>'02 项目基础信息（输入）'!$C$66</f>
        <v>815</v>
      </c>
      <c r="E2241" s="199" t="s">
        <v>93</v>
      </c>
      <c r="F2241" s="197" t="s">
        <v>1609</v>
      </c>
      <c r="G2241" s="199">
        <v>1</v>
      </c>
      <c r="H2241" s="199" t="s">
        <v>298</v>
      </c>
      <c r="I2241" s="198">
        <f t="shared" si="258"/>
        <v>815</v>
      </c>
      <c r="J2241" s="199" t="s">
        <v>93</v>
      </c>
      <c r="K2241" s="699" t="s">
        <v>717</v>
      </c>
      <c r="L2241" s="209" t="s">
        <v>675</v>
      </c>
      <c r="M2241" s="207">
        <f t="shared" si="259"/>
        <v>0</v>
      </c>
      <c r="N2241" s="198">
        <f>'02 项目基础信息（输入）'!$C$66</f>
        <v>815</v>
      </c>
      <c r="O2241" s="198">
        <f t="shared" si="252"/>
        <v>0</v>
      </c>
      <c r="P2241" s="198">
        <f>'02 项目基础信息（输入）'!$I$66</f>
        <v>815</v>
      </c>
      <c r="Q2241" s="233">
        <f t="shared" si="253"/>
        <v>0</v>
      </c>
      <c r="S2241" s="217"/>
      <c r="U2241" s="220" t="s">
        <v>4030</v>
      </c>
    </row>
    <row r="2242" spans="1:21" ht="20.25" hidden="1" customHeight="1" outlineLevel="3">
      <c r="A2242" s="192" t="s">
        <v>1737</v>
      </c>
      <c r="B2242" s="192"/>
      <c r="C2242" s="197" t="s">
        <v>1609</v>
      </c>
      <c r="D2242" s="198">
        <f>'02 项目基础信息（输入）'!$C$66</f>
        <v>815</v>
      </c>
      <c r="E2242" s="199" t="s">
        <v>93</v>
      </c>
      <c r="F2242" s="197" t="s">
        <v>1609</v>
      </c>
      <c r="G2242" s="199">
        <v>1</v>
      </c>
      <c r="H2242" s="199" t="s">
        <v>298</v>
      </c>
      <c r="I2242" s="198">
        <f t="shared" si="258"/>
        <v>815</v>
      </c>
      <c r="J2242" s="199" t="s">
        <v>93</v>
      </c>
      <c r="K2242" s="699" t="s">
        <v>717</v>
      </c>
      <c r="L2242" s="209" t="s">
        <v>675</v>
      </c>
      <c r="M2242" s="207">
        <f t="shared" si="259"/>
        <v>0</v>
      </c>
      <c r="N2242" s="198">
        <f>'02 项目基础信息（输入）'!$C$66</f>
        <v>815</v>
      </c>
      <c r="O2242" s="198">
        <f t="shared" si="252"/>
        <v>0</v>
      </c>
      <c r="P2242" s="198">
        <f>'02 项目基础信息（输入）'!$I$66</f>
        <v>815</v>
      </c>
      <c r="Q2242" s="233">
        <f t="shared" si="253"/>
        <v>0</v>
      </c>
      <c r="S2242" s="217"/>
      <c r="U2242" s="220" t="s">
        <v>4031</v>
      </c>
    </row>
    <row r="2243" spans="1:21" ht="20.25" hidden="1" customHeight="1" outlineLevel="3">
      <c r="A2243" s="192" t="s">
        <v>1739</v>
      </c>
      <c r="B2243" s="192"/>
      <c r="C2243" s="197" t="s">
        <v>1609</v>
      </c>
      <c r="D2243" s="198">
        <f>'02 项目基础信息（输入）'!$C$66</f>
        <v>815</v>
      </c>
      <c r="E2243" s="199" t="s">
        <v>93</v>
      </c>
      <c r="F2243" s="197" t="s">
        <v>1609</v>
      </c>
      <c r="G2243" s="199">
        <v>1</v>
      </c>
      <c r="H2243" s="199" t="s">
        <v>298</v>
      </c>
      <c r="I2243" s="198">
        <f t="shared" si="258"/>
        <v>815</v>
      </c>
      <c r="J2243" s="199" t="s">
        <v>93</v>
      </c>
      <c r="K2243" s="699" t="s">
        <v>717</v>
      </c>
      <c r="L2243" s="209" t="s">
        <v>675</v>
      </c>
      <c r="M2243" s="207">
        <f t="shared" si="259"/>
        <v>0</v>
      </c>
      <c r="N2243" s="198">
        <f>'02 项目基础信息（输入）'!$C$66</f>
        <v>815</v>
      </c>
      <c r="O2243" s="198">
        <f t="shared" ref="O2243:O2306" si="260">ROUND(IFERROR(M2243*10000/N2243,0),2)</f>
        <v>0</v>
      </c>
      <c r="P2243" s="198">
        <f>'02 项目基础信息（输入）'!$I$66</f>
        <v>815</v>
      </c>
      <c r="Q2243" s="233">
        <f t="shared" ref="Q2243:Q2306" si="261">ROUND(IFERROR(M2243*10000/P2243,0),2)</f>
        <v>0</v>
      </c>
      <c r="S2243" s="217"/>
      <c r="U2243" s="220" t="s">
        <v>4032</v>
      </c>
    </row>
    <row r="2244" spans="1:21" ht="20.25" hidden="1" customHeight="1" outlineLevel="3">
      <c r="A2244" s="192" t="s">
        <v>1741</v>
      </c>
      <c r="B2244" s="192"/>
      <c r="C2244" s="197" t="s">
        <v>1609</v>
      </c>
      <c r="D2244" s="198">
        <f>'02 项目基础信息（输入）'!$C$66</f>
        <v>815</v>
      </c>
      <c r="E2244" s="199" t="s">
        <v>93</v>
      </c>
      <c r="F2244" s="197" t="s">
        <v>1609</v>
      </c>
      <c r="G2244" s="199">
        <v>1</v>
      </c>
      <c r="H2244" s="199" t="s">
        <v>298</v>
      </c>
      <c r="I2244" s="198">
        <f t="shared" si="258"/>
        <v>815</v>
      </c>
      <c r="J2244" s="199" t="s">
        <v>93</v>
      </c>
      <c r="K2244" s="699" t="s">
        <v>717</v>
      </c>
      <c r="L2244" s="209" t="s">
        <v>675</v>
      </c>
      <c r="M2244" s="207">
        <f t="shared" si="259"/>
        <v>0</v>
      </c>
      <c r="N2244" s="198">
        <f>'02 项目基础信息（输入）'!$C$66</f>
        <v>815</v>
      </c>
      <c r="O2244" s="198">
        <f t="shared" si="260"/>
        <v>0</v>
      </c>
      <c r="P2244" s="198">
        <f>'02 项目基础信息（输入）'!$I$66</f>
        <v>815</v>
      </c>
      <c r="Q2244" s="233">
        <f t="shared" si="261"/>
        <v>0</v>
      </c>
      <c r="S2244" s="217"/>
      <c r="U2244" s="220" t="s">
        <v>4033</v>
      </c>
    </row>
    <row r="2245" spans="1:21" ht="20.25" hidden="1" customHeight="1" outlineLevel="3">
      <c r="A2245" s="192" t="s">
        <v>1743</v>
      </c>
      <c r="B2245" s="192"/>
      <c r="C2245" s="197" t="s">
        <v>1609</v>
      </c>
      <c r="D2245" s="198">
        <f>'02 项目基础信息（输入）'!$C$66</f>
        <v>815</v>
      </c>
      <c r="E2245" s="199" t="s">
        <v>93</v>
      </c>
      <c r="F2245" s="197" t="s">
        <v>1609</v>
      </c>
      <c r="G2245" s="199">
        <v>1</v>
      </c>
      <c r="H2245" s="199" t="s">
        <v>298</v>
      </c>
      <c r="I2245" s="198">
        <f t="shared" si="258"/>
        <v>815</v>
      </c>
      <c r="J2245" s="199" t="s">
        <v>93</v>
      </c>
      <c r="K2245" s="699" t="s">
        <v>717</v>
      </c>
      <c r="L2245" s="209" t="s">
        <v>675</v>
      </c>
      <c r="M2245" s="207">
        <f t="shared" si="259"/>
        <v>0</v>
      </c>
      <c r="N2245" s="198">
        <f>'02 项目基础信息（输入）'!$C$66</f>
        <v>815</v>
      </c>
      <c r="O2245" s="198">
        <f t="shared" si="260"/>
        <v>0</v>
      </c>
      <c r="P2245" s="198">
        <f>'02 项目基础信息（输入）'!$I$66</f>
        <v>815</v>
      </c>
      <c r="Q2245" s="233">
        <f t="shared" si="261"/>
        <v>0</v>
      </c>
      <c r="S2245" s="217"/>
      <c r="U2245" s="220" t="s">
        <v>4034</v>
      </c>
    </row>
    <row r="2246" spans="1:21" ht="20.25" hidden="1" customHeight="1" outlineLevel="3">
      <c r="A2246" s="192" t="s">
        <v>1745</v>
      </c>
      <c r="B2246" s="192"/>
      <c r="C2246" s="197" t="s">
        <v>1609</v>
      </c>
      <c r="D2246" s="198">
        <f>'02 项目基础信息（输入）'!$C$66</f>
        <v>815</v>
      </c>
      <c r="E2246" s="199" t="s">
        <v>93</v>
      </c>
      <c r="F2246" s="197" t="s">
        <v>1609</v>
      </c>
      <c r="G2246" s="199">
        <v>1</v>
      </c>
      <c r="H2246" s="199" t="s">
        <v>298</v>
      </c>
      <c r="I2246" s="198">
        <f t="shared" si="258"/>
        <v>815</v>
      </c>
      <c r="J2246" s="199" t="s">
        <v>93</v>
      </c>
      <c r="K2246" s="699" t="s">
        <v>717</v>
      </c>
      <c r="L2246" s="209" t="s">
        <v>675</v>
      </c>
      <c r="M2246" s="207">
        <f t="shared" si="259"/>
        <v>0</v>
      </c>
      <c r="N2246" s="198">
        <f>'02 项目基础信息（输入）'!$C$66</f>
        <v>815</v>
      </c>
      <c r="O2246" s="198">
        <f t="shared" si="260"/>
        <v>0</v>
      </c>
      <c r="P2246" s="198">
        <f>'02 项目基础信息（输入）'!$I$66</f>
        <v>815</v>
      </c>
      <c r="Q2246" s="233">
        <f t="shared" si="261"/>
        <v>0</v>
      </c>
      <c r="S2246" s="217"/>
      <c r="U2246" s="220" t="s">
        <v>4035</v>
      </c>
    </row>
    <row r="2247" spans="1:21" ht="20.25" hidden="1" customHeight="1" outlineLevel="3">
      <c r="A2247" s="192" t="s">
        <v>1747</v>
      </c>
      <c r="B2247" s="192"/>
      <c r="C2247" s="197" t="s">
        <v>416</v>
      </c>
      <c r="D2247" s="198">
        <f>'02 项目基础信息（输入）'!$AJ$66</f>
        <v>0</v>
      </c>
      <c r="E2247" s="199" t="s">
        <v>417</v>
      </c>
      <c r="F2247" s="197" t="s">
        <v>416</v>
      </c>
      <c r="G2247" s="199">
        <v>1</v>
      </c>
      <c r="H2247" s="199" t="s">
        <v>1748</v>
      </c>
      <c r="I2247" s="198">
        <f t="shared" si="258"/>
        <v>0</v>
      </c>
      <c r="J2247" s="199" t="s">
        <v>400</v>
      </c>
      <c r="K2247" s="699" t="s">
        <v>717</v>
      </c>
      <c r="L2247" s="209" t="s">
        <v>1749</v>
      </c>
      <c r="M2247" s="207">
        <f t="shared" si="259"/>
        <v>0</v>
      </c>
      <c r="N2247" s="198">
        <f>'02 项目基础信息（输入）'!$C$66</f>
        <v>815</v>
      </c>
      <c r="O2247" s="198">
        <f t="shared" si="260"/>
        <v>0</v>
      </c>
      <c r="P2247" s="198">
        <f>'02 项目基础信息（输入）'!$I$66</f>
        <v>815</v>
      </c>
      <c r="Q2247" s="233">
        <f t="shared" si="261"/>
        <v>0</v>
      </c>
      <c r="S2247" s="217"/>
      <c r="U2247" s="220" t="s">
        <v>4036</v>
      </c>
    </row>
    <row r="2248" spans="1:21" ht="20.25" hidden="1" customHeight="1" outlineLevel="3">
      <c r="A2248" s="192" t="s">
        <v>1751</v>
      </c>
      <c r="B2248" s="192"/>
      <c r="C2248" s="197" t="s">
        <v>1609</v>
      </c>
      <c r="D2248" s="198">
        <f>'02 项目基础信息（输入）'!$C$66</f>
        <v>815</v>
      </c>
      <c r="E2248" s="199" t="s">
        <v>93</v>
      </c>
      <c r="F2248" s="197" t="s">
        <v>1609</v>
      </c>
      <c r="G2248" s="199">
        <v>1</v>
      </c>
      <c r="H2248" s="199" t="s">
        <v>298</v>
      </c>
      <c r="I2248" s="198">
        <f t="shared" si="258"/>
        <v>815</v>
      </c>
      <c r="J2248" s="199" t="s">
        <v>93</v>
      </c>
      <c r="K2248" s="699" t="s">
        <v>717</v>
      </c>
      <c r="L2248" s="209" t="s">
        <v>675</v>
      </c>
      <c r="M2248" s="207">
        <f t="shared" si="259"/>
        <v>0</v>
      </c>
      <c r="N2248" s="198">
        <f>'02 项目基础信息（输入）'!$C$66</f>
        <v>815</v>
      </c>
      <c r="O2248" s="198">
        <f t="shared" si="260"/>
        <v>0</v>
      </c>
      <c r="P2248" s="198">
        <f>'02 项目基础信息（输入）'!$I$66</f>
        <v>815</v>
      </c>
      <c r="Q2248" s="233">
        <f t="shared" si="261"/>
        <v>0</v>
      </c>
      <c r="S2248" s="217"/>
      <c r="U2248" s="220" t="s">
        <v>4037</v>
      </c>
    </row>
    <row r="2249" spans="1:21" ht="20.25" customHeight="1" outlineLevel="2" collapsed="1">
      <c r="A2249" s="192" t="s">
        <v>1753</v>
      </c>
      <c r="B2249" s="192"/>
      <c r="C2249" s="197" t="s">
        <v>1609</v>
      </c>
      <c r="D2249" s="198">
        <f>'02 项目基础信息（输入）'!$C$66</f>
        <v>815</v>
      </c>
      <c r="E2249" s="199" t="s">
        <v>93</v>
      </c>
      <c r="F2249" s="197"/>
      <c r="G2249" s="199"/>
      <c r="H2249" s="199"/>
      <c r="I2249" s="197"/>
      <c r="J2249" s="199"/>
      <c r="K2249" s="198"/>
      <c r="L2249" s="209"/>
      <c r="M2249" s="198">
        <f>ROUND(SUM(M2250:M2260),6)</f>
        <v>2.282</v>
      </c>
      <c r="N2249" s="198">
        <f>'02 项目基础信息（输入）'!$C$66</f>
        <v>815</v>
      </c>
      <c r="O2249" s="198">
        <f t="shared" si="260"/>
        <v>28</v>
      </c>
      <c r="P2249" s="198">
        <f>'02 项目基础信息（输入）'!$I$66</f>
        <v>815</v>
      </c>
      <c r="Q2249" s="233">
        <f t="shared" si="261"/>
        <v>28</v>
      </c>
      <c r="S2249" s="217" t="s">
        <v>1313</v>
      </c>
      <c r="U2249" s="220" t="s">
        <v>4038</v>
      </c>
    </row>
    <row r="2250" spans="1:21" ht="20.25" hidden="1" customHeight="1" outlineLevel="3">
      <c r="A2250" s="192" t="s">
        <v>1755</v>
      </c>
      <c r="B2250" s="192"/>
      <c r="C2250" s="197" t="s">
        <v>1609</v>
      </c>
      <c r="D2250" s="198">
        <f>'02 项目基础信息（输入）'!$C$66</f>
        <v>815</v>
      </c>
      <c r="E2250" s="199" t="s">
        <v>93</v>
      </c>
      <c r="F2250" s="197" t="s">
        <v>1609</v>
      </c>
      <c r="G2250" s="199">
        <v>1</v>
      </c>
      <c r="H2250" s="199" t="s">
        <v>298</v>
      </c>
      <c r="I2250" s="198">
        <f t="shared" ref="I2250:I2260" si="262">G2250*D2250</f>
        <v>815</v>
      </c>
      <c r="J2250" s="199" t="s">
        <v>93</v>
      </c>
      <c r="K2250" s="699">
        <v>28</v>
      </c>
      <c r="L2250" s="209" t="s">
        <v>675</v>
      </c>
      <c r="M2250" s="207">
        <f t="shared" ref="M2250:M2260" si="263">ROUND(K2250*I2250/10000,6)</f>
        <v>2.282</v>
      </c>
      <c r="N2250" s="198">
        <f>'02 项目基础信息（输入）'!$C$66</f>
        <v>815</v>
      </c>
      <c r="O2250" s="198">
        <f t="shared" si="260"/>
        <v>28</v>
      </c>
      <c r="P2250" s="198">
        <f>'02 项目基础信息（输入）'!$I$66</f>
        <v>815</v>
      </c>
      <c r="Q2250" s="233">
        <f t="shared" si="261"/>
        <v>28</v>
      </c>
      <c r="S2250" s="217"/>
      <c r="U2250" s="220" t="s">
        <v>4039</v>
      </c>
    </row>
    <row r="2251" spans="1:21" ht="20.25" hidden="1" customHeight="1" outlineLevel="3">
      <c r="A2251" s="192" t="s">
        <v>1757</v>
      </c>
      <c r="B2251" s="192"/>
      <c r="C2251" s="197" t="s">
        <v>1609</v>
      </c>
      <c r="D2251" s="198">
        <f>'02 项目基础信息（输入）'!$C$66</f>
        <v>815</v>
      </c>
      <c r="E2251" s="199" t="s">
        <v>93</v>
      </c>
      <c r="F2251" s="197" t="s">
        <v>1609</v>
      </c>
      <c r="G2251" s="199">
        <v>1</v>
      </c>
      <c r="H2251" s="199" t="s">
        <v>298</v>
      </c>
      <c r="I2251" s="198">
        <f t="shared" si="262"/>
        <v>815</v>
      </c>
      <c r="J2251" s="199" t="s">
        <v>93</v>
      </c>
      <c r="K2251" s="699" t="s">
        <v>717</v>
      </c>
      <c r="L2251" s="209" t="s">
        <v>675</v>
      </c>
      <c r="M2251" s="207">
        <f t="shared" si="263"/>
        <v>0</v>
      </c>
      <c r="N2251" s="198">
        <f>'02 项目基础信息（输入）'!$C$66</f>
        <v>815</v>
      </c>
      <c r="O2251" s="198">
        <f t="shared" si="260"/>
        <v>0</v>
      </c>
      <c r="P2251" s="198">
        <f>'02 项目基础信息（输入）'!$I$66</f>
        <v>815</v>
      </c>
      <c r="Q2251" s="233">
        <f t="shared" si="261"/>
        <v>0</v>
      </c>
      <c r="S2251" s="217"/>
      <c r="U2251" s="220" t="s">
        <v>4040</v>
      </c>
    </row>
    <row r="2252" spans="1:21" ht="20.25" hidden="1" customHeight="1" outlineLevel="3">
      <c r="A2252" s="192" t="s">
        <v>1759</v>
      </c>
      <c r="B2252" s="192"/>
      <c r="C2252" s="197" t="s">
        <v>1609</v>
      </c>
      <c r="D2252" s="198">
        <f>'02 项目基础信息（输入）'!$C$66</f>
        <v>815</v>
      </c>
      <c r="E2252" s="199" t="s">
        <v>93</v>
      </c>
      <c r="F2252" s="197" t="s">
        <v>1609</v>
      </c>
      <c r="G2252" s="199">
        <v>1</v>
      </c>
      <c r="H2252" s="199" t="s">
        <v>298</v>
      </c>
      <c r="I2252" s="198">
        <f t="shared" si="262"/>
        <v>815</v>
      </c>
      <c r="J2252" s="199" t="s">
        <v>93</v>
      </c>
      <c r="K2252" s="699" t="s">
        <v>717</v>
      </c>
      <c r="L2252" s="209" t="s">
        <v>675</v>
      </c>
      <c r="M2252" s="207">
        <f t="shared" si="263"/>
        <v>0</v>
      </c>
      <c r="N2252" s="198">
        <f>'02 项目基础信息（输入）'!$C$66</f>
        <v>815</v>
      </c>
      <c r="O2252" s="198">
        <f t="shared" si="260"/>
        <v>0</v>
      </c>
      <c r="P2252" s="198">
        <f>'02 项目基础信息（输入）'!$I$66</f>
        <v>815</v>
      </c>
      <c r="Q2252" s="233">
        <f t="shared" si="261"/>
        <v>0</v>
      </c>
      <c r="S2252" s="217"/>
      <c r="U2252" s="220" t="s">
        <v>4041</v>
      </c>
    </row>
    <row r="2253" spans="1:21" ht="20.25" hidden="1" customHeight="1" outlineLevel="3">
      <c r="A2253" s="192" t="s">
        <v>1761</v>
      </c>
      <c r="B2253" s="192"/>
      <c r="C2253" s="197" t="s">
        <v>1609</v>
      </c>
      <c r="D2253" s="198">
        <f>'02 项目基础信息（输入）'!$C$66</f>
        <v>815</v>
      </c>
      <c r="E2253" s="199" t="s">
        <v>93</v>
      </c>
      <c r="F2253" s="197" t="s">
        <v>1609</v>
      </c>
      <c r="G2253" s="199">
        <v>1</v>
      </c>
      <c r="H2253" s="199" t="s">
        <v>298</v>
      </c>
      <c r="I2253" s="198">
        <f t="shared" si="262"/>
        <v>815</v>
      </c>
      <c r="J2253" s="199" t="s">
        <v>93</v>
      </c>
      <c r="K2253" s="699" t="s">
        <v>717</v>
      </c>
      <c r="L2253" s="209" t="s">
        <v>675</v>
      </c>
      <c r="M2253" s="207">
        <f t="shared" si="263"/>
        <v>0</v>
      </c>
      <c r="N2253" s="198">
        <f>'02 项目基础信息（输入）'!$C$66</f>
        <v>815</v>
      </c>
      <c r="O2253" s="198">
        <f t="shared" si="260"/>
        <v>0</v>
      </c>
      <c r="P2253" s="198">
        <f>'02 项目基础信息（输入）'!$I$66</f>
        <v>815</v>
      </c>
      <c r="Q2253" s="233">
        <f t="shared" si="261"/>
        <v>0</v>
      </c>
      <c r="S2253" s="217"/>
      <c r="U2253" s="220" t="s">
        <v>4042</v>
      </c>
    </row>
    <row r="2254" spans="1:21" ht="20.25" hidden="1" customHeight="1" outlineLevel="3">
      <c r="A2254" s="192" t="s">
        <v>1763</v>
      </c>
      <c r="B2254" s="192"/>
      <c r="C2254" s="197" t="s">
        <v>1609</v>
      </c>
      <c r="D2254" s="198">
        <f>'02 项目基础信息（输入）'!$C$66</f>
        <v>815</v>
      </c>
      <c r="E2254" s="199" t="s">
        <v>93</v>
      </c>
      <c r="F2254" s="197" t="s">
        <v>1609</v>
      </c>
      <c r="G2254" s="199">
        <v>1</v>
      </c>
      <c r="H2254" s="199" t="s">
        <v>298</v>
      </c>
      <c r="I2254" s="198">
        <f t="shared" si="262"/>
        <v>815</v>
      </c>
      <c r="J2254" s="199" t="s">
        <v>93</v>
      </c>
      <c r="K2254" s="699" t="s">
        <v>717</v>
      </c>
      <c r="L2254" s="209" t="s">
        <v>675</v>
      </c>
      <c r="M2254" s="207">
        <f t="shared" si="263"/>
        <v>0</v>
      </c>
      <c r="N2254" s="198">
        <f>'02 项目基础信息（输入）'!$C$66</f>
        <v>815</v>
      </c>
      <c r="O2254" s="198">
        <f t="shared" si="260"/>
        <v>0</v>
      </c>
      <c r="P2254" s="198">
        <f>'02 项目基础信息（输入）'!$I$66</f>
        <v>815</v>
      </c>
      <c r="Q2254" s="233">
        <f t="shared" si="261"/>
        <v>0</v>
      </c>
      <c r="S2254" s="217"/>
      <c r="U2254" s="220" t="s">
        <v>4043</v>
      </c>
    </row>
    <row r="2255" spans="1:21" ht="20.25" hidden="1" customHeight="1" outlineLevel="3">
      <c r="A2255" s="192" t="s">
        <v>1765</v>
      </c>
      <c r="B2255" s="192"/>
      <c r="C2255" s="197" t="s">
        <v>1609</v>
      </c>
      <c r="D2255" s="198">
        <f>'02 项目基础信息（输入）'!$C$66</f>
        <v>815</v>
      </c>
      <c r="E2255" s="199" t="s">
        <v>93</v>
      </c>
      <c r="F2255" s="197" t="s">
        <v>1609</v>
      </c>
      <c r="G2255" s="199">
        <v>1</v>
      </c>
      <c r="H2255" s="199" t="s">
        <v>298</v>
      </c>
      <c r="I2255" s="198">
        <f t="shared" si="262"/>
        <v>815</v>
      </c>
      <c r="J2255" s="199" t="s">
        <v>93</v>
      </c>
      <c r="K2255" s="699" t="s">
        <v>717</v>
      </c>
      <c r="L2255" s="209" t="s">
        <v>675</v>
      </c>
      <c r="M2255" s="207">
        <f t="shared" si="263"/>
        <v>0</v>
      </c>
      <c r="N2255" s="198">
        <f>'02 项目基础信息（输入）'!$C$66</f>
        <v>815</v>
      </c>
      <c r="O2255" s="198">
        <f t="shared" si="260"/>
        <v>0</v>
      </c>
      <c r="P2255" s="198">
        <f>'02 项目基础信息（输入）'!$I$66</f>
        <v>815</v>
      </c>
      <c r="Q2255" s="233">
        <f t="shared" si="261"/>
        <v>0</v>
      </c>
      <c r="S2255" s="217"/>
      <c r="U2255" s="220" t="s">
        <v>4044</v>
      </c>
    </row>
    <row r="2256" spans="1:21" ht="20.25" hidden="1" customHeight="1" outlineLevel="3">
      <c r="A2256" s="192" t="s">
        <v>1767</v>
      </c>
      <c r="B2256" s="192"/>
      <c r="C2256" s="197" t="s">
        <v>1609</v>
      </c>
      <c r="D2256" s="198">
        <f>'02 项目基础信息（输入）'!$C$66</f>
        <v>815</v>
      </c>
      <c r="E2256" s="199" t="s">
        <v>93</v>
      </c>
      <c r="F2256" s="197" t="s">
        <v>1609</v>
      </c>
      <c r="G2256" s="199">
        <v>1</v>
      </c>
      <c r="H2256" s="199" t="s">
        <v>298</v>
      </c>
      <c r="I2256" s="198">
        <f t="shared" si="262"/>
        <v>815</v>
      </c>
      <c r="J2256" s="199" t="s">
        <v>93</v>
      </c>
      <c r="K2256" s="699" t="s">
        <v>717</v>
      </c>
      <c r="L2256" s="209" t="s">
        <v>675</v>
      </c>
      <c r="M2256" s="207">
        <f t="shared" si="263"/>
        <v>0</v>
      </c>
      <c r="N2256" s="198">
        <f>'02 项目基础信息（输入）'!$C$66</f>
        <v>815</v>
      </c>
      <c r="O2256" s="198">
        <f t="shared" si="260"/>
        <v>0</v>
      </c>
      <c r="P2256" s="198">
        <f>'02 项目基础信息（输入）'!$I$66</f>
        <v>815</v>
      </c>
      <c r="Q2256" s="233">
        <f t="shared" si="261"/>
        <v>0</v>
      </c>
      <c r="S2256" s="217"/>
      <c r="U2256" s="220" t="s">
        <v>4045</v>
      </c>
    </row>
    <row r="2257" spans="1:21" ht="20.25" hidden="1" customHeight="1" outlineLevel="3">
      <c r="A2257" s="192" t="s">
        <v>1769</v>
      </c>
      <c r="B2257" s="192"/>
      <c r="C2257" s="197" t="s">
        <v>1609</v>
      </c>
      <c r="D2257" s="198">
        <f>'02 项目基础信息（输入）'!$C$66</f>
        <v>815</v>
      </c>
      <c r="E2257" s="199" t="s">
        <v>93</v>
      </c>
      <c r="F2257" s="197" t="s">
        <v>1609</v>
      </c>
      <c r="G2257" s="199">
        <v>1</v>
      </c>
      <c r="H2257" s="199" t="s">
        <v>298</v>
      </c>
      <c r="I2257" s="198">
        <f t="shared" si="262"/>
        <v>815</v>
      </c>
      <c r="J2257" s="199" t="s">
        <v>93</v>
      </c>
      <c r="K2257" s="699" t="s">
        <v>717</v>
      </c>
      <c r="L2257" s="209" t="s">
        <v>675</v>
      </c>
      <c r="M2257" s="207">
        <f t="shared" si="263"/>
        <v>0</v>
      </c>
      <c r="N2257" s="198">
        <f>'02 项目基础信息（输入）'!$C$66</f>
        <v>815</v>
      </c>
      <c r="O2257" s="198">
        <f t="shared" si="260"/>
        <v>0</v>
      </c>
      <c r="P2257" s="198">
        <f>'02 项目基础信息（输入）'!$I$66</f>
        <v>815</v>
      </c>
      <c r="Q2257" s="233">
        <f t="shared" si="261"/>
        <v>0</v>
      </c>
      <c r="S2257" s="217"/>
      <c r="U2257" s="220" t="s">
        <v>4046</v>
      </c>
    </row>
    <row r="2258" spans="1:21" ht="20.25" hidden="1" customHeight="1" outlineLevel="3">
      <c r="A2258" s="192" t="s">
        <v>1771</v>
      </c>
      <c r="B2258" s="192"/>
      <c r="C2258" s="197" t="s">
        <v>1609</v>
      </c>
      <c r="D2258" s="198">
        <f>'02 项目基础信息（输入）'!$C$66</f>
        <v>815</v>
      </c>
      <c r="E2258" s="199" t="s">
        <v>93</v>
      </c>
      <c r="F2258" s="197" t="s">
        <v>1609</v>
      </c>
      <c r="G2258" s="199">
        <v>1</v>
      </c>
      <c r="H2258" s="199" t="s">
        <v>298</v>
      </c>
      <c r="I2258" s="198">
        <f t="shared" si="262"/>
        <v>815</v>
      </c>
      <c r="J2258" s="199" t="s">
        <v>93</v>
      </c>
      <c r="K2258" s="699" t="s">
        <v>717</v>
      </c>
      <c r="L2258" s="209" t="s">
        <v>675</v>
      </c>
      <c r="M2258" s="207">
        <f t="shared" si="263"/>
        <v>0</v>
      </c>
      <c r="N2258" s="198">
        <f>'02 项目基础信息（输入）'!$C$66</f>
        <v>815</v>
      </c>
      <c r="O2258" s="198">
        <f t="shared" si="260"/>
        <v>0</v>
      </c>
      <c r="P2258" s="198">
        <f>'02 项目基础信息（输入）'!$I$66</f>
        <v>815</v>
      </c>
      <c r="Q2258" s="233">
        <f t="shared" si="261"/>
        <v>0</v>
      </c>
      <c r="S2258" s="217"/>
      <c r="U2258" s="220" t="s">
        <v>4047</v>
      </c>
    </row>
    <row r="2259" spans="1:21" ht="20.25" hidden="1" customHeight="1" outlineLevel="3">
      <c r="A2259" s="192" t="s">
        <v>1773</v>
      </c>
      <c r="B2259" s="192"/>
      <c r="C2259" s="197" t="s">
        <v>1609</v>
      </c>
      <c r="D2259" s="198">
        <f>'02 项目基础信息（输入）'!$C$66</f>
        <v>815</v>
      </c>
      <c r="E2259" s="199" t="s">
        <v>93</v>
      </c>
      <c r="F2259" s="197" t="s">
        <v>1609</v>
      </c>
      <c r="G2259" s="199">
        <v>1</v>
      </c>
      <c r="H2259" s="199" t="s">
        <v>298</v>
      </c>
      <c r="I2259" s="198">
        <f t="shared" si="262"/>
        <v>815</v>
      </c>
      <c r="J2259" s="199" t="s">
        <v>93</v>
      </c>
      <c r="K2259" s="699" t="s">
        <v>717</v>
      </c>
      <c r="L2259" s="209" t="s">
        <v>675</v>
      </c>
      <c r="M2259" s="207">
        <f t="shared" si="263"/>
        <v>0</v>
      </c>
      <c r="N2259" s="198">
        <f>'02 项目基础信息（输入）'!$C$66</f>
        <v>815</v>
      </c>
      <c r="O2259" s="198">
        <f t="shared" si="260"/>
        <v>0</v>
      </c>
      <c r="P2259" s="198">
        <f>'02 项目基础信息（输入）'!$I$66</f>
        <v>815</v>
      </c>
      <c r="Q2259" s="233">
        <f t="shared" si="261"/>
        <v>0</v>
      </c>
      <c r="S2259" s="217"/>
      <c r="U2259" s="220" t="s">
        <v>4048</v>
      </c>
    </row>
    <row r="2260" spans="1:21" ht="20.25" hidden="1" customHeight="1" outlineLevel="3">
      <c r="A2260" s="192" t="s">
        <v>1775</v>
      </c>
      <c r="B2260" s="192"/>
      <c r="C2260" s="197" t="s">
        <v>1609</v>
      </c>
      <c r="D2260" s="198">
        <f>'02 项目基础信息（输入）'!$C$66</f>
        <v>815</v>
      </c>
      <c r="E2260" s="199" t="s">
        <v>93</v>
      </c>
      <c r="F2260" s="197" t="s">
        <v>1609</v>
      </c>
      <c r="G2260" s="199">
        <v>1</v>
      </c>
      <c r="H2260" s="199" t="s">
        <v>298</v>
      </c>
      <c r="I2260" s="198">
        <f t="shared" si="262"/>
        <v>815</v>
      </c>
      <c r="J2260" s="199" t="s">
        <v>93</v>
      </c>
      <c r="K2260" s="699" t="s">
        <v>717</v>
      </c>
      <c r="L2260" s="209" t="s">
        <v>675</v>
      </c>
      <c r="M2260" s="207">
        <f t="shared" si="263"/>
        <v>0</v>
      </c>
      <c r="N2260" s="198">
        <f>'02 项目基础信息（输入）'!$C$66</f>
        <v>815</v>
      </c>
      <c r="O2260" s="198">
        <f t="shared" si="260"/>
        <v>0</v>
      </c>
      <c r="P2260" s="198">
        <f>'02 项目基础信息（输入）'!$I$66</f>
        <v>815</v>
      </c>
      <c r="Q2260" s="233">
        <f t="shared" si="261"/>
        <v>0</v>
      </c>
      <c r="S2260" s="217"/>
      <c r="U2260" s="220" t="s">
        <v>4049</v>
      </c>
    </row>
    <row r="2261" spans="1:21" ht="20.25" customHeight="1" outlineLevel="2" collapsed="1">
      <c r="A2261" s="192" t="s">
        <v>1777</v>
      </c>
      <c r="B2261" s="192"/>
      <c r="C2261" s="197" t="s">
        <v>1609</v>
      </c>
      <c r="D2261" s="198">
        <f>'02 项目基础信息（输入）'!$C$66</f>
        <v>815</v>
      </c>
      <c r="E2261" s="199" t="s">
        <v>93</v>
      </c>
      <c r="F2261" s="197"/>
      <c r="G2261" s="199"/>
      <c r="H2261" s="199"/>
      <c r="I2261" s="197"/>
      <c r="J2261" s="199"/>
      <c r="K2261" s="198"/>
      <c r="L2261" s="209"/>
      <c r="M2261" s="198">
        <f>ROUND(SUM(M2262),6)</f>
        <v>0</v>
      </c>
      <c r="N2261" s="198">
        <f>'02 项目基础信息（输入）'!$C$66</f>
        <v>815</v>
      </c>
      <c r="O2261" s="198">
        <f t="shared" si="260"/>
        <v>0</v>
      </c>
      <c r="P2261" s="198">
        <f>'02 项目基础信息（输入）'!$I$66</f>
        <v>815</v>
      </c>
      <c r="Q2261" s="233">
        <f t="shared" si="261"/>
        <v>0</v>
      </c>
      <c r="S2261" s="217" t="s">
        <v>1313</v>
      </c>
      <c r="U2261" s="220" t="s">
        <v>4050</v>
      </c>
    </row>
    <row r="2262" spans="1:21" ht="20.25" hidden="1" customHeight="1" outlineLevel="3">
      <c r="A2262" s="192" t="s">
        <v>1779</v>
      </c>
      <c r="B2262" s="192"/>
      <c r="C2262" s="197" t="s">
        <v>1609</v>
      </c>
      <c r="D2262" s="198">
        <f>'02 项目基础信息（输入）'!$C$66</f>
        <v>815</v>
      </c>
      <c r="E2262" s="199" t="s">
        <v>93</v>
      </c>
      <c r="F2262" s="197" t="s">
        <v>984</v>
      </c>
      <c r="G2262" s="701" t="s">
        <v>717</v>
      </c>
      <c r="H2262" s="199" t="s">
        <v>966</v>
      </c>
      <c r="I2262" s="198">
        <f>G2262*D2262</f>
        <v>0</v>
      </c>
      <c r="J2262" s="199" t="s">
        <v>1617</v>
      </c>
      <c r="K2262" s="699" t="s">
        <v>717</v>
      </c>
      <c r="L2262" s="209" t="s">
        <v>664</v>
      </c>
      <c r="M2262" s="207">
        <f>ROUND(K2262*I2262/10000,6)</f>
        <v>0</v>
      </c>
      <c r="N2262" s="198">
        <f>'02 项目基础信息（输入）'!$C$66</f>
        <v>815</v>
      </c>
      <c r="O2262" s="198">
        <f t="shared" si="260"/>
        <v>0</v>
      </c>
      <c r="P2262" s="198">
        <f>'02 项目基础信息（输入）'!$I$66</f>
        <v>815</v>
      </c>
      <c r="Q2262" s="233">
        <f t="shared" si="261"/>
        <v>0</v>
      </c>
      <c r="S2262" s="217"/>
      <c r="U2262" s="220" t="s">
        <v>4051</v>
      </c>
    </row>
    <row r="2263" spans="1:21" ht="20.25" customHeight="1" outlineLevel="2" collapsed="1">
      <c r="A2263" s="192" t="s">
        <v>1781</v>
      </c>
      <c r="B2263" s="192"/>
      <c r="C2263" s="197" t="s">
        <v>1609</v>
      </c>
      <c r="D2263" s="198">
        <f>'02 项目基础信息（输入）'!$C$66</f>
        <v>815</v>
      </c>
      <c r="E2263" s="199" t="s">
        <v>93</v>
      </c>
      <c r="F2263" s="197"/>
      <c r="G2263" s="199"/>
      <c r="H2263" s="199"/>
      <c r="I2263" s="197"/>
      <c r="J2263" s="199"/>
      <c r="K2263" s="198"/>
      <c r="L2263" s="209"/>
      <c r="M2263" s="198">
        <f>ROUND(SUM(M2264:M2268),6)</f>
        <v>0</v>
      </c>
      <c r="N2263" s="198">
        <f>'02 项目基础信息（输入）'!$C$66</f>
        <v>815</v>
      </c>
      <c r="O2263" s="198">
        <f t="shared" si="260"/>
        <v>0</v>
      </c>
      <c r="P2263" s="198">
        <f>'02 项目基础信息（输入）'!$I$66</f>
        <v>815</v>
      </c>
      <c r="Q2263" s="233">
        <f t="shared" si="261"/>
        <v>0</v>
      </c>
      <c r="S2263" s="217" t="s">
        <v>1314</v>
      </c>
      <c r="U2263" s="220" t="s">
        <v>4052</v>
      </c>
    </row>
    <row r="2264" spans="1:21" ht="20.25" hidden="1" customHeight="1" outlineLevel="3">
      <c r="A2264" s="192" t="s">
        <v>2066</v>
      </c>
      <c r="B2264" s="192"/>
      <c r="C2264" s="197" t="s">
        <v>309</v>
      </c>
      <c r="D2264" s="198">
        <f>'02 项目基础信息（输入）'!$AC$66</f>
        <v>1</v>
      </c>
      <c r="E2264" s="199" t="s">
        <v>310</v>
      </c>
      <c r="F2264" s="197" t="s">
        <v>2067</v>
      </c>
      <c r="G2264" s="199">
        <v>1</v>
      </c>
      <c r="H2264" s="199" t="s">
        <v>2067</v>
      </c>
      <c r="I2264" s="198">
        <f>G2264*D2264</f>
        <v>1</v>
      </c>
      <c r="J2264" s="199" t="s">
        <v>1946</v>
      </c>
      <c r="K2264" s="699" t="s">
        <v>717</v>
      </c>
      <c r="L2264" s="209" t="s">
        <v>1948</v>
      </c>
      <c r="M2264" s="207">
        <f>ROUND(K2264*I2264/10000,6)</f>
        <v>0</v>
      </c>
      <c r="N2264" s="198">
        <f>'02 项目基础信息（输入）'!$C$66</f>
        <v>815</v>
      </c>
      <c r="O2264" s="198">
        <f t="shared" si="260"/>
        <v>0</v>
      </c>
      <c r="P2264" s="198">
        <f>'02 项目基础信息（输入）'!$I$66</f>
        <v>815</v>
      </c>
      <c r="Q2264" s="233">
        <f t="shared" si="261"/>
        <v>0</v>
      </c>
      <c r="S2264" s="217"/>
      <c r="U2264" s="220" t="s">
        <v>4053</v>
      </c>
    </row>
    <row r="2265" spans="1:21" ht="20.25" hidden="1" customHeight="1" outlineLevel="3">
      <c r="A2265" s="192" t="s">
        <v>2069</v>
      </c>
      <c r="B2265" s="192"/>
      <c r="C2265" s="197" t="s">
        <v>309</v>
      </c>
      <c r="D2265" s="198">
        <f>'02 项目基础信息（输入）'!$AC$66</f>
        <v>1</v>
      </c>
      <c r="E2265" s="199" t="s">
        <v>310</v>
      </c>
      <c r="F2265" s="197" t="s">
        <v>2067</v>
      </c>
      <c r="G2265" s="199">
        <v>1</v>
      </c>
      <c r="H2265" s="199" t="s">
        <v>2067</v>
      </c>
      <c r="I2265" s="198">
        <f>G2265*D2265</f>
        <v>1</v>
      </c>
      <c r="J2265" s="199" t="s">
        <v>1946</v>
      </c>
      <c r="K2265" s="699" t="s">
        <v>717</v>
      </c>
      <c r="L2265" s="209" t="s">
        <v>1948</v>
      </c>
      <c r="M2265" s="207">
        <f>ROUND(K2265*I2265/10000,6)</f>
        <v>0</v>
      </c>
      <c r="N2265" s="198">
        <f>'02 项目基础信息（输入）'!$C$66</f>
        <v>815</v>
      </c>
      <c r="O2265" s="198">
        <f t="shared" si="260"/>
        <v>0</v>
      </c>
      <c r="P2265" s="198">
        <f>'02 项目基础信息（输入）'!$I$66</f>
        <v>815</v>
      </c>
      <c r="Q2265" s="233">
        <f t="shared" si="261"/>
        <v>0</v>
      </c>
      <c r="S2265" s="217"/>
      <c r="U2265" s="220" t="s">
        <v>4054</v>
      </c>
    </row>
    <row r="2266" spans="1:21" ht="20.25" hidden="1" customHeight="1" outlineLevel="3">
      <c r="A2266" s="192" t="s">
        <v>2071</v>
      </c>
      <c r="B2266" s="192"/>
      <c r="C2266" s="197" t="s">
        <v>309</v>
      </c>
      <c r="D2266" s="198">
        <f>'02 项目基础信息（输入）'!$AC$66</f>
        <v>1</v>
      </c>
      <c r="E2266" s="199" t="s">
        <v>310</v>
      </c>
      <c r="F2266" s="197" t="s">
        <v>2067</v>
      </c>
      <c r="G2266" s="199">
        <v>1</v>
      </c>
      <c r="H2266" s="199" t="s">
        <v>2067</v>
      </c>
      <c r="I2266" s="198">
        <f>G2266*D2266</f>
        <v>1</v>
      </c>
      <c r="J2266" s="199" t="s">
        <v>1946</v>
      </c>
      <c r="K2266" s="699" t="s">
        <v>717</v>
      </c>
      <c r="L2266" s="209" t="s">
        <v>1948</v>
      </c>
      <c r="M2266" s="207">
        <f>ROUND(K2266*I2266/10000,6)</f>
        <v>0</v>
      </c>
      <c r="N2266" s="198">
        <f>'02 项目基础信息（输入）'!$C$66</f>
        <v>815</v>
      </c>
      <c r="O2266" s="198">
        <f t="shared" si="260"/>
        <v>0</v>
      </c>
      <c r="P2266" s="198">
        <f>'02 项目基础信息（输入）'!$I$66</f>
        <v>815</v>
      </c>
      <c r="Q2266" s="233">
        <f t="shared" si="261"/>
        <v>0</v>
      </c>
      <c r="S2266" s="217"/>
      <c r="U2266" s="220" t="s">
        <v>4055</v>
      </c>
    </row>
    <row r="2267" spans="1:21" ht="20.25" hidden="1" customHeight="1" outlineLevel="3">
      <c r="A2267" s="192" t="s">
        <v>2073</v>
      </c>
      <c r="B2267" s="192"/>
      <c r="C2267" s="197" t="s">
        <v>309</v>
      </c>
      <c r="D2267" s="198">
        <f>'02 项目基础信息（输入）'!$AC$66</f>
        <v>1</v>
      </c>
      <c r="E2267" s="199" t="s">
        <v>310</v>
      </c>
      <c r="F2267" s="197" t="s">
        <v>2067</v>
      </c>
      <c r="G2267" s="199">
        <v>1</v>
      </c>
      <c r="H2267" s="199" t="s">
        <v>1946</v>
      </c>
      <c r="I2267" s="198">
        <f>G2267*D2267</f>
        <v>1</v>
      </c>
      <c r="J2267" s="199" t="s">
        <v>1946</v>
      </c>
      <c r="K2267" s="699" t="s">
        <v>717</v>
      </c>
      <c r="L2267" s="209" t="s">
        <v>1948</v>
      </c>
      <c r="M2267" s="207">
        <f>ROUND(K2267*I2267/10000,6)</f>
        <v>0</v>
      </c>
      <c r="N2267" s="198">
        <f>'02 项目基础信息（输入）'!$C$66</f>
        <v>815</v>
      </c>
      <c r="O2267" s="198">
        <f t="shared" si="260"/>
        <v>0</v>
      </c>
      <c r="P2267" s="198">
        <f>'02 项目基础信息（输入）'!$I$66</f>
        <v>815</v>
      </c>
      <c r="Q2267" s="233">
        <f t="shared" si="261"/>
        <v>0</v>
      </c>
      <c r="S2267" s="217"/>
      <c r="U2267" s="220" t="s">
        <v>4056</v>
      </c>
    </row>
    <row r="2268" spans="1:21" ht="20.25" hidden="1" customHeight="1" outlineLevel="3">
      <c r="A2268" s="192" t="s">
        <v>1783</v>
      </c>
      <c r="B2268" s="192"/>
      <c r="C2268" s="197" t="s">
        <v>309</v>
      </c>
      <c r="D2268" s="198">
        <f>'02 项目基础信息（输入）'!$AC$66</f>
        <v>1</v>
      </c>
      <c r="E2268" s="199" t="s">
        <v>310</v>
      </c>
      <c r="F2268" s="197" t="s">
        <v>1784</v>
      </c>
      <c r="G2268" s="199">
        <v>1</v>
      </c>
      <c r="H2268" s="199" t="s">
        <v>1784</v>
      </c>
      <c r="I2268" s="198">
        <f>G2268*D2268</f>
        <v>1</v>
      </c>
      <c r="J2268" s="199" t="s">
        <v>1600</v>
      </c>
      <c r="K2268" s="699" t="s">
        <v>717</v>
      </c>
      <c r="L2268" s="209" t="s">
        <v>1601</v>
      </c>
      <c r="M2268" s="207">
        <f>ROUND(K2268*I2268/10000,6)</f>
        <v>0</v>
      </c>
      <c r="N2268" s="198">
        <f>'02 项目基础信息（输入）'!$C$66</f>
        <v>815</v>
      </c>
      <c r="O2268" s="198">
        <f t="shared" si="260"/>
        <v>0</v>
      </c>
      <c r="P2268" s="198">
        <f>'02 项目基础信息（输入）'!$I$66</f>
        <v>815</v>
      </c>
      <c r="Q2268" s="233">
        <f t="shared" si="261"/>
        <v>0</v>
      </c>
      <c r="S2268" s="217"/>
      <c r="U2268" s="220" t="s">
        <v>4057</v>
      </c>
    </row>
    <row r="2269" spans="1:21" ht="20.25" customHeight="1" outlineLevel="2" collapsed="1">
      <c r="A2269" s="192" t="s">
        <v>1786</v>
      </c>
      <c r="B2269" s="192"/>
      <c r="C2269" s="197" t="s">
        <v>1609</v>
      </c>
      <c r="D2269" s="198">
        <f>'02 项目基础信息（输入）'!$C$66</f>
        <v>815</v>
      </c>
      <c r="E2269" s="199" t="s">
        <v>93</v>
      </c>
      <c r="F2269" s="197"/>
      <c r="G2269" s="199"/>
      <c r="H2269" s="199"/>
      <c r="I2269" s="197"/>
      <c r="J2269" s="199"/>
      <c r="K2269" s="198"/>
      <c r="L2269" s="209"/>
      <c r="M2269" s="198">
        <f>ROUND(SUM(M2270:M2274),6)</f>
        <v>17.0335</v>
      </c>
      <c r="N2269" s="198">
        <f>'02 项目基础信息（输入）'!$C$66</f>
        <v>815</v>
      </c>
      <c r="O2269" s="198">
        <f t="shared" si="260"/>
        <v>209</v>
      </c>
      <c r="P2269" s="198">
        <f>'02 项目基础信息（输入）'!$I$66</f>
        <v>815</v>
      </c>
      <c r="Q2269" s="233">
        <f t="shared" si="261"/>
        <v>209</v>
      </c>
      <c r="S2269" s="217" t="s">
        <v>1314</v>
      </c>
      <c r="U2269" s="220" t="s">
        <v>4058</v>
      </c>
    </row>
    <row r="2270" spans="1:21" ht="20.25" hidden="1" customHeight="1" outlineLevel="3">
      <c r="A2270" s="192" t="s">
        <v>2077</v>
      </c>
      <c r="B2270" s="192"/>
      <c r="C2270" s="197" t="s">
        <v>1609</v>
      </c>
      <c r="D2270" s="198">
        <f>'02 项目基础信息（输入）'!$C$66</f>
        <v>815</v>
      </c>
      <c r="E2270" s="199" t="s">
        <v>93</v>
      </c>
      <c r="F2270" s="197" t="s">
        <v>754</v>
      </c>
      <c r="G2270" s="701">
        <v>0.22</v>
      </c>
      <c r="H2270" s="199" t="s">
        <v>298</v>
      </c>
      <c r="I2270" s="198">
        <f>G2270*D2270</f>
        <v>179.3</v>
      </c>
      <c r="J2270" s="199" t="s">
        <v>93</v>
      </c>
      <c r="K2270" s="699">
        <v>950</v>
      </c>
      <c r="L2270" s="209" t="s">
        <v>675</v>
      </c>
      <c r="M2270" s="207">
        <f>ROUND(K2270*I2270/10000,6)</f>
        <v>17.0335</v>
      </c>
      <c r="N2270" s="198">
        <f>'02 项目基础信息（输入）'!$C$66</f>
        <v>815</v>
      </c>
      <c r="O2270" s="198">
        <f t="shared" si="260"/>
        <v>209</v>
      </c>
      <c r="P2270" s="198">
        <f>'02 项目基础信息（输入）'!$I$66</f>
        <v>815</v>
      </c>
      <c r="Q2270" s="233">
        <f t="shared" si="261"/>
        <v>209</v>
      </c>
      <c r="S2270" s="217"/>
      <c r="U2270" s="220" t="s">
        <v>4059</v>
      </c>
    </row>
    <row r="2271" spans="1:21" ht="20.25" hidden="1" customHeight="1" outlineLevel="3">
      <c r="A2271" s="192" t="s">
        <v>2079</v>
      </c>
      <c r="B2271" s="192"/>
      <c r="C2271" s="197" t="s">
        <v>1609</v>
      </c>
      <c r="D2271" s="198">
        <f>'02 项目基础信息（输入）'!$C$66</f>
        <v>815</v>
      </c>
      <c r="E2271" s="199" t="s">
        <v>93</v>
      </c>
      <c r="F2271" s="197" t="s">
        <v>754</v>
      </c>
      <c r="G2271" s="701" t="s">
        <v>717</v>
      </c>
      <c r="H2271" s="199" t="s">
        <v>298</v>
      </c>
      <c r="I2271" s="198">
        <f>G2271*D2271</f>
        <v>0</v>
      </c>
      <c r="J2271" s="199" t="s">
        <v>93</v>
      </c>
      <c r="K2271" s="699" t="s">
        <v>717</v>
      </c>
      <c r="L2271" s="209" t="s">
        <v>675</v>
      </c>
      <c r="M2271" s="207">
        <f>ROUND(K2271*I2271/10000,6)</f>
        <v>0</v>
      </c>
      <c r="N2271" s="198">
        <f>'02 项目基础信息（输入）'!$C$66</f>
        <v>815</v>
      </c>
      <c r="O2271" s="198">
        <f t="shared" si="260"/>
        <v>0</v>
      </c>
      <c r="P2271" s="198">
        <f>'02 项目基础信息（输入）'!$I$66</f>
        <v>815</v>
      </c>
      <c r="Q2271" s="233">
        <f t="shared" si="261"/>
        <v>0</v>
      </c>
      <c r="S2271" s="217"/>
      <c r="U2271" s="220" t="s">
        <v>4060</v>
      </c>
    </row>
    <row r="2272" spans="1:21" ht="20.25" hidden="1" customHeight="1" outlineLevel="3">
      <c r="A2272" s="192" t="s">
        <v>2081</v>
      </c>
      <c r="B2272" s="192"/>
      <c r="C2272" s="197" t="s">
        <v>1609</v>
      </c>
      <c r="D2272" s="198">
        <f>'02 项目基础信息（输入）'!$C$66</f>
        <v>815</v>
      </c>
      <c r="E2272" s="199" t="s">
        <v>93</v>
      </c>
      <c r="F2272" s="197" t="s">
        <v>754</v>
      </c>
      <c r="G2272" s="701" t="s">
        <v>717</v>
      </c>
      <c r="H2272" s="199" t="s">
        <v>298</v>
      </c>
      <c r="I2272" s="198">
        <f>G2272*D2272</f>
        <v>0</v>
      </c>
      <c r="J2272" s="199" t="s">
        <v>93</v>
      </c>
      <c r="K2272" s="699" t="s">
        <v>717</v>
      </c>
      <c r="L2272" s="209" t="s">
        <v>675</v>
      </c>
      <c r="M2272" s="207">
        <f>ROUND(K2272*I2272/10000,6)</f>
        <v>0</v>
      </c>
      <c r="N2272" s="198">
        <f>'02 项目基础信息（输入）'!$C$66</f>
        <v>815</v>
      </c>
      <c r="O2272" s="198">
        <f t="shared" si="260"/>
        <v>0</v>
      </c>
      <c r="P2272" s="198">
        <f>'02 项目基础信息（输入）'!$I$66</f>
        <v>815</v>
      </c>
      <c r="Q2272" s="233">
        <f t="shared" si="261"/>
        <v>0</v>
      </c>
      <c r="S2272" s="217"/>
      <c r="U2272" s="220" t="s">
        <v>4061</v>
      </c>
    </row>
    <row r="2273" spans="1:21" ht="20.25" hidden="1" customHeight="1" outlineLevel="3">
      <c r="A2273" s="192" t="s">
        <v>2083</v>
      </c>
      <c r="B2273" s="192"/>
      <c r="C2273" s="197" t="s">
        <v>1609</v>
      </c>
      <c r="D2273" s="198">
        <f>'02 项目基础信息（输入）'!$C$66</f>
        <v>815</v>
      </c>
      <c r="E2273" s="199" t="s">
        <v>93</v>
      </c>
      <c r="F2273" s="197" t="s">
        <v>2084</v>
      </c>
      <c r="G2273" s="701" t="s">
        <v>717</v>
      </c>
      <c r="H2273" s="199" t="s">
        <v>298</v>
      </c>
      <c r="I2273" s="198">
        <f>G2273*D2273</f>
        <v>0</v>
      </c>
      <c r="J2273" s="199" t="s">
        <v>93</v>
      </c>
      <c r="K2273" s="699" t="s">
        <v>717</v>
      </c>
      <c r="L2273" s="209" t="s">
        <v>675</v>
      </c>
      <c r="M2273" s="207">
        <f>ROUND(K2273*I2273/10000,6)</f>
        <v>0</v>
      </c>
      <c r="N2273" s="198">
        <f>'02 项目基础信息（输入）'!$C$66</f>
        <v>815</v>
      </c>
      <c r="O2273" s="198">
        <f t="shared" si="260"/>
        <v>0</v>
      </c>
      <c r="P2273" s="198">
        <f>'02 项目基础信息（输入）'!$I$66</f>
        <v>815</v>
      </c>
      <c r="Q2273" s="233">
        <f t="shared" si="261"/>
        <v>0</v>
      </c>
      <c r="S2273" s="217"/>
      <c r="U2273" s="220" t="s">
        <v>4062</v>
      </c>
    </row>
    <row r="2274" spans="1:21" ht="20.25" hidden="1" customHeight="1" outlineLevel="3">
      <c r="A2274" s="192" t="s">
        <v>1788</v>
      </c>
      <c r="B2274" s="192"/>
      <c r="C2274" s="197" t="s">
        <v>1609</v>
      </c>
      <c r="D2274" s="198">
        <f>'02 项目基础信息（输入）'!$C$66</f>
        <v>815</v>
      </c>
      <c r="E2274" s="199" t="s">
        <v>93</v>
      </c>
      <c r="F2274" s="197" t="s">
        <v>1609</v>
      </c>
      <c r="G2274" s="199">
        <v>1</v>
      </c>
      <c r="H2274" s="199" t="s">
        <v>298</v>
      </c>
      <c r="I2274" s="198">
        <f>G2274*D2274</f>
        <v>815</v>
      </c>
      <c r="J2274" s="199" t="s">
        <v>93</v>
      </c>
      <c r="K2274" s="699" t="s">
        <v>717</v>
      </c>
      <c r="L2274" s="209" t="s">
        <v>675</v>
      </c>
      <c r="M2274" s="207">
        <f>ROUND(K2274*I2274/10000,6)</f>
        <v>0</v>
      </c>
      <c r="N2274" s="198">
        <f>'02 项目基础信息（输入）'!$C$66</f>
        <v>815</v>
      </c>
      <c r="O2274" s="198">
        <f t="shared" si="260"/>
        <v>0</v>
      </c>
      <c r="P2274" s="198">
        <f>'02 项目基础信息（输入）'!$I$66</f>
        <v>815</v>
      </c>
      <c r="Q2274" s="233">
        <f t="shared" si="261"/>
        <v>0</v>
      </c>
      <c r="S2274" s="217"/>
      <c r="U2274" s="220" t="s">
        <v>4063</v>
      </c>
    </row>
    <row r="2275" spans="1:21" ht="20.25" customHeight="1" outlineLevel="2" collapsed="1">
      <c r="A2275" s="192" t="s">
        <v>1790</v>
      </c>
      <c r="B2275" s="192"/>
      <c r="C2275" s="197" t="s">
        <v>1609</v>
      </c>
      <c r="D2275" s="198">
        <f>'02 项目基础信息（输入）'!$C$66</f>
        <v>815</v>
      </c>
      <c r="E2275" s="199" t="s">
        <v>93</v>
      </c>
      <c r="F2275" s="197"/>
      <c r="G2275" s="199"/>
      <c r="H2275" s="199"/>
      <c r="I2275" s="197"/>
      <c r="J2275" s="199"/>
      <c r="K2275" s="198"/>
      <c r="L2275" s="209"/>
      <c r="M2275" s="198">
        <f>ROUND(SUM(M2276:M2279),6)</f>
        <v>0</v>
      </c>
      <c r="N2275" s="198">
        <f>'02 项目基础信息（输入）'!$C$66</f>
        <v>815</v>
      </c>
      <c r="O2275" s="198">
        <f t="shared" si="260"/>
        <v>0</v>
      </c>
      <c r="P2275" s="198">
        <f>'02 项目基础信息（输入）'!$I$66</f>
        <v>815</v>
      </c>
      <c r="Q2275" s="233">
        <f t="shared" si="261"/>
        <v>0</v>
      </c>
      <c r="S2275" s="217" t="s">
        <v>1313</v>
      </c>
      <c r="U2275" s="220" t="s">
        <v>4064</v>
      </c>
    </row>
    <row r="2276" spans="1:21" ht="20.25" hidden="1" customHeight="1" outlineLevel="3">
      <c r="A2276" s="192" t="s">
        <v>1792</v>
      </c>
      <c r="B2276" s="192"/>
      <c r="C2276" s="197" t="s">
        <v>1609</v>
      </c>
      <c r="D2276" s="198">
        <f>'02 项目基础信息（输入）'!$C$66</f>
        <v>815</v>
      </c>
      <c r="E2276" s="199" t="s">
        <v>93</v>
      </c>
      <c r="F2276" s="197" t="s">
        <v>727</v>
      </c>
      <c r="G2276" s="701" t="s">
        <v>717</v>
      </c>
      <c r="H2276" s="199" t="s">
        <v>298</v>
      </c>
      <c r="I2276" s="198">
        <f>G2276*D2276</f>
        <v>0</v>
      </c>
      <c r="J2276" s="199" t="s">
        <v>93</v>
      </c>
      <c r="K2276" s="699" t="s">
        <v>717</v>
      </c>
      <c r="L2276" s="209" t="s">
        <v>675</v>
      </c>
      <c r="M2276" s="207">
        <f>ROUND(K2276*I2276/10000,6)</f>
        <v>0</v>
      </c>
      <c r="N2276" s="198">
        <f>'02 项目基础信息（输入）'!$C$66</f>
        <v>815</v>
      </c>
      <c r="O2276" s="198">
        <f t="shared" si="260"/>
        <v>0</v>
      </c>
      <c r="P2276" s="198">
        <f>'02 项目基础信息（输入）'!$I$66</f>
        <v>815</v>
      </c>
      <c r="Q2276" s="233">
        <f t="shared" si="261"/>
        <v>0</v>
      </c>
      <c r="S2276" s="217"/>
      <c r="U2276" s="220" t="s">
        <v>4065</v>
      </c>
    </row>
    <row r="2277" spans="1:21" ht="20.25" hidden="1" customHeight="1" outlineLevel="3">
      <c r="A2277" s="192" t="s">
        <v>1794</v>
      </c>
      <c r="B2277" s="192"/>
      <c r="C2277" s="197" t="s">
        <v>1609</v>
      </c>
      <c r="D2277" s="198">
        <f>'02 项目基础信息（输入）'!$C$66</f>
        <v>815</v>
      </c>
      <c r="E2277" s="199" t="s">
        <v>93</v>
      </c>
      <c r="F2277" s="197" t="s">
        <v>727</v>
      </c>
      <c r="G2277" s="701" t="s">
        <v>717</v>
      </c>
      <c r="H2277" s="199" t="s">
        <v>298</v>
      </c>
      <c r="I2277" s="198">
        <f>G2277*D2277</f>
        <v>0</v>
      </c>
      <c r="J2277" s="199" t="s">
        <v>93</v>
      </c>
      <c r="K2277" s="699" t="s">
        <v>717</v>
      </c>
      <c r="L2277" s="209" t="s">
        <v>675</v>
      </c>
      <c r="M2277" s="207">
        <f>ROUND(K2277*I2277/10000,6)</f>
        <v>0</v>
      </c>
      <c r="N2277" s="198">
        <f>'02 项目基础信息（输入）'!$C$66</f>
        <v>815</v>
      </c>
      <c r="O2277" s="198">
        <f t="shared" si="260"/>
        <v>0</v>
      </c>
      <c r="P2277" s="198">
        <f>'02 项目基础信息（输入）'!$I$66</f>
        <v>815</v>
      </c>
      <c r="Q2277" s="233">
        <f t="shared" si="261"/>
        <v>0</v>
      </c>
      <c r="S2277" s="217"/>
      <c r="U2277" s="220" t="s">
        <v>4066</v>
      </c>
    </row>
    <row r="2278" spans="1:21" ht="20.25" hidden="1" customHeight="1" outlineLevel="3">
      <c r="A2278" s="192" t="s">
        <v>1796</v>
      </c>
      <c r="B2278" s="192"/>
      <c r="C2278" s="197" t="s">
        <v>1609</v>
      </c>
      <c r="D2278" s="198">
        <f>'02 项目基础信息（输入）'!$C$66</f>
        <v>815</v>
      </c>
      <c r="E2278" s="199" t="s">
        <v>93</v>
      </c>
      <c r="F2278" s="197" t="s">
        <v>727</v>
      </c>
      <c r="G2278" s="701" t="s">
        <v>717</v>
      </c>
      <c r="H2278" s="199" t="s">
        <v>298</v>
      </c>
      <c r="I2278" s="198">
        <f>G2278*D2278</f>
        <v>0</v>
      </c>
      <c r="J2278" s="199" t="s">
        <v>93</v>
      </c>
      <c r="K2278" s="699" t="s">
        <v>717</v>
      </c>
      <c r="L2278" s="209" t="s">
        <v>675</v>
      </c>
      <c r="M2278" s="207">
        <f>ROUND(K2278*I2278/10000,6)</f>
        <v>0</v>
      </c>
      <c r="N2278" s="198">
        <f>'02 项目基础信息（输入）'!$C$66</f>
        <v>815</v>
      </c>
      <c r="O2278" s="198">
        <f t="shared" si="260"/>
        <v>0</v>
      </c>
      <c r="P2278" s="198">
        <f>'02 项目基础信息（输入）'!$I$66</f>
        <v>815</v>
      </c>
      <c r="Q2278" s="233">
        <f t="shared" si="261"/>
        <v>0</v>
      </c>
      <c r="S2278" s="217"/>
      <c r="U2278" s="220" t="s">
        <v>4067</v>
      </c>
    </row>
    <row r="2279" spans="1:21" ht="20.25" hidden="1" customHeight="1" outlineLevel="3">
      <c r="A2279" s="192" t="s">
        <v>1798</v>
      </c>
      <c r="B2279" s="192"/>
      <c r="C2279" s="197" t="s">
        <v>1609</v>
      </c>
      <c r="D2279" s="198">
        <f>'02 项目基础信息（输入）'!$C$66</f>
        <v>815</v>
      </c>
      <c r="E2279" s="199" t="s">
        <v>93</v>
      </c>
      <c r="F2279" s="197" t="s">
        <v>727</v>
      </c>
      <c r="G2279" s="701" t="s">
        <v>717</v>
      </c>
      <c r="H2279" s="199" t="s">
        <v>298</v>
      </c>
      <c r="I2279" s="198">
        <f>G2279*D2279</f>
        <v>0</v>
      </c>
      <c r="J2279" s="199" t="s">
        <v>93</v>
      </c>
      <c r="K2279" s="699" t="s">
        <v>717</v>
      </c>
      <c r="L2279" s="209" t="s">
        <v>675</v>
      </c>
      <c r="M2279" s="207">
        <f>ROUND(K2279*I2279/10000,6)</f>
        <v>0</v>
      </c>
      <c r="N2279" s="198">
        <f>'02 项目基础信息（输入）'!$C$66</f>
        <v>815</v>
      </c>
      <c r="O2279" s="198">
        <f t="shared" si="260"/>
        <v>0</v>
      </c>
      <c r="P2279" s="198">
        <f>'02 项目基础信息（输入）'!$I$66</f>
        <v>815</v>
      </c>
      <c r="Q2279" s="233">
        <f t="shared" si="261"/>
        <v>0</v>
      </c>
      <c r="S2279" s="217"/>
      <c r="U2279" s="220" t="s">
        <v>4068</v>
      </c>
    </row>
    <row r="2280" spans="1:21" ht="20.25" customHeight="1" outlineLevel="2" collapsed="1">
      <c r="A2280" s="192" t="s">
        <v>1800</v>
      </c>
      <c r="B2280" s="192"/>
      <c r="C2280" s="197" t="s">
        <v>1609</v>
      </c>
      <c r="D2280" s="198">
        <f>'02 项目基础信息（输入）'!$C$66</f>
        <v>815</v>
      </c>
      <c r="E2280" s="199" t="s">
        <v>93</v>
      </c>
      <c r="F2280" s="197"/>
      <c r="G2280" s="199"/>
      <c r="H2280" s="199"/>
      <c r="I2280" s="197"/>
      <c r="J2280" s="199"/>
      <c r="K2280" s="198"/>
      <c r="L2280" s="209"/>
      <c r="M2280" s="198">
        <f>ROUND(SUM(M2281:M2296),6)</f>
        <v>162.02199999999999</v>
      </c>
      <c r="N2280" s="198">
        <f>'02 项目基础信息（输入）'!$C$66</f>
        <v>815</v>
      </c>
      <c r="O2280" s="198">
        <f t="shared" si="260"/>
        <v>1988</v>
      </c>
      <c r="P2280" s="198">
        <f>'02 项目基础信息（输入）'!$I$66</f>
        <v>815</v>
      </c>
      <c r="Q2280" s="233">
        <f t="shared" si="261"/>
        <v>1988</v>
      </c>
      <c r="S2280" s="217" t="s">
        <v>1314</v>
      </c>
      <c r="U2280" s="220" t="s">
        <v>4069</v>
      </c>
    </row>
    <row r="2281" spans="1:21" ht="20.25" hidden="1" customHeight="1" outlineLevel="3">
      <c r="A2281" s="192" t="s">
        <v>1802</v>
      </c>
      <c r="B2281" s="192"/>
      <c r="C2281" s="197" t="s">
        <v>476</v>
      </c>
      <c r="D2281" s="198">
        <f>'02 项目基础信息（输入）'!$AF$66</f>
        <v>1141</v>
      </c>
      <c r="E2281" s="199" t="s">
        <v>93</v>
      </c>
      <c r="F2281" s="197" t="s">
        <v>1803</v>
      </c>
      <c r="G2281" s="701">
        <v>20</v>
      </c>
      <c r="H2281" s="199" t="s">
        <v>123</v>
      </c>
      <c r="I2281" s="198">
        <f t="shared" ref="I2281:I2294" si="264">G2281*D2281/100</f>
        <v>228.2</v>
      </c>
      <c r="J2281" s="199" t="s">
        <v>93</v>
      </c>
      <c r="K2281" s="699">
        <v>1500</v>
      </c>
      <c r="L2281" s="209" t="s">
        <v>675</v>
      </c>
      <c r="M2281" s="207">
        <f t="shared" ref="M2281:M2296" si="265">ROUND(K2281*I2281/10000,6)</f>
        <v>34.229999999999997</v>
      </c>
      <c r="N2281" s="198">
        <f>'02 项目基础信息（输入）'!$C$66</f>
        <v>815</v>
      </c>
      <c r="O2281" s="198">
        <f t="shared" si="260"/>
        <v>420</v>
      </c>
      <c r="P2281" s="198">
        <f>'02 项目基础信息（输入）'!$I$66</f>
        <v>815</v>
      </c>
      <c r="Q2281" s="233">
        <f t="shared" si="261"/>
        <v>420</v>
      </c>
      <c r="S2281" s="217"/>
      <c r="U2281" s="220" t="s">
        <v>4070</v>
      </c>
    </row>
    <row r="2282" spans="1:21" ht="20.25" hidden="1" customHeight="1" outlineLevel="3">
      <c r="A2282" s="192" t="s">
        <v>1805</v>
      </c>
      <c r="B2282" s="192"/>
      <c r="C2282" s="197" t="s">
        <v>476</v>
      </c>
      <c r="D2282" s="198">
        <f>'02 项目基础信息（输入）'!$AF$66</f>
        <v>1141</v>
      </c>
      <c r="E2282" s="199" t="s">
        <v>93</v>
      </c>
      <c r="F2282" s="197" t="s">
        <v>1803</v>
      </c>
      <c r="G2282" s="701" t="s">
        <v>717</v>
      </c>
      <c r="H2282" s="199" t="s">
        <v>123</v>
      </c>
      <c r="I2282" s="198">
        <f t="shared" si="264"/>
        <v>0</v>
      </c>
      <c r="J2282" s="199" t="s">
        <v>93</v>
      </c>
      <c r="K2282" s="699" t="s">
        <v>717</v>
      </c>
      <c r="L2282" s="209" t="s">
        <v>675</v>
      </c>
      <c r="M2282" s="207">
        <f t="shared" si="265"/>
        <v>0</v>
      </c>
      <c r="N2282" s="198">
        <f>'02 项目基础信息（输入）'!$C$66</f>
        <v>815</v>
      </c>
      <c r="O2282" s="198">
        <f t="shared" si="260"/>
        <v>0</v>
      </c>
      <c r="P2282" s="198">
        <f>'02 项目基础信息（输入）'!$I$66</f>
        <v>815</v>
      </c>
      <c r="Q2282" s="233">
        <f t="shared" si="261"/>
        <v>0</v>
      </c>
      <c r="S2282" s="217"/>
      <c r="U2282" s="220" t="s">
        <v>4071</v>
      </c>
    </row>
    <row r="2283" spans="1:21" ht="20.25" hidden="1" customHeight="1" outlineLevel="3">
      <c r="A2283" s="192" t="s">
        <v>1807</v>
      </c>
      <c r="B2283" s="192"/>
      <c r="C2283" s="197" t="s">
        <v>476</v>
      </c>
      <c r="D2283" s="198">
        <f>'02 项目基础信息（输入）'!$AF$66</f>
        <v>1141</v>
      </c>
      <c r="E2283" s="199" t="s">
        <v>93</v>
      </c>
      <c r="F2283" s="197" t="s">
        <v>1803</v>
      </c>
      <c r="G2283" s="701" t="s">
        <v>717</v>
      </c>
      <c r="H2283" s="199" t="s">
        <v>123</v>
      </c>
      <c r="I2283" s="198">
        <f t="shared" si="264"/>
        <v>0</v>
      </c>
      <c r="J2283" s="199" t="s">
        <v>93</v>
      </c>
      <c r="K2283" s="699" t="s">
        <v>717</v>
      </c>
      <c r="L2283" s="209" t="s">
        <v>675</v>
      </c>
      <c r="M2283" s="207">
        <f t="shared" si="265"/>
        <v>0</v>
      </c>
      <c r="N2283" s="198">
        <f>'02 项目基础信息（输入）'!$C$66</f>
        <v>815</v>
      </c>
      <c r="O2283" s="198">
        <f t="shared" si="260"/>
        <v>0</v>
      </c>
      <c r="P2283" s="198">
        <f>'02 项目基础信息（输入）'!$I$66</f>
        <v>815</v>
      </c>
      <c r="Q2283" s="233">
        <f t="shared" si="261"/>
        <v>0</v>
      </c>
      <c r="S2283" s="217"/>
      <c r="U2283" s="220" t="s">
        <v>4072</v>
      </c>
    </row>
    <row r="2284" spans="1:21" ht="20.25" hidden="1" customHeight="1" outlineLevel="3">
      <c r="A2284" s="192" t="s">
        <v>1809</v>
      </c>
      <c r="B2284" s="192"/>
      <c r="C2284" s="197" t="s">
        <v>476</v>
      </c>
      <c r="D2284" s="198">
        <f>'02 项目基础信息（输入）'!$AF$66</f>
        <v>1141</v>
      </c>
      <c r="E2284" s="199" t="s">
        <v>93</v>
      </c>
      <c r="F2284" s="197" t="s">
        <v>1803</v>
      </c>
      <c r="G2284" s="701" t="s">
        <v>717</v>
      </c>
      <c r="H2284" s="199" t="s">
        <v>123</v>
      </c>
      <c r="I2284" s="198">
        <f t="shared" si="264"/>
        <v>0</v>
      </c>
      <c r="J2284" s="199" t="s">
        <v>93</v>
      </c>
      <c r="K2284" s="699" t="s">
        <v>717</v>
      </c>
      <c r="L2284" s="209" t="s">
        <v>675</v>
      </c>
      <c r="M2284" s="207">
        <f t="shared" si="265"/>
        <v>0</v>
      </c>
      <c r="N2284" s="198">
        <f>'02 项目基础信息（输入）'!$C$66</f>
        <v>815</v>
      </c>
      <c r="O2284" s="198">
        <f t="shared" si="260"/>
        <v>0</v>
      </c>
      <c r="P2284" s="198">
        <f>'02 项目基础信息（输入）'!$I$66</f>
        <v>815</v>
      </c>
      <c r="Q2284" s="233">
        <f t="shared" si="261"/>
        <v>0</v>
      </c>
      <c r="S2284" s="217"/>
      <c r="U2284" s="220" t="s">
        <v>4073</v>
      </c>
    </row>
    <row r="2285" spans="1:21" ht="20.25" hidden="1" customHeight="1" outlineLevel="3">
      <c r="A2285" s="192" t="s">
        <v>1811</v>
      </c>
      <c r="B2285" s="192"/>
      <c r="C2285" s="197" t="s">
        <v>476</v>
      </c>
      <c r="D2285" s="198">
        <f>'02 项目基础信息（输入）'!$AF$66</f>
        <v>1141</v>
      </c>
      <c r="E2285" s="199" t="s">
        <v>93</v>
      </c>
      <c r="F2285" s="197" t="s">
        <v>1803</v>
      </c>
      <c r="G2285" s="701" t="s">
        <v>717</v>
      </c>
      <c r="H2285" s="199" t="s">
        <v>123</v>
      </c>
      <c r="I2285" s="198">
        <f t="shared" si="264"/>
        <v>0</v>
      </c>
      <c r="J2285" s="199" t="s">
        <v>93</v>
      </c>
      <c r="K2285" s="699" t="s">
        <v>717</v>
      </c>
      <c r="L2285" s="209" t="s">
        <v>675</v>
      </c>
      <c r="M2285" s="207">
        <f t="shared" si="265"/>
        <v>0</v>
      </c>
      <c r="N2285" s="198">
        <f>'02 项目基础信息（输入）'!$C$66</f>
        <v>815</v>
      </c>
      <c r="O2285" s="198">
        <f t="shared" si="260"/>
        <v>0</v>
      </c>
      <c r="P2285" s="198">
        <f>'02 项目基础信息（输入）'!$I$66</f>
        <v>815</v>
      </c>
      <c r="Q2285" s="233">
        <f t="shared" si="261"/>
        <v>0</v>
      </c>
      <c r="S2285" s="217"/>
      <c r="U2285" s="220" t="s">
        <v>4074</v>
      </c>
    </row>
    <row r="2286" spans="1:21" ht="20.25" hidden="1" customHeight="1" outlineLevel="3">
      <c r="A2286" s="192" t="s">
        <v>1813</v>
      </c>
      <c r="B2286" s="192"/>
      <c r="C2286" s="197" t="s">
        <v>476</v>
      </c>
      <c r="D2286" s="198">
        <f>'02 项目基础信息（输入）'!$AF$66</f>
        <v>1141</v>
      </c>
      <c r="E2286" s="199" t="s">
        <v>93</v>
      </c>
      <c r="F2286" s="197" t="s">
        <v>1803</v>
      </c>
      <c r="G2286" s="701" t="s">
        <v>717</v>
      </c>
      <c r="H2286" s="199" t="s">
        <v>123</v>
      </c>
      <c r="I2286" s="198">
        <f t="shared" si="264"/>
        <v>0</v>
      </c>
      <c r="J2286" s="199" t="s">
        <v>93</v>
      </c>
      <c r="K2286" s="699" t="s">
        <v>717</v>
      </c>
      <c r="L2286" s="209" t="s">
        <v>675</v>
      </c>
      <c r="M2286" s="207">
        <f t="shared" si="265"/>
        <v>0</v>
      </c>
      <c r="N2286" s="198">
        <f>'02 项目基础信息（输入）'!$C$66</f>
        <v>815</v>
      </c>
      <c r="O2286" s="198">
        <f t="shared" si="260"/>
        <v>0</v>
      </c>
      <c r="P2286" s="198">
        <f>'02 项目基础信息（输入）'!$I$66</f>
        <v>815</v>
      </c>
      <c r="Q2286" s="233">
        <f t="shared" si="261"/>
        <v>0</v>
      </c>
      <c r="S2286" s="217"/>
      <c r="U2286" s="220" t="s">
        <v>4075</v>
      </c>
    </row>
    <row r="2287" spans="1:21" ht="20.25" hidden="1" customHeight="1" outlineLevel="3">
      <c r="A2287" s="192" t="s">
        <v>1815</v>
      </c>
      <c r="B2287" s="192"/>
      <c r="C2287" s="197" t="s">
        <v>476</v>
      </c>
      <c r="D2287" s="198">
        <f>'02 项目基础信息（输入）'!$AF$66</f>
        <v>1141</v>
      </c>
      <c r="E2287" s="199" t="s">
        <v>93</v>
      </c>
      <c r="F2287" s="197" t="s">
        <v>1803</v>
      </c>
      <c r="G2287" s="701" t="s">
        <v>717</v>
      </c>
      <c r="H2287" s="199" t="s">
        <v>123</v>
      </c>
      <c r="I2287" s="198">
        <f t="shared" si="264"/>
        <v>0</v>
      </c>
      <c r="J2287" s="199" t="s">
        <v>93</v>
      </c>
      <c r="K2287" s="699" t="s">
        <v>717</v>
      </c>
      <c r="L2287" s="209" t="s">
        <v>675</v>
      </c>
      <c r="M2287" s="207">
        <f t="shared" si="265"/>
        <v>0</v>
      </c>
      <c r="N2287" s="198">
        <f>'02 项目基础信息（输入）'!$C$66</f>
        <v>815</v>
      </c>
      <c r="O2287" s="198">
        <f t="shared" si="260"/>
        <v>0</v>
      </c>
      <c r="P2287" s="198">
        <f>'02 项目基础信息（输入）'!$I$66</f>
        <v>815</v>
      </c>
      <c r="Q2287" s="233">
        <f t="shared" si="261"/>
        <v>0</v>
      </c>
      <c r="S2287" s="217"/>
      <c r="U2287" s="220" t="s">
        <v>4076</v>
      </c>
    </row>
    <row r="2288" spans="1:21" ht="20.25" hidden="1" customHeight="1" outlineLevel="3">
      <c r="A2288" s="192" t="s">
        <v>1817</v>
      </c>
      <c r="B2288" s="192"/>
      <c r="C2288" s="197" t="s">
        <v>476</v>
      </c>
      <c r="D2288" s="198">
        <f>'02 项目基础信息（输入）'!$AF$66</f>
        <v>1141</v>
      </c>
      <c r="E2288" s="199" t="s">
        <v>93</v>
      </c>
      <c r="F2288" s="197" t="s">
        <v>1803</v>
      </c>
      <c r="G2288" s="701" t="s">
        <v>717</v>
      </c>
      <c r="H2288" s="199" t="s">
        <v>123</v>
      </c>
      <c r="I2288" s="198">
        <f t="shared" si="264"/>
        <v>0</v>
      </c>
      <c r="J2288" s="199" t="s">
        <v>93</v>
      </c>
      <c r="K2288" s="699" t="s">
        <v>717</v>
      </c>
      <c r="L2288" s="209" t="s">
        <v>675</v>
      </c>
      <c r="M2288" s="207">
        <f t="shared" si="265"/>
        <v>0</v>
      </c>
      <c r="N2288" s="198">
        <f>'02 项目基础信息（输入）'!$C$66</f>
        <v>815</v>
      </c>
      <c r="O2288" s="198">
        <f t="shared" si="260"/>
        <v>0</v>
      </c>
      <c r="P2288" s="198">
        <f>'02 项目基础信息（输入）'!$I$66</f>
        <v>815</v>
      </c>
      <c r="Q2288" s="233">
        <f t="shared" si="261"/>
        <v>0</v>
      </c>
      <c r="S2288" s="217"/>
      <c r="U2288" s="220" t="s">
        <v>4077</v>
      </c>
    </row>
    <row r="2289" spans="1:21" ht="20.25" hidden="1" customHeight="1" outlineLevel="3">
      <c r="A2289" s="192" t="s">
        <v>1819</v>
      </c>
      <c r="B2289" s="192"/>
      <c r="C2289" s="197" t="s">
        <v>476</v>
      </c>
      <c r="D2289" s="198">
        <f>'02 项目基础信息（输入）'!$AF$66</f>
        <v>1141</v>
      </c>
      <c r="E2289" s="199" t="s">
        <v>93</v>
      </c>
      <c r="F2289" s="197" t="s">
        <v>1803</v>
      </c>
      <c r="G2289" s="701">
        <v>60</v>
      </c>
      <c r="H2289" s="199" t="s">
        <v>123</v>
      </c>
      <c r="I2289" s="198">
        <f t="shared" si="264"/>
        <v>684.6</v>
      </c>
      <c r="J2289" s="199" t="s">
        <v>93</v>
      </c>
      <c r="K2289" s="699">
        <v>1500</v>
      </c>
      <c r="L2289" s="209" t="s">
        <v>675</v>
      </c>
      <c r="M2289" s="207">
        <f t="shared" si="265"/>
        <v>102.69</v>
      </c>
      <c r="N2289" s="198">
        <f>'02 项目基础信息（输入）'!$C$66</f>
        <v>815</v>
      </c>
      <c r="O2289" s="198">
        <f t="shared" si="260"/>
        <v>1260</v>
      </c>
      <c r="P2289" s="198">
        <f>'02 项目基础信息（输入）'!$I$66</f>
        <v>815</v>
      </c>
      <c r="Q2289" s="233">
        <f t="shared" si="261"/>
        <v>1260</v>
      </c>
      <c r="S2289" s="217"/>
      <c r="U2289" s="220" t="s">
        <v>4078</v>
      </c>
    </row>
    <row r="2290" spans="1:21" ht="20.25" hidden="1" customHeight="1" outlineLevel="3">
      <c r="A2290" s="192" t="s">
        <v>1821</v>
      </c>
      <c r="B2290" s="192"/>
      <c r="C2290" s="197" t="s">
        <v>476</v>
      </c>
      <c r="D2290" s="198">
        <f>'02 项目基础信息（输入）'!$AF$66</f>
        <v>1141</v>
      </c>
      <c r="E2290" s="199" t="s">
        <v>93</v>
      </c>
      <c r="F2290" s="197" t="s">
        <v>1803</v>
      </c>
      <c r="G2290" s="701">
        <v>20</v>
      </c>
      <c r="H2290" s="199" t="s">
        <v>123</v>
      </c>
      <c r="I2290" s="198">
        <f t="shared" si="264"/>
        <v>228.2</v>
      </c>
      <c r="J2290" s="199" t="s">
        <v>93</v>
      </c>
      <c r="K2290" s="699">
        <v>1100</v>
      </c>
      <c r="L2290" s="209" t="s">
        <v>675</v>
      </c>
      <c r="M2290" s="207">
        <f t="shared" si="265"/>
        <v>25.102</v>
      </c>
      <c r="N2290" s="198">
        <f>'02 项目基础信息（输入）'!$C$66</f>
        <v>815</v>
      </c>
      <c r="O2290" s="198">
        <f t="shared" si="260"/>
        <v>308</v>
      </c>
      <c r="P2290" s="198">
        <f>'02 项目基础信息（输入）'!$I$66</f>
        <v>815</v>
      </c>
      <c r="Q2290" s="233">
        <f t="shared" si="261"/>
        <v>308</v>
      </c>
      <c r="S2290" s="217"/>
      <c r="U2290" s="220" t="s">
        <v>4079</v>
      </c>
    </row>
    <row r="2291" spans="1:21" ht="20.25" hidden="1" customHeight="1" outlineLevel="3">
      <c r="A2291" s="192" t="s">
        <v>1823</v>
      </c>
      <c r="B2291" s="192"/>
      <c r="C2291" s="197" t="s">
        <v>476</v>
      </c>
      <c r="D2291" s="198">
        <f>'02 项目基础信息（输入）'!$AF$66</f>
        <v>1141</v>
      </c>
      <c r="E2291" s="199" t="s">
        <v>93</v>
      </c>
      <c r="F2291" s="197" t="s">
        <v>1803</v>
      </c>
      <c r="G2291" s="701" t="s">
        <v>717</v>
      </c>
      <c r="H2291" s="199" t="s">
        <v>123</v>
      </c>
      <c r="I2291" s="198">
        <f t="shared" si="264"/>
        <v>0</v>
      </c>
      <c r="J2291" s="199" t="s">
        <v>93</v>
      </c>
      <c r="K2291" s="699" t="s">
        <v>717</v>
      </c>
      <c r="L2291" s="209" t="s">
        <v>675</v>
      </c>
      <c r="M2291" s="207">
        <f t="shared" si="265"/>
        <v>0</v>
      </c>
      <c r="N2291" s="198">
        <f>'02 项目基础信息（输入）'!$C$66</f>
        <v>815</v>
      </c>
      <c r="O2291" s="198">
        <f t="shared" si="260"/>
        <v>0</v>
      </c>
      <c r="P2291" s="198">
        <f>'02 项目基础信息（输入）'!$I$66</f>
        <v>815</v>
      </c>
      <c r="Q2291" s="233">
        <f t="shared" si="261"/>
        <v>0</v>
      </c>
      <c r="S2291" s="217"/>
      <c r="U2291" s="220" t="s">
        <v>4080</v>
      </c>
    </row>
    <row r="2292" spans="1:21" ht="20.25" hidden="1" customHeight="1" outlineLevel="3">
      <c r="A2292" s="192" t="s">
        <v>1825</v>
      </c>
      <c r="B2292" s="192"/>
      <c r="C2292" s="197" t="s">
        <v>476</v>
      </c>
      <c r="D2292" s="198">
        <f>'02 项目基础信息（输入）'!$AF$66</f>
        <v>1141</v>
      </c>
      <c r="E2292" s="199" t="s">
        <v>93</v>
      </c>
      <c r="F2292" s="197" t="s">
        <v>1803</v>
      </c>
      <c r="G2292" s="701" t="s">
        <v>717</v>
      </c>
      <c r="H2292" s="199" t="s">
        <v>123</v>
      </c>
      <c r="I2292" s="198">
        <f t="shared" si="264"/>
        <v>0</v>
      </c>
      <c r="J2292" s="199" t="s">
        <v>93</v>
      </c>
      <c r="K2292" s="699" t="s">
        <v>717</v>
      </c>
      <c r="L2292" s="209" t="s">
        <v>675</v>
      </c>
      <c r="M2292" s="207">
        <f t="shared" si="265"/>
        <v>0</v>
      </c>
      <c r="N2292" s="198">
        <f>'02 项目基础信息（输入）'!$C$66</f>
        <v>815</v>
      </c>
      <c r="O2292" s="198">
        <f t="shared" si="260"/>
        <v>0</v>
      </c>
      <c r="P2292" s="198">
        <f>'02 项目基础信息（输入）'!$I$66</f>
        <v>815</v>
      </c>
      <c r="Q2292" s="233">
        <f t="shared" si="261"/>
        <v>0</v>
      </c>
      <c r="S2292" s="217"/>
      <c r="U2292" s="220" t="s">
        <v>4081</v>
      </c>
    </row>
    <row r="2293" spans="1:21" ht="20.25" hidden="1" customHeight="1" outlineLevel="3">
      <c r="A2293" s="192" t="s">
        <v>1827</v>
      </c>
      <c r="B2293" s="192"/>
      <c r="C2293" s="197" t="s">
        <v>476</v>
      </c>
      <c r="D2293" s="198">
        <f>'02 项目基础信息（输入）'!$AF$66</f>
        <v>1141</v>
      </c>
      <c r="E2293" s="199" t="s">
        <v>93</v>
      </c>
      <c r="F2293" s="197" t="s">
        <v>1803</v>
      </c>
      <c r="G2293" s="701" t="s">
        <v>717</v>
      </c>
      <c r="H2293" s="199" t="s">
        <v>123</v>
      </c>
      <c r="I2293" s="198">
        <f t="shared" si="264"/>
        <v>0</v>
      </c>
      <c r="J2293" s="199" t="s">
        <v>93</v>
      </c>
      <c r="K2293" s="699" t="s">
        <v>717</v>
      </c>
      <c r="L2293" s="209" t="s">
        <v>675</v>
      </c>
      <c r="M2293" s="207">
        <f t="shared" si="265"/>
        <v>0</v>
      </c>
      <c r="N2293" s="198">
        <f>'02 项目基础信息（输入）'!$C$66</f>
        <v>815</v>
      </c>
      <c r="O2293" s="198">
        <f t="shared" si="260"/>
        <v>0</v>
      </c>
      <c r="P2293" s="198">
        <f>'02 项目基础信息（输入）'!$I$66</f>
        <v>815</v>
      </c>
      <c r="Q2293" s="233">
        <f t="shared" si="261"/>
        <v>0</v>
      </c>
      <c r="S2293" s="217"/>
      <c r="U2293" s="220" t="s">
        <v>4082</v>
      </c>
    </row>
    <row r="2294" spans="1:21" ht="20.25" hidden="1" customHeight="1" outlineLevel="3">
      <c r="A2294" s="192" t="s">
        <v>1829</v>
      </c>
      <c r="B2294" s="192"/>
      <c r="C2294" s="197" t="s">
        <v>476</v>
      </c>
      <c r="D2294" s="198">
        <f>'02 项目基础信息（输入）'!$AF$66</f>
        <v>1141</v>
      </c>
      <c r="E2294" s="199" t="s">
        <v>93</v>
      </c>
      <c r="F2294" s="197" t="s">
        <v>1803</v>
      </c>
      <c r="G2294" s="701" t="s">
        <v>717</v>
      </c>
      <c r="H2294" s="199" t="s">
        <v>123</v>
      </c>
      <c r="I2294" s="198">
        <f t="shared" si="264"/>
        <v>0</v>
      </c>
      <c r="J2294" s="199" t="s">
        <v>93</v>
      </c>
      <c r="K2294" s="699" t="s">
        <v>717</v>
      </c>
      <c r="L2294" s="209" t="s">
        <v>675</v>
      </c>
      <c r="M2294" s="207">
        <f t="shared" si="265"/>
        <v>0</v>
      </c>
      <c r="N2294" s="198">
        <f>'02 项目基础信息（输入）'!$C$66</f>
        <v>815</v>
      </c>
      <c r="O2294" s="198">
        <f t="shared" si="260"/>
        <v>0</v>
      </c>
      <c r="P2294" s="198">
        <f>'02 项目基础信息（输入）'!$I$66</f>
        <v>815</v>
      </c>
      <c r="Q2294" s="233">
        <f t="shared" si="261"/>
        <v>0</v>
      </c>
      <c r="S2294" s="217"/>
      <c r="U2294" s="220" t="s">
        <v>4083</v>
      </c>
    </row>
    <row r="2295" spans="1:21" ht="20.25" hidden="1" customHeight="1" outlineLevel="3">
      <c r="A2295" s="192" t="s">
        <v>1831</v>
      </c>
      <c r="B2295" s="192"/>
      <c r="C2295" s="197" t="s">
        <v>1609</v>
      </c>
      <c r="D2295" s="198">
        <f>'02 项目基础信息（输入）'!$C$66</f>
        <v>815</v>
      </c>
      <c r="E2295" s="199" t="s">
        <v>93</v>
      </c>
      <c r="F2295" s="197" t="s">
        <v>1609</v>
      </c>
      <c r="G2295" s="199">
        <v>1</v>
      </c>
      <c r="H2295" s="199" t="s">
        <v>298</v>
      </c>
      <c r="I2295" s="198">
        <f>G2295*D2295</f>
        <v>815</v>
      </c>
      <c r="J2295" s="199" t="s">
        <v>93</v>
      </c>
      <c r="K2295" s="699" t="s">
        <v>717</v>
      </c>
      <c r="L2295" s="209" t="s">
        <v>675</v>
      </c>
      <c r="M2295" s="207">
        <f t="shared" si="265"/>
        <v>0</v>
      </c>
      <c r="N2295" s="198">
        <f>'02 项目基础信息（输入）'!$C$66</f>
        <v>815</v>
      </c>
      <c r="O2295" s="198">
        <f t="shared" si="260"/>
        <v>0</v>
      </c>
      <c r="P2295" s="198">
        <f>'02 项目基础信息（输入）'!$I$66</f>
        <v>815</v>
      </c>
      <c r="Q2295" s="233">
        <f t="shared" si="261"/>
        <v>0</v>
      </c>
      <c r="S2295" s="217"/>
      <c r="U2295" s="220" t="s">
        <v>4084</v>
      </c>
    </row>
    <row r="2296" spans="1:21" ht="20.25" hidden="1" customHeight="1" outlineLevel="3">
      <c r="A2296" s="192" t="s">
        <v>1833</v>
      </c>
      <c r="B2296" s="192"/>
      <c r="C2296" s="197" t="s">
        <v>1609</v>
      </c>
      <c r="D2296" s="198">
        <f>'02 项目基础信息（输入）'!$C$66</f>
        <v>815</v>
      </c>
      <c r="E2296" s="199" t="s">
        <v>93</v>
      </c>
      <c r="F2296" s="197" t="s">
        <v>1609</v>
      </c>
      <c r="G2296" s="199">
        <v>1</v>
      </c>
      <c r="H2296" s="199" t="s">
        <v>298</v>
      </c>
      <c r="I2296" s="198">
        <f>G2296*D2296</f>
        <v>815</v>
      </c>
      <c r="J2296" s="199" t="s">
        <v>93</v>
      </c>
      <c r="K2296" s="699" t="s">
        <v>717</v>
      </c>
      <c r="L2296" s="209" t="s">
        <v>675</v>
      </c>
      <c r="M2296" s="207">
        <f t="shared" si="265"/>
        <v>0</v>
      </c>
      <c r="N2296" s="198">
        <f>'02 项目基础信息（输入）'!$C$66</f>
        <v>815</v>
      </c>
      <c r="O2296" s="198">
        <f t="shared" si="260"/>
        <v>0</v>
      </c>
      <c r="P2296" s="198">
        <f>'02 项目基础信息（输入）'!$I$66</f>
        <v>815</v>
      </c>
      <c r="Q2296" s="233">
        <f t="shared" si="261"/>
        <v>0</v>
      </c>
      <c r="S2296" s="217"/>
      <c r="U2296" s="220" t="s">
        <v>4085</v>
      </c>
    </row>
    <row r="2297" spans="1:21" ht="20.25" customHeight="1" outlineLevel="2" collapsed="1">
      <c r="A2297" s="192" t="s">
        <v>1835</v>
      </c>
      <c r="B2297" s="192"/>
      <c r="C2297" s="197" t="s">
        <v>1609</v>
      </c>
      <c r="D2297" s="198">
        <f>'02 项目基础信息（输入）'!$C$66</f>
        <v>815</v>
      </c>
      <c r="E2297" s="199" t="s">
        <v>93</v>
      </c>
      <c r="F2297" s="197"/>
      <c r="G2297" s="199"/>
      <c r="H2297" s="199"/>
      <c r="I2297" s="197"/>
      <c r="J2297" s="199"/>
      <c r="K2297" s="198"/>
      <c r="L2297" s="209"/>
      <c r="M2297" s="198">
        <f>ROUND(SUM(M2298:M2301),6)</f>
        <v>0</v>
      </c>
      <c r="N2297" s="198">
        <f>'02 项目基础信息（输入）'!$C$66</f>
        <v>815</v>
      </c>
      <c r="O2297" s="198">
        <f t="shared" si="260"/>
        <v>0</v>
      </c>
      <c r="P2297" s="198">
        <f>'02 项目基础信息（输入）'!$I$66</f>
        <v>815</v>
      </c>
      <c r="Q2297" s="233">
        <f t="shared" si="261"/>
        <v>0</v>
      </c>
      <c r="S2297" s="217" t="s">
        <v>1314</v>
      </c>
      <c r="U2297" s="220" t="s">
        <v>4086</v>
      </c>
    </row>
    <row r="2298" spans="1:21" ht="20.25" hidden="1" customHeight="1" outlineLevel="3">
      <c r="A2298" s="192" t="s">
        <v>2110</v>
      </c>
      <c r="B2298" s="192"/>
      <c r="C2298" s="197" t="s">
        <v>309</v>
      </c>
      <c r="D2298" s="198">
        <f>'02 项目基础信息（输入）'!$AC$66</f>
        <v>1</v>
      </c>
      <c r="E2298" s="199" t="s">
        <v>310</v>
      </c>
      <c r="F2298" s="197" t="s">
        <v>1843</v>
      </c>
      <c r="G2298" s="701" t="s">
        <v>717</v>
      </c>
      <c r="H2298" s="199" t="s">
        <v>789</v>
      </c>
      <c r="I2298" s="198">
        <f>G2298*D2298</f>
        <v>0</v>
      </c>
      <c r="J2298" s="199" t="s">
        <v>131</v>
      </c>
      <c r="K2298" s="1244">
        <v>0</v>
      </c>
      <c r="L2298" s="209" t="s">
        <v>792</v>
      </c>
      <c r="M2298" s="207">
        <f>ROUND(K2298*I2298/10000,6)</f>
        <v>0</v>
      </c>
      <c r="N2298" s="198">
        <f>'02 项目基础信息（输入）'!$C$66</f>
        <v>815</v>
      </c>
      <c r="O2298" s="198">
        <f t="shared" si="260"/>
        <v>0</v>
      </c>
      <c r="P2298" s="198">
        <f>'02 项目基础信息（输入）'!$I$66</f>
        <v>815</v>
      </c>
      <c r="Q2298" s="233">
        <f t="shared" si="261"/>
        <v>0</v>
      </c>
      <c r="S2298" s="217"/>
      <c r="U2298" s="220" t="s">
        <v>4087</v>
      </c>
    </row>
    <row r="2299" spans="1:21" ht="20.25" hidden="1" customHeight="1" outlineLevel="3">
      <c r="A2299" s="192" t="s">
        <v>2112</v>
      </c>
      <c r="B2299" s="192"/>
      <c r="C2299" s="197" t="s">
        <v>309</v>
      </c>
      <c r="D2299" s="198">
        <f>'02 项目基础信息（输入）'!$AC$66</f>
        <v>1</v>
      </c>
      <c r="E2299" s="199" t="s">
        <v>310</v>
      </c>
      <c r="F2299" s="197" t="s">
        <v>1843</v>
      </c>
      <c r="G2299" s="701" t="s">
        <v>717</v>
      </c>
      <c r="H2299" s="199" t="s">
        <v>789</v>
      </c>
      <c r="I2299" s="198">
        <f>G2299*D2299</f>
        <v>0</v>
      </c>
      <c r="J2299" s="199" t="s">
        <v>131</v>
      </c>
      <c r="K2299" s="1244">
        <v>0</v>
      </c>
      <c r="L2299" s="209" t="s">
        <v>792</v>
      </c>
      <c r="M2299" s="207">
        <f>ROUND(K2299*I2299/10000,6)</f>
        <v>0</v>
      </c>
      <c r="N2299" s="198">
        <f>'02 项目基础信息（输入）'!$C$66</f>
        <v>815</v>
      </c>
      <c r="O2299" s="198">
        <f t="shared" si="260"/>
        <v>0</v>
      </c>
      <c r="P2299" s="198">
        <f>'02 项目基础信息（输入）'!$I$66</f>
        <v>815</v>
      </c>
      <c r="Q2299" s="233">
        <f t="shared" si="261"/>
        <v>0</v>
      </c>
      <c r="S2299" s="217"/>
      <c r="U2299" s="220" t="s">
        <v>4088</v>
      </c>
    </row>
    <row r="2300" spans="1:21" ht="20.25" hidden="1" customHeight="1" outlineLevel="3">
      <c r="A2300" s="192" t="s">
        <v>1837</v>
      </c>
      <c r="B2300" s="192"/>
      <c r="C2300" s="197" t="s">
        <v>472</v>
      </c>
      <c r="D2300" s="198">
        <f>'02 项目基础信息（输入）'!$AA$66</f>
        <v>2</v>
      </c>
      <c r="E2300" s="199" t="s">
        <v>1838</v>
      </c>
      <c r="F2300" s="197" t="s">
        <v>1839</v>
      </c>
      <c r="G2300" s="701" t="s">
        <v>717</v>
      </c>
      <c r="H2300" s="199" t="s">
        <v>1840</v>
      </c>
      <c r="I2300" s="198">
        <f>G2300*D2300</f>
        <v>0</v>
      </c>
      <c r="J2300" s="199" t="s">
        <v>131</v>
      </c>
      <c r="K2300" s="1244">
        <v>0</v>
      </c>
      <c r="L2300" s="209" t="s">
        <v>792</v>
      </c>
      <c r="M2300" s="207">
        <f>ROUND(K2300*I2300/10000,6)</f>
        <v>0</v>
      </c>
      <c r="N2300" s="198">
        <f>'02 项目基础信息（输入）'!$C$66</f>
        <v>815</v>
      </c>
      <c r="O2300" s="198">
        <f t="shared" si="260"/>
        <v>0</v>
      </c>
      <c r="P2300" s="198">
        <f>'02 项目基础信息（输入）'!$I$66</f>
        <v>815</v>
      </c>
      <c r="Q2300" s="233">
        <f t="shared" si="261"/>
        <v>0</v>
      </c>
      <c r="S2300" s="217"/>
      <c r="U2300" s="220" t="s">
        <v>4089</v>
      </c>
    </row>
    <row r="2301" spans="1:21" ht="20.25" hidden="1" customHeight="1" outlineLevel="3">
      <c r="A2301" s="192" t="s">
        <v>1842</v>
      </c>
      <c r="B2301" s="192"/>
      <c r="C2301" s="197" t="s">
        <v>309</v>
      </c>
      <c r="D2301" s="198">
        <f>'02 项目基础信息（输入）'!$AC$66</f>
        <v>1</v>
      </c>
      <c r="E2301" s="199" t="s">
        <v>310</v>
      </c>
      <c r="F2301" s="197" t="s">
        <v>1843</v>
      </c>
      <c r="G2301" s="701" t="s">
        <v>717</v>
      </c>
      <c r="H2301" s="199" t="s">
        <v>789</v>
      </c>
      <c r="I2301" s="198">
        <f>G2301*D2301</f>
        <v>0</v>
      </c>
      <c r="J2301" s="199" t="s">
        <v>131</v>
      </c>
      <c r="K2301" s="1244">
        <v>0</v>
      </c>
      <c r="L2301" s="209" t="s">
        <v>792</v>
      </c>
      <c r="M2301" s="207">
        <f>ROUND(K2301*I2301/10000,6)</f>
        <v>0</v>
      </c>
      <c r="N2301" s="198">
        <f>'02 项目基础信息（输入）'!$C$66</f>
        <v>815</v>
      </c>
      <c r="O2301" s="198">
        <f t="shared" si="260"/>
        <v>0</v>
      </c>
      <c r="P2301" s="198">
        <f>'02 项目基础信息（输入）'!$I$66</f>
        <v>815</v>
      </c>
      <c r="Q2301" s="233">
        <f t="shared" si="261"/>
        <v>0</v>
      </c>
      <c r="S2301" s="217"/>
      <c r="U2301" s="220" t="s">
        <v>4090</v>
      </c>
    </row>
    <row r="2302" spans="1:21" ht="20.25" customHeight="1" outlineLevel="2" collapsed="1">
      <c r="A2302" s="192" t="s">
        <v>1845</v>
      </c>
      <c r="B2302" s="192"/>
      <c r="C2302" s="197" t="s">
        <v>1609</v>
      </c>
      <c r="D2302" s="198">
        <f>'02 项目基础信息（输入）'!$C$66</f>
        <v>815</v>
      </c>
      <c r="E2302" s="199" t="s">
        <v>93</v>
      </c>
      <c r="F2302" s="197"/>
      <c r="G2302" s="199"/>
      <c r="H2302" s="199"/>
      <c r="I2302" s="197"/>
      <c r="J2302" s="199"/>
      <c r="K2302" s="198"/>
      <c r="L2302" s="209"/>
      <c r="M2302" s="198">
        <f>ROUND(M2303+M2312+M2321+M2322+M2323,6)</f>
        <v>0</v>
      </c>
      <c r="N2302" s="198">
        <f>'02 项目基础信息（输入）'!$C$66</f>
        <v>815</v>
      </c>
      <c r="O2302" s="198">
        <f t="shared" si="260"/>
        <v>0</v>
      </c>
      <c r="P2302" s="198">
        <f>'02 项目基础信息（输入）'!$I$66</f>
        <v>815</v>
      </c>
      <c r="Q2302" s="233">
        <f t="shared" si="261"/>
        <v>0</v>
      </c>
      <c r="S2302" s="217" t="s">
        <v>1314</v>
      </c>
      <c r="U2302" s="220" t="s">
        <v>4091</v>
      </c>
    </row>
    <row r="2303" spans="1:21" ht="20.25" hidden="1" customHeight="1" outlineLevel="3">
      <c r="A2303" s="192" t="s">
        <v>2117</v>
      </c>
      <c r="B2303" s="192"/>
      <c r="C2303" s="197"/>
      <c r="D2303" s="197">
        <v>0</v>
      </c>
      <c r="E2303" s="199"/>
      <c r="F2303" s="197"/>
      <c r="G2303" s="199"/>
      <c r="H2303" s="199"/>
      <c r="I2303" s="197">
        <v>0</v>
      </c>
      <c r="J2303" s="199"/>
      <c r="K2303" s="198"/>
      <c r="L2303" s="209"/>
      <c r="M2303" s="198">
        <f>ROUND(SUM(M2304:M2311),6)</f>
        <v>0</v>
      </c>
      <c r="N2303" s="198">
        <f>'02 项目基础信息（输入）'!$C$66</f>
        <v>815</v>
      </c>
      <c r="O2303" s="198">
        <f t="shared" si="260"/>
        <v>0</v>
      </c>
      <c r="P2303" s="198">
        <f>'02 项目基础信息（输入）'!$I$66</f>
        <v>815</v>
      </c>
      <c r="Q2303" s="233">
        <f t="shared" si="261"/>
        <v>0</v>
      </c>
      <c r="S2303" s="217"/>
      <c r="U2303" s="220" t="s">
        <v>4092</v>
      </c>
    </row>
    <row r="2304" spans="1:21" ht="20.25" hidden="1" customHeight="1" outlineLevel="4">
      <c r="A2304" s="192" t="s">
        <v>1849</v>
      </c>
      <c r="B2304" s="192"/>
      <c r="C2304" s="197" t="s">
        <v>1850</v>
      </c>
      <c r="D2304" s="198">
        <f>'02 项目基础信息（输入）'!$N$66</f>
        <v>0</v>
      </c>
      <c r="E2304" s="199" t="s">
        <v>411</v>
      </c>
      <c r="F2304" s="197" t="s">
        <v>460</v>
      </c>
      <c r="G2304" s="235">
        <f>'02 项目基础信息（输入）'!$O$66</f>
        <v>0</v>
      </c>
      <c r="H2304" s="199" t="s">
        <v>400</v>
      </c>
      <c r="I2304" s="198">
        <f t="shared" ref="I2304:I2311" si="266">G2304*D2304</f>
        <v>0</v>
      </c>
      <c r="J2304" s="199" t="s">
        <v>93</v>
      </c>
      <c r="K2304" s="1244">
        <v>0</v>
      </c>
      <c r="L2304" s="209" t="s">
        <v>675</v>
      </c>
      <c r="M2304" s="207">
        <f t="shared" ref="M2304:M2311" si="267">ROUND(K2304*I2304/10000,6)</f>
        <v>0</v>
      </c>
      <c r="N2304" s="198">
        <f>'02 项目基础信息（输入）'!$C$66</f>
        <v>815</v>
      </c>
      <c r="O2304" s="198">
        <f t="shared" si="260"/>
        <v>0</v>
      </c>
      <c r="P2304" s="198">
        <f>'02 项目基础信息（输入）'!$I$66</f>
        <v>815</v>
      </c>
      <c r="Q2304" s="233">
        <f t="shared" si="261"/>
        <v>0</v>
      </c>
      <c r="S2304" s="217"/>
      <c r="U2304" s="220" t="s">
        <v>4093</v>
      </c>
    </row>
    <row r="2305" spans="1:21" ht="20.25" hidden="1" customHeight="1" outlineLevel="4">
      <c r="A2305" s="192" t="s">
        <v>1852</v>
      </c>
      <c r="B2305" s="192"/>
      <c r="C2305" s="197" t="s">
        <v>1850</v>
      </c>
      <c r="D2305" s="198">
        <f>'02 项目基础信息（输入）'!$N$66</f>
        <v>0</v>
      </c>
      <c r="E2305" s="199" t="s">
        <v>411</v>
      </c>
      <c r="F2305" s="197" t="s">
        <v>460</v>
      </c>
      <c r="G2305" s="235">
        <f>'02 项目基础信息（输入）'!$O$66</f>
        <v>0</v>
      </c>
      <c r="H2305" s="199" t="s">
        <v>400</v>
      </c>
      <c r="I2305" s="198">
        <f t="shared" si="266"/>
        <v>0</v>
      </c>
      <c r="J2305" s="199" t="s">
        <v>93</v>
      </c>
      <c r="K2305" s="1244">
        <v>0</v>
      </c>
      <c r="L2305" s="209" t="s">
        <v>675</v>
      </c>
      <c r="M2305" s="207">
        <f t="shared" si="267"/>
        <v>0</v>
      </c>
      <c r="N2305" s="198">
        <f>'02 项目基础信息（输入）'!$C$66</f>
        <v>815</v>
      </c>
      <c r="O2305" s="198">
        <f t="shared" si="260"/>
        <v>0</v>
      </c>
      <c r="P2305" s="198">
        <f>'02 项目基础信息（输入）'!$I$66</f>
        <v>815</v>
      </c>
      <c r="Q2305" s="233">
        <f t="shared" si="261"/>
        <v>0</v>
      </c>
      <c r="S2305" s="217"/>
      <c r="U2305" s="220" t="s">
        <v>4094</v>
      </c>
    </row>
    <row r="2306" spans="1:21" ht="20.25" hidden="1" customHeight="1" outlineLevel="4">
      <c r="A2306" s="192" t="s">
        <v>1854</v>
      </c>
      <c r="B2306" s="192"/>
      <c r="C2306" s="197" t="s">
        <v>1850</v>
      </c>
      <c r="D2306" s="198">
        <f>'02 项目基础信息（输入）'!$N$66</f>
        <v>0</v>
      </c>
      <c r="E2306" s="199" t="s">
        <v>411</v>
      </c>
      <c r="F2306" s="197" t="s">
        <v>460</v>
      </c>
      <c r="G2306" s="235">
        <f>'02 项目基础信息（输入）'!$O$66</f>
        <v>0</v>
      </c>
      <c r="H2306" s="199" t="s">
        <v>400</v>
      </c>
      <c r="I2306" s="198">
        <f t="shared" si="266"/>
        <v>0</v>
      </c>
      <c r="J2306" s="199" t="s">
        <v>93</v>
      </c>
      <c r="K2306" s="1244">
        <v>0</v>
      </c>
      <c r="L2306" s="209" t="s">
        <v>675</v>
      </c>
      <c r="M2306" s="207">
        <f t="shared" si="267"/>
        <v>0</v>
      </c>
      <c r="N2306" s="198">
        <f>'02 项目基础信息（输入）'!$C$66</f>
        <v>815</v>
      </c>
      <c r="O2306" s="198">
        <f t="shared" si="260"/>
        <v>0</v>
      </c>
      <c r="P2306" s="198">
        <f>'02 项目基础信息（输入）'!$I$66</f>
        <v>815</v>
      </c>
      <c r="Q2306" s="233">
        <f t="shared" si="261"/>
        <v>0</v>
      </c>
      <c r="S2306" s="217"/>
      <c r="U2306" s="220" t="s">
        <v>4095</v>
      </c>
    </row>
    <row r="2307" spans="1:21" ht="20.25" hidden="1" customHeight="1" outlineLevel="4">
      <c r="A2307" s="192" t="s">
        <v>1856</v>
      </c>
      <c r="B2307" s="192"/>
      <c r="C2307" s="197" t="s">
        <v>1850</v>
      </c>
      <c r="D2307" s="198">
        <f>'02 项目基础信息（输入）'!$N$66</f>
        <v>0</v>
      </c>
      <c r="E2307" s="199" t="s">
        <v>411</v>
      </c>
      <c r="F2307" s="197" t="s">
        <v>460</v>
      </c>
      <c r="G2307" s="235">
        <f>'02 项目基础信息（输入）'!$O$66</f>
        <v>0</v>
      </c>
      <c r="H2307" s="199" t="s">
        <v>400</v>
      </c>
      <c r="I2307" s="198">
        <f t="shared" si="266"/>
        <v>0</v>
      </c>
      <c r="J2307" s="199" t="s">
        <v>93</v>
      </c>
      <c r="K2307" s="1244">
        <v>0</v>
      </c>
      <c r="L2307" s="209" t="s">
        <v>675</v>
      </c>
      <c r="M2307" s="207">
        <f t="shared" si="267"/>
        <v>0</v>
      </c>
      <c r="N2307" s="198">
        <f>'02 项目基础信息（输入）'!$C$66</f>
        <v>815</v>
      </c>
      <c r="O2307" s="198">
        <f t="shared" ref="O2307:O2370" si="268">ROUND(IFERROR(M2307*10000/N2307,0),2)</f>
        <v>0</v>
      </c>
      <c r="P2307" s="198">
        <f>'02 项目基础信息（输入）'!$I$66</f>
        <v>815</v>
      </c>
      <c r="Q2307" s="233">
        <f t="shared" ref="Q2307:Q2370" si="269">ROUND(IFERROR(M2307*10000/P2307,0),2)</f>
        <v>0</v>
      </c>
      <c r="S2307" s="217"/>
      <c r="U2307" s="220" t="s">
        <v>4096</v>
      </c>
    </row>
    <row r="2308" spans="1:21" ht="20.25" hidden="1" customHeight="1" outlineLevel="4">
      <c r="A2308" s="192" t="s">
        <v>1858</v>
      </c>
      <c r="B2308" s="192"/>
      <c r="C2308" s="197" t="s">
        <v>1850</v>
      </c>
      <c r="D2308" s="198">
        <f>'02 项目基础信息（输入）'!$N$66</f>
        <v>0</v>
      </c>
      <c r="E2308" s="199" t="s">
        <v>411</v>
      </c>
      <c r="F2308" s="197" t="s">
        <v>460</v>
      </c>
      <c r="G2308" s="235">
        <f>'02 项目基础信息（输入）'!$O$66</f>
        <v>0</v>
      </c>
      <c r="H2308" s="199" t="s">
        <v>400</v>
      </c>
      <c r="I2308" s="198">
        <f t="shared" si="266"/>
        <v>0</v>
      </c>
      <c r="J2308" s="199" t="s">
        <v>93</v>
      </c>
      <c r="K2308" s="1244">
        <v>0</v>
      </c>
      <c r="L2308" s="209" t="s">
        <v>675</v>
      </c>
      <c r="M2308" s="207">
        <f t="shared" si="267"/>
        <v>0</v>
      </c>
      <c r="N2308" s="198">
        <f>'02 项目基础信息（输入）'!$C$66</f>
        <v>815</v>
      </c>
      <c r="O2308" s="198">
        <f t="shared" si="268"/>
        <v>0</v>
      </c>
      <c r="P2308" s="198">
        <f>'02 项目基础信息（输入）'!$I$66</f>
        <v>815</v>
      </c>
      <c r="Q2308" s="233">
        <f t="shared" si="269"/>
        <v>0</v>
      </c>
      <c r="S2308" s="217"/>
      <c r="U2308" s="220" t="s">
        <v>4097</v>
      </c>
    </row>
    <row r="2309" spans="1:21" ht="20.25" hidden="1" customHeight="1" outlineLevel="4">
      <c r="A2309" s="192" t="s">
        <v>1860</v>
      </c>
      <c r="B2309" s="192"/>
      <c r="C2309" s="197" t="s">
        <v>1850</v>
      </c>
      <c r="D2309" s="198">
        <f>'02 项目基础信息（输入）'!$N$66</f>
        <v>0</v>
      </c>
      <c r="E2309" s="199" t="s">
        <v>411</v>
      </c>
      <c r="F2309" s="197" t="s">
        <v>460</v>
      </c>
      <c r="G2309" s="235">
        <f>'02 项目基础信息（输入）'!$O$66</f>
        <v>0</v>
      </c>
      <c r="H2309" s="199" t="s">
        <v>400</v>
      </c>
      <c r="I2309" s="198">
        <f t="shared" si="266"/>
        <v>0</v>
      </c>
      <c r="J2309" s="199" t="s">
        <v>93</v>
      </c>
      <c r="K2309" s="1244">
        <v>0</v>
      </c>
      <c r="L2309" s="209" t="s">
        <v>675</v>
      </c>
      <c r="M2309" s="207">
        <f t="shared" si="267"/>
        <v>0</v>
      </c>
      <c r="N2309" s="198">
        <f>'02 项目基础信息（输入）'!$C$66</f>
        <v>815</v>
      </c>
      <c r="O2309" s="198">
        <f t="shared" si="268"/>
        <v>0</v>
      </c>
      <c r="P2309" s="198">
        <f>'02 项目基础信息（输入）'!$I$66</f>
        <v>815</v>
      </c>
      <c r="Q2309" s="233">
        <f t="shared" si="269"/>
        <v>0</v>
      </c>
      <c r="S2309" s="217"/>
      <c r="U2309" s="220" t="s">
        <v>4098</v>
      </c>
    </row>
    <row r="2310" spans="1:21" ht="20.25" hidden="1" customHeight="1" outlineLevel="4">
      <c r="A2310" s="192" t="s">
        <v>1862</v>
      </c>
      <c r="B2310" s="192"/>
      <c r="C2310" s="197" t="s">
        <v>1850</v>
      </c>
      <c r="D2310" s="198">
        <f>'02 项目基础信息（输入）'!$N$66</f>
        <v>0</v>
      </c>
      <c r="E2310" s="199" t="s">
        <v>411</v>
      </c>
      <c r="F2310" s="197" t="s">
        <v>460</v>
      </c>
      <c r="G2310" s="235">
        <f>'02 项目基础信息（输入）'!$O$66</f>
        <v>0</v>
      </c>
      <c r="H2310" s="199" t="s">
        <v>400</v>
      </c>
      <c r="I2310" s="198">
        <f t="shared" si="266"/>
        <v>0</v>
      </c>
      <c r="J2310" s="199" t="s">
        <v>93</v>
      </c>
      <c r="K2310" s="1244">
        <v>0</v>
      </c>
      <c r="L2310" s="209" t="s">
        <v>675</v>
      </c>
      <c r="M2310" s="207">
        <f t="shared" si="267"/>
        <v>0</v>
      </c>
      <c r="N2310" s="198">
        <f>'02 项目基础信息（输入）'!$C$66</f>
        <v>815</v>
      </c>
      <c r="O2310" s="198">
        <f t="shared" si="268"/>
        <v>0</v>
      </c>
      <c r="P2310" s="198">
        <f>'02 项目基础信息（输入）'!$I$66</f>
        <v>815</v>
      </c>
      <c r="Q2310" s="233">
        <f t="shared" si="269"/>
        <v>0</v>
      </c>
      <c r="S2310" s="217"/>
      <c r="U2310" s="220" t="s">
        <v>4099</v>
      </c>
    </row>
    <row r="2311" spans="1:21" ht="20.25" hidden="1" customHeight="1" outlineLevel="4">
      <c r="A2311" s="192" t="s">
        <v>1864</v>
      </c>
      <c r="B2311" s="192"/>
      <c r="C2311" s="197" t="s">
        <v>1850</v>
      </c>
      <c r="D2311" s="198">
        <f>'02 项目基础信息（输入）'!$N$66</f>
        <v>0</v>
      </c>
      <c r="E2311" s="199" t="s">
        <v>411</v>
      </c>
      <c r="F2311" s="197" t="s">
        <v>460</v>
      </c>
      <c r="G2311" s="235">
        <f>'02 项目基础信息（输入）'!$O$66</f>
        <v>0</v>
      </c>
      <c r="H2311" s="199" t="s">
        <v>400</v>
      </c>
      <c r="I2311" s="198">
        <f t="shared" si="266"/>
        <v>0</v>
      </c>
      <c r="J2311" s="199" t="s">
        <v>93</v>
      </c>
      <c r="K2311" s="1244">
        <v>0</v>
      </c>
      <c r="L2311" s="209" t="s">
        <v>675</v>
      </c>
      <c r="M2311" s="207">
        <f t="shared" si="267"/>
        <v>0</v>
      </c>
      <c r="N2311" s="198">
        <f>'02 项目基础信息（输入）'!$C$66</f>
        <v>815</v>
      </c>
      <c r="O2311" s="198">
        <f t="shared" si="268"/>
        <v>0</v>
      </c>
      <c r="P2311" s="198">
        <f>'02 项目基础信息（输入）'!$I$66</f>
        <v>815</v>
      </c>
      <c r="Q2311" s="233">
        <f t="shared" si="269"/>
        <v>0</v>
      </c>
      <c r="S2311" s="217"/>
      <c r="U2311" s="220" t="s">
        <v>4100</v>
      </c>
    </row>
    <row r="2312" spans="1:21" ht="20.25" hidden="1" customHeight="1" outlineLevel="3">
      <c r="A2312" s="192" t="s">
        <v>2127</v>
      </c>
      <c r="B2312" s="192"/>
      <c r="C2312" s="197"/>
      <c r="D2312" s="197">
        <v>0</v>
      </c>
      <c r="E2312" s="199"/>
      <c r="F2312" s="197"/>
      <c r="G2312" s="199"/>
      <c r="H2312" s="199"/>
      <c r="I2312" s="197">
        <v>0</v>
      </c>
      <c r="J2312" s="199"/>
      <c r="K2312" s="198"/>
      <c r="L2312" s="209"/>
      <c r="M2312" s="198">
        <f>ROUND(SUM(M2313:M2320),6)</f>
        <v>0</v>
      </c>
      <c r="N2312" s="198">
        <f>'02 项目基础信息（输入）'!$C$66</f>
        <v>815</v>
      </c>
      <c r="O2312" s="198">
        <f t="shared" si="268"/>
        <v>0</v>
      </c>
      <c r="P2312" s="198">
        <f>'02 项目基础信息（输入）'!$I$66</f>
        <v>815</v>
      </c>
      <c r="Q2312" s="233">
        <f t="shared" si="269"/>
        <v>0</v>
      </c>
      <c r="S2312" s="217"/>
      <c r="U2312" s="220" t="s">
        <v>4101</v>
      </c>
    </row>
    <row r="2313" spans="1:21" ht="20.25" hidden="1" customHeight="1" outlineLevel="4">
      <c r="A2313" s="192" t="s">
        <v>2129</v>
      </c>
      <c r="B2313" s="192"/>
      <c r="C2313" s="197" t="s">
        <v>2130</v>
      </c>
      <c r="D2313" s="198">
        <f>'02 项目基础信息（输入）'!$K$66</f>
        <v>0</v>
      </c>
      <c r="E2313" s="199" t="s">
        <v>411</v>
      </c>
      <c r="F2313" s="197" t="s">
        <v>457</v>
      </c>
      <c r="G2313" s="235">
        <f>'02 项目基础信息（输入）'!$L$66</f>
        <v>0</v>
      </c>
      <c r="H2313" s="199" t="s">
        <v>400</v>
      </c>
      <c r="I2313" s="198">
        <f t="shared" ref="I2313:I2323" si="270">G2313*D2313</f>
        <v>0</v>
      </c>
      <c r="J2313" s="199" t="s">
        <v>93</v>
      </c>
      <c r="K2313" s="1244">
        <v>0</v>
      </c>
      <c r="L2313" s="209" t="s">
        <v>675</v>
      </c>
      <c r="M2313" s="198">
        <f t="shared" ref="M2313:M2323" si="271">ROUND(K2313*I2313/10000,6)</f>
        <v>0</v>
      </c>
      <c r="N2313" s="198">
        <f>'02 项目基础信息（输入）'!$C$66</f>
        <v>815</v>
      </c>
      <c r="O2313" s="198">
        <f t="shared" si="268"/>
        <v>0</v>
      </c>
      <c r="P2313" s="198">
        <f>'02 项目基础信息（输入）'!$I$66</f>
        <v>815</v>
      </c>
      <c r="Q2313" s="233">
        <f t="shared" si="269"/>
        <v>0</v>
      </c>
      <c r="S2313" s="217"/>
      <c r="U2313" s="220" t="s">
        <v>4102</v>
      </c>
    </row>
    <row r="2314" spans="1:21" ht="20.25" hidden="1" customHeight="1" outlineLevel="4">
      <c r="A2314" s="192" t="s">
        <v>2132</v>
      </c>
      <c r="B2314" s="192"/>
      <c r="C2314" s="197" t="s">
        <v>2130</v>
      </c>
      <c r="D2314" s="198">
        <f>'02 项目基础信息（输入）'!$K$66</f>
        <v>0</v>
      </c>
      <c r="E2314" s="199" t="s">
        <v>411</v>
      </c>
      <c r="F2314" s="197" t="s">
        <v>457</v>
      </c>
      <c r="G2314" s="235">
        <f>'02 项目基础信息（输入）'!$L$66</f>
        <v>0</v>
      </c>
      <c r="H2314" s="199" t="s">
        <v>400</v>
      </c>
      <c r="I2314" s="198">
        <f t="shared" si="270"/>
        <v>0</v>
      </c>
      <c r="J2314" s="199" t="s">
        <v>93</v>
      </c>
      <c r="K2314" s="1244">
        <v>0</v>
      </c>
      <c r="L2314" s="209" t="s">
        <v>675</v>
      </c>
      <c r="M2314" s="198">
        <f t="shared" si="271"/>
        <v>0</v>
      </c>
      <c r="N2314" s="198">
        <f>'02 项目基础信息（输入）'!$C$66</f>
        <v>815</v>
      </c>
      <c r="O2314" s="198">
        <f t="shared" si="268"/>
        <v>0</v>
      </c>
      <c r="P2314" s="198">
        <f>'02 项目基础信息（输入）'!$I$66</f>
        <v>815</v>
      </c>
      <c r="Q2314" s="233">
        <f t="shared" si="269"/>
        <v>0</v>
      </c>
      <c r="S2314" s="217"/>
      <c r="U2314" s="220" t="s">
        <v>4103</v>
      </c>
    </row>
    <row r="2315" spans="1:21" ht="20.25" hidden="1" customHeight="1" outlineLevel="4">
      <c r="A2315" s="192" t="s">
        <v>2134</v>
      </c>
      <c r="B2315" s="192"/>
      <c r="C2315" s="197" t="s">
        <v>2130</v>
      </c>
      <c r="D2315" s="198">
        <f>'02 项目基础信息（输入）'!$K$66</f>
        <v>0</v>
      </c>
      <c r="E2315" s="199" t="s">
        <v>411</v>
      </c>
      <c r="F2315" s="197" t="s">
        <v>457</v>
      </c>
      <c r="G2315" s="235">
        <f>'02 项目基础信息（输入）'!$L$66</f>
        <v>0</v>
      </c>
      <c r="H2315" s="199" t="s">
        <v>400</v>
      </c>
      <c r="I2315" s="198">
        <f t="shared" si="270"/>
        <v>0</v>
      </c>
      <c r="J2315" s="199" t="s">
        <v>93</v>
      </c>
      <c r="K2315" s="1244">
        <v>0</v>
      </c>
      <c r="L2315" s="209" t="s">
        <v>675</v>
      </c>
      <c r="M2315" s="198">
        <f t="shared" si="271"/>
        <v>0</v>
      </c>
      <c r="N2315" s="198">
        <f>'02 项目基础信息（输入）'!$C$66</f>
        <v>815</v>
      </c>
      <c r="O2315" s="198">
        <f t="shared" si="268"/>
        <v>0</v>
      </c>
      <c r="P2315" s="198">
        <f>'02 项目基础信息（输入）'!$I$66</f>
        <v>815</v>
      </c>
      <c r="Q2315" s="233">
        <f t="shared" si="269"/>
        <v>0</v>
      </c>
      <c r="S2315" s="217"/>
      <c r="U2315" s="220" t="s">
        <v>4104</v>
      </c>
    </row>
    <row r="2316" spans="1:21" ht="20.25" hidden="1" customHeight="1" outlineLevel="4">
      <c r="A2316" s="192" t="s">
        <v>2136</v>
      </c>
      <c r="B2316" s="192"/>
      <c r="C2316" s="197" t="s">
        <v>2130</v>
      </c>
      <c r="D2316" s="198">
        <f>'02 项目基础信息（输入）'!$K$66</f>
        <v>0</v>
      </c>
      <c r="E2316" s="199" t="s">
        <v>411</v>
      </c>
      <c r="F2316" s="197" t="s">
        <v>457</v>
      </c>
      <c r="G2316" s="235">
        <f>'02 项目基础信息（输入）'!$L$66</f>
        <v>0</v>
      </c>
      <c r="H2316" s="199" t="s">
        <v>400</v>
      </c>
      <c r="I2316" s="198">
        <f t="shared" si="270"/>
        <v>0</v>
      </c>
      <c r="J2316" s="199" t="s">
        <v>93</v>
      </c>
      <c r="K2316" s="1244">
        <v>0</v>
      </c>
      <c r="L2316" s="209" t="s">
        <v>675</v>
      </c>
      <c r="M2316" s="198">
        <f t="shared" si="271"/>
        <v>0</v>
      </c>
      <c r="N2316" s="198">
        <f>'02 项目基础信息（输入）'!$C$66</f>
        <v>815</v>
      </c>
      <c r="O2316" s="198">
        <f t="shared" si="268"/>
        <v>0</v>
      </c>
      <c r="P2316" s="198">
        <f>'02 项目基础信息（输入）'!$I$66</f>
        <v>815</v>
      </c>
      <c r="Q2316" s="233">
        <f t="shared" si="269"/>
        <v>0</v>
      </c>
      <c r="S2316" s="217"/>
      <c r="U2316" s="220" t="s">
        <v>4105</v>
      </c>
    </row>
    <row r="2317" spans="1:21" ht="20.25" hidden="1" customHeight="1" outlineLevel="4">
      <c r="A2317" s="192" t="s">
        <v>2138</v>
      </c>
      <c r="B2317" s="192"/>
      <c r="C2317" s="197" t="s">
        <v>2130</v>
      </c>
      <c r="D2317" s="198">
        <f>'02 项目基础信息（输入）'!$K$66</f>
        <v>0</v>
      </c>
      <c r="E2317" s="199" t="s">
        <v>411</v>
      </c>
      <c r="F2317" s="197" t="s">
        <v>457</v>
      </c>
      <c r="G2317" s="235">
        <f>'02 项目基础信息（输入）'!$L$66</f>
        <v>0</v>
      </c>
      <c r="H2317" s="199" t="s">
        <v>400</v>
      </c>
      <c r="I2317" s="198">
        <f t="shared" si="270"/>
        <v>0</v>
      </c>
      <c r="J2317" s="199" t="s">
        <v>93</v>
      </c>
      <c r="K2317" s="1244">
        <v>0</v>
      </c>
      <c r="L2317" s="209" t="s">
        <v>675</v>
      </c>
      <c r="M2317" s="198">
        <f t="shared" si="271"/>
        <v>0</v>
      </c>
      <c r="N2317" s="198">
        <f>'02 项目基础信息（输入）'!$C$66</f>
        <v>815</v>
      </c>
      <c r="O2317" s="198">
        <f t="shared" si="268"/>
        <v>0</v>
      </c>
      <c r="P2317" s="198">
        <f>'02 项目基础信息（输入）'!$I$66</f>
        <v>815</v>
      </c>
      <c r="Q2317" s="233">
        <f t="shared" si="269"/>
        <v>0</v>
      </c>
      <c r="S2317" s="217"/>
      <c r="U2317" s="220" t="s">
        <v>4106</v>
      </c>
    </row>
    <row r="2318" spans="1:21" ht="20.25" hidden="1" customHeight="1" outlineLevel="4">
      <c r="A2318" s="192" t="s">
        <v>2140</v>
      </c>
      <c r="B2318" s="192"/>
      <c r="C2318" s="197" t="s">
        <v>2130</v>
      </c>
      <c r="D2318" s="198">
        <f>'02 项目基础信息（输入）'!$K$66</f>
        <v>0</v>
      </c>
      <c r="E2318" s="199" t="s">
        <v>411</v>
      </c>
      <c r="F2318" s="197" t="s">
        <v>457</v>
      </c>
      <c r="G2318" s="235">
        <f>'02 项目基础信息（输入）'!$L$66</f>
        <v>0</v>
      </c>
      <c r="H2318" s="199" t="s">
        <v>400</v>
      </c>
      <c r="I2318" s="198">
        <f t="shared" si="270"/>
        <v>0</v>
      </c>
      <c r="J2318" s="199" t="s">
        <v>93</v>
      </c>
      <c r="K2318" s="1244">
        <v>0</v>
      </c>
      <c r="L2318" s="209" t="s">
        <v>675</v>
      </c>
      <c r="M2318" s="198">
        <f t="shared" si="271"/>
        <v>0</v>
      </c>
      <c r="N2318" s="198">
        <f>'02 项目基础信息（输入）'!$C$66</f>
        <v>815</v>
      </c>
      <c r="O2318" s="198">
        <f t="shared" si="268"/>
        <v>0</v>
      </c>
      <c r="P2318" s="198">
        <f>'02 项目基础信息（输入）'!$I$66</f>
        <v>815</v>
      </c>
      <c r="Q2318" s="233">
        <f t="shared" si="269"/>
        <v>0</v>
      </c>
      <c r="S2318" s="217"/>
      <c r="U2318" s="220" t="s">
        <v>4107</v>
      </c>
    </row>
    <row r="2319" spans="1:21" ht="20.25" hidden="1" customHeight="1" outlineLevel="4">
      <c r="A2319" s="192" t="s">
        <v>2142</v>
      </c>
      <c r="B2319" s="192"/>
      <c r="C2319" s="197" t="s">
        <v>2130</v>
      </c>
      <c r="D2319" s="198">
        <f>'02 项目基础信息（输入）'!$K$66</f>
        <v>0</v>
      </c>
      <c r="E2319" s="199" t="s">
        <v>411</v>
      </c>
      <c r="F2319" s="197" t="s">
        <v>457</v>
      </c>
      <c r="G2319" s="235">
        <f>'02 项目基础信息（输入）'!$L$66</f>
        <v>0</v>
      </c>
      <c r="H2319" s="199" t="s">
        <v>400</v>
      </c>
      <c r="I2319" s="198">
        <f t="shared" si="270"/>
        <v>0</v>
      </c>
      <c r="J2319" s="199" t="s">
        <v>93</v>
      </c>
      <c r="K2319" s="1244">
        <v>0</v>
      </c>
      <c r="L2319" s="209" t="s">
        <v>675</v>
      </c>
      <c r="M2319" s="198">
        <f t="shared" si="271"/>
        <v>0</v>
      </c>
      <c r="N2319" s="198">
        <f>'02 项目基础信息（输入）'!$C$66</f>
        <v>815</v>
      </c>
      <c r="O2319" s="198">
        <f t="shared" si="268"/>
        <v>0</v>
      </c>
      <c r="P2319" s="198">
        <f>'02 项目基础信息（输入）'!$I$66</f>
        <v>815</v>
      </c>
      <c r="Q2319" s="233">
        <f t="shared" si="269"/>
        <v>0</v>
      </c>
      <c r="S2319" s="217"/>
      <c r="U2319" s="220" t="s">
        <v>4108</v>
      </c>
    </row>
    <row r="2320" spans="1:21" ht="20.25" hidden="1" customHeight="1" outlineLevel="4">
      <c r="A2320" s="192" t="s">
        <v>2144</v>
      </c>
      <c r="B2320" s="192"/>
      <c r="C2320" s="197" t="s">
        <v>2130</v>
      </c>
      <c r="D2320" s="198">
        <f>'02 项目基础信息（输入）'!$K$66</f>
        <v>0</v>
      </c>
      <c r="E2320" s="199" t="s">
        <v>411</v>
      </c>
      <c r="F2320" s="197" t="s">
        <v>457</v>
      </c>
      <c r="G2320" s="235">
        <f>'02 项目基础信息（输入）'!$L$66</f>
        <v>0</v>
      </c>
      <c r="H2320" s="199" t="s">
        <v>400</v>
      </c>
      <c r="I2320" s="198">
        <f t="shared" si="270"/>
        <v>0</v>
      </c>
      <c r="J2320" s="199" t="s">
        <v>93</v>
      </c>
      <c r="K2320" s="1244">
        <v>0</v>
      </c>
      <c r="L2320" s="209" t="s">
        <v>675</v>
      </c>
      <c r="M2320" s="198">
        <f t="shared" si="271"/>
        <v>0</v>
      </c>
      <c r="N2320" s="198">
        <f>'02 项目基础信息（输入）'!$C$66</f>
        <v>815</v>
      </c>
      <c r="O2320" s="198">
        <f t="shared" si="268"/>
        <v>0</v>
      </c>
      <c r="P2320" s="198">
        <f>'02 项目基础信息（输入）'!$I$66</f>
        <v>815</v>
      </c>
      <c r="Q2320" s="233">
        <f t="shared" si="269"/>
        <v>0</v>
      </c>
      <c r="S2320" s="217"/>
      <c r="U2320" s="220" t="s">
        <v>4109</v>
      </c>
    </row>
    <row r="2321" spans="1:21" ht="20.25" hidden="1" customHeight="1" outlineLevel="3">
      <c r="A2321" s="192" t="s">
        <v>2146</v>
      </c>
      <c r="B2321" s="192"/>
      <c r="C2321" s="197" t="s">
        <v>455</v>
      </c>
      <c r="D2321" s="198">
        <f>'02 项目基础信息（输入）'!$J$66</f>
        <v>1</v>
      </c>
      <c r="E2321" s="199" t="s">
        <v>400</v>
      </c>
      <c r="F2321" s="197" t="s">
        <v>455</v>
      </c>
      <c r="G2321" s="199">
        <v>1</v>
      </c>
      <c r="H2321" s="199" t="s">
        <v>1748</v>
      </c>
      <c r="I2321" s="198">
        <f t="shared" si="270"/>
        <v>1</v>
      </c>
      <c r="J2321" s="199" t="s">
        <v>400</v>
      </c>
      <c r="K2321" s="1244">
        <v>0</v>
      </c>
      <c r="L2321" s="209" t="s">
        <v>1749</v>
      </c>
      <c r="M2321" s="198">
        <f t="shared" si="271"/>
        <v>0</v>
      </c>
      <c r="N2321" s="198">
        <f>'02 项目基础信息（输入）'!$C$66</f>
        <v>815</v>
      </c>
      <c r="O2321" s="198">
        <f t="shared" si="268"/>
        <v>0</v>
      </c>
      <c r="P2321" s="198">
        <f>'02 项目基础信息（输入）'!$I$66</f>
        <v>815</v>
      </c>
      <c r="Q2321" s="233">
        <f t="shared" si="269"/>
        <v>0</v>
      </c>
      <c r="S2321" s="217"/>
      <c r="U2321" s="220" t="s">
        <v>4110</v>
      </c>
    </row>
    <row r="2322" spans="1:21" ht="20.25" hidden="1" customHeight="1" outlineLevel="3">
      <c r="A2322" s="192" t="s">
        <v>2148</v>
      </c>
      <c r="B2322" s="192"/>
      <c r="C2322" s="197" t="s">
        <v>309</v>
      </c>
      <c r="D2322" s="198">
        <f>'02 项目基础信息（输入）'!$AC$66</f>
        <v>1</v>
      </c>
      <c r="E2322" s="199" t="s">
        <v>310</v>
      </c>
      <c r="F2322" s="197" t="s">
        <v>2149</v>
      </c>
      <c r="G2322" s="199">
        <v>1</v>
      </c>
      <c r="H2322" s="199" t="s">
        <v>2150</v>
      </c>
      <c r="I2322" s="198">
        <f t="shared" si="270"/>
        <v>1</v>
      </c>
      <c r="J2322" s="199" t="s">
        <v>400</v>
      </c>
      <c r="K2322" s="1244">
        <v>0</v>
      </c>
      <c r="L2322" s="209" t="s">
        <v>1749</v>
      </c>
      <c r="M2322" s="207">
        <f t="shared" si="271"/>
        <v>0</v>
      </c>
      <c r="N2322" s="198">
        <f>'02 项目基础信息（输入）'!$C$66</f>
        <v>815</v>
      </c>
      <c r="O2322" s="198">
        <f t="shared" si="268"/>
        <v>0</v>
      </c>
      <c r="P2322" s="198">
        <f>'02 项目基础信息（输入）'!$I$66</f>
        <v>815</v>
      </c>
      <c r="Q2322" s="233">
        <f t="shared" si="269"/>
        <v>0</v>
      </c>
      <c r="S2322" s="217"/>
      <c r="U2322" s="220" t="s">
        <v>4111</v>
      </c>
    </row>
    <row r="2323" spans="1:21" ht="20.25" hidden="1" customHeight="1" outlineLevel="3">
      <c r="A2323" s="192" t="s">
        <v>1868</v>
      </c>
      <c r="B2323" s="192"/>
      <c r="C2323" s="197" t="s">
        <v>1609</v>
      </c>
      <c r="D2323" s="198">
        <f>'02 项目基础信息（输入）'!$C$66</f>
        <v>815</v>
      </c>
      <c r="E2323" s="199" t="s">
        <v>93</v>
      </c>
      <c r="F2323" s="197" t="s">
        <v>1648</v>
      </c>
      <c r="G2323" s="701" t="s">
        <v>717</v>
      </c>
      <c r="H2323" s="199" t="s">
        <v>298</v>
      </c>
      <c r="I2323" s="198">
        <f t="shared" si="270"/>
        <v>0</v>
      </c>
      <c r="J2323" s="199" t="s">
        <v>93</v>
      </c>
      <c r="K2323" s="1244">
        <v>0</v>
      </c>
      <c r="L2323" s="209" t="s">
        <v>675</v>
      </c>
      <c r="M2323" s="207">
        <f t="shared" si="271"/>
        <v>0</v>
      </c>
      <c r="N2323" s="198">
        <f>'02 项目基础信息（输入）'!$C$66</f>
        <v>815</v>
      </c>
      <c r="O2323" s="198">
        <f t="shared" si="268"/>
        <v>0</v>
      </c>
      <c r="P2323" s="198">
        <f>'02 项目基础信息（输入）'!$I$66</f>
        <v>815</v>
      </c>
      <c r="Q2323" s="233">
        <f t="shared" si="269"/>
        <v>0</v>
      </c>
      <c r="S2323" s="217"/>
      <c r="U2323" s="220" t="s">
        <v>4112</v>
      </c>
    </row>
    <row r="2324" spans="1:21" ht="20.25" customHeight="1" outlineLevel="2" collapsed="1">
      <c r="A2324" s="192" t="s">
        <v>1870</v>
      </c>
      <c r="B2324" s="192"/>
      <c r="C2324" s="197" t="s">
        <v>1609</v>
      </c>
      <c r="D2324" s="198">
        <f>'02 项目基础信息（输入）'!$C$66</f>
        <v>815</v>
      </c>
      <c r="E2324" s="199" t="s">
        <v>93</v>
      </c>
      <c r="F2324" s="197"/>
      <c r="G2324" s="199"/>
      <c r="H2324" s="199"/>
      <c r="I2324" s="197"/>
      <c r="J2324" s="199"/>
      <c r="K2324" s="198"/>
      <c r="L2324" s="209"/>
      <c r="M2324" s="198">
        <f>ROUND(SUM(M2325),6)</f>
        <v>0</v>
      </c>
      <c r="N2324" s="198">
        <f>'02 项目基础信息（输入）'!$C$66</f>
        <v>815</v>
      </c>
      <c r="O2324" s="198">
        <f t="shared" si="268"/>
        <v>0</v>
      </c>
      <c r="P2324" s="198">
        <f>'02 项目基础信息（输入）'!$I$66</f>
        <v>815</v>
      </c>
      <c r="Q2324" s="233">
        <f t="shared" si="269"/>
        <v>0</v>
      </c>
      <c r="S2324" s="217" t="s">
        <v>1313</v>
      </c>
      <c r="U2324" s="220" t="s">
        <v>4113</v>
      </c>
    </row>
    <row r="2325" spans="1:21" ht="20.25" hidden="1" customHeight="1" outlineLevel="3">
      <c r="A2325" s="192" t="s">
        <v>1872</v>
      </c>
      <c r="B2325" s="192"/>
      <c r="C2325" s="197" t="s">
        <v>460</v>
      </c>
      <c r="D2325" s="198">
        <f>'02 项目基础信息（输入）'!$O$66</f>
        <v>0</v>
      </c>
      <c r="E2325" s="199" t="s">
        <v>400</v>
      </c>
      <c r="F2325" s="197" t="s">
        <v>460</v>
      </c>
      <c r="G2325" s="199">
        <v>1</v>
      </c>
      <c r="H2325" s="199" t="s">
        <v>1873</v>
      </c>
      <c r="I2325" s="198">
        <f>G2325*D2325</f>
        <v>0</v>
      </c>
      <c r="J2325" s="199" t="s">
        <v>1052</v>
      </c>
      <c r="K2325" s="699">
        <v>50000</v>
      </c>
      <c r="L2325" s="209" t="s">
        <v>746</v>
      </c>
      <c r="M2325" s="207">
        <f>ROUND(K2325*I2325/10000,6)</f>
        <v>0</v>
      </c>
      <c r="N2325" s="198">
        <f>'02 项目基础信息（输入）'!$C$66</f>
        <v>815</v>
      </c>
      <c r="O2325" s="198">
        <f t="shared" si="268"/>
        <v>0</v>
      </c>
      <c r="P2325" s="198">
        <f>'02 项目基础信息（输入）'!$I$66</f>
        <v>815</v>
      </c>
      <c r="Q2325" s="233">
        <f t="shared" si="269"/>
        <v>0</v>
      </c>
      <c r="S2325" s="217"/>
      <c r="U2325" s="220" t="s">
        <v>4114</v>
      </c>
    </row>
    <row r="2326" spans="1:21" ht="20.25" customHeight="1" outlineLevel="2" collapsed="1">
      <c r="A2326" s="192" t="s">
        <v>1875</v>
      </c>
      <c r="B2326" s="192"/>
      <c r="C2326" s="197" t="s">
        <v>1609</v>
      </c>
      <c r="D2326" s="198">
        <f>'02 项目基础信息（输入）'!$C$66</f>
        <v>815</v>
      </c>
      <c r="E2326" s="199" t="s">
        <v>93</v>
      </c>
      <c r="F2326" s="197"/>
      <c r="G2326" s="199"/>
      <c r="H2326" s="199"/>
      <c r="I2326" s="197"/>
      <c r="J2326" s="199"/>
      <c r="K2326" s="198"/>
      <c r="L2326" s="209"/>
      <c r="M2326" s="198">
        <f>ROUND(SUM(M2327:M2329),6)</f>
        <v>0</v>
      </c>
      <c r="N2326" s="198">
        <f>'02 项目基础信息（输入）'!$C$66</f>
        <v>815</v>
      </c>
      <c r="O2326" s="198">
        <f t="shared" si="268"/>
        <v>0</v>
      </c>
      <c r="P2326" s="198">
        <f>'02 项目基础信息（输入）'!$I$66</f>
        <v>815</v>
      </c>
      <c r="Q2326" s="233">
        <f t="shared" si="269"/>
        <v>0</v>
      </c>
      <c r="S2326" s="217" t="s">
        <v>1313</v>
      </c>
      <c r="U2326" s="220" t="s">
        <v>4115</v>
      </c>
    </row>
    <row r="2327" spans="1:21" ht="20.25" hidden="1" customHeight="1" outlineLevel="3">
      <c r="A2327" s="192" t="s">
        <v>1877</v>
      </c>
      <c r="B2327" s="192"/>
      <c r="C2327" s="197" t="s">
        <v>1609</v>
      </c>
      <c r="D2327" s="198">
        <f>'02 项目基础信息（输入）'!$C$66</f>
        <v>815</v>
      </c>
      <c r="E2327" s="199" t="s">
        <v>93</v>
      </c>
      <c r="F2327" s="197" t="s">
        <v>694</v>
      </c>
      <c r="G2327" s="701"/>
      <c r="H2327" s="199" t="s">
        <v>298</v>
      </c>
      <c r="I2327" s="198">
        <f>G2327*D2327</f>
        <v>0</v>
      </c>
      <c r="J2327" s="199" t="s">
        <v>93</v>
      </c>
      <c r="K2327" s="1244">
        <v>0</v>
      </c>
      <c r="L2327" s="209" t="s">
        <v>675</v>
      </c>
      <c r="M2327" s="207">
        <f>ROUND(K2327*I2327/10000,6)</f>
        <v>0</v>
      </c>
      <c r="N2327" s="198">
        <f>'02 项目基础信息（输入）'!$C$66</f>
        <v>815</v>
      </c>
      <c r="O2327" s="198">
        <f t="shared" si="268"/>
        <v>0</v>
      </c>
      <c r="P2327" s="198">
        <f>'02 项目基础信息（输入）'!$I$66</f>
        <v>815</v>
      </c>
      <c r="Q2327" s="233">
        <f t="shared" si="269"/>
        <v>0</v>
      </c>
      <c r="S2327" s="217"/>
      <c r="U2327" s="220" t="s">
        <v>4116</v>
      </c>
    </row>
    <row r="2328" spans="1:21" ht="20.25" hidden="1" customHeight="1" outlineLevel="3">
      <c r="A2328" s="192" t="s">
        <v>1879</v>
      </c>
      <c r="B2328" s="192"/>
      <c r="C2328" s="197" t="s">
        <v>1609</v>
      </c>
      <c r="D2328" s="198">
        <f>'02 项目基础信息（输入）'!$C$66</f>
        <v>815</v>
      </c>
      <c r="E2328" s="199" t="s">
        <v>93</v>
      </c>
      <c r="F2328" s="197" t="s">
        <v>694</v>
      </c>
      <c r="G2328" s="701"/>
      <c r="H2328" s="199" t="s">
        <v>298</v>
      </c>
      <c r="I2328" s="198">
        <f>G2328*D2328</f>
        <v>0</v>
      </c>
      <c r="J2328" s="199" t="s">
        <v>93</v>
      </c>
      <c r="K2328" s="1244">
        <v>0</v>
      </c>
      <c r="L2328" s="209" t="s">
        <v>675</v>
      </c>
      <c r="M2328" s="207">
        <f>ROUND(K2328*I2328/10000,6)</f>
        <v>0</v>
      </c>
      <c r="N2328" s="198">
        <f>'02 项目基础信息（输入）'!$C$66</f>
        <v>815</v>
      </c>
      <c r="O2328" s="198">
        <f t="shared" si="268"/>
        <v>0</v>
      </c>
      <c r="P2328" s="198">
        <f>'02 项目基础信息（输入）'!$I$66</f>
        <v>815</v>
      </c>
      <c r="Q2328" s="233">
        <f t="shared" si="269"/>
        <v>0</v>
      </c>
      <c r="S2328" s="217"/>
      <c r="U2328" s="220" t="s">
        <v>4117</v>
      </c>
    </row>
    <row r="2329" spans="1:21" ht="20.25" hidden="1" customHeight="1" outlineLevel="3">
      <c r="A2329" s="192" t="s">
        <v>1881</v>
      </c>
      <c r="B2329" s="192"/>
      <c r="C2329" s="197" t="s">
        <v>1609</v>
      </c>
      <c r="D2329" s="198">
        <f>'02 项目基础信息（输入）'!$C$66</f>
        <v>815</v>
      </c>
      <c r="E2329" s="199" t="s">
        <v>93</v>
      </c>
      <c r="F2329" s="197" t="s">
        <v>694</v>
      </c>
      <c r="G2329" s="701"/>
      <c r="H2329" s="199" t="s">
        <v>298</v>
      </c>
      <c r="I2329" s="198">
        <f>G2329*D2329</f>
        <v>0</v>
      </c>
      <c r="J2329" s="199" t="s">
        <v>93</v>
      </c>
      <c r="K2329" s="1244">
        <v>0</v>
      </c>
      <c r="L2329" s="209" t="s">
        <v>675</v>
      </c>
      <c r="M2329" s="207">
        <f>ROUND(K2329*I2329/10000,6)</f>
        <v>0</v>
      </c>
      <c r="N2329" s="198">
        <f>'02 项目基础信息（输入）'!$C$66</f>
        <v>815</v>
      </c>
      <c r="O2329" s="198">
        <f t="shared" si="268"/>
        <v>0</v>
      </c>
      <c r="P2329" s="198">
        <f>'02 项目基础信息（输入）'!$I$66</f>
        <v>815</v>
      </c>
      <c r="Q2329" s="233">
        <f t="shared" si="269"/>
        <v>0</v>
      </c>
      <c r="S2329" s="217"/>
      <c r="U2329" s="220" t="s">
        <v>4118</v>
      </c>
    </row>
    <row r="2330" spans="1:21" ht="20.25" customHeight="1" outlineLevel="2" collapsed="1">
      <c r="A2330" s="192" t="s">
        <v>2159</v>
      </c>
      <c r="B2330" s="192"/>
      <c r="C2330" s="197" t="s">
        <v>1609</v>
      </c>
      <c r="D2330" s="198">
        <f>'02 项目基础信息（输入）'!$C$66</f>
        <v>815</v>
      </c>
      <c r="E2330" s="199" t="s">
        <v>93</v>
      </c>
      <c r="F2330" s="197"/>
      <c r="G2330" s="199"/>
      <c r="H2330" s="199"/>
      <c r="I2330" s="197"/>
      <c r="J2330" s="199"/>
      <c r="K2330" s="198"/>
      <c r="L2330" s="209"/>
      <c r="M2330" s="198">
        <f>ROUND(SUM(M2331),6)</f>
        <v>0</v>
      </c>
      <c r="N2330" s="198">
        <f>'02 项目基础信息（输入）'!$C$66</f>
        <v>815</v>
      </c>
      <c r="O2330" s="198">
        <f t="shared" si="268"/>
        <v>0</v>
      </c>
      <c r="P2330" s="198">
        <f>'02 项目基础信息（输入）'!$I$66</f>
        <v>815</v>
      </c>
      <c r="Q2330" s="233">
        <f t="shared" si="269"/>
        <v>0</v>
      </c>
      <c r="S2330" s="217" t="s">
        <v>1313</v>
      </c>
      <c r="U2330" s="220" t="s">
        <v>4119</v>
      </c>
    </row>
    <row r="2331" spans="1:21" ht="20.25" hidden="1" customHeight="1" outlineLevel="3">
      <c r="A2331" s="192" t="s">
        <v>2161</v>
      </c>
      <c r="B2331" s="192"/>
      <c r="C2331" s="197" t="s">
        <v>1609</v>
      </c>
      <c r="D2331" s="198">
        <f>'02 项目基础信息（输入）'!$C$66</f>
        <v>815</v>
      </c>
      <c r="E2331" s="199" t="s">
        <v>93</v>
      </c>
      <c r="F2331" s="197" t="s">
        <v>1886</v>
      </c>
      <c r="G2331" s="199">
        <v>1</v>
      </c>
      <c r="H2331" s="199" t="s">
        <v>298</v>
      </c>
      <c r="I2331" s="198">
        <f>G2331*D2331</f>
        <v>815</v>
      </c>
      <c r="J2331" s="199" t="s">
        <v>93</v>
      </c>
      <c r="K2331" s="1244">
        <v>0</v>
      </c>
      <c r="L2331" s="209" t="s">
        <v>675</v>
      </c>
      <c r="M2331" s="207">
        <f>ROUND(K2331*I2331/10000,6)</f>
        <v>0</v>
      </c>
      <c r="N2331" s="198">
        <f>'02 项目基础信息（输入）'!$C$66</f>
        <v>815</v>
      </c>
      <c r="O2331" s="198">
        <f t="shared" si="268"/>
        <v>0</v>
      </c>
      <c r="P2331" s="198">
        <f>'02 项目基础信息（输入）'!$I$66</f>
        <v>815</v>
      </c>
      <c r="Q2331" s="233">
        <f t="shared" si="269"/>
        <v>0</v>
      </c>
      <c r="S2331" s="217"/>
      <c r="U2331" s="220" t="s">
        <v>4120</v>
      </c>
    </row>
    <row r="2332" spans="1:21" ht="20.25" customHeight="1" outlineLevel="2" collapsed="1">
      <c r="A2332" s="192" t="s">
        <v>1883</v>
      </c>
      <c r="B2332" s="192"/>
      <c r="C2332" s="197" t="s">
        <v>1609</v>
      </c>
      <c r="D2332" s="198">
        <f>'02 项目基础信息（输入）'!$C$66</f>
        <v>815</v>
      </c>
      <c r="E2332" s="199" t="s">
        <v>93</v>
      </c>
      <c r="F2332" s="197"/>
      <c r="G2332" s="199"/>
      <c r="H2332" s="199"/>
      <c r="I2332" s="197"/>
      <c r="J2332" s="199"/>
      <c r="K2332" s="198"/>
      <c r="L2332" s="209"/>
      <c r="M2332" s="198">
        <f>ROUND(SUM(M2333),6)</f>
        <v>0</v>
      </c>
      <c r="N2332" s="198">
        <f>'02 项目基础信息（输入）'!$C$66</f>
        <v>815</v>
      </c>
      <c r="O2332" s="198">
        <f t="shared" si="268"/>
        <v>0</v>
      </c>
      <c r="P2332" s="198">
        <f>'02 项目基础信息（输入）'!$I$66</f>
        <v>815</v>
      </c>
      <c r="Q2332" s="233">
        <f t="shared" si="269"/>
        <v>0</v>
      </c>
      <c r="S2332" s="217" t="s">
        <v>1313</v>
      </c>
      <c r="U2332" s="220" t="s">
        <v>4121</v>
      </c>
    </row>
    <row r="2333" spans="1:21" ht="20.25" hidden="1" customHeight="1" outlineLevel="3">
      <c r="A2333" s="192" t="s">
        <v>1885</v>
      </c>
      <c r="B2333" s="192"/>
      <c r="C2333" s="197" t="s">
        <v>1609</v>
      </c>
      <c r="D2333" s="198">
        <f>'02 项目基础信息（输入）'!$C$66</f>
        <v>815</v>
      </c>
      <c r="E2333" s="199" t="s">
        <v>93</v>
      </c>
      <c r="F2333" s="197" t="s">
        <v>1886</v>
      </c>
      <c r="G2333" s="199">
        <v>1</v>
      </c>
      <c r="H2333" s="199" t="s">
        <v>298</v>
      </c>
      <c r="I2333" s="198">
        <f>G2333*D2333</f>
        <v>815</v>
      </c>
      <c r="J2333" s="199" t="s">
        <v>93</v>
      </c>
      <c r="K2333" s="1244">
        <v>0</v>
      </c>
      <c r="L2333" s="209" t="s">
        <v>675</v>
      </c>
      <c r="M2333" s="207">
        <f>ROUND(K2333*I2333/10000,6)</f>
        <v>0</v>
      </c>
      <c r="N2333" s="198">
        <f>'02 项目基础信息（输入）'!$C$66</f>
        <v>815</v>
      </c>
      <c r="O2333" s="198">
        <f t="shared" si="268"/>
        <v>0</v>
      </c>
      <c r="P2333" s="198">
        <f>'02 项目基础信息（输入）'!$I$66</f>
        <v>815</v>
      </c>
      <c r="Q2333" s="233">
        <f t="shared" si="269"/>
        <v>0</v>
      </c>
      <c r="S2333" s="217"/>
      <c r="U2333" s="220" t="s">
        <v>4122</v>
      </c>
    </row>
    <row r="2334" spans="1:21" ht="20.25" customHeight="1" outlineLevel="2" collapsed="1">
      <c r="A2334" s="192" t="s">
        <v>1888</v>
      </c>
      <c r="B2334" s="192"/>
      <c r="C2334" s="197" t="s">
        <v>1609</v>
      </c>
      <c r="D2334" s="198">
        <f>'02 项目基础信息（输入）'!$C$66</f>
        <v>815</v>
      </c>
      <c r="E2334" s="199" t="s">
        <v>93</v>
      </c>
      <c r="F2334" s="197"/>
      <c r="G2334" s="199"/>
      <c r="H2334" s="199"/>
      <c r="I2334" s="197"/>
      <c r="J2334" s="199"/>
      <c r="K2334" s="198"/>
      <c r="L2334" s="209"/>
      <c r="M2334" s="198">
        <f>ROUND(SUM(M2335:M2339),6)</f>
        <v>0</v>
      </c>
      <c r="N2334" s="198">
        <f>'02 项目基础信息（输入）'!$C$66</f>
        <v>815</v>
      </c>
      <c r="O2334" s="198">
        <f t="shared" si="268"/>
        <v>0</v>
      </c>
      <c r="P2334" s="198">
        <f>'02 项目基础信息（输入）'!$I$66</f>
        <v>815</v>
      </c>
      <c r="Q2334" s="233">
        <f t="shared" si="269"/>
        <v>0</v>
      </c>
      <c r="S2334" s="217" t="s">
        <v>1313</v>
      </c>
      <c r="U2334" s="220" t="s">
        <v>4123</v>
      </c>
    </row>
    <row r="2335" spans="1:21" ht="20.25" hidden="1" customHeight="1" outlineLevel="3">
      <c r="A2335" s="192" t="s">
        <v>1890</v>
      </c>
      <c r="B2335" s="192"/>
      <c r="C2335" s="197" t="s">
        <v>1609</v>
      </c>
      <c r="D2335" s="198">
        <f>'02 项目基础信息（输入）'!$C$66</f>
        <v>815</v>
      </c>
      <c r="E2335" s="199" t="s">
        <v>93</v>
      </c>
      <c r="F2335" s="197" t="s">
        <v>1886</v>
      </c>
      <c r="G2335" s="199">
        <v>1</v>
      </c>
      <c r="H2335" s="199" t="s">
        <v>298</v>
      </c>
      <c r="I2335" s="198">
        <f>G2335*D2335</f>
        <v>815</v>
      </c>
      <c r="J2335" s="199" t="s">
        <v>93</v>
      </c>
      <c r="K2335" s="1244">
        <v>0</v>
      </c>
      <c r="L2335" s="209" t="s">
        <v>675</v>
      </c>
      <c r="M2335" s="207">
        <f>ROUND(K2335*I2335/10000,6)</f>
        <v>0</v>
      </c>
      <c r="N2335" s="198">
        <f>'02 项目基础信息（输入）'!$C$66</f>
        <v>815</v>
      </c>
      <c r="O2335" s="198">
        <f t="shared" si="268"/>
        <v>0</v>
      </c>
      <c r="P2335" s="198">
        <f>'02 项目基础信息（输入）'!$I$66</f>
        <v>815</v>
      </c>
      <c r="Q2335" s="233">
        <f t="shared" si="269"/>
        <v>0</v>
      </c>
      <c r="S2335" s="217"/>
      <c r="U2335" s="220" t="s">
        <v>4124</v>
      </c>
    </row>
    <row r="2336" spans="1:21" ht="20.25" hidden="1" customHeight="1" outlineLevel="3">
      <c r="A2336" s="192" t="s">
        <v>1892</v>
      </c>
      <c r="B2336" s="192"/>
      <c r="C2336" s="197" t="s">
        <v>1609</v>
      </c>
      <c r="D2336" s="198">
        <f>'02 项目基础信息（输入）'!$C$66</f>
        <v>815</v>
      </c>
      <c r="E2336" s="199" t="s">
        <v>93</v>
      </c>
      <c r="F2336" s="197" t="s">
        <v>1886</v>
      </c>
      <c r="G2336" s="199">
        <v>1</v>
      </c>
      <c r="H2336" s="199" t="s">
        <v>298</v>
      </c>
      <c r="I2336" s="198">
        <f>G2336*D2336</f>
        <v>815</v>
      </c>
      <c r="J2336" s="199" t="s">
        <v>93</v>
      </c>
      <c r="K2336" s="1244">
        <v>0</v>
      </c>
      <c r="L2336" s="209" t="s">
        <v>675</v>
      </c>
      <c r="M2336" s="207">
        <f>ROUND(K2336*I2336/10000,6)</f>
        <v>0</v>
      </c>
      <c r="N2336" s="198">
        <f>'02 项目基础信息（输入）'!$C$66</f>
        <v>815</v>
      </c>
      <c r="O2336" s="198">
        <f t="shared" si="268"/>
        <v>0</v>
      </c>
      <c r="P2336" s="198">
        <f>'02 项目基础信息（输入）'!$I$66</f>
        <v>815</v>
      </c>
      <c r="Q2336" s="233">
        <f t="shared" si="269"/>
        <v>0</v>
      </c>
      <c r="S2336" s="217"/>
      <c r="U2336" s="220" t="s">
        <v>4125</v>
      </c>
    </row>
    <row r="2337" spans="1:21" ht="20.25" hidden="1" customHeight="1" outlineLevel="3">
      <c r="A2337" s="192" t="s">
        <v>1894</v>
      </c>
      <c r="B2337" s="192"/>
      <c r="C2337" s="197" t="s">
        <v>1609</v>
      </c>
      <c r="D2337" s="198">
        <f>'02 项目基础信息（输入）'!$C$66</f>
        <v>815</v>
      </c>
      <c r="E2337" s="199" t="s">
        <v>93</v>
      </c>
      <c r="F2337" s="197" t="s">
        <v>1886</v>
      </c>
      <c r="G2337" s="199">
        <v>1</v>
      </c>
      <c r="H2337" s="199" t="s">
        <v>298</v>
      </c>
      <c r="I2337" s="198">
        <f>G2337*D2337</f>
        <v>815</v>
      </c>
      <c r="J2337" s="199" t="s">
        <v>93</v>
      </c>
      <c r="K2337" s="1244">
        <v>0</v>
      </c>
      <c r="L2337" s="209" t="s">
        <v>675</v>
      </c>
      <c r="M2337" s="207">
        <f>ROUND(K2337*I2337/10000,6)</f>
        <v>0</v>
      </c>
      <c r="N2337" s="198">
        <f>'02 项目基础信息（输入）'!$C$66</f>
        <v>815</v>
      </c>
      <c r="O2337" s="198">
        <f t="shared" si="268"/>
        <v>0</v>
      </c>
      <c r="P2337" s="198">
        <f>'02 项目基础信息（输入）'!$I$66</f>
        <v>815</v>
      </c>
      <c r="Q2337" s="233">
        <f t="shared" si="269"/>
        <v>0</v>
      </c>
      <c r="S2337" s="217"/>
      <c r="U2337" s="220" t="s">
        <v>4126</v>
      </c>
    </row>
    <row r="2338" spans="1:21" ht="20.25" hidden="1" customHeight="1" outlineLevel="3">
      <c r="A2338" s="192" t="s">
        <v>1896</v>
      </c>
      <c r="B2338" s="192"/>
      <c r="C2338" s="197" t="s">
        <v>1609</v>
      </c>
      <c r="D2338" s="198">
        <f>'02 项目基础信息（输入）'!$C$66</f>
        <v>815</v>
      </c>
      <c r="E2338" s="199" t="s">
        <v>93</v>
      </c>
      <c r="F2338" s="197" t="s">
        <v>1886</v>
      </c>
      <c r="G2338" s="199">
        <v>1</v>
      </c>
      <c r="H2338" s="199" t="s">
        <v>298</v>
      </c>
      <c r="I2338" s="198">
        <f>G2338*D2338</f>
        <v>815</v>
      </c>
      <c r="J2338" s="199" t="s">
        <v>93</v>
      </c>
      <c r="K2338" s="1244">
        <v>0</v>
      </c>
      <c r="L2338" s="209" t="s">
        <v>675</v>
      </c>
      <c r="M2338" s="207">
        <f>ROUND(K2338*I2338/10000,6)</f>
        <v>0</v>
      </c>
      <c r="N2338" s="198">
        <f>'02 项目基础信息（输入）'!$C$66</f>
        <v>815</v>
      </c>
      <c r="O2338" s="198">
        <f t="shared" si="268"/>
        <v>0</v>
      </c>
      <c r="P2338" s="198">
        <f>'02 项目基础信息（输入）'!$I$66</f>
        <v>815</v>
      </c>
      <c r="Q2338" s="233">
        <f t="shared" si="269"/>
        <v>0</v>
      </c>
      <c r="S2338" s="217"/>
      <c r="U2338" s="220" t="s">
        <v>4127</v>
      </c>
    </row>
    <row r="2339" spans="1:21" ht="20.25" hidden="1" customHeight="1" outlineLevel="3">
      <c r="A2339" s="192" t="s">
        <v>1898</v>
      </c>
      <c r="B2339" s="192"/>
      <c r="C2339" s="197" t="s">
        <v>1609</v>
      </c>
      <c r="D2339" s="198">
        <f>'02 项目基础信息（输入）'!$C$66</f>
        <v>815</v>
      </c>
      <c r="E2339" s="199" t="s">
        <v>93</v>
      </c>
      <c r="F2339" s="197" t="s">
        <v>1886</v>
      </c>
      <c r="G2339" s="199">
        <v>1</v>
      </c>
      <c r="H2339" s="199" t="s">
        <v>298</v>
      </c>
      <c r="I2339" s="198">
        <f>G2339*D2339</f>
        <v>815</v>
      </c>
      <c r="J2339" s="199" t="s">
        <v>93</v>
      </c>
      <c r="K2339" s="1244">
        <v>0</v>
      </c>
      <c r="L2339" s="209" t="s">
        <v>675</v>
      </c>
      <c r="M2339" s="207">
        <f>ROUND(K2339*I2339/10000,6)</f>
        <v>0</v>
      </c>
      <c r="N2339" s="198">
        <f>'02 项目基础信息（输入）'!$C$66</f>
        <v>815</v>
      </c>
      <c r="O2339" s="198">
        <f t="shared" si="268"/>
        <v>0</v>
      </c>
      <c r="P2339" s="198">
        <f>'02 项目基础信息（输入）'!$I$66</f>
        <v>815</v>
      </c>
      <c r="Q2339" s="233">
        <f t="shared" si="269"/>
        <v>0</v>
      </c>
      <c r="S2339" s="217"/>
      <c r="U2339" s="220" t="s">
        <v>4128</v>
      </c>
    </row>
    <row r="2340" spans="1:21" ht="20.25" customHeight="1" outlineLevel="2" collapsed="1">
      <c r="A2340" s="192" t="s">
        <v>1900</v>
      </c>
      <c r="B2340" s="192"/>
      <c r="C2340" s="197" t="s">
        <v>1609</v>
      </c>
      <c r="D2340" s="198">
        <f>'02 项目基础信息（输入）'!$C$66</f>
        <v>815</v>
      </c>
      <c r="E2340" s="199" t="s">
        <v>93</v>
      </c>
      <c r="F2340" s="197"/>
      <c r="G2340" s="199"/>
      <c r="H2340" s="199"/>
      <c r="I2340" s="197"/>
      <c r="J2340" s="199"/>
      <c r="K2340" s="198"/>
      <c r="L2340" s="209"/>
      <c r="M2340" s="198">
        <f>ROUND(SUM(M2341:M2346),6)</f>
        <v>0</v>
      </c>
      <c r="N2340" s="198">
        <f>'02 项目基础信息（输入）'!$C$66</f>
        <v>815</v>
      </c>
      <c r="O2340" s="198">
        <f t="shared" si="268"/>
        <v>0</v>
      </c>
      <c r="P2340" s="198">
        <f>'02 项目基础信息（输入）'!$I$66</f>
        <v>815</v>
      </c>
      <c r="Q2340" s="233">
        <f t="shared" si="269"/>
        <v>0</v>
      </c>
      <c r="S2340" s="217" t="s">
        <v>1314</v>
      </c>
      <c r="U2340" s="220" t="s">
        <v>4129</v>
      </c>
    </row>
    <row r="2341" spans="1:21" ht="20.25" hidden="1" customHeight="1" outlineLevel="3">
      <c r="A2341" s="192" t="s">
        <v>1902</v>
      </c>
      <c r="B2341" s="192"/>
      <c r="C2341" s="197" t="s">
        <v>309</v>
      </c>
      <c r="D2341" s="198">
        <f>'02 项目基础信息（输入）'!$AC$66</f>
        <v>1</v>
      </c>
      <c r="E2341" s="199" t="s">
        <v>310</v>
      </c>
      <c r="F2341" s="197" t="s">
        <v>309</v>
      </c>
      <c r="G2341" s="199">
        <v>1</v>
      </c>
      <c r="H2341" s="199" t="s">
        <v>1903</v>
      </c>
      <c r="I2341" s="198">
        <f t="shared" ref="I2341:I2346" si="272">G2341*D2341</f>
        <v>1</v>
      </c>
      <c r="J2341" s="199" t="s">
        <v>310</v>
      </c>
      <c r="K2341" s="1244">
        <v>0</v>
      </c>
      <c r="L2341" s="209" t="s">
        <v>736</v>
      </c>
      <c r="M2341" s="207">
        <f t="shared" ref="M2341:M2346" si="273">ROUND(K2341*I2341/10000,6)</f>
        <v>0</v>
      </c>
      <c r="N2341" s="198">
        <f>'02 项目基础信息（输入）'!$C$66</f>
        <v>815</v>
      </c>
      <c r="O2341" s="198">
        <f t="shared" si="268"/>
        <v>0</v>
      </c>
      <c r="P2341" s="198">
        <f>'02 项目基础信息（输入）'!$I$66</f>
        <v>815</v>
      </c>
      <c r="Q2341" s="233">
        <f t="shared" si="269"/>
        <v>0</v>
      </c>
      <c r="S2341" s="217"/>
      <c r="U2341" s="220" t="s">
        <v>4130</v>
      </c>
    </row>
    <row r="2342" spans="1:21" ht="20.25" hidden="1" customHeight="1" outlineLevel="3">
      <c r="A2342" s="192" t="s">
        <v>1905</v>
      </c>
      <c r="B2342" s="192"/>
      <c r="C2342" s="197" t="s">
        <v>309</v>
      </c>
      <c r="D2342" s="198">
        <f>'02 项目基础信息（输入）'!$AC$66</f>
        <v>1</v>
      </c>
      <c r="E2342" s="199" t="s">
        <v>310</v>
      </c>
      <c r="F2342" s="197" t="s">
        <v>309</v>
      </c>
      <c r="G2342" s="199">
        <v>1</v>
      </c>
      <c r="H2342" s="199" t="s">
        <v>1903</v>
      </c>
      <c r="I2342" s="198">
        <f t="shared" si="272"/>
        <v>1</v>
      </c>
      <c r="J2342" s="199" t="s">
        <v>310</v>
      </c>
      <c r="K2342" s="1244">
        <v>0</v>
      </c>
      <c r="L2342" s="209" t="s">
        <v>736</v>
      </c>
      <c r="M2342" s="207">
        <f t="shared" si="273"/>
        <v>0</v>
      </c>
      <c r="N2342" s="198">
        <f>'02 项目基础信息（输入）'!$C$66</f>
        <v>815</v>
      </c>
      <c r="O2342" s="198">
        <f t="shared" si="268"/>
        <v>0</v>
      </c>
      <c r="P2342" s="198">
        <f>'02 项目基础信息（输入）'!$I$66</f>
        <v>815</v>
      </c>
      <c r="Q2342" s="233">
        <f t="shared" si="269"/>
        <v>0</v>
      </c>
      <c r="S2342" s="217"/>
      <c r="U2342" s="220" t="s">
        <v>4131</v>
      </c>
    </row>
    <row r="2343" spans="1:21" ht="20.25" hidden="1" customHeight="1" outlineLevel="3">
      <c r="A2343" s="192" t="s">
        <v>1907</v>
      </c>
      <c r="B2343" s="192"/>
      <c r="C2343" s="197" t="s">
        <v>309</v>
      </c>
      <c r="D2343" s="198">
        <f>'02 项目基础信息（输入）'!$AC$66</f>
        <v>1</v>
      </c>
      <c r="E2343" s="199" t="s">
        <v>310</v>
      </c>
      <c r="F2343" s="197" t="s">
        <v>309</v>
      </c>
      <c r="G2343" s="199">
        <v>1</v>
      </c>
      <c r="H2343" s="199" t="s">
        <v>1903</v>
      </c>
      <c r="I2343" s="198">
        <f t="shared" si="272"/>
        <v>1</v>
      </c>
      <c r="J2343" s="199" t="s">
        <v>310</v>
      </c>
      <c r="K2343" s="1244">
        <v>0</v>
      </c>
      <c r="L2343" s="209" t="s">
        <v>736</v>
      </c>
      <c r="M2343" s="207">
        <f t="shared" si="273"/>
        <v>0</v>
      </c>
      <c r="N2343" s="198">
        <f>'02 项目基础信息（输入）'!$C$66</f>
        <v>815</v>
      </c>
      <c r="O2343" s="198">
        <f t="shared" si="268"/>
        <v>0</v>
      </c>
      <c r="P2343" s="198">
        <f>'02 项目基础信息（输入）'!$I$66</f>
        <v>815</v>
      </c>
      <c r="Q2343" s="233">
        <f t="shared" si="269"/>
        <v>0</v>
      </c>
      <c r="S2343" s="217"/>
      <c r="U2343" s="220" t="s">
        <v>4132</v>
      </c>
    </row>
    <row r="2344" spans="1:21" ht="20.25" hidden="1" customHeight="1" outlineLevel="3">
      <c r="A2344" s="192" t="s">
        <v>1909</v>
      </c>
      <c r="B2344" s="192"/>
      <c r="C2344" s="197" t="s">
        <v>309</v>
      </c>
      <c r="D2344" s="198">
        <f>'02 项目基础信息（输入）'!$AC$66</f>
        <v>1</v>
      </c>
      <c r="E2344" s="199" t="s">
        <v>310</v>
      </c>
      <c r="F2344" s="197" t="s">
        <v>309</v>
      </c>
      <c r="G2344" s="199">
        <v>1</v>
      </c>
      <c r="H2344" s="199" t="s">
        <v>1903</v>
      </c>
      <c r="I2344" s="198">
        <f t="shared" si="272"/>
        <v>1</v>
      </c>
      <c r="J2344" s="199" t="s">
        <v>310</v>
      </c>
      <c r="K2344" s="1244">
        <v>0</v>
      </c>
      <c r="L2344" s="209" t="s">
        <v>736</v>
      </c>
      <c r="M2344" s="207">
        <f t="shared" si="273"/>
        <v>0</v>
      </c>
      <c r="N2344" s="198">
        <f>'02 项目基础信息（输入）'!$C$66</f>
        <v>815</v>
      </c>
      <c r="O2344" s="198">
        <f t="shared" si="268"/>
        <v>0</v>
      </c>
      <c r="P2344" s="198">
        <f>'02 项目基础信息（输入）'!$I$66</f>
        <v>815</v>
      </c>
      <c r="Q2344" s="233">
        <f t="shared" si="269"/>
        <v>0</v>
      </c>
      <c r="S2344" s="217"/>
      <c r="U2344" s="220" t="s">
        <v>4133</v>
      </c>
    </row>
    <row r="2345" spans="1:21" ht="20.25" hidden="1" customHeight="1" outlineLevel="3">
      <c r="A2345" s="192" t="s">
        <v>1911</v>
      </c>
      <c r="B2345" s="192"/>
      <c r="C2345" s="197" t="s">
        <v>309</v>
      </c>
      <c r="D2345" s="198">
        <f>'02 项目基础信息（输入）'!$AC$66</f>
        <v>1</v>
      </c>
      <c r="E2345" s="199" t="s">
        <v>310</v>
      </c>
      <c r="F2345" s="197" t="s">
        <v>309</v>
      </c>
      <c r="G2345" s="199">
        <v>1</v>
      </c>
      <c r="H2345" s="199" t="s">
        <v>1903</v>
      </c>
      <c r="I2345" s="198">
        <f t="shared" si="272"/>
        <v>1</v>
      </c>
      <c r="J2345" s="199" t="s">
        <v>310</v>
      </c>
      <c r="K2345" s="1244">
        <v>0</v>
      </c>
      <c r="L2345" s="209" t="s">
        <v>736</v>
      </c>
      <c r="M2345" s="207">
        <f t="shared" si="273"/>
        <v>0</v>
      </c>
      <c r="N2345" s="198">
        <f>'02 项目基础信息（输入）'!$C$66</f>
        <v>815</v>
      </c>
      <c r="O2345" s="198">
        <f t="shared" si="268"/>
        <v>0</v>
      </c>
      <c r="P2345" s="198">
        <f>'02 项目基础信息（输入）'!$I$66</f>
        <v>815</v>
      </c>
      <c r="Q2345" s="233">
        <f t="shared" si="269"/>
        <v>0</v>
      </c>
      <c r="S2345" s="217"/>
      <c r="U2345" s="220" t="s">
        <v>4134</v>
      </c>
    </row>
    <row r="2346" spans="1:21" ht="20.25" hidden="1" customHeight="1" outlineLevel="3">
      <c r="A2346" s="192" t="s">
        <v>1913</v>
      </c>
      <c r="B2346" s="192"/>
      <c r="C2346" s="197" t="s">
        <v>309</v>
      </c>
      <c r="D2346" s="198">
        <f>'02 项目基础信息（输入）'!$AC$66</f>
        <v>1</v>
      </c>
      <c r="E2346" s="199" t="s">
        <v>310</v>
      </c>
      <c r="F2346" s="197" t="s">
        <v>309</v>
      </c>
      <c r="G2346" s="199">
        <v>1</v>
      </c>
      <c r="H2346" s="199" t="s">
        <v>1903</v>
      </c>
      <c r="I2346" s="198">
        <f t="shared" si="272"/>
        <v>1</v>
      </c>
      <c r="J2346" s="199" t="s">
        <v>310</v>
      </c>
      <c r="K2346" s="1244">
        <v>0</v>
      </c>
      <c r="L2346" s="209" t="s">
        <v>736</v>
      </c>
      <c r="M2346" s="207">
        <f t="shared" si="273"/>
        <v>0</v>
      </c>
      <c r="N2346" s="198">
        <f>'02 项目基础信息（输入）'!$C$66</f>
        <v>815</v>
      </c>
      <c r="O2346" s="198">
        <f t="shared" si="268"/>
        <v>0</v>
      </c>
      <c r="P2346" s="198">
        <f>'02 项目基础信息（输入）'!$I$66</f>
        <v>815</v>
      </c>
      <c r="Q2346" s="233">
        <f t="shared" si="269"/>
        <v>0</v>
      </c>
      <c r="S2346" s="217"/>
      <c r="U2346" s="220" t="s">
        <v>4135</v>
      </c>
    </row>
    <row r="2347" spans="1:21" ht="20.25" customHeight="1" outlineLevel="2" collapsed="1">
      <c r="A2347" s="192" t="s">
        <v>2178</v>
      </c>
      <c r="B2347" s="192"/>
      <c r="C2347" s="197" t="s">
        <v>1609</v>
      </c>
      <c r="D2347" s="198">
        <f>'02 项目基础信息（输入）'!$C$66</f>
        <v>815</v>
      </c>
      <c r="E2347" s="199" t="s">
        <v>93</v>
      </c>
      <c r="F2347" s="197"/>
      <c r="G2347" s="199"/>
      <c r="H2347" s="199"/>
      <c r="I2347" s="197"/>
      <c r="J2347" s="199"/>
      <c r="K2347" s="198"/>
      <c r="L2347" s="209"/>
      <c r="M2347" s="198">
        <f>ROUND(SUM(M2348),6)</f>
        <v>1.141</v>
      </c>
      <c r="N2347" s="198">
        <f>'02 项目基础信息（输入）'!$C$66</f>
        <v>815</v>
      </c>
      <c r="O2347" s="198">
        <f t="shared" si="268"/>
        <v>14</v>
      </c>
      <c r="P2347" s="198">
        <f>'02 项目基础信息（输入）'!$I$66</f>
        <v>815</v>
      </c>
      <c r="Q2347" s="233">
        <f t="shared" si="269"/>
        <v>14</v>
      </c>
      <c r="S2347" s="217" t="s">
        <v>1313</v>
      </c>
      <c r="U2347" s="220" t="s">
        <v>4136</v>
      </c>
    </row>
    <row r="2348" spans="1:21" ht="20.25" hidden="1" customHeight="1" outlineLevel="3">
      <c r="A2348" s="192" t="s">
        <v>2180</v>
      </c>
      <c r="B2348" s="192"/>
      <c r="C2348" s="197" t="s">
        <v>309</v>
      </c>
      <c r="D2348" s="198">
        <f>'02 项目基础信息（输入）'!$AC$66</f>
        <v>1</v>
      </c>
      <c r="E2348" s="199" t="s">
        <v>310</v>
      </c>
      <c r="F2348" s="197" t="s">
        <v>309</v>
      </c>
      <c r="G2348" s="199">
        <v>1</v>
      </c>
      <c r="H2348" s="199" t="s">
        <v>1903</v>
      </c>
      <c r="I2348" s="198">
        <f>G2348*D2348</f>
        <v>1</v>
      </c>
      <c r="J2348" s="199" t="s">
        <v>310</v>
      </c>
      <c r="K2348" s="699">
        <f>14*D2347/D2348</f>
        <v>11410</v>
      </c>
      <c r="L2348" s="209" t="s">
        <v>736</v>
      </c>
      <c r="M2348" s="207">
        <f>ROUND(K2348*I2348/10000,6)</f>
        <v>1.141</v>
      </c>
      <c r="N2348" s="198">
        <f>'02 项目基础信息（输入）'!$C$66</f>
        <v>815</v>
      </c>
      <c r="O2348" s="198">
        <f t="shared" si="268"/>
        <v>14</v>
      </c>
      <c r="P2348" s="198">
        <f>'02 项目基础信息（输入）'!$I$66</f>
        <v>815</v>
      </c>
      <c r="Q2348" s="233">
        <f t="shared" si="269"/>
        <v>14</v>
      </c>
      <c r="S2348" s="217"/>
      <c r="U2348" s="220" t="s">
        <v>4137</v>
      </c>
    </row>
    <row r="2349" spans="1:21" ht="20.25" customHeight="1" outlineLevel="2" collapsed="1">
      <c r="A2349" s="192" t="s">
        <v>2182</v>
      </c>
      <c r="B2349" s="192"/>
      <c r="C2349" s="197" t="s">
        <v>1609</v>
      </c>
      <c r="D2349" s="198">
        <f>'02 项目基础信息（输入）'!$C$66</f>
        <v>815</v>
      </c>
      <c r="E2349" s="199" t="s">
        <v>93</v>
      </c>
      <c r="F2349" s="197"/>
      <c r="G2349" s="199"/>
      <c r="H2349" s="199"/>
      <c r="I2349" s="197"/>
      <c r="J2349" s="199"/>
      <c r="K2349" s="198"/>
      <c r="L2349" s="209"/>
      <c r="M2349" s="198">
        <f>ROUND(SUM(M2350),6)</f>
        <v>2</v>
      </c>
      <c r="N2349" s="198">
        <f>'02 项目基础信息（输入）'!$C$66</f>
        <v>815</v>
      </c>
      <c r="O2349" s="198">
        <f t="shared" si="268"/>
        <v>24.54</v>
      </c>
      <c r="P2349" s="198">
        <f>'02 项目基础信息（输入）'!$I$66</f>
        <v>815</v>
      </c>
      <c r="Q2349" s="233">
        <f t="shared" si="269"/>
        <v>24.54</v>
      </c>
      <c r="S2349" s="217" t="s">
        <v>1313</v>
      </c>
      <c r="U2349" s="220" t="s">
        <v>4138</v>
      </c>
    </row>
    <row r="2350" spans="1:21" ht="20.25" hidden="1" customHeight="1" outlineLevel="3">
      <c r="A2350" s="192" t="s">
        <v>2184</v>
      </c>
      <c r="B2350" s="192"/>
      <c r="C2350" s="197" t="s">
        <v>309</v>
      </c>
      <c r="D2350" s="198">
        <f>'02 项目基础信息（输入）'!$AC$66</f>
        <v>1</v>
      </c>
      <c r="E2350" s="199" t="s">
        <v>310</v>
      </c>
      <c r="F2350" s="197" t="s">
        <v>309</v>
      </c>
      <c r="G2350" s="199">
        <v>1</v>
      </c>
      <c r="H2350" s="199" t="s">
        <v>1903</v>
      </c>
      <c r="I2350" s="198">
        <f>G2350*D2350</f>
        <v>1</v>
      </c>
      <c r="J2350" s="199" t="s">
        <v>310</v>
      </c>
      <c r="K2350" s="699">
        <v>20000</v>
      </c>
      <c r="L2350" s="209" t="s">
        <v>736</v>
      </c>
      <c r="M2350" s="198">
        <f>ROUND(K2350*I2350/10000,6)</f>
        <v>2</v>
      </c>
      <c r="N2350" s="198">
        <f>'02 项目基础信息（输入）'!$C$66</f>
        <v>815</v>
      </c>
      <c r="O2350" s="198">
        <f t="shared" si="268"/>
        <v>24.54</v>
      </c>
      <c r="P2350" s="198">
        <f>'02 项目基础信息（输入）'!$I$66</f>
        <v>815</v>
      </c>
      <c r="Q2350" s="233">
        <f t="shared" si="269"/>
        <v>24.54</v>
      </c>
      <c r="S2350" s="217"/>
      <c r="U2350" s="220" t="s">
        <v>4139</v>
      </c>
    </row>
    <row r="2351" spans="1:21" ht="20.25" customHeight="1" outlineLevel="2" collapsed="1">
      <c r="A2351" s="192" t="s">
        <v>1915</v>
      </c>
      <c r="B2351" s="192"/>
      <c r="C2351" s="197" t="s">
        <v>1609</v>
      </c>
      <c r="D2351" s="198">
        <f>'02 项目基础信息（输入）'!$C$66</f>
        <v>815</v>
      </c>
      <c r="E2351" s="199" t="s">
        <v>93</v>
      </c>
      <c r="F2351" s="197"/>
      <c r="G2351" s="199"/>
      <c r="H2351" s="199"/>
      <c r="I2351" s="197"/>
      <c r="J2351" s="199"/>
      <c r="K2351" s="198"/>
      <c r="L2351" s="209"/>
      <c r="M2351" s="198">
        <f>ROUND(SUM(M2352:M2354),6)</f>
        <v>15</v>
      </c>
      <c r="N2351" s="198">
        <f>'02 项目基础信息（输入）'!$C$66</f>
        <v>815</v>
      </c>
      <c r="O2351" s="198">
        <f t="shared" si="268"/>
        <v>184.05</v>
      </c>
      <c r="P2351" s="198">
        <f>'02 项目基础信息（输入）'!$I$66</f>
        <v>815</v>
      </c>
      <c r="Q2351" s="233">
        <f t="shared" si="269"/>
        <v>184.05</v>
      </c>
      <c r="S2351" s="217" t="s">
        <v>1314</v>
      </c>
      <c r="U2351" s="220" t="s">
        <v>4140</v>
      </c>
    </row>
    <row r="2352" spans="1:21" ht="20.25" hidden="1" customHeight="1" outlineLevel="3">
      <c r="A2352" s="192" t="s">
        <v>1917</v>
      </c>
      <c r="B2352" s="192"/>
      <c r="C2352" s="197" t="s">
        <v>455</v>
      </c>
      <c r="D2352" s="198">
        <f>'02 项目基础信息（输入）'!$J$66</f>
        <v>1</v>
      </c>
      <c r="E2352" s="199" t="s">
        <v>400</v>
      </c>
      <c r="F2352" s="197" t="s">
        <v>455</v>
      </c>
      <c r="G2352" s="199">
        <v>1</v>
      </c>
      <c r="H2352" s="199" t="s">
        <v>1918</v>
      </c>
      <c r="I2352" s="198">
        <f>G2352*D2352</f>
        <v>1</v>
      </c>
      <c r="J2352" s="199" t="s">
        <v>1082</v>
      </c>
      <c r="K2352" s="699">
        <v>100000</v>
      </c>
      <c r="L2352" s="209" t="s">
        <v>1087</v>
      </c>
      <c r="M2352" s="207">
        <f>ROUND(K2352*I2352/10000,6)</f>
        <v>10</v>
      </c>
      <c r="N2352" s="198">
        <f>'02 项目基础信息（输入）'!$C$66</f>
        <v>815</v>
      </c>
      <c r="O2352" s="198">
        <f t="shared" si="268"/>
        <v>122.7</v>
      </c>
      <c r="P2352" s="198">
        <f>'02 项目基础信息（输入）'!$I$66</f>
        <v>815</v>
      </c>
      <c r="Q2352" s="233">
        <f t="shared" si="269"/>
        <v>122.7</v>
      </c>
      <c r="S2352" s="217"/>
      <c r="U2352" s="220" t="s">
        <v>4141</v>
      </c>
    </row>
    <row r="2353" spans="1:21" ht="20.25" hidden="1" customHeight="1" outlineLevel="3">
      <c r="A2353" s="192" t="s">
        <v>1920</v>
      </c>
      <c r="B2353" s="192"/>
      <c r="C2353" s="197" t="s">
        <v>455</v>
      </c>
      <c r="D2353" s="198">
        <f>'02 项目基础信息（输入）'!$J$66</f>
        <v>1</v>
      </c>
      <c r="E2353" s="199" t="s">
        <v>400</v>
      </c>
      <c r="F2353" s="197" t="s">
        <v>455</v>
      </c>
      <c r="G2353" s="199">
        <v>1</v>
      </c>
      <c r="H2353" s="199" t="s">
        <v>1918</v>
      </c>
      <c r="I2353" s="198">
        <f>G2353*D2353</f>
        <v>1</v>
      </c>
      <c r="J2353" s="199" t="s">
        <v>1082</v>
      </c>
      <c r="K2353" s="699">
        <v>50000</v>
      </c>
      <c r="L2353" s="209" t="s">
        <v>1087</v>
      </c>
      <c r="M2353" s="207">
        <f>ROUND(K2353*I2353/10000,6)</f>
        <v>5</v>
      </c>
      <c r="N2353" s="198">
        <f>'02 项目基础信息（输入）'!$C$66</f>
        <v>815</v>
      </c>
      <c r="O2353" s="198">
        <f t="shared" si="268"/>
        <v>61.35</v>
      </c>
      <c r="P2353" s="198">
        <f>'02 项目基础信息（输入）'!$I$66</f>
        <v>815</v>
      </c>
      <c r="Q2353" s="233">
        <f t="shared" si="269"/>
        <v>61.35</v>
      </c>
      <c r="S2353" s="217"/>
      <c r="U2353" s="220" t="s">
        <v>4142</v>
      </c>
    </row>
    <row r="2354" spans="1:21" ht="20.25" hidden="1" customHeight="1" outlineLevel="3">
      <c r="A2354" s="192" t="s">
        <v>1922</v>
      </c>
      <c r="B2354" s="192"/>
      <c r="C2354" s="197" t="s">
        <v>455</v>
      </c>
      <c r="D2354" s="198">
        <f>'02 项目基础信息（输入）'!$J$66</f>
        <v>1</v>
      </c>
      <c r="E2354" s="199" t="s">
        <v>400</v>
      </c>
      <c r="F2354" s="197" t="s">
        <v>455</v>
      </c>
      <c r="G2354" s="199">
        <v>1</v>
      </c>
      <c r="H2354" s="199" t="s">
        <v>1918</v>
      </c>
      <c r="I2354" s="198">
        <f>G2354*D2354</f>
        <v>1</v>
      </c>
      <c r="J2354" s="199" t="s">
        <v>1082</v>
      </c>
      <c r="K2354" s="699" t="s">
        <v>717</v>
      </c>
      <c r="L2354" s="209" t="s">
        <v>1087</v>
      </c>
      <c r="M2354" s="207">
        <f>ROUND(K2354*I2354/10000,6)</f>
        <v>0</v>
      </c>
      <c r="N2354" s="198">
        <f>'02 项目基础信息（输入）'!$C$66</f>
        <v>815</v>
      </c>
      <c r="O2354" s="198">
        <f t="shared" si="268"/>
        <v>0</v>
      </c>
      <c r="P2354" s="198">
        <f>'02 项目基础信息（输入）'!$I$66</f>
        <v>815</v>
      </c>
      <c r="Q2354" s="233">
        <f t="shared" si="269"/>
        <v>0</v>
      </c>
      <c r="S2354" s="217"/>
      <c r="U2354" s="220" t="s">
        <v>4143</v>
      </c>
    </row>
    <row r="2355" spans="1:21" ht="20.25" customHeight="1" outlineLevel="2" collapsed="1">
      <c r="A2355" s="192" t="s">
        <v>1924</v>
      </c>
      <c r="B2355" s="192"/>
      <c r="C2355" s="197" t="s">
        <v>1609</v>
      </c>
      <c r="D2355" s="198">
        <f>'02 项目基础信息（输入）'!$C$66</f>
        <v>815</v>
      </c>
      <c r="E2355" s="199" t="s">
        <v>93</v>
      </c>
      <c r="F2355" s="197"/>
      <c r="G2355" s="199"/>
      <c r="H2355" s="199"/>
      <c r="I2355" s="197"/>
      <c r="J2355" s="199"/>
      <c r="K2355" s="198"/>
      <c r="L2355" s="209"/>
      <c r="M2355" s="198">
        <f>ROUND(SUM(M2356),6)</f>
        <v>0</v>
      </c>
      <c r="N2355" s="198">
        <f>'02 项目基础信息（输入）'!$C$66</f>
        <v>815</v>
      </c>
      <c r="O2355" s="198">
        <f t="shared" si="268"/>
        <v>0</v>
      </c>
      <c r="P2355" s="198">
        <f>'02 项目基础信息（输入）'!$I$66</f>
        <v>815</v>
      </c>
      <c r="Q2355" s="233">
        <f t="shared" si="269"/>
        <v>0</v>
      </c>
      <c r="S2355" s="217" t="s">
        <v>1313</v>
      </c>
      <c r="U2355" s="220" t="s">
        <v>4144</v>
      </c>
    </row>
    <row r="2356" spans="1:21" ht="20.25" hidden="1" customHeight="1" outlineLevel="3">
      <c r="A2356" s="192" t="s">
        <v>1926</v>
      </c>
      <c r="B2356" s="192"/>
      <c r="C2356" s="197" t="s">
        <v>1609</v>
      </c>
      <c r="D2356" s="198">
        <f>'02 项目基础信息（输入）'!$C$66</f>
        <v>815</v>
      </c>
      <c r="E2356" s="199" t="s">
        <v>93</v>
      </c>
      <c r="F2356" s="197" t="s">
        <v>1927</v>
      </c>
      <c r="G2356" s="701" t="s">
        <v>717</v>
      </c>
      <c r="H2356" s="199" t="s">
        <v>298</v>
      </c>
      <c r="I2356" s="198">
        <f>G2356*D2356</f>
        <v>0</v>
      </c>
      <c r="J2356" s="199" t="s">
        <v>93</v>
      </c>
      <c r="K2356" s="699" t="s">
        <v>717</v>
      </c>
      <c r="L2356" s="209" t="s">
        <v>675</v>
      </c>
      <c r="M2356" s="207">
        <f>ROUND(K2356*I2356/10000,6)</f>
        <v>0</v>
      </c>
      <c r="N2356" s="198">
        <f>'02 项目基础信息（输入）'!$C$66</f>
        <v>815</v>
      </c>
      <c r="O2356" s="198">
        <f t="shared" si="268"/>
        <v>0</v>
      </c>
      <c r="P2356" s="198">
        <f>'02 项目基础信息（输入）'!$I$66</f>
        <v>815</v>
      </c>
      <c r="Q2356" s="233">
        <f t="shared" si="269"/>
        <v>0</v>
      </c>
      <c r="S2356" s="217"/>
      <c r="U2356" s="220" t="s">
        <v>4145</v>
      </c>
    </row>
    <row r="2357" spans="1:21" ht="20.25" customHeight="1" outlineLevel="2" collapsed="1">
      <c r="A2357" s="192" t="s">
        <v>1931</v>
      </c>
      <c r="B2357" s="192"/>
      <c r="C2357" s="197" t="s">
        <v>1609</v>
      </c>
      <c r="D2357" s="198">
        <f>'02 项目基础信息（输入）'!$C$66</f>
        <v>815</v>
      </c>
      <c r="E2357" s="199" t="s">
        <v>93</v>
      </c>
      <c r="F2357" s="197"/>
      <c r="G2357" s="199"/>
      <c r="H2357" s="199"/>
      <c r="I2357" s="197"/>
      <c r="J2357" s="199"/>
      <c r="K2357" s="198"/>
      <c r="L2357" s="209"/>
      <c r="M2357" s="198">
        <f>ROUND(SUM(M2358),6)</f>
        <v>8.15</v>
      </c>
      <c r="N2357" s="198">
        <f>'02 项目基础信息（输入）'!$C$66</f>
        <v>815</v>
      </c>
      <c r="O2357" s="198">
        <f t="shared" si="268"/>
        <v>100</v>
      </c>
      <c r="P2357" s="198">
        <f>'02 项目基础信息（输入）'!$I$66</f>
        <v>815</v>
      </c>
      <c r="Q2357" s="233">
        <f t="shared" si="269"/>
        <v>100</v>
      </c>
      <c r="S2357" s="217" t="s">
        <v>1313</v>
      </c>
      <c r="U2357" s="220" t="s">
        <v>4146</v>
      </c>
    </row>
    <row r="2358" spans="1:21" ht="20.25" hidden="1" customHeight="1" outlineLevel="3">
      <c r="A2358" s="192" t="s">
        <v>1933</v>
      </c>
      <c r="B2358" s="192"/>
      <c r="C2358" s="197" t="s">
        <v>1609</v>
      </c>
      <c r="D2358" s="198">
        <f>'02 项目基础信息（输入）'!$C$66</f>
        <v>815</v>
      </c>
      <c r="E2358" s="199" t="s">
        <v>93</v>
      </c>
      <c r="F2358" s="197" t="s">
        <v>1886</v>
      </c>
      <c r="G2358" s="199">
        <v>1</v>
      </c>
      <c r="H2358" s="199" t="s">
        <v>298</v>
      </c>
      <c r="I2358" s="198">
        <f>G2358*D2358</f>
        <v>815</v>
      </c>
      <c r="J2358" s="199" t="s">
        <v>93</v>
      </c>
      <c r="K2358" s="699">
        <v>100</v>
      </c>
      <c r="L2358" s="209" t="s">
        <v>675</v>
      </c>
      <c r="M2358" s="207">
        <f>ROUND(K2358*I2358/10000,6)</f>
        <v>8.15</v>
      </c>
      <c r="N2358" s="198">
        <f>'02 项目基础信息（输入）'!$C$66</f>
        <v>815</v>
      </c>
      <c r="O2358" s="198">
        <f t="shared" si="268"/>
        <v>100</v>
      </c>
      <c r="P2358" s="198">
        <f>'02 项目基础信息（输入）'!$I$66</f>
        <v>815</v>
      </c>
      <c r="Q2358" s="233">
        <f t="shared" si="269"/>
        <v>100</v>
      </c>
      <c r="S2358" s="217"/>
      <c r="U2358" s="220" t="s">
        <v>4147</v>
      </c>
    </row>
    <row r="2359" spans="1:21" ht="20.25" customHeight="1" outlineLevel="2" collapsed="1">
      <c r="A2359" s="192" t="s">
        <v>1935</v>
      </c>
      <c r="B2359" s="192"/>
      <c r="C2359" s="197" t="s">
        <v>1609</v>
      </c>
      <c r="D2359" s="198">
        <f>'02 项目基础信息（输入）'!$C$66</f>
        <v>815</v>
      </c>
      <c r="E2359" s="199" t="s">
        <v>93</v>
      </c>
      <c r="F2359" s="197"/>
      <c r="G2359" s="199"/>
      <c r="H2359" s="199"/>
      <c r="I2359" s="197"/>
      <c r="J2359" s="199"/>
      <c r="K2359" s="198"/>
      <c r="L2359" s="209"/>
      <c r="M2359" s="198">
        <f>ROUND(SUM(M2360:M2362),6)</f>
        <v>0</v>
      </c>
      <c r="N2359" s="198">
        <f>'02 项目基础信息（输入）'!$C$66</f>
        <v>815</v>
      </c>
      <c r="O2359" s="198">
        <f t="shared" si="268"/>
        <v>0</v>
      </c>
      <c r="P2359" s="198">
        <f>'02 项目基础信息（输入）'!$I$66</f>
        <v>815</v>
      </c>
      <c r="Q2359" s="233">
        <f t="shared" si="269"/>
        <v>0</v>
      </c>
      <c r="S2359" s="217" t="s">
        <v>1313</v>
      </c>
      <c r="U2359" s="220" t="s">
        <v>4148</v>
      </c>
    </row>
    <row r="2360" spans="1:21" ht="20.25" hidden="1" customHeight="1" outlineLevel="3">
      <c r="A2360" s="192" t="s">
        <v>2195</v>
      </c>
      <c r="B2360" s="192"/>
      <c r="C2360" s="197" t="s">
        <v>309</v>
      </c>
      <c r="D2360" s="198">
        <f>'02 项目基础信息（输入）'!$AC$66</f>
        <v>1</v>
      </c>
      <c r="E2360" s="199" t="s">
        <v>310</v>
      </c>
      <c r="F2360" s="197" t="s">
        <v>2196</v>
      </c>
      <c r="G2360" s="701" t="s">
        <v>717</v>
      </c>
      <c r="H2360" s="199" t="s">
        <v>2197</v>
      </c>
      <c r="I2360" s="198">
        <f>G2360*D2360</f>
        <v>0</v>
      </c>
      <c r="J2360" s="199" t="s">
        <v>2198</v>
      </c>
      <c r="K2360" s="699" t="s">
        <v>717</v>
      </c>
      <c r="L2360" s="209" t="s">
        <v>841</v>
      </c>
      <c r="M2360" s="207">
        <f>ROUND(K2360*I2360/10000,6)</f>
        <v>0</v>
      </c>
      <c r="N2360" s="198">
        <f>'02 项目基础信息（输入）'!$C$66</f>
        <v>815</v>
      </c>
      <c r="O2360" s="198">
        <f t="shared" si="268"/>
        <v>0</v>
      </c>
      <c r="P2360" s="198">
        <f>'02 项目基础信息（输入）'!$I$66</f>
        <v>815</v>
      </c>
      <c r="Q2360" s="233">
        <f t="shared" si="269"/>
        <v>0</v>
      </c>
      <c r="S2360" s="217"/>
      <c r="U2360" s="220" t="s">
        <v>4149</v>
      </c>
    </row>
    <row r="2361" spans="1:21" ht="20.25" hidden="1" customHeight="1" outlineLevel="3">
      <c r="A2361" s="192" t="s">
        <v>2200</v>
      </c>
      <c r="B2361" s="192"/>
      <c r="C2361" s="197" t="s">
        <v>309</v>
      </c>
      <c r="D2361" s="198">
        <f>'02 项目基础信息（输入）'!$AC$66</f>
        <v>1</v>
      </c>
      <c r="E2361" s="199" t="s">
        <v>310</v>
      </c>
      <c r="F2361" s="197" t="s">
        <v>2196</v>
      </c>
      <c r="G2361" s="701" t="s">
        <v>717</v>
      </c>
      <c r="H2361" s="199" t="s">
        <v>2197</v>
      </c>
      <c r="I2361" s="198">
        <f>G2361*D2361</f>
        <v>0</v>
      </c>
      <c r="J2361" s="199" t="s">
        <v>2198</v>
      </c>
      <c r="K2361" s="699" t="s">
        <v>717</v>
      </c>
      <c r="L2361" s="209" t="s">
        <v>841</v>
      </c>
      <c r="M2361" s="207">
        <f>ROUND(K2361*I2361/10000,6)</f>
        <v>0</v>
      </c>
      <c r="N2361" s="198">
        <f>'02 项目基础信息（输入）'!$C$66</f>
        <v>815</v>
      </c>
      <c r="O2361" s="198">
        <f t="shared" si="268"/>
        <v>0</v>
      </c>
      <c r="P2361" s="198">
        <f>'02 项目基础信息（输入）'!$I$66</f>
        <v>815</v>
      </c>
      <c r="Q2361" s="233">
        <f t="shared" si="269"/>
        <v>0</v>
      </c>
      <c r="S2361" s="217"/>
      <c r="U2361" s="220" t="s">
        <v>4150</v>
      </c>
    </row>
    <row r="2362" spans="1:21" ht="20.25" hidden="1" customHeight="1" outlineLevel="3">
      <c r="A2362" s="192" t="s">
        <v>2202</v>
      </c>
      <c r="B2362" s="192"/>
      <c r="C2362" s="197" t="s">
        <v>309</v>
      </c>
      <c r="D2362" s="198">
        <f>'02 项目基础信息（输入）'!$AC$66</f>
        <v>1</v>
      </c>
      <c r="E2362" s="199" t="s">
        <v>310</v>
      </c>
      <c r="F2362" s="197" t="s">
        <v>2196</v>
      </c>
      <c r="G2362" s="701" t="s">
        <v>717</v>
      </c>
      <c r="H2362" s="199" t="s">
        <v>2197</v>
      </c>
      <c r="I2362" s="198">
        <f>G2362*D2362</f>
        <v>0</v>
      </c>
      <c r="J2362" s="199" t="s">
        <v>2198</v>
      </c>
      <c r="K2362" s="699" t="s">
        <v>717</v>
      </c>
      <c r="L2362" s="209" t="s">
        <v>841</v>
      </c>
      <c r="M2362" s="207">
        <f>ROUND(K2362*I2362/10000,6)</f>
        <v>0</v>
      </c>
      <c r="N2362" s="198">
        <f>'02 项目基础信息（输入）'!$C$66</f>
        <v>815</v>
      </c>
      <c r="O2362" s="198">
        <f t="shared" si="268"/>
        <v>0</v>
      </c>
      <c r="P2362" s="198">
        <f>'02 项目基础信息（输入）'!$I$66</f>
        <v>815</v>
      </c>
      <c r="Q2362" s="233">
        <f t="shared" si="269"/>
        <v>0</v>
      </c>
      <c r="S2362" s="217"/>
      <c r="U2362" s="220" t="s">
        <v>4151</v>
      </c>
    </row>
    <row r="2363" spans="1:21" ht="20.25" customHeight="1" outlineLevel="2" collapsed="1">
      <c r="A2363" s="192" t="s">
        <v>1937</v>
      </c>
      <c r="B2363" s="192"/>
      <c r="C2363" s="197" t="s">
        <v>1609</v>
      </c>
      <c r="D2363" s="198">
        <f>'02 项目基础信息（输入）'!$C$66</f>
        <v>815</v>
      </c>
      <c r="E2363" s="199" t="s">
        <v>93</v>
      </c>
      <c r="F2363" s="197"/>
      <c r="G2363" s="199"/>
      <c r="H2363" s="199"/>
      <c r="I2363" s="197"/>
      <c r="J2363" s="199"/>
      <c r="K2363" s="198"/>
      <c r="L2363" s="209"/>
      <c r="M2363" s="198">
        <f>ROUND(SUM(M2364),6)</f>
        <v>0</v>
      </c>
      <c r="N2363" s="198">
        <f>'02 项目基础信息（输入）'!$C$66</f>
        <v>815</v>
      </c>
      <c r="O2363" s="198">
        <f t="shared" si="268"/>
        <v>0</v>
      </c>
      <c r="P2363" s="198">
        <f>'02 项目基础信息（输入）'!$I$66</f>
        <v>815</v>
      </c>
      <c r="Q2363" s="233">
        <f t="shared" si="269"/>
        <v>0</v>
      </c>
      <c r="S2363" s="217" t="s">
        <v>1313</v>
      </c>
      <c r="U2363" s="220" t="s">
        <v>4152</v>
      </c>
    </row>
    <row r="2364" spans="1:21" ht="20.25" hidden="1" customHeight="1" outlineLevel="3">
      <c r="A2364" s="192" t="s">
        <v>2205</v>
      </c>
      <c r="B2364" s="192"/>
      <c r="C2364" s="197" t="s">
        <v>1609</v>
      </c>
      <c r="D2364" s="198">
        <f>'02 项目基础信息（输入）'!$C$66</f>
        <v>815</v>
      </c>
      <c r="E2364" s="199" t="s">
        <v>93</v>
      </c>
      <c r="F2364" s="197" t="s">
        <v>1609</v>
      </c>
      <c r="G2364" s="199">
        <v>1</v>
      </c>
      <c r="H2364" s="199" t="s">
        <v>298</v>
      </c>
      <c r="I2364" s="198">
        <f>G2364*D2364</f>
        <v>815</v>
      </c>
      <c r="J2364" s="199" t="s">
        <v>93</v>
      </c>
      <c r="K2364" s="699" t="s">
        <v>717</v>
      </c>
      <c r="L2364" s="209" t="s">
        <v>675</v>
      </c>
      <c r="M2364" s="207">
        <f>ROUND(K2364*I2364/10000,6)</f>
        <v>0</v>
      </c>
      <c r="N2364" s="198">
        <f>'02 项目基础信息（输入）'!$C$66</f>
        <v>815</v>
      </c>
      <c r="O2364" s="198">
        <f t="shared" si="268"/>
        <v>0</v>
      </c>
      <c r="P2364" s="198">
        <f>'02 项目基础信息（输入）'!$I$66</f>
        <v>815</v>
      </c>
      <c r="Q2364" s="233">
        <f t="shared" si="269"/>
        <v>0</v>
      </c>
      <c r="S2364" s="217"/>
      <c r="U2364" s="220" t="s">
        <v>4153</v>
      </c>
    </row>
    <row r="2365" spans="1:21" ht="20.25" customHeight="1" outlineLevel="2" collapsed="1">
      <c r="A2365" s="192" t="s">
        <v>1939</v>
      </c>
      <c r="B2365" s="192"/>
      <c r="C2365" s="197" t="s">
        <v>1609</v>
      </c>
      <c r="D2365" s="198">
        <f>'02 项目基础信息（输入）'!$C$66</f>
        <v>815</v>
      </c>
      <c r="E2365" s="199" t="s">
        <v>93</v>
      </c>
      <c r="F2365" s="197"/>
      <c r="G2365" s="199"/>
      <c r="H2365" s="199"/>
      <c r="I2365" s="197"/>
      <c r="J2365" s="199"/>
      <c r="K2365" s="198"/>
      <c r="L2365" s="209"/>
      <c r="M2365" s="198">
        <f>ROUND(SUM(M2366),6)</f>
        <v>1</v>
      </c>
      <c r="N2365" s="198">
        <f>'02 项目基础信息（输入）'!$C$66</f>
        <v>815</v>
      </c>
      <c r="O2365" s="198">
        <f t="shared" si="268"/>
        <v>12.27</v>
      </c>
      <c r="P2365" s="198">
        <f>'02 项目基础信息（输入）'!$I$66</f>
        <v>815</v>
      </c>
      <c r="Q2365" s="233">
        <f t="shared" si="269"/>
        <v>12.27</v>
      </c>
      <c r="S2365" s="217" t="s">
        <v>1313</v>
      </c>
      <c r="U2365" s="220" t="s">
        <v>4154</v>
      </c>
    </row>
    <row r="2366" spans="1:21" ht="20.25" hidden="1" customHeight="1" outlineLevel="3">
      <c r="A2366" s="192" t="s">
        <v>2208</v>
      </c>
      <c r="B2366" s="192"/>
      <c r="C2366" s="197" t="s">
        <v>477</v>
      </c>
      <c r="D2366" s="198">
        <f>'02 项目基础信息（输入）'!$AG$66</f>
        <v>1</v>
      </c>
      <c r="E2366" s="199" t="s">
        <v>2209</v>
      </c>
      <c r="F2366" s="197" t="s">
        <v>477</v>
      </c>
      <c r="G2366" s="199">
        <v>1</v>
      </c>
      <c r="H2366" s="199" t="s">
        <v>2210</v>
      </c>
      <c r="I2366" s="198">
        <f>G2366*D2366</f>
        <v>1</v>
      </c>
      <c r="J2366" s="199" t="s">
        <v>2209</v>
      </c>
      <c r="K2366" s="699">
        <v>10000</v>
      </c>
      <c r="L2366" s="209" t="s">
        <v>2211</v>
      </c>
      <c r="M2366" s="207">
        <f>ROUND(K2366*I2366/10000,6)</f>
        <v>1</v>
      </c>
      <c r="N2366" s="198">
        <f>'02 项目基础信息（输入）'!$C$66</f>
        <v>815</v>
      </c>
      <c r="O2366" s="198">
        <f t="shared" si="268"/>
        <v>12.27</v>
      </c>
      <c r="P2366" s="198">
        <f>'02 项目基础信息（输入）'!$I$66</f>
        <v>815</v>
      </c>
      <c r="Q2366" s="233">
        <f t="shared" si="269"/>
        <v>12.27</v>
      </c>
      <c r="S2366" s="217"/>
      <c r="U2366" s="220" t="s">
        <v>4155</v>
      </c>
    </row>
    <row r="2367" spans="1:21" ht="20.25" customHeight="1" outlineLevel="2">
      <c r="A2367" s="192" t="s">
        <v>1941</v>
      </c>
      <c r="B2367" s="192"/>
      <c r="C2367" s="197" t="s">
        <v>1609</v>
      </c>
      <c r="D2367" s="198">
        <f>'02 项目基础信息（输入）'!$C$66</f>
        <v>815</v>
      </c>
      <c r="E2367" s="199" t="s">
        <v>93</v>
      </c>
      <c r="F2367" s="197"/>
      <c r="G2367" s="199"/>
      <c r="H2367" s="199"/>
      <c r="I2367" s="197"/>
      <c r="J2367" s="199"/>
      <c r="K2367" s="198"/>
      <c r="L2367" s="209"/>
      <c r="M2367" s="197">
        <v>0</v>
      </c>
      <c r="N2367" s="198">
        <f>'02 项目基础信息（输入）'!$C$66</f>
        <v>815</v>
      </c>
      <c r="O2367" s="198">
        <f t="shared" si="268"/>
        <v>0</v>
      </c>
      <c r="P2367" s="198">
        <f>'02 项目基础信息（输入）'!$I$66</f>
        <v>815</v>
      </c>
      <c r="Q2367" s="233">
        <f t="shared" si="269"/>
        <v>0</v>
      </c>
      <c r="S2367" s="217" t="s">
        <v>1313</v>
      </c>
      <c r="U2367" s="220" t="s">
        <v>4156</v>
      </c>
    </row>
    <row r="2368" spans="1:21" ht="20.25" customHeight="1" outlineLevel="2">
      <c r="A2368" s="192" t="s">
        <v>1952</v>
      </c>
      <c r="B2368" s="192"/>
      <c r="C2368" s="197" t="s">
        <v>1609</v>
      </c>
      <c r="D2368" s="198">
        <f>'02 项目基础信息（输入）'!$C$66</f>
        <v>815</v>
      </c>
      <c r="E2368" s="199" t="s">
        <v>93</v>
      </c>
      <c r="F2368" s="197"/>
      <c r="G2368" s="199"/>
      <c r="H2368" s="199"/>
      <c r="I2368" s="197"/>
      <c r="J2368" s="199"/>
      <c r="K2368" s="198"/>
      <c r="L2368" s="209"/>
      <c r="M2368" s="197">
        <v>0</v>
      </c>
      <c r="N2368" s="198">
        <f>'02 项目基础信息（输入）'!$C$66</f>
        <v>815</v>
      </c>
      <c r="O2368" s="198">
        <f t="shared" si="268"/>
        <v>0</v>
      </c>
      <c r="P2368" s="198">
        <f>'02 项目基础信息（输入）'!$I$66</f>
        <v>815</v>
      </c>
      <c r="Q2368" s="233">
        <f t="shared" si="269"/>
        <v>0</v>
      </c>
      <c r="S2368" s="217" t="s">
        <v>1313</v>
      </c>
      <c r="U2368" s="220" t="s">
        <v>4157</v>
      </c>
    </row>
    <row r="2369" spans="1:21" ht="20.25" customHeight="1" outlineLevel="2" collapsed="1">
      <c r="A2369" s="192" t="s">
        <v>1957</v>
      </c>
      <c r="B2369" s="192"/>
      <c r="C2369" s="197" t="s">
        <v>1609</v>
      </c>
      <c r="D2369" s="198">
        <f>'02 项目基础信息（输入）'!$C$66</f>
        <v>815</v>
      </c>
      <c r="E2369" s="199" t="s">
        <v>93</v>
      </c>
      <c r="F2369" s="197"/>
      <c r="G2369" s="199"/>
      <c r="H2369" s="199"/>
      <c r="I2369" s="197"/>
      <c r="J2369" s="199"/>
      <c r="K2369" s="198"/>
      <c r="L2369" s="209"/>
      <c r="M2369" s="198">
        <f>ROUND(SUM(M2370:M2373),6)</f>
        <v>44.4</v>
      </c>
      <c r="N2369" s="198">
        <f>'02 项目基础信息（输入）'!$C$66</f>
        <v>815</v>
      </c>
      <c r="O2369" s="198">
        <f t="shared" si="268"/>
        <v>544.79</v>
      </c>
      <c r="P2369" s="198">
        <f>'02 项目基础信息（输入）'!$I$66</f>
        <v>815</v>
      </c>
      <c r="Q2369" s="233">
        <f t="shared" si="269"/>
        <v>544.79</v>
      </c>
      <c r="S2369" s="217" t="s">
        <v>1313</v>
      </c>
      <c r="U2369" s="220" t="s">
        <v>4158</v>
      </c>
    </row>
    <row r="2370" spans="1:21" ht="20.25" hidden="1" customHeight="1" outlineLevel="3">
      <c r="A2370" s="192" t="s">
        <v>1959</v>
      </c>
      <c r="B2370" s="192"/>
      <c r="C2370" s="197" t="s">
        <v>1609</v>
      </c>
      <c r="D2370" s="198">
        <f>'02 项目基础信息（输入）'!$C$66</f>
        <v>815</v>
      </c>
      <c r="E2370" s="199" t="s">
        <v>93</v>
      </c>
      <c r="F2370" s="197" t="s">
        <v>1960</v>
      </c>
      <c r="G2370" s="701">
        <f>总指标!K7/'02 项目基础信息（输入）'!C66</f>
        <v>0.45398773006134968</v>
      </c>
      <c r="H2370" s="199" t="s">
        <v>298</v>
      </c>
      <c r="I2370" s="198">
        <f>G2370*D2370</f>
        <v>370</v>
      </c>
      <c r="J2370" s="199" t="s">
        <v>93</v>
      </c>
      <c r="K2370" s="699">
        <v>1200</v>
      </c>
      <c r="L2370" s="209" t="s">
        <v>675</v>
      </c>
      <c r="M2370" s="207">
        <f>ROUND(K2370*I2370/10000,6)</f>
        <v>44.4</v>
      </c>
      <c r="N2370" s="198">
        <f>'02 项目基础信息（输入）'!$C$66</f>
        <v>815</v>
      </c>
      <c r="O2370" s="198">
        <f t="shared" si="268"/>
        <v>544.79</v>
      </c>
      <c r="P2370" s="198">
        <f>'02 项目基础信息（输入）'!$I$66</f>
        <v>815</v>
      </c>
      <c r="Q2370" s="233">
        <f t="shared" si="269"/>
        <v>544.79</v>
      </c>
      <c r="R2370" s="188" t="s">
        <v>8075</v>
      </c>
      <c r="S2370" s="217"/>
      <c r="U2370" s="220" t="s">
        <v>4159</v>
      </c>
    </row>
    <row r="2371" spans="1:21" ht="20.25" hidden="1" customHeight="1" outlineLevel="3">
      <c r="A2371" s="192" t="s">
        <v>1962</v>
      </c>
      <c r="B2371" s="192"/>
      <c r="C2371" s="197" t="s">
        <v>1609</v>
      </c>
      <c r="D2371" s="198">
        <f>'02 项目基础信息（输入）'!$C$66</f>
        <v>815</v>
      </c>
      <c r="E2371" s="199" t="s">
        <v>93</v>
      </c>
      <c r="F2371" s="197" t="s">
        <v>1960</v>
      </c>
      <c r="G2371" s="701" t="s">
        <v>717</v>
      </c>
      <c r="H2371" s="199" t="s">
        <v>298</v>
      </c>
      <c r="I2371" s="198">
        <f>G2371*D2371</f>
        <v>0</v>
      </c>
      <c r="J2371" s="199" t="s">
        <v>93</v>
      </c>
      <c r="K2371" s="699" t="s">
        <v>717</v>
      </c>
      <c r="L2371" s="209" t="s">
        <v>675</v>
      </c>
      <c r="M2371" s="207">
        <f>ROUND(K2371*I2371/10000,6)</f>
        <v>0</v>
      </c>
      <c r="N2371" s="198">
        <f>'02 项目基础信息（输入）'!$C$66</f>
        <v>815</v>
      </c>
      <c r="O2371" s="198">
        <f t="shared" ref="O2371:O2434" si="274">ROUND(IFERROR(M2371*10000/N2371,0),2)</f>
        <v>0</v>
      </c>
      <c r="P2371" s="198">
        <f>'02 项目基础信息（输入）'!$I$66</f>
        <v>815</v>
      </c>
      <c r="Q2371" s="233">
        <f t="shared" ref="Q2371:Q2434" si="275">ROUND(IFERROR(M2371*10000/P2371,0),2)</f>
        <v>0</v>
      </c>
      <c r="S2371" s="217"/>
      <c r="U2371" s="220" t="s">
        <v>4160</v>
      </c>
    </row>
    <row r="2372" spans="1:21" ht="20.25" hidden="1" customHeight="1" outlineLevel="3">
      <c r="A2372" s="192" t="s">
        <v>1964</v>
      </c>
      <c r="B2372" s="192"/>
      <c r="C2372" s="197" t="s">
        <v>1609</v>
      </c>
      <c r="D2372" s="198">
        <f>'02 项目基础信息（输入）'!$C$66</f>
        <v>815</v>
      </c>
      <c r="E2372" s="199" t="s">
        <v>93</v>
      </c>
      <c r="F2372" s="197" t="s">
        <v>1960</v>
      </c>
      <c r="G2372" s="701" t="s">
        <v>717</v>
      </c>
      <c r="H2372" s="199" t="s">
        <v>298</v>
      </c>
      <c r="I2372" s="198">
        <f>G2372*D2372</f>
        <v>0</v>
      </c>
      <c r="J2372" s="199" t="s">
        <v>93</v>
      </c>
      <c r="K2372" s="699" t="s">
        <v>717</v>
      </c>
      <c r="L2372" s="209" t="s">
        <v>675</v>
      </c>
      <c r="M2372" s="207">
        <f>ROUND(K2372*I2372/10000,6)</f>
        <v>0</v>
      </c>
      <c r="N2372" s="198">
        <f>'02 项目基础信息（输入）'!$C$66</f>
        <v>815</v>
      </c>
      <c r="O2372" s="198">
        <f t="shared" si="274"/>
        <v>0</v>
      </c>
      <c r="P2372" s="198">
        <f>'02 项目基础信息（输入）'!$I$66</f>
        <v>815</v>
      </c>
      <c r="Q2372" s="233">
        <f t="shared" si="275"/>
        <v>0</v>
      </c>
      <c r="S2372" s="217"/>
      <c r="U2372" s="220" t="s">
        <v>4161</v>
      </c>
    </row>
    <row r="2373" spans="1:21" ht="20.25" hidden="1" customHeight="1" outlineLevel="3">
      <c r="A2373" s="192" t="s">
        <v>1966</v>
      </c>
      <c r="B2373" s="192"/>
      <c r="C2373" s="197" t="s">
        <v>1609</v>
      </c>
      <c r="D2373" s="198">
        <f>'02 项目基础信息（输入）'!$C$66</f>
        <v>815</v>
      </c>
      <c r="E2373" s="199" t="s">
        <v>93</v>
      </c>
      <c r="F2373" s="197" t="s">
        <v>1960</v>
      </c>
      <c r="G2373" s="701">
        <v>0</v>
      </c>
      <c r="H2373" s="199" t="s">
        <v>298</v>
      </c>
      <c r="I2373" s="198">
        <f>G2373*D2373</f>
        <v>0</v>
      </c>
      <c r="J2373" s="199" t="s">
        <v>93</v>
      </c>
      <c r="K2373" s="699">
        <v>0</v>
      </c>
      <c r="L2373" s="209" t="s">
        <v>675</v>
      </c>
      <c r="M2373" s="207">
        <f>ROUND(K2373*I2373/10000,6)</f>
        <v>0</v>
      </c>
      <c r="N2373" s="198">
        <f>'02 项目基础信息（输入）'!$C$66</f>
        <v>815</v>
      </c>
      <c r="O2373" s="198">
        <f t="shared" si="274"/>
        <v>0</v>
      </c>
      <c r="P2373" s="198">
        <f>'02 项目基础信息（输入）'!$I$66</f>
        <v>815</v>
      </c>
      <c r="Q2373" s="233">
        <f t="shared" si="275"/>
        <v>0</v>
      </c>
      <c r="S2373" s="217"/>
      <c r="U2373" s="220" t="s">
        <v>4162</v>
      </c>
    </row>
    <row r="2374" spans="1:21" ht="20.25" customHeight="1" outlineLevel="2" collapsed="1">
      <c r="A2374" s="192" t="s">
        <v>1968</v>
      </c>
      <c r="B2374" s="192"/>
      <c r="C2374" s="197" t="s">
        <v>1609</v>
      </c>
      <c r="D2374" s="198">
        <f>'02 项目基础信息（输入）'!$C$66</f>
        <v>815</v>
      </c>
      <c r="E2374" s="199" t="s">
        <v>93</v>
      </c>
      <c r="F2374" s="197"/>
      <c r="G2374" s="199"/>
      <c r="H2374" s="199"/>
      <c r="I2374" s="197"/>
      <c r="J2374" s="199"/>
      <c r="K2374" s="198"/>
      <c r="L2374" s="209"/>
      <c r="M2374" s="198">
        <f>ROUND(SUM(M2375),6)</f>
        <v>0</v>
      </c>
      <c r="N2374" s="198">
        <f>'02 项目基础信息（输入）'!$C$66</f>
        <v>815</v>
      </c>
      <c r="O2374" s="198">
        <f t="shared" si="274"/>
        <v>0</v>
      </c>
      <c r="P2374" s="198">
        <f>'02 项目基础信息（输入）'!$I$66</f>
        <v>815</v>
      </c>
      <c r="Q2374" s="233">
        <f t="shared" si="275"/>
        <v>0</v>
      </c>
      <c r="S2374" s="217" t="s">
        <v>1313</v>
      </c>
      <c r="U2374" s="220" t="s">
        <v>4163</v>
      </c>
    </row>
    <row r="2375" spans="1:21" ht="20.25" hidden="1" customHeight="1" outlineLevel="3">
      <c r="A2375" s="192" t="s">
        <v>1970</v>
      </c>
      <c r="B2375" s="192"/>
      <c r="C2375" s="197" t="s">
        <v>1609</v>
      </c>
      <c r="D2375" s="198">
        <f>'02 项目基础信息（输入）'!$C$66</f>
        <v>815</v>
      </c>
      <c r="E2375" s="199" t="s">
        <v>93</v>
      </c>
      <c r="F2375" s="197" t="s">
        <v>1609</v>
      </c>
      <c r="G2375" s="199">
        <v>1</v>
      </c>
      <c r="H2375" s="199" t="s">
        <v>298</v>
      </c>
      <c r="I2375" s="198">
        <f>G2375*D2375</f>
        <v>815</v>
      </c>
      <c r="J2375" s="199" t="s">
        <v>93</v>
      </c>
      <c r="K2375" s="699" t="s">
        <v>717</v>
      </c>
      <c r="L2375" s="209" t="s">
        <v>675</v>
      </c>
      <c r="M2375" s="207">
        <f>ROUND(K2375*I2375/10000,6)</f>
        <v>0</v>
      </c>
      <c r="N2375" s="198">
        <f>'02 项目基础信息（输入）'!$C$66</f>
        <v>815</v>
      </c>
      <c r="O2375" s="198">
        <f t="shared" si="274"/>
        <v>0</v>
      </c>
      <c r="P2375" s="198">
        <f>'02 项目基础信息（输入）'!$I$66</f>
        <v>815</v>
      </c>
      <c r="Q2375" s="233">
        <f t="shared" si="275"/>
        <v>0</v>
      </c>
      <c r="S2375" s="217"/>
      <c r="U2375" s="220" t="s">
        <v>4164</v>
      </c>
    </row>
    <row r="2376" spans="1:21" ht="20.25" customHeight="1" outlineLevel="2" collapsed="1">
      <c r="A2376" s="192" t="s">
        <v>1972</v>
      </c>
      <c r="B2376" s="192"/>
      <c r="C2376" s="197" t="s">
        <v>1609</v>
      </c>
      <c r="D2376" s="198">
        <f>'02 项目基础信息（输入）'!$C$66</f>
        <v>815</v>
      </c>
      <c r="E2376" s="199" t="s">
        <v>93</v>
      </c>
      <c r="F2376" s="197"/>
      <c r="G2376" s="199"/>
      <c r="H2376" s="199"/>
      <c r="I2376" s="197"/>
      <c r="J2376" s="199"/>
      <c r="K2376" s="198"/>
      <c r="L2376" s="209"/>
      <c r="M2376" s="198">
        <f>ROUND(SUM(M2377),6)</f>
        <v>0</v>
      </c>
      <c r="N2376" s="198">
        <f>'02 项目基础信息（输入）'!$C$66</f>
        <v>815</v>
      </c>
      <c r="O2376" s="198">
        <f t="shared" si="274"/>
        <v>0</v>
      </c>
      <c r="P2376" s="198">
        <f>'02 项目基础信息（输入）'!$I$66</f>
        <v>815</v>
      </c>
      <c r="Q2376" s="233">
        <f t="shared" si="275"/>
        <v>0</v>
      </c>
      <c r="S2376" s="217" t="s">
        <v>1313</v>
      </c>
      <c r="U2376" s="220" t="s">
        <v>4165</v>
      </c>
    </row>
    <row r="2377" spans="1:21" ht="20.25" hidden="1" customHeight="1" outlineLevel="3">
      <c r="A2377" s="192" t="s">
        <v>1974</v>
      </c>
      <c r="B2377" s="192"/>
      <c r="C2377" s="197" t="s">
        <v>1609</v>
      </c>
      <c r="D2377" s="198">
        <f>'02 项目基础信息（输入）'!$C$66</f>
        <v>815</v>
      </c>
      <c r="E2377" s="199" t="s">
        <v>93</v>
      </c>
      <c r="F2377" s="197" t="s">
        <v>1609</v>
      </c>
      <c r="G2377" s="199">
        <v>1</v>
      </c>
      <c r="H2377" s="199" t="s">
        <v>298</v>
      </c>
      <c r="I2377" s="198">
        <f>G2377*D2377</f>
        <v>815</v>
      </c>
      <c r="J2377" s="199" t="s">
        <v>93</v>
      </c>
      <c r="K2377" s="699" t="s">
        <v>717</v>
      </c>
      <c r="L2377" s="209" t="s">
        <v>675</v>
      </c>
      <c r="M2377" s="207">
        <f>ROUND(K2377*I2377/10000,6)</f>
        <v>0</v>
      </c>
      <c r="N2377" s="198">
        <f>'02 项目基础信息（输入）'!$C$66</f>
        <v>815</v>
      </c>
      <c r="O2377" s="198">
        <f t="shared" si="274"/>
        <v>0</v>
      </c>
      <c r="P2377" s="198">
        <f>'02 项目基础信息（输入）'!$I$66</f>
        <v>815</v>
      </c>
      <c r="Q2377" s="233">
        <f t="shared" si="275"/>
        <v>0</v>
      </c>
      <c r="S2377" s="217"/>
      <c r="U2377" s="220" t="s">
        <v>4166</v>
      </c>
    </row>
    <row r="2378" spans="1:21" ht="0" hidden="1" customHeight="1" outlineLevel="1" collapsed="1">
      <c r="A2378" s="248" t="s">
        <v>964</v>
      </c>
      <c r="B2378" s="248"/>
      <c r="C2378" s="202" t="s">
        <v>1609</v>
      </c>
      <c r="D2378" s="203">
        <f>'02 项目基础信息（输入）'!$C$72</f>
        <v>0</v>
      </c>
      <c r="E2378" s="204" t="s">
        <v>93</v>
      </c>
      <c r="F2378" s="202"/>
      <c r="G2378" s="204"/>
      <c r="H2378" s="204"/>
      <c r="I2378" s="202"/>
      <c r="J2378" s="204"/>
      <c r="K2378" s="202"/>
      <c r="L2378" s="210"/>
      <c r="M2378" s="198">
        <f>ROUND(M2379+M2419+M2427+M2460+M2473+M2478+M2480+M2482+M2449,6)</f>
        <v>0</v>
      </c>
      <c r="N2378" s="212">
        <f>'02 项目基础信息（输入）'!$C$72</f>
        <v>0</v>
      </c>
      <c r="O2378" s="212">
        <f t="shared" si="274"/>
        <v>0</v>
      </c>
      <c r="P2378" s="212">
        <f t="shared" ref="P2378:P2441" si="276">N2378</f>
        <v>0</v>
      </c>
      <c r="Q2378" s="271">
        <f t="shared" si="275"/>
        <v>0</v>
      </c>
      <c r="S2378" s="221"/>
      <c r="T2378" s="222"/>
      <c r="U2378" s="272" t="s">
        <v>4167</v>
      </c>
    </row>
    <row r="2379" spans="1:21" ht="0" hidden="1" customHeight="1" outlineLevel="2">
      <c r="A2379" s="201" t="s">
        <v>4168</v>
      </c>
      <c r="B2379" s="201"/>
      <c r="C2379" s="202" t="s">
        <v>1609</v>
      </c>
      <c r="D2379" s="203">
        <f>'02 项目基础信息（输入）'!$C$72</f>
        <v>0</v>
      </c>
      <c r="E2379" s="204" t="s">
        <v>93</v>
      </c>
      <c r="F2379" s="202"/>
      <c r="G2379" s="204"/>
      <c r="H2379" s="204"/>
      <c r="I2379" s="203"/>
      <c r="J2379" s="204"/>
      <c r="K2379" s="264"/>
      <c r="L2379" s="210"/>
      <c r="M2379" s="198">
        <f>ROUND(M2380+M2394+M2400+M2413,6)</f>
        <v>0</v>
      </c>
      <c r="N2379" s="212">
        <f>'02 项目基础信息（输入）'!$C$72</f>
        <v>0</v>
      </c>
      <c r="O2379" s="203">
        <f t="shared" si="274"/>
        <v>0</v>
      </c>
      <c r="P2379" s="203">
        <f t="shared" si="276"/>
        <v>0</v>
      </c>
      <c r="Q2379" s="271">
        <f t="shared" si="275"/>
        <v>0</v>
      </c>
      <c r="S2379" s="221" t="s">
        <v>1313</v>
      </c>
      <c r="T2379" s="222"/>
      <c r="U2379" s="272" t="s">
        <v>4169</v>
      </c>
    </row>
    <row r="2380" spans="1:21" s="181" customFormat="1" ht="0" hidden="1" customHeight="1" outlineLevel="3">
      <c r="A2380" s="201" t="s">
        <v>4170</v>
      </c>
      <c r="B2380" s="249"/>
      <c r="C2380" s="250" t="s">
        <v>1609</v>
      </c>
      <c r="D2380" s="203">
        <f>'02 项目基础信息（输入）'!$C$72</f>
        <v>0</v>
      </c>
      <c r="E2380" s="204" t="s">
        <v>93</v>
      </c>
      <c r="F2380" s="202"/>
      <c r="G2380" s="204"/>
      <c r="H2380" s="204"/>
      <c r="I2380" s="265"/>
      <c r="J2380" s="204"/>
      <c r="K2380" s="202"/>
      <c r="L2380" s="210"/>
      <c r="M2380" s="198">
        <f>ROUND(M2381+M2384+M2386+M2389+M2391+M2392+M2393,6)</f>
        <v>0</v>
      </c>
      <c r="N2380" s="212">
        <f>'02 项目基础信息（输入）'!$C$72</f>
        <v>0</v>
      </c>
      <c r="O2380" s="203">
        <f t="shared" si="274"/>
        <v>0</v>
      </c>
      <c r="P2380" s="203">
        <f t="shared" si="276"/>
        <v>0</v>
      </c>
      <c r="Q2380" s="271">
        <f t="shared" si="275"/>
        <v>0</v>
      </c>
      <c r="R2380" s="188"/>
      <c r="S2380" s="221"/>
      <c r="T2380" s="222"/>
      <c r="U2380" s="272" t="s">
        <v>4171</v>
      </c>
    </row>
    <row r="2381" spans="1:21" s="181" customFormat="1" ht="0" hidden="1" customHeight="1" outlineLevel="4">
      <c r="A2381" s="201" t="s">
        <v>4172</v>
      </c>
      <c r="B2381" s="249"/>
      <c r="C2381" s="250" t="s">
        <v>1609</v>
      </c>
      <c r="D2381" s="203">
        <f>'02 项目基础信息（输入）'!$C$72</f>
        <v>0</v>
      </c>
      <c r="E2381" s="204" t="s">
        <v>93</v>
      </c>
      <c r="F2381" s="202"/>
      <c r="G2381" s="251"/>
      <c r="H2381" s="204"/>
      <c r="I2381" s="265"/>
      <c r="J2381" s="204"/>
      <c r="K2381" s="266"/>
      <c r="L2381" s="210"/>
      <c r="M2381" s="198">
        <f>ROUND(SUM(M2382:M2383),6)</f>
        <v>0</v>
      </c>
      <c r="N2381" s="212">
        <f>'02 项目基础信息（输入）'!$C$72</f>
        <v>0</v>
      </c>
      <c r="O2381" s="203">
        <f t="shared" si="274"/>
        <v>0</v>
      </c>
      <c r="P2381" s="203">
        <f t="shared" si="276"/>
        <v>0</v>
      </c>
      <c r="Q2381" s="271">
        <f t="shared" si="275"/>
        <v>0</v>
      </c>
      <c r="R2381" s="188"/>
      <c r="S2381" s="221"/>
      <c r="T2381" s="222"/>
      <c r="U2381" s="272" t="s">
        <v>4173</v>
      </c>
    </row>
    <row r="2382" spans="1:21" s="181" customFormat="1" ht="0" hidden="1" customHeight="1" outlineLevel="5">
      <c r="A2382" s="201" t="s">
        <v>4174</v>
      </c>
      <c r="B2382" s="249"/>
      <c r="C2382" s="250" t="s">
        <v>1609</v>
      </c>
      <c r="D2382" s="203">
        <f>'02 项目基础信息（输入）'!$C$72</f>
        <v>0</v>
      </c>
      <c r="E2382" s="204" t="s">
        <v>93</v>
      </c>
      <c r="F2382" s="202" t="s">
        <v>1616</v>
      </c>
      <c r="G2382" s="252">
        <f>'03 成本测算（输入）'!D162</f>
        <v>0</v>
      </c>
      <c r="H2382" s="204" t="s">
        <v>966</v>
      </c>
      <c r="I2382" s="265">
        <f>D2382*G2382</f>
        <v>0</v>
      </c>
      <c r="J2382" s="204" t="s">
        <v>1617</v>
      </c>
      <c r="K2382" s="267">
        <f>'03 成本测算（输入）'!D163</f>
        <v>0</v>
      </c>
      <c r="L2382" s="210" t="s">
        <v>664</v>
      </c>
      <c r="M2382" s="198">
        <f>ROUND(K2382*I2382/10000,6)</f>
        <v>0</v>
      </c>
      <c r="N2382" s="212">
        <f>'02 项目基础信息（输入）'!$C$72</f>
        <v>0</v>
      </c>
      <c r="O2382" s="203">
        <f t="shared" si="274"/>
        <v>0</v>
      </c>
      <c r="P2382" s="203">
        <f t="shared" si="276"/>
        <v>0</v>
      </c>
      <c r="Q2382" s="271">
        <f t="shared" si="275"/>
        <v>0</v>
      </c>
      <c r="R2382" s="188"/>
      <c r="S2382" s="221"/>
      <c r="T2382" s="222"/>
      <c r="U2382" s="272" t="s">
        <v>4175</v>
      </c>
    </row>
    <row r="2383" spans="1:21" s="181" customFormat="1" ht="0" hidden="1" customHeight="1" outlineLevel="5">
      <c r="A2383" s="201" t="s">
        <v>4176</v>
      </c>
      <c r="B2383" s="249"/>
      <c r="C2383" s="250" t="s">
        <v>1609</v>
      </c>
      <c r="D2383" s="203">
        <f>'02 项目基础信息（输入）'!$C$72</f>
        <v>0</v>
      </c>
      <c r="E2383" s="204" t="s">
        <v>93</v>
      </c>
      <c r="F2383" s="202" t="s">
        <v>1616</v>
      </c>
      <c r="G2383" s="251">
        <f>G2382</f>
        <v>0</v>
      </c>
      <c r="H2383" s="204" t="s">
        <v>966</v>
      </c>
      <c r="I2383" s="265">
        <f>D2383*G2383</f>
        <v>0</v>
      </c>
      <c r="J2383" s="204" t="s">
        <v>1617</v>
      </c>
      <c r="K2383" s="267">
        <f>'03 成本测算（输入）'!D164</f>
        <v>0</v>
      </c>
      <c r="L2383" s="210" t="s">
        <v>664</v>
      </c>
      <c r="M2383" s="198">
        <f>ROUND(K2383*I2383/10000,6)</f>
        <v>0</v>
      </c>
      <c r="N2383" s="212">
        <f>'02 项目基础信息（输入）'!$C$72</f>
        <v>0</v>
      </c>
      <c r="O2383" s="203">
        <f t="shared" si="274"/>
        <v>0</v>
      </c>
      <c r="P2383" s="203">
        <f t="shared" si="276"/>
        <v>0</v>
      </c>
      <c r="Q2383" s="271">
        <f t="shared" si="275"/>
        <v>0</v>
      </c>
      <c r="R2383" s="188"/>
      <c r="S2383" s="221"/>
      <c r="T2383" s="222"/>
      <c r="U2383" s="272" t="s">
        <v>4177</v>
      </c>
    </row>
    <row r="2384" spans="1:21" s="181" customFormat="1" ht="0" hidden="1" customHeight="1" outlineLevel="4">
      <c r="A2384" s="253" t="s">
        <v>4178</v>
      </c>
      <c r="B2384" s="254"/>
      <c r="C2384" s="250" t="s">
        <v>1609</v>
      </c>
      <c r="D2384" s="203">
        <f>'02 项目基础信息（输入）'!$C$72</f>
        <v>0</v>
      </c>
      <c r="E2384" s="204" t="s">
        <v>93</v>
      </c>
      <c r="F2384" s="202"/>
      <c r="G2384" s="251"/>
      <c r="H2384" s="255"/>
      <c r="I2384" s="265"/>
      <c r="J2384" s="204"/>
      <c r="K2384" s="264"/>
      <c r="L2384" s="210"/>
      <c r="M2384" s="198">
        <f>ROUND(SUM(M2385:M2385),6)</f>
        <v>0</v>
      </c>
      <c r="N2384" s="212">
        <f>'02 项目基础信息（输入）'!$C$72</f>
        <v>0</v>
      </c>
      <c r="O2384" s="203">
        <f t="shared" si="274"/>
        <v>0</v>
      </c>
      <c r="P2384" s="203">
        <f t="shared" si="276"/>
        <v>0</v>
      </c>
      <c r="Q2384" s="271">
        <f t="shared" si="275"/>
        <v>0</v>
      </c>
      <c r="R2384" s="188"/>
      <c r="S2384" s="221"/>
      <c r="T2384" s="222"/>
      <c r="U2384" s="272" t="s">
        <v>4179</v>
      </c>
    </row>
    <row r="2385" spans="1:21" s="181" customFormat="1" ht="0" hidden="1" customHeight="1" outlineLevel="5">
      <c r="A2385" s="253" t="s">
        <v>4180</v>
      </c>
      <c r="B2385" s="254"/>
      <c r="C2385" s="250" t="s">
        <v>1609</v>
      </c>
      <c r="D2385" s="203">
        <f>'02 项目基础信息（输入）'!$C$72</f>
        <v>0</v>
      </c>
      <c r="E2385" s="204" t="s">
        <v>93</v>
      </c>
      <c r="F2385" s="202" t="s">
        <v>4181</v>
      </c>
      <c r="G2385" s="252">
        <f>'03 成本测算（输入）'!D165</f>
        <v>0</v>
      </c>
      <c r="H2385" s="204" t="s">
        <v>298</v>
      </c>
      <c r="I2385" s="265">
        <f>D2385*G2385</f>
        <v>0</v>
      </c>
      <c r="J2385" s="204" t="s">
        <v>93</v>
      </c>
      <c r="K2385" s="267">
        <f>'03 成本测算（输入）'!D166</f>
        <v>0</v>
      </c>
      <c r="L2385" s="210" t="s">
        <v>675</v>
      </c>
      <c r="M2385" s="198">
        <f>ROUND(K2385*I2385/10000,6)</f>
        <v>0</v>
      </c>
      <c r="N2385" s="212">
        <f>'02 项目基础信息（输入）'!$C$72</f>
        <v>0</v>
      </c>
      <c r="O2385" s="203">
        <f t="shared" si="274"/>
        <v>0</v>
      </c>
      <c r="P2385" s="203">
        <f t="shared" si="276"/>
        <v>0</v>
      </c>
      <c r="Q2385" s="271">
        <f t="shared" si="275"/>
        <v>0</v>
      </c>
      <c r="R2385" s="188"/>
      <c r="S2385" s="221"/>
      <c r="T2385" s="222"/>
      <c r="U2385" s="272" t="s">
        <v>4182</v>
      </c>
    </row>
    <row r="2386" spans="1:21" s="181" customFormat="1" ht="0" hidden="1" customHeight="1" outlineLevel="4">
      <c r="A2386" s="253" t="s">
        <v>4183</v>
      </c>
      <c r="B2386" s="254"/>
      <c r="C2386" s="250" t="s">
        <v>1609</v>
      </c>
      <c r="D2386" s="203">
        <f>'02 项目基础信息（输入）'!$C$72</f>
        <v>0</v>
      </c>
      <c r="E2386" s="204" t="s">
        <v>93</v>
      </c>
      <c r="F2386" s="202"/>
      <c r="G2386" s="251"/>
      <c r="H2386" s="204"/>
      <c r="I2386" s="265"/>
      <c r="J2386" s="204"/>
      <c r="K2386" s="266"/>
      <c r="L2386" s="210"/>
      <c r="M2386" s="198">
        <f>ROUND(SUM(M2387:M2388),6)</f>
        <v>0</v>
      </c>
      <c r="N2386" s="212">
        <f>'02 项目基础信息（输入）'!$C$72</f>
        <v>0</v>
      </c>
      <c r="O2386" s="203">
        <f t="shared" si="274"/>
        <v>0</v>
      </c>
      <c r="P2386" s="203">
        <f t="shared" si="276"/>
        <v>0</v>
      </c>
      <c r="Q2386" s="271">
        <f t="shared" si="275"/>
        <v>0</v>
      </c>
      <c r="R2386" s="188"/>
      <c r="S2386" s="221"/>
      <c r="T2386" s="222"/>
      <c r="U2386" s="272" t="s">
        <v>4184</v>
      </c>
    </row>
    <row r="2387" spans="1:21" s="181" customFormat="1" ht="0" hidden="1" customHeight="1" outlineLevel="5">
      <c r="A2387" s="253" t="s">
        <v>4185</v>
      </c>
      <c r="B2387" s="254"/>
      <c r="C2387" s="250" t="s">
        <v>1609</v>
      </c>
      <c r="D2387" s="203">
        <f>'02 项目基础信息（输入）'!$C$72</f>
        <v>0</v>
      </c>
      <c r="E2387" s="204" t="s">
        <v>93</v>
      </c>
      <c r="F2387" s="202" t="s">
        <v>1627</v>
      </c>
      <c r="G2387" s="252">
        <f>'03 成本测算（输入）'!D167</f>
        <v>0</v>
      </c>
      <c r="H2387" s="204" t="s">
        <v>1524</v>
      </c>
      <c r="I2387" s="265">
        <f>D2387*G2387</f>
        <v>0</v>
      </c>
      <c r="J2387" s="204" t="s">
        <v>1525</v>
      </c>
      <c r="K2387" s="267">
        <f>'03 成本测算（输入）'!D168</f>
        <v>0</v>
      </c>
      <c r="L2387" s="210" t="s">
        <v>979</v>
      </c>
      <c r="M2387" s="198">
        <f>ROUND(K2387*I2387/10000,6)</f>
        <v>0</v>
      </c>
      <c r="N2387" s="212">
        <f>'02 项目基础信息（输入）'!$C$72</f>
        <v>0</v>
      </c>
      <c r="O2387" s="203">
        <f t="shared" si="274"/>
        <v>0</v>
      </c>
      <c r="P2387" s="203">
        <f t="shared" si="276"/>
        <v>0</v>
      </c>
      <c r="Q2387" s="271">
        <f t="shared" si="275"/>
        <v>0</v>
      </c>
      <c r="R2387" s="188"/>
      <c r="S2387" s="221"/>
      <c r="T2387" s="222"/>
      <c r="U2387" s="272" t="s">
        <v>4186</v>
      </c>
    </row>
    <row r="2388" spans="1:21" s="181" customFormat="1" ht="0" hidden="1" customHeight="1" outlineLevel="5">
      <c r="A2388" s="253" t="s">
        <v>4187</v>
      </c>
      <c r="B2388" s="254"/>
      <c r="C2388" s="250" t="s">
        <v>1609</v>
      </c>
      <c r="D2388" s="203">
        <f>'02 项目基础信息（输入）'!$C$72</f>
        <v>0</v>
      </c>
      <c r="E2388" s="204" t="s">
        <v>93</v>
      </c>
      <c r="F2388" s="202" t="s">
        <v>1627</v>
      </c>
      <c r="G2388" s="251">
        <f>G2387</f>
        <v>0</v>
      </c>
      <c r="H2388" s="204" t="s">
        <v>1524</v>
      </c>
      <c r="I2388" s="265">
        <f>D2388*G2388</f>
        <v>0</v>
      </c>
      <c r="J2388" s="204" t="s">
        <v>1525</v>
      </c>
      <c r="K2388" s="267">
        <f>'03 成本测算（输入）'!D169</f>
        <v>0</v>
      </c>
      <c r="L2388" s="210" t="s">
        <v>979</v>
      </c>
      <c r="M2388" s="198">
        <f>ROUND(K2388*I2388/10000,6)</f>
        <v>0</v>
      </c>
      <c r="N2388" s="212">
        <f>'02 项目基础信息（输入）'!$C$72</f>
        <v>0</v>
      </c>
      <c r="O2388" s="203">
        <f t="shared" si="274"/>
        <v>0</v>
      </c>
      <c r="P2388" s="203">
        <f t="shared" si="276"/>
        <v>0</v>
      </c>
      <c r="Q2388" s="271">
        <f t="shared" si="275"/>
        <v>0</v>
      </c>
      <c r="R2388" s="188"/>
      <c r="S2388" s="221"/>
      <c r="T2388" s="222"/>
      <c r="U2388" s="272" t="s">
        <v>4188</v>
      </c>
    </row>
    <row r="2389" spans="1:21" s="181" customFormat="1" ht="0" hidden="1" customHeight="1" outlineLevel="4">
      <c r="A2389" s="253" t="s">
        <v>4189</v>
      </c>
      <c r="B2389" s="254"/>
      <c r="C2389" s="250" t="s">
        <v>1609</v>
      </c>
      <c r="D2389" s="203">
        <f>'02 项目基础信息（输入）'!$C$72</f>
        <v>0</v>
      </c>
      <c r="E2389" s="204" t="s">
        <v>93</v>
      </c>
      <c r="F2389" s="256"/>
      <c r="G2389" s="255"/>
      <c r="H2389" s="255"/>
      <c r="I2389" s="268"/>
      <c r="J2389" s="255"/>
      <c r="K2389" s="264"/>
      <c r="L2389" s="205"/>
      <c r="M2389" s="198">
        <f>ROUND(SUM(M2390:M2390),6)</f>
        <v>0</v>
      </c>
      <c r="N2389" s="212">
        <f>'02 项目基础信息（输入）'!$C$72</f>
        <v>0</v>
      </c>
      <c r="O2389" s="203">
        <f t="shared" si="274"/>
        <v>0</v>
      </c>
      <c r="P2389" s="203">
        <f t="shared" si="276"/>
        <v>0</v>
      </c>
      <c r="Q2389" s="271">
        <f t="shared" si="275"/>
        <v>0</v>
      </c>
      <c r="R2389" s="188"/>
      <c r="S2389" s="221"/>
      <c r="T2389" s="222"/>
      <c r="U2389" s="272" t="s">
        <v>4190</v>
      </c>
    </row>
    <row r="2390" spans="1:21" s="181" customFormat="1" ht="0" hidden="1" customHeight="1" outlineLevel="5">
      <c r="A2390" s="253" t="s">
        <v>4191</v>
      </c>
      <c r="B2390" s="254"/>
      <c r="C2390" s="250" t="s">
        <v>1609</v>
      </c>
      <c r="D2390" s="203">
        <f>'02 项目基础信息（输入）'!$C$72</f>
        <v>0</v>
      </c>
      <c r="E2390" s="204" t="s">
        <v>93</v>
      </c>
      <c r="F2390" s="250" t="s">
        <v>1637</v>
      </c>
      <c r="G2390" s="257"/>
      <c r="H2390" s="204" t="s">
        <v>1524</v>
      </c>
      <c r="I2390" s="265">
        <f>D2390*G2390</f>
        <v>0</v>
      </c>
      <c r="J2390" s="204" t="s">
        <v>1525</v>
      </c>
      <c r="K2390" s="269"/>
      <c r="L2390" s="210" t="s">
        <v>979</v>
      </c>
      <c r="M2390" s="198">
        <f>ROUND(K2390*I2390/10000,6)</f>
        <v>0</v>
      </c>
      <c r="N2390" s="212">
        <f>'02 项目基础信息（输入）'!$C$72</f>
        <v>0</v>
      </c>
      <c r="O2390" s="203">
        <f t="shared" si="274"/>
        <v>0</v>
      </c>
      <c r="P2390" s="203">
        <f t="shared" si="276"/>
        <v>0</v>
      </c>
      <c r="Q2390" s="271">
        <f t="shared" si="275"/>
        <v>0</v>
      </c>
      <c r="R2390" s="188"/>
      <c r="S2390" s="221"/>
      <c r="T2390" s="222"/>
      <c r="U2390" s="272" t="s">
        <v>4192</v>
      </c>
    </row>
    <row r="2391" spans="1:21" s="181" customFormat="1" ht="0" hidden="1" customHeight="1" outlineLevel="4">
      <c r="A2391" s="253" t="s">
        <v>4193</v>
      </c>
      <c r="B2391" s="254"/>
      <c r="C2391" s="250" t="s">
        <v>1609</v>
      </c>
      <c r="D2391" s="203">
        <f>'02 项目基础信息（输入）'!$C$72</f>
        <v>0</v>
      </c>
      <c r="E2391" s="204" t="s">
        <v>93</v>
      </c>
      <c r="F2391" s="250" t="s">
        <v>1609</v>
      </c>
      <c r="G2391" s="255">
        <v>1</v>
      </c>
      <c r="H2391" s="204" t="s">
        <v>298</v>
      </c>
      <c r="I2391" s="265">
        <f>D2391*G2391</f>
        <v>0</v>
      </c>
      <c r="J2391" s="204" t="s">
        <v>93</v>
      </c>
      <c r="K2391" s="269"/>
      <c r="L2391" s="210" t="s">
        <v>675</v>
      </c>
      <c r="M2391" s="198">
        <f>ROUND(K2391*I2391/10000,6)</f>
        <v>0</v>
      </c>
      <c r="N2391" s="212">
        <f>'02 项目基础信息（输入）'!$C$72</f>
        <v>0</v>
      </c>
      <c r="O2391" s="203">
        <f t="shared" si="274"/>
        <v>0</v>
      </c>
      <c r="P2391" s="203">
        <f t="shared" si="276"/>
        <v>0</v>
      </c>
      <c r="Q2391" s="271">
        <f t="shared" si="275"/>
        <v>0</v>
      </c>
      <c r="R2391" s="188"/>
      <c r="S2391" s="221"/>
      <c r="T2391" s="222"/>
      <c r="U2391" s="272" t="s">
        <v>4194</v>
      </c>
    </row>
    <row r="2392" spans="1:21" s="181" customFormat="1" ht="0" hidden="1" customHeight="1" outlineLevel="4">
      <c r="A2392" s="253" t="s">
        <v>4195</v>
      </c>
      <c r="B2392" s="254"/>
      <c r="C2392" s="250" t="s">
        <v>1609</v>
      </c>
      <c r="D2392" s="203">
        <f>'02 项目基础信息（输入）'!$C$72</f>
        <v>0</v>
      </c>
      <c r="E2392" s="204" t="s">
        <v>93</v>
      </c>
      <c r="F2392" s="250" t="s">
        <v>1609</v>
      </c>
      <c r="G2392" s="255">
        <v>1</v>
      </c>
      <c r="H2392" s="204" t="s">
        <v>298</v>
      </c>
      <c r="I2392" s="265">
        <f>D2392*G2392</f>
        <v>0</v>
      </c>
      <c r="J2392" s="204" t="s">
        <v>93</v>
      </c>
      <c r="K2392" s="269"/>
      <c r="L2392" s="210" t="s">
        <v>675</v>
      </c>
      <c r="M2392" s="198">
        <f>ROUND(K2392*I2392/10000,6)</f>
        <v>0</v>
      </c>
      <c r="N2392" s="212">
        <f>'02 项目基础信息（输入）'!$C$72</f>
        <v>0</v>
      </c>
      <c r="O2392" s="203">
        <f t="shared" si="274"/>
        <v>0</v>
      </c>
      <c r="P2392" s="203">
        <f t="shared" si="276"/>
        <v>0</v>
      </c>
      <c r="Q2392" s="271">
        <f t="shared" si="275"/>
        <v>0</v>
      </c>
      <c r="R2392" s="188"/>
      <c r="S2392" s="221"/>
      <c r="T2392" s="222"/>
      <c r="U2392" s="272" t="s">
        <v>4196</v>
      </c>
    </row>
    <row r="2393" spans="1:21" s="181" customFormat="1" ht="0" hidden="1" customHeight="1" outlineLevel="4">
      <c r="A2393" s="253" t="s">
        <v>4197</v>
      </c>
      <c r="B2393" s="254"/>
      <c r="C2393" s="250" t="s">
        <v>1665</v>
      </c>
      <c r="D2393" s="203">
        <f>ROUND(M2381+M2384+M2386+M2389+M2391+M2392,6)*10000</f>
        <v>0</v>
      </c>
      <c r="E2393" s="204" t="s">
        <v>1666</v>
      </c>
      <c r="F2393" s="202" t="s">
        <v>1667</v>
      </c>
      <c r="G2393" s="258">
        <f>IFERROR(I2393*100/D2393,0)</f>
        <v>0</v>
      </c>
      <c r="H2393" s="204" t="s">
        <v>123</v>
      </c>
      <c r="I2393" s="265">
        <f>N2393*K2393</f>
        <v>0</v>
      </c>
      <c r="J2393" s="204" t="s">
        <v>1666</v>
      </c>
      <c r="K2393" s="269"/>
      <c r="L2393" s="210" t="s">
        <v>675</v>
      </c>
      <c r="M2393" s="231">
        <f>ROUND(I2393/10000,6)</f>
        <v>0</v>
      </c>
      <c r="N2393" s="212">
        <f>'02 项目基础信息（输入）'!$C$72</f>
        <v>0</v>
      </c>
      <c r="O2393" s="203">
        <f t="shared" si="274"/>
        <v>0</v>
      </c>
      <c r="P2393" s="203">
        <f t="shared" si="276"/>
        <v>0</v>
      </c>
      <c r="Q2393" s="271">
        <f t="shared" si="275"/>
        <v>0</v>
      </c>
      <c r="R2393" s="188"/>
      <c r="S2393" s="221"/>
      <c r="T2393" s="222"/>
      <c r="U2393" s="272" t="s">
        <v>4198</v>
      </c>
    </row>
    <row r="2394" spans="1:21" s="181" customFormat="1" ht="0" hidden="1" customHeight="1" outlineLevel="3">
      <c r="A2394" s="253" t="s">
        <v>4199</v>
      </c>
      <c r="B2394" s="254"/>
      <c r="C2394" s="250" t="s">
        <v>1609</v>
      </c>
      <c r="D2394" s="203">
        <f>'02 项目基础信息（输入）'!$C$72</f>
        <v>0</v>
      </c>
      <c r="E2394" s="204" t="s">
        <v>93</v>
      </c>
      <c r="F2394" s="202"/>
      <c r="G2394" s="204"/>
      <c r="H2394" s="204"/>
      <c r="I2394" s="265"/>
      <c r="J2394" s="204"/>
      <c r="K2394" s="202"/>
      <c r="L2394" s="210"/>
      <c r="M2394" s="198">
        <f>ROUND(SUM(M2395:M2399),6)</f>
        <v>0</v>
      </c>
      <c r="N2394" s="212">
        <f>'02 项目基础信息（输入）'!$C$72</f>
        <v>0</v>
      </c>
      <c r="O2394" s="203">
        <f t="shared" si="274"/>
        <v>0</v>
      </c>
      <c r="P2394" s="203">
        <f t="shared" si="276"/>
        <v>0</v>
      </c>
      <c r="Q2394" s="271">
        <f t="shared" si="275"/>
        <v>0</v>
      </c>
      <c r="R2394" s="188"/>
      <c r="S2394" s="221"/>
      <c r="T2394" s="222"/>
      <c r="U2394" s="272" t="s">
        <v>4200</v>
      </c>
    </row>
    <row r="2395" spans="1:21" s="181" customFormat="1" ht="0" hidden="1" customHeight="1" outlineLevel="4">
      <c r="A2395" s="253" t="s">
        <v>4201</v>
      </c>
      <c r="B2395" s="254"/>
      <c r="C2395" s="250" t="s">
        <v>1609</v>
      </c>
      <c r="D2395" s="203">
        <f>'02 项目基础信息（输入）'!$C$72</f>
        <v>0</v>
      </c>
      <c r="E2395" s="204" t="s">
        <v>93</v>
      </c>
      <c r="F2395" s="202" t="s">
        <v>705</v>
      </c>
      <c r="G2395" s="259">
        <f>'03 成本测算（输入）'!D173</f>
        <v>0</v>
      </c>
      <c r="H2395" s="204" t="s">
        <v>298</v>
      </c>
      <c r="I2395" s="265">
        <f>D2395*G2395</f>
        <v>0</v>
      </c>
      <c r="J2395" s="204" t="s">
        <v>93</v>
      </c>
      <c r="K2395" s="269"/>
      <c r="L2395" s="210" t="s">
        <v>675</v>
      </c>
      <c r="M2395" s="198">
        <f>ROUND(K2395*I2395/10000,6)</f>
        <v>0</v>
      </c>
      <c r="N2395" s="212">
        <f>'02 项目基础信息（输入）'!$C$72</f>
        <v>0</v>
      </c>
      <c r="O2395" s="203">
        <f t="shared" si="274"/>
        <v>0</v>
      </c>
      <c r="P2395" s="203">
        <f t="shared" si="276"/>
        <v>0</v>
      </c>
      <c r="Q2395" s="271">
        <f t="shared" si="275"/>
        <v>0</v>
      </c>
      <c r="R2395" s="188"/>
      <c r="S2395" s="221"/>
      <c r="T2395" s="222"/>
      <c r="U2395" s="272" t="s">
        <v>4202</v>
      </c>
    </row>
    <row r="2396" spans="1:21" s="181" customFormat="1" ht="0" hidden="1" customHeight="1" outlineLevel="4">
      <c r="A2396" s="253" t="s">
        <v>4203</v>
      </c>
      <c r="B2396" s="254"/>
      <c r="C2396" s="250" t="s">
        <v>1609</v>
      </c>
      <c r="D2396" s="203">
        <f>'02 项目基础信息（输入）'!$C$72</f>
        <v>0</v>
      </c>
      <c r="E2396" s="204" t="s">
        <v>93</v>
      </c>
      <c r="F2396" s="202" t="s">
        <v>705</v>
      </c>
      <c r="G2396" s="260">
        <f>G2395</f>
        <v>0</v>
      </c>
      <c r="H2396" s="204" t="s">
        <v>298</v>
      </c>
      <c r="I2396" s="265">
        <f>D2396*G2396</f>
        <v>0</v>
      </c>
      <c r="J2396" s="204" t="s">
        <v>93</v>
      </c>
      <c r="K2396" s="269"/>
      <c r="L2396" s="210" t="s">
        <v>675</v>
      </c>
      <c r="M2396" s="198">
        <f>ROUND(K2396*I2396/10000,6)</f>
        <v>0</v>
      </c>
      <c r="N2396" s="212">
        <f>'02 项目基础信息（输入）'!$C$72</f>
        <v>0</v>
      </c>
      <c r="O2396" s="203">
        <f t="shared" si="274"/>
        <v>0</v>
      </c>
      <c r="P2396" s="203">
        <f t="shared" si="276"/>
        <v>0</v>
      </c>
      <c r="Q2396" s="271">
        <f t="shared" si="275"/>
        <v>0</v>
      </c>
      <c r="R2396" s="188"/>
      <c r="S2396" s="221"/>
      <c r="T2396" s="222"/>
      <c r="U2396" s="272" t="s">
        <v>4204</v>
      </c>
    </row>
    <row r="2397" spans="1:21" s="181" customFormat="1" ht="0" hidden="1" customHeight="1" outlineLevel="4">
      <c r="A2397" s="253" t="s">
        <v>4205</v>
      </c>
      <c r="B2397" s="254"/>
      <c r="C2397" s="250" t="s">
        <v>1609</v>
      </c>
      <c r="D2397" s="203">
        <f>'02 项目基础信息（输入）'!$C$72</f>
        <v>0</v>
      </c>
      <c r="E2397" s="204" t="s">
        <v>93</v>
      </c>
      <c r="F2397" s="202" t="s">
        <v>705</v>
      </c>
      <c r="G2397" s="260">
        <f>G2396</f>
        <v>0</v>
      </c>
      <c r="H2397" s="204" t="s">
        <v>298</v>
      </c>
      <c r="I2397" s="265">
        <f>D2397*G2397</f>
        <v>0</v>
      </c>
      <c r="J2397" s="204" t="s">
        <v>93</v>
      </c>
      <c r="K2397" s="269"/>
      <c r="L2397" s="210" t="s">
        <v>675</v>
      </c>
      <c r="M2397" s="198">
        <f>ROUND(K2397*I2397/10000,6)</f>
        <v>0</v>
      </c>
      <c r="N2397" s="212">
        <f>'02 项目基础信息（输入）'!$C$72</f>
        <v>0</v>
      </c>
      <c r="O2397" s="203">
        <f t="shared" si="274"/>
        <v>0</v>
      </c>
      <c r="P2397" s="203">
        <f t="shared" si="276"/>
        <v>0</v>
      </c>
      <c r="Q2397" s="271">
        <f t="shared" si="275"/>
        <v>0</v>
      </c>
      <c r="R2397" s="188"/>
      <c r="S2397" s="221"/>
      <c r="T2397" s="222"/>
      <c r="U2397" s="272" t="s">
        <v>4206</v>
      </c>
    </row>
    <row r="2398" spans="1:21" s="181" customFormat="1" ht="0" hidden="1" customHeight="1" outlineLevel="4">
      <c r="A2398" s="253" t="s">
        <v>4207</v>
      </c>
      <c r="B2398" s="254"/>
      <c r="C2398" s="250" t="s">
        <v>1609</v>
      </c>
      <c r="D2398" s="203">
        <f>'02 项目基础信息（输入）'!$C$72</f>
        <v>0</v>
      </c>
      <c r="E2398" s="204" t="s">
        <v>93</v>
      </c>
      <c r="F2398" s="202" t="s">
        <v>705</v>
      </c>
      <c r="G2398" s="260">
        <f>G2397</f>
        <v>0</v>
      </c>
      <c r="H2398" s="204" t="s">
        <v>298</v>
      </c>
      <c r="I2398" s="265">
        <f>D2398*G2398</f>
        <v>0</v>
      </c>
      <c r="J2398" s="204" t="s">
        <v>93</v>
      </c>
      <c r="K2398" s="269"/>
      <c r="L2398" s="210" t="s">
        <v>675</v>
      </c>
      <c r="M2398" s="198">
        <f>ROUND(K2398*I2398/10000,6)</f>
        <v>0</v>
      </c>
      <c r="N2398" s="212">
        <f>'02 项目基础信息（输入）'!$C$72</f>
        <v>0</v>
      </c>
      <c r="O2398" s="203">
        <f t="shared" si="274"/>
        <v>0</v>
      </c>
      <c r="P2398" s="203">
        <f t="shared" si="276"/>
        <v>0</v>
      </c>
      <c r="Q2398" s="271">
        <f t="shared" si="275"/>
        <v>0</v>
      </c>
      <c r="R2398" s="188"/>
      <c r="S2398" s="221"/>
      <c r="T2398" s="222"/>
      <c r="U2398" s="272" t="s">
        <v>4208</v>
      </c>
    </row>
    <row r="2399" spans="1:21" s="181" customFormat="1" ht="0" hidden="1" customHeight="1" outlineLevel="4">
      <c r="A2399" s="253" t="s">
        <v>4209</v>
      </c>
      <c r="B2399" s="254"/>
      <c r="C2399" s="250" t="s">
        <v>1609</v>
      </c>
      <c r="D2399" s="203">
        <f>'02 项目基础信息（输入）'!$C$72</f>
        <v>0</v>
      </c>
      <c r="E2399" s="204" t="s">
        <v>93</v>
      </c>
      <c r="F2399" s="202" t="s">
        <v>705</v>
      </c>
      <c r="G2399" s="260">
        <f>G2398</f>
        <v>0</v>
      </c>
      <c r="H2399" s="204" t="s">
        <v>298</v>
      </c>
      <c r="I2399" s="265">
        <f>D2399*G2399</f>
        <v>0</v>
      </c>
      <c r="J2399" s="204" t="s">
        <v>93</v>
      </c>
      <c r="K2399" s="269"/>
      <c r="L2399" s="210" t="s">
        <v>675</v>
      </c>
      <c r="M2399" s="198">
        <f>ROUND(K2399*I2399/10000,6)</f>
        <v>0</v>
      </c>
      <c r="N2399" s="212">
        <f>'02 项目基础信息（输入）'!$C$72</f>
        <v>0</v>
      </c>
      <c r="O2399" s="203">
        <f t="shared" si="274"/>
        <v>0</v>
      </c>
      <c r="P2399" s="203">
        <f t="shared" si="276"/>
        <v>0</v>
      </c>
      <c r="Q2399" s="271">
        <f t="shared" si="275"/>
        <v>0</v>
      </c>
      <c r="R2399" s="188"/>
      <c r="S2399" s="221"/>
      <c r="T2399" s="222"/>
      <c r="U2399" s="272" t="s">
        <v>4210</v>
      </c>
    </row>
    <row r="2400" spans="1:21" s="181" customFormat="1" ht="0" hidden="1" customHeight="1" outlineLevel="3">
      <c r="A2400" s="253" t="s">
        <v>4211</v>
      </c>
      <c r="B2400" s="254"/>
      <c r="C2400" s="250" t="s">
        <v>1609</v>
      </c>
      <c r="D2400" s="203">
        <f>'02 项目基础信息（输入）'!$C$72</f>
        <v>0</v>
      </c>
      <c r="E2400" s="204" t="s">
        <v>93</v>
      </c>
      <c r="F2400" s="202"/>
      <c r="G2400" s="204"/>
      <c r="H2400" s="204"/>
      <c r="I2400" s="265"/>
      <c r="J2400" s="204"/>
      <c r="K2400" s="202"/>
      <c r="L2400" s="210"/>
      <c r="M2400" s="198">
        <f>ROUND(M2401+M2404+M2407+M2410,6)</f>
        <v>0</v>
      </c>
      <c r="N2400" s="212">
        <f>'02 项目基础信息（输入）'!$C$72</f>
        <v>0</v>
      </c>
      <c r="O2400" s="203">
        <f t="shared" si="274"/>
        <v>0</v>
      </c>
      <c r="P2400" s="203">
        <f t="shared" si="276"/>
        <v>0</v>
      </c>
      <c r="Q2400" s="271">
        <f t="shared" si="275"/>
        <v>0</v>
      </c>
      <c r="R2400" s="188"/>
      <c r="S2400" s="221"/>
      <c r="T2400" s="222"/>
      <c r="U2400" s="272" t="s">
        <v>4212</v>
      </c>
    </row>
    <row r="2401" spans="1:21" s="181" customFormat="1" ht="0" hidden="1" customHeight="1" outlineLevel="4">
      <c r="A2401" s="253" t="s">
        <v>4213</v>
      </c>
      <c r="B2401" s="254"/>
      <c r="C2401" s="250" t="s">
        <v>1609</v>
      </c>
      <c r="D2401" s="203">
        <f>'02 项目基础信息（输入）'!$C$72</f>
        <v>0</v>
      </c>
      <c r="E2401" s="204" t="s">
        <v>93</v>
      </c>
      <c r="F2401" s="202"/>
      <c r="G2401" s="261"/>
      <c r="H2401" s="255"/>
      <c r="I2401" s="264"/>
      <c r="J2401" s="255"/>
      <c r="K2401" s="264"/>
      <c r="L2401" s="205"/>
      <c r="M2401" s="198">
        <f>ROUND(SUM(M2402:M2403),6)</f>
        <v>0</v>
      </c>
      <c r="N2401" s="212">
        <f>'02 项目基础信息（输入）'!$C$72</f>
        <v>0</v>
      </c>
      <c r="O2401" s="203">
        <f t="shared" si="274"/>
        <v>0</v>
      </c>
      <c r="P2401" s="203">
        <f t="shared" si="276"/>
        <v>0</v>
      </c>
      <c r="Q2401" s="271">
        <f t="shared" si="275"/>
        <v>0</v>
      </c>
      <c r="R2401" s="188"/>
      <c r="S2401" s="221"/>
      <c r="T2401" s="222"/>
      <c r="U2401" s="272" t="s">
        <v>4214</v>
      </c>
    </row>
    <row r="2402" spans="1:21" s="181" customFormat="1" ht="0" hidden="1" customHeight="1" outlineLevel="5">
      <c r="A2402" s="253" t="s">
        <v>4215</v>
      </c>
      <c r="B2402" s="254"/>
      <c r="C2402" s="250" t="s">
        <v>1609</v>
      </c>
      <c r="D2402" s="203">
        <f>'02 项目基础信息（输入）'!$C$72</f>
        <v>0</v>
      </c>
      <c r="E2402" s="204" t="s">
        <v>93</v>
      </c>
      <c r="F2402" s="202" t="s">
        <v>1682</v>
      </c>
      <c r="G2402" s="261">
        <f>IFERROR(I2402/D2402,0)</f>
        <v>0</v>
      </c>
      <c r="H2402" s="204" t="s">
        <v>298</v>
      </c>
      <c r="I2402" s="270"/>
      <c r="J2402" s="204" t="s">
        <v>93</v>
      </c>
      <c r="K2402" s="269"/>
      <c r="L2402" s="210" t="s">
        <v>675</v>
      </c>
      <c r="M2402" s="198">
        <f>ROUND(K2402*I2402/10000,6)</f>
        <v>0</v>
      </c>
      <c r="N2402" s="212">
        <f>'02 项目基础信息（输入）'!$C$72</f>
        <v>0</v>
      </c>
      <c r="O2402" s="203">
        <f t="shared" si="274"/>
        <v>0</v>
      </c>
      <c r="P2402" s="203">
        <f t="shared" si="276"/>
        <v>0</v>
      </c>
      <c r="Q2402" s="271">
        <f t="shared" si="275"/>
        <v>0</v>
      </c>
      <c r="R2402" s="188"/>
      <c r="S2402" s="221"/>
      <c r="T2402" s="222"/>
      <c r="U2402" s="272" t="s">
        <v>4216</v>
      </c>
    </row>
    <row r="2403" spans="1:21" s="181" customFormat="1" ht="0" hidden="1" customHeight="1" outlineLevel="5">
      <c r="A2403" s="253" t="s">
        <v>4217</v>
      </c>
      <c r="B2403" s="254"/>
      <c r="C2403" s="250" t="s">
        <v>1609</v>
      </c>
      <c r="D2403" s="203">
        <f>'02 项目基础信息（输入）'!$C$72</f>
        <v>0</v>
      </c>
      <c r="E2403" s="204" t="s">
        <v>93</v>
      </c>
      <c r="F2403" s="202" t="s">
        <v>1682</v>
      </c>
      <c r="G2403" s="261">
        <f>IFERROR(I2403/D2403,0)</f>
        <v>0</v>
      </c>
      <c r="H2403" s="204" t="s">
        <v>298</v>
      </c>
      <c r="I2403" s="268">
        <f>I2402</f>
        <v>0</v>
      </c>
      <c r="J2403" s="204" t="s">
        <v>93</v>
      </c>
      <c r="K2403" s="269"/>
      <c r="L2403" s="210" t="s">
        <v>675</v>
      </c>
      <c r="M2403" s="198">
        <f>ROUND(K2403*I2403/10000,6)</f>
        <v>0</v>
      </c>
      <c r="N2403" s="212">
        <f>'02 项目基础信息（输入）'!$C$72</f>
        <v>0</v>
      </c>
      <c r="O2403" s="203">
        <f t="shared" si="274"/>
        <v>0</v>
      </c>
      <c r="P2403" s="203">
        <f t="shared" si="276"/>
        <v>0</v>
      </c>
      <c r="Q2403" s="271">
        <f t="shared" si="275"/>
        <v>0</v>
      </c>
      <c r="R2403" s="188"/>
      <c r="S2403" s="221"/>
      <c r="T2403" s="222"/>
      <c r="U2403" s="272" t="s">
        <v>4218</v>
      </c>
    </row>
    <row r="2404" spans="1:21" s="181" customFormat="1" ht="0" hidden="1" customHeight="1" outlineLevel="4">
      <c r="A2404" s="253" t="s">
        <v>4219</v>
      </c>
      <c r="B2404" s="254"/>
      <c r="C2404" s="250" t="s">
        <v>1609</v>
      </c>
      <c r="D2404" s="203">
        <f>'02 项目基础信息（输入）'!$C$72</f>
        <v>0</v>
      </c>
      <c r="E2404" s="204" t="s">
        <v>93</v>
      </c>
      <c r="F2404" s="202"/>
      <c r="G2404" s="261"/>
      <c r="H2404" s="255"/>
      <c r="I2404" s="264"/>
      <c r="J2404" s="255"/>
      <c r="K2404" s="264"/>
      <c r="L2404" s="205"/>
      <c r="M2404" s="198">
        <f>ROUND(SUM(M2405:M2406),6)</f>
        <v>0</v>
      </c>
      <c r="N2404" s="212">
        <f>'02 项目基础信息（输入）'!$C$72</f>
        <v>0</v>
      </c>
      <c r="O2404" s="203">
        <f t="shared" si="274"/>
        <v>0</v>
      </c>
      <c r="P2404" s="203">
        <f t="shared" si="276"/>
        <v>0</v>
      </c>
      <c r="Q2404" s="271">
        <f t="shared" si="275"/>
        <v>0</v>
      </c>
      <c r="R2404" s="188"/>
      <c r="S2404" s="221"/>
      <c r="T2404" s="222"/>
      <c r="U2404" s="272" t="s">
        <v>4220</v>
      </c>
    </row>
    <row r="2405" spans="1:21" s="181" customFormat="1" ht="0" hidden="1" customHeight="1" outlineLevel="5">
      <c r="A2405" s="253" t="s">
        <v>4221</v>
      </c>
      <c r="B2405" s="254"/>
      <c r="C2405" s="250" t="s">
        <v>1609</v>
      </c>
      <c r="D2405" s="203">
        <f>'02 项目基础信息（输入）'!$C$72</f>
        <v>0</v>
      </c>
      <c r="E2405" s="204" t="s">
        <v>93</v>
      </c>
      <c r="F2405" s="202" t="s">
        <v>1682</v>
      </c>
      <c r="G2405" s="261">
        <f>IFERROR(I2405/D2405,0)</f>
        <v>0</v>
      </c>
      <c r="H2405" s="204" t="s">
        <v>298</v>
      </c>
      <c r="I2405" s="270"/>
      <c r="J2405" s="204" t="s">
        <v>93</v>
      </c>
      <c r="K2405" s="269"/>
      <c r="L2405" s="210" t="s">
        <v>675</v>
      </c>
      <c r="M2405" s="198">
        <f>ROUND(K2405*I2405/10000,6)</f>
        <v>0</v>
      </c>
      <c r="N2405" s="212">
        <f>'02 项目基础信息（输入）'!$C$72</f>
        <v>0</v>
      </c>
      <c r="O2405" s="203">
        <f t="shared" si="274"/>
        <v>0</v>
      </c>
      <c r="P2405" s="203">
        <f t="shared" si="276"/>
        <v>0</v>
      </c>
      <c r="Q2405" s="271">
        <f t="shared" si="275"/>
        <v>0</v>
      </c>
      <c r="R2405" s="188"/>
      <c r="S2405" s="221"/>
      <c r="T2405" s="222"/>
      <c r="U2405" s="272" t="s">
        <v>4222</v>
      </c>
    </row>
    <row r="2406" spans="1:21" s="181" customFormat="1" ht="0" hidden="1" customHeight="1" outlineLevel="5">
      <c r="A2406" s="253" t="s">
        <v>4223</v>
      </c>
      <c r="B2406" s="254"/>
      <c r="C2406" s="250" t="s">
        <v>1609</v>
      </c>
      <c r="D2406" s="203">
        <f>'02 项目基础信息（输入）'!$C$72</f>
        <v>0</v>
      </c>
      <c r="E2406" s="204" t="s">
        <v>93</v>
      </c>
      <c r="F2406" s="202" t="s">
        <v>1682</v>
      </c>
      <c r="G2406" s="261">
        <f>IFERROR(I2406/D2406,0)</f>
        <v>0</v>
      </c>
      <c r="H2406" s="204" t="s">
        <v>298</v>
      </c>
      <c r="I2406" s="268">
        <f>I2405</f>
        <v>0</v>
      </c>
      <c r="J2406" s="204" t="s">
        <v>93</v>
      </c>
      <c r="K2406" s="269"/>
      <c r="L2406" s="210" t="s">
        <v>675</v>
      </c>
      <c r="M2406" s="198">
        <f>ROUND(K2406*I2406/10000,6)</f>
        <v>0</v>
      </c>
      <c r="N2406" s="212">
        <f>'02 项目基础信息（输入）'!$C$72</f>
        <v>0</v>
      </c>
      <c r="O2406" s="203">
        <f t="shared" si="274"/>
        <v>0</v>
      </c>
      <c r="P2406" s="203">
        <f t="shared" si="276"/>
        <v>0</v>
      </c>
      <c r="Q2406" s="271">
        <f t="shared" si="275"/>
        <v>0</v>
      </c>
      <c r="R2406" s="188"/>
      <c r="S2406" s="221"/>
      <c r="T2406" s="222"/>
      <c r="U2406" s="272" t="s">
        <v>4224</v>
      </c>
    </row>
    <row r="2407" spans="1:21" s="181" customFormat="1" ht="0" hidden="1" customHeight="1" outlineLevel="4">
      <c r="A2407" s="253" t="s">
        <v>4225</v>
      </c>
      <c r="B2407" s="254"/>
      <c r="C2407" s="250" t="s">
        <v>1609</v>
      </c>
      <c r="D2407" s="203">
        <f>'02 项目基础信息（输入）'!$C$72</f>
        <v>0</v>
      </c>
      <c r="E2407" s="204" t="s">
        <v>93</v>
      </c>
      <c r="F2407" s="202"/>
      <c r="G2407" s="261"/>
      <c r="H2407" s="255"/>
      <c r="I2407" s="264"/>
      <c r="J2407" s="255"/>
      <c r="K2407" s="264"/>
      <c r="L2407" s="205"/>
      <c r="M2407" s="198">
        <f>ROUND(SUM(M2408:M2409),6)</f>
        <v>0</v>
      </c>
      <c r="N2407" s="212">
        <f>'02 项目基础信息（输入）'!$C$72</f>
        <v>0</v>
      </c>
      <c r="O2407" s="203">
        <f t="shared" si="274"/>
        <v>0</v>
      </c>
      <c r="P2407" s="203">
        <f t="shared" si="276"/>
        <v>0</v>
      </c>
      <c r="Q2407" s="271">
        <f t="shared" si="275"/>
        <v>0</v>
      </c>
      <c r="R2407" s="188"/>
      <c r="S2407" s="221"/>
      <c r="T2407" s="222"/>
      <c r="U2407" s="272" t="s">
        <v>4226</v>
      </c>
    </row>
    <row r="2408" spans="1:21" s="181" customFormat="1" ht="0" hidden="1" customHeight="1" outlineLevel="5">
      <c r="A2408" s="253" t="s">
        <v>4227</v>
      </c>
      <c r="B2408" s="254"/>
      <c r="C2408" s="250" t="s">
        <v>1609</v>
      </c>
      <c r="D2408" s="203">
        <f>'02 项目基础信息（输入）'!$C$72</f>
        <v>0</v>
      </c>
      <c r="E2408" s="204" t="s">
        <v>93</v>
      </c>
      <c r="F2408" s="202" t="s">
        <v>1682</v>
      </c>
      <c r="G2408" s="261">
        <f>IFERROR(I2408/D2408,0)</f>
        <v>0</v>
      </c>
      <c r="H2408" s="204" t="s">
        <v>298</v>
      </c>
      <c r="I2408" s="270"/>
      <c r="J2408" s="204" t="s">
        <v>93</v>
      </c>
      <c r="K2408" s="269"/>
      <c r="L2408" s="210" t="s">
        <v>675</v>
      </c>
      <c r="M2408" s="198">
        <f>ROUND(K2408*I2408/10000,6)</f>
        <v>0</v>
      </c>
      <c r="N2408" s="212">
        <f>'02 项目基础信息（输入）'!$C$72</f>
        <v>0</v>
      </c>
      <c r="O2408" s="203">
        <f t="shared" si="274"/>
        <v>0</v>
      </c>
      <c r="P2408" s="203">
        <f t="shared" si="276"/>
        <v>0</v>
      </c>
      <c r="Q2408" s="271">
        <f t="shared" si="275"/>
        <v>0</v>
      </c>
      <c r="R2408" s="188"/>
      <c r="S2408" s="221"/>
      <c r="T2408" s="222"/>
      <c r="U2408" s="272" t="s">
        <v>4228</v>
      </c>
    </row>
    <row r="2409" spans="1:21" s="181" customFormat="1" ht="0" hidden="1" customHeight="1" outlineLevel="5">
      <c r="A2409" s="253" t="s">
        <v>4229</v>
      </c>
      <c r="B2409" s="254"/>
      <c r="C2409" s="250" t="s">
        <v>1609</v>
      </c>
      <c r="D2409" s="203">
        <f>'02 项目基础信息（输入）'!$C$72</f>
        <v>0</v>
      </c>
      <c r="E2409" s="204" t="s">
        <v>93</v>
      </c>
      <c r="F2409" s="202" t="s">
        <v>1682</v>
      </c>
      <c r="G2409" s="261">
        <f>IFERROR(I2409/D2409,0)</f>
        <v>0</v>
      </c>
      <c r="H2409" s="204" t="s">
        <v>298</v>
      </c>
      <c r="I2409" s="268">
        <f>I2408</f>
        <v>0</v>
      </c>
      <c r="J2409" s="204" t="s">
        <v>93</v>
      </c>
      <c r="K2409" s="269"/>
      <c r="L2409" s="210" t="s">
        <v>675</v>
      </c>
      <c r="M2409" s="198">
        <f>ROUND(K2409*I2409/10000,6)</f>
        <v>0</v>
      </c>
      <c r="N2409" s="212">
        <f>'02 项目基础信息（输入）'!$C$72</f>
        <v>0</v>
      </c>
      <c r="O2409" s="203">
        <f t="shared" si="274"/>
        <v>0</v>
      </c>
      <c r="P2409" s="203">
        <f t="shared" si="276"/>
        <v>0</v>
      </c>
      <c r="Q2409" s="271">
        <f t="shared" si="275"/>
        <v>0</v>
      </c>
      <c r="R2409" s="188"/>
      <c r="S2409" s="221"/>
      <c r="T2409" s="222"/>
      <c r="U2409" s="272" t="s">
        <v>4230</v>
      </c>
    </row>
    <row r="2410" spans="1:21" s="181" customFormat="1" ht="0" hidden="1" customHeight="1" outlineLevel="4">
      <c r="A2410" s="253" t="s">
        <v>4231</v>
      </c>
      <c r="B2410" s="254"/>
      <c r="C2410" s="250" t="s">
        <v>1609</v>
      </c>
      <c r="D2410" s="203">
        <f>'02 项目基础信息（输入）'!$C$72</f>
        <v>0</v>
      </c>
      <c r="E2410" s="204" t="s">
        <v>93</v>
      </c>
      <c r="F2410" s="202"/>
      <c r="G2410" s="261"/>
      <c r="H2410" s="255"/>
      <c r="I2410" s="264"/>
      <c r="J2410" s="255"/>
      <c r="K2410" s="264"/>
      <c r="L2410" s="205"/>
      <c r="M2410" s="198">
        <f>ROUND(SUM(M2411:M2412),6)</f>
        <v>0</v>
      </c>
      <c r="N2410" s="212">
        <f>'02 项目基础信息（输入）'!$C$72</f>
        <v>0</v>
      </c>
      <c r="O2410" s="203">
        <f t="shared" si="274"/>
        <v>0</v>
      </c>
      <c r="P2410" s="203">
        <f t="shared" si="276"/>
        <v>0</v>
      </c>
      <c r="Q2410" s="271">
        <f t="shared" si="275"/>
        <v>0</v>
      </c>
      <c r="R2410" s="188"/>
      <c r="S2410" s="221"/>
      <c r="T2410" s="222"/>
      <c r="U2410" s="272" t="s">
        <v>4232</v>
      </c>
    </row>
    <row r="2411" spans="1:21" s="181" customFormat="1" ht="0" hidden="1" customHeight="1" outlineLevel="5">
      <c r="A2411" s="253" t="s">
        <v>4233</v>
      </c>
      <c r="B2411" s="254"/>
      <c r="C2411" s="250" t="s">
        <v>1609</v>
      </c>
      <c r="D2411" s="203">
        <f>'02 项目基础信息（输入）'!$C$72</f>
        <v>0</v>
      </c>
      <c r="E2411" s="204" t="s">
        <v>93</v>
      </c>
      <c r="F2411" s="202" t="s">
        <v>1682</v>
      </c>
      <c r="G2411" s="261">
        <f>IFERROR(I2411/D2411,0)</f>
        <v>0</v>
      </c>
      <c r="H2411" s="204" t="s">
        <v>298</v>
      </c>
      <c r="I2411" s="270"/>
      <c r="J2411" s="204" t="s">
        <v>93</v>
      </c>
      <c r="K2411" s="269"/>
      <c r="L2411" s="210" t="s">
        <v>675</v>
      </c>
      <c r="M2411" s="198">
        <f>ROUND(K2411*I2411/10000,6)</f>
        <v>0</v>
      </c>
      <c r="N2411" s="212">
        <f>'02 项目基础信息（输入）'!$C$72</f>
        <v>0</v>
      </c>
      <c r="O2411" s="203">
        <f t="shared" si="274"/>
        <v>0</v>
      </c>
      <c r="P2411" s="203">
        <f t="shared" si="276"/>
        <v>0</v>
      </c>
      <c r="Q2411" s="271">
        <f t="shared" si="275"/>
        <v>0</v>
      </c>
      <c r="R2411" s="188"/>
      <c r="S2411" s="221"/>
      <c r="T2411" s="222"/>
      <c r="U2411" s="272" t="s">
        <v>4234</v>
      </c>
    </row>
    <row r="2412" spans="1:21" s="181" customFormat="1" ht="0" hidden="1" customHeight="1" outlineLevel="5">
      <c r="A2412" s="253" t="s">
        <v>4235</v>
      </c>
      <c r="B2412" s="254"/>
      <c r="C2412" s="250" t="s">
        <v>1609</v>
      </c>
      <c r="D2412" s="203">
        <f>'02 项目基础信息（输入）'!$C$72</f>
        <v>0</v>
      </c>
      <c r="E2412" s="204" t="s">
        <v>93</v>
      </c>
      <c r="F2412" s="202" t="s">
        <v>1682</v>
      </c>
      <c r="G2412" s="261">
        <f>IFERROR(I2412/D2412,0)</f>
        <v>0</v>
      </c>
      <c r="H2412" s="204" t="s">
        <v>298</v>
      </c>
      <c r="I2412" s="268">
        <f>I2411</f>
        <v>0</v>
      </c>
      <c r="J2412" s="204" t="s">
        <v>93</v>
      </c>
      <c r="K2412" s="269"/>
      <c r="L2412" s="210" t="s">
        <v>675</v>
      </c>
      <c r="M2412" s="198">
        <f>ROUND(K2412*I2412/10000,6)</f>
        <v>0</v>
      </c>
      <c r="N2412" s="212">
        <f>'02 项目基础信息（输入）'!$C$72</f>
        <v>0</v>
      </c>
      <c r="O2412" s="203">
        <f t="shared" si="274"/>
        <v>0</v>
      </c>
      <c r="P2412" s="203">
        <f t="shared" si="276"/>
        <v>0</v>
      </c>
      <c r="Q2412" s="271">
        <f t="shared" si="275"/>
        <v>0</v>
      </c>
      <c r="R2412" s="188"/>
      <c r="S2412" s="221"/>
      <c r="T2412" s="222"/>
      <c r="U2412" s="272" t="s">
        <v>4236</v>
      </c>
    </row>
    <row r="2413" spans="1:21" s="181" customFormat="1" ht="0" hidden="1" customHeight="1" outlineLevel="3">
      <c r="A2413" s="253" t="s">
        <v>4237</v>
      </c>
      <c r="B2413" s="254"/>
      <c r="C2413" s="250" t="s">
        <v>1609</v>
      </c>
      <c r="D2413" s="203">
        <f>'02 项目基础信息（输入）'!$C$72</f>
        <v>0</v>
      </c>
      <c r="E2413" s="204" t="s">
        <v>93</v>
      </c>
      <c r="F2413" s="202"/>
      <c r="G2413" s="255"/>
      <c r="H2413" s="204"/>
      <c r="I2413" s="265"/>
      <c r="J2413" s="204"/>
      <c r="K2413" s="203"/>
      <c r="L2413" s="210"/>
      <c r="M2413" s="198">
        <f>ROUND(SUM(M2414:M2418),6)</f>
        <v>0</v>
      </c>
      <c r="N2413" s="212">
        <f>'02 项目基础信息（输入）'!$C$72</f>
        <v>0</v>
      </c>
      <c r="O2413" s="203">
        <f t="shared" si="274"/>
        <v>0</v>
      </c>
      <c r="P2413" s="203">
        <f t="shared" si="276"/>
        <v>0</v>
      </c>
      <c r="Q2413" s="271">
        <f t="shared" si="275"/>
        <v>0</v>
      </c>
      <c r="R2413" s="188"/>
      <c r="S2413" s="221"/>
      <c r="T2413" s="222"/>
      <c r="U2413" s="272" t="s">
        <v>4238</v>
      </c>
    </row>
    <row r="2414" spans="1:21" s="181" customFormat="1" ht="0" hidden="1" customHeight="1" outlineLevel="4">
      <c r="A2414" s="253" t="s">
        <v>4239</v>
      </c>
      <c r="B2414" s="254"/>
      <c r="C2414" s="250" t="s">
        <v>1609</v>
      </c>
      <c r="D2414" s="203">
        <f>'02 项目基础信息（输入）'!$C$72</f>
        <v>0</v>
      </c>
      <c r="E2414" s="204" t="s">
        <v>93</v>
      </c>
      <c r="F2414" s="202" t="s">
        <v>1701</v>
      </c>
      <c r="G2414" s="261">
        <f>IFERROR(I2414/D2414,0)</f>
        <v>0</v>
      </c>
      <c r="H2414" s="204" t="s">
        <v>298</v>
      </c>
      <c r="I2414" s="269"/>
      <c r="J2414" s="204" t="s">
        <v>93</v>
      </c>
      <c r="K2414" s="269"/>
      <c r="L2414" s="210" t="s">
        <v>675</v>
      </c>
      <c r="M2414" s="198">
        <f>ROUND(K2414*I2414/10000,6)</f>
        <v>0</v>
      </c>
      <c r="N2414" s="212">
        <f>'02 项目基础信息（输入）'!$C$72</f>
        <v>0</v>
      </c>
      <c r="O2414" s="203">
        <f t="shared" si="274"/>
        <v>0</v>
      </c>
      <c r="P2414" s="203">
        <f t="shared" si="276"/>
        <v>0</v>
      </c>
      <c r="Q2414" s="271">
        <f t="shared" si="275"/>
        <v>0</v>
      </c>
      <c r="R2414" s="188"/>
      <c r="S2414" s="221"/>
      <c r="T2414" s="222"/>
      <c r="U2414" s="272" t="s">
        <v>4240</v>
      </c>
    </row>
    <row r="2415" spans="1:21" s="181" customFormat="1" ht="0" hidden="1" customHeight="1" outlineLevel="4">
      <c r="A2415" s="253" t="s">
        <v>4241</v>
      </c>
      <c r="B2415" s="254"/>
      <c r="C2415" s="250" t="s">
        <v>1609</v>
      </c>
      <c r="D2415" s="203">
        <f>'02 项目基础信息（输入）'!$C$72</f>
        <v>0</v>
      </c>
      <c r="E2415" s="204" t="s">
        <v>93</v>
      </c>
      <c r="F2415" s="202" t="s">
        <v>1704</v>
      </c>
      <c r="G2415" s="261">
        <f>IFERROR(I2415/D2415,0)</f>
        <v>0</v>
      </c>
      <c r="H2415" s="204" t="s">
        <v>298</v>
      </c>
      <c r="I2415" s="269"/>
      <c r="J2415" s="204" t="s">
        <v>93</v>
      </c>
      <c r="K2415" s="269"/>
      <c r="L2415" s="210" t="s">
        <v>675</v>
      </c>
      <c r="M2415" s="198">
        <f>ROUND(K2415*I2415/10000,6)</f>
        <v>0</v>
      </c>
      <c r="N2415" s="212">
        <f>'02 项目基础信息（输入）'!$C$72</f>
        <v>0</v>
      </c>
      <c r="O2415" s="203">
        <f t="shared" si="274"/>
        <v>0</v>
      </c>
      <c r="P2415" s="203">
        <f t="shared" si="276"/>
        <v>0</v>
      </c>
      <c r="Q2415" s="271">
        <f t="shared" si="275"/>
        <v>0</v>
      </c>
      <c r="R2415" s="188"/>
      <c r="S2415" s="221"/>
      <c r="T2415" s="222"/>
      <c r="U2415" s="272" t="s">
        <v>4242</v>
      </c>
    </row>
    <row r="2416" spans="1:21" s="181" customFormat="1" ht="0" hidden="1" customHeight="1" outlineLevel="4">
      <c r="A2416" s="253" t="s">
        <v>4243</v>
      </c>
      <c r="B2416" s="254"/>
      <c r="C2416" s="250" t="s">
        <v>1609</v>
      </c>
      <c r="D2416" s="203">
        <f>'02 项目基础信息（输入）'!$C$72</f>
        <v>0</v>
      </c>
      <c r="E2416" s="204" t="s">
        <v>93</v>
      </c>
      <c r="F2416" s="202" t="s">
        <v>4244</v>
      </c>
      <c r="G2416" s="261">
        <f>IFERROR(I2416/D2416,0)</f>
        <v>0</v>
      </c>
      <c r="H2416" s="204" t="s">
        <v>1473</v>
      </c>
      <c r="I2416" s="269"/>
      <c r="J2416" s="204" t="s">
        <v>131</v>
      </c>
      <c r="K2416" s="269"/>
      <c r="L2416" s="210" t="s">
        <v>675</v>
      </c>
      <c r="M2416" s="198">
        <f>ROUND(K2416*I2416/10000,6)</f>
        <v>0</v>
      </c>
      <c r="N2416" s="212">
        <f>'02 项目基础信息（输入）'!$C$72</f>
        <v>0</v>
      </c>
      <c r="O2416" s="203">
        <f t="shared" si="274"/>
        <v>0</v>
      </c>
      <c r="P2416" s="203">
        <f t="shared" si="276"/>
        <v>0</v>
      </c>
      <c r="Q2416" s="271">
        <f t="shared" si="275"/>
        <v>0</v>
      </c>
      <c r="R2416" s="188"/>
      <c r="S2416" s="221"/>
      <c r="T2416" s="222"/>
      <c r="U2416" s="272" t="s">
        <v>4245</v>
      </c>
    </row>
    <row r="2417" spans="1:21" s="181" customFormat="1" ht="0" hidden="1" customHeight="1" outlineLevel="4">
      <c r="A2417" s="253" t="s">
        <v>4246</v>
      </c>
      <c r="B2417" s="254"/>
      <c r="C2417" s="250" t="s">
        <v>1609</v>
      </c>
      <c r="D2417" s="203">
        <f>'02 项目基础信息（输入）'!$C$72</f>
        <v>0</v>
      </c>
      <c r="E2417" s="204" t="s">
        <v>93</v>
      </c>
      <c r="F2417" s="202" t="s">
        <v>4247</v>
      </c>
      <c r="G2417" s="261">
        <f>IFERROR(I2417/D2417,0)</f>
        <v>0</v>
      </c>
      <c r="H2417" s="204" t="s">
        <v>1473</v>
      </c>
      <c r="I2417" s="269"/>
      <c r="J2417" s="204" t="s">
        <v>131</v>
      </c>
      <c r="K2417" s="269"/>
      <c r="L2417" s="210" t="s">
        <v>675</v>
      </c>
      <c r="M2417" s="198">
        <f>ROUND(K2417*I2417/10000,6)</f>
        <v>0</v>
      </c>
      <c r="N2417" s="212">
        <f>'02 项目基础信息（输入）'!$C$72</f>
        <v>0</v>
      </c>
      <c r="O2417" s="203">
        <f t="shared" si="274"/>
        <v>0</v>
      </c>
      <c r="P2417" s="203">
        <f t="shared" si="276"/>
        <v>0</v>
      </c>
      <c r="Q2417" s="271">
        <f t="shared" si="275"/>
        <v>0</v>
      </c>
      <c r="R2417" s="188"/>
      <c r="S2417" s="221"/>
      <c r="T2417" s="222"/>
      <c r="U2417" s="272" t="s">
        <v>4248</v>
      </c>
    </row>
    <row r="2418" spans="1:21" s="181" customFormat="1" ht="0" hidden="1" customHeight="1" outlineLevel="4">
      <c r="A2418" s="253" t="s">
        <v>4249</v>
      </c>
      <c r="B2418" s="254"/>
      <c r="C2418" s="250" t="s">
        <v>1609</v>
      </c>
      <c r="D2418" s="203">
        <f>'02 项目基础信息（输入）'!$C$72</f>
        <v>0</v>
      </c>
      <c r="E2418" s="204" t="s">
        <v>93</v>
      </c>
      <c r="F2418" s="202" t="s">
        <v>4250</v>
      </c>
      <c r="G2418" s="261">
        <f>IFERROR(I2418/D2418,0)</f>
        <v>0</v>
      </c>
      <c r="H2418" s="204" t="s">
        <v>298</v>
      </c>
      <c r="I2418" s="269"/>
      <c r="J2418" s="204" t="s">
        <v>93</v>
      </c>
      <c r="K2418" s="269"/>
      <c r="L2418" s="210" t="s">
        <v>675</v>
      </c>
      <c r="M2418" s="198">
        <f>ROUND(K2418*I2418/10000,6)</f>
        <v>0</v>
      </c>
      <c r="N2418" s="212">
        <f>'02 项目基础信息（输入）'!$C$72</f>
        <v>0</v>
      </c>
      <c r="O2418" s="203">
        <f t="shared" si="274"/>
        <v>0</v>
      </c>
      <c r="P2418" s="203">
        <f t="shared" si="276"/>
        <v>0</v>
      </c>
      <c r="Q2418" s="271">
        <f t="shared" si="275"/>
        <v>0</v>
      </c>
      <c r="R2418" s="188"/>
      <c r="S2418" s="221"/>
      <c r="T2418" s="222"/>
      <c r="U2418" s="272" t="s">
        <v>4251</v>
      </c>
    </row>
    <row r="2419" spans="1:21" ht="0" hidden="1" customHeight="1" outlineLevel="2">
      <c r="A2419" s="201" t="s">
        <v>4252</v>
      </c>
      <c r="B2419" s="249"/>
      <c r="C2419" s="250" t="s">
        <v>1609</v>
      </c>
      <c r="D2419" s="203">
        <f>'02 项目基础信息（输入）'!$C$72</f>
        <v>0</v>
      </c>
      <c r="E2419" s="204" t="s">
        <v>93</v>
      </c>
      <c r="F2419" s="202"/>
      <c r="G2419" s="255"/>
      <c r="H2419" s="204"/>
      <c r="I2419" s="203"/>
      <c r="J2419" s="204"/>
      <c r="K2419" s="264"/>
      <c r="L2419" s="210"/>
      <c r="M2419" s="198">
        <f>ROUND(M2420+M2423+M2424+M2425+M2426,6)</f>
        <v>0</v>
      </c>
      <c r="N2419" s="212">
        <f>'02 项目基础信息（输入）'!$C$72</f>
        <v>0</v>
      </c>
      <c r="O2419" s="203">
        <f t="shared" si="274"/>
        <v>0</v>
      </c>
      <c r="P2419" s="203">
        <f t="shared" si="276"/>
        <v>0</v>
      </c>
      <c r="Q2419" s="271">
        <f t="shared" si="275"/>
        <v>0</v>
      </c>
      <c r="S2419" s="221" t="s">
        <v>1313</v>
      </c>
      <c r="T2419" s="222"/>
      <c r="U2419" s="272" t="s">
        <v>4253</v>
      </c>
    </row>
    <row r="2420" spans="1:21" s="181" customFormat="1" ht="0" hidden="1" customHeight="1" outlineLevel="4">
      <c r="A2420" s="253" t="s">
        <v>4254</v>
      </c>
      <c r="B2420" s="254"/>
      <c r="C2420" s="250" t="s">
        <v>1609</v>
      </c>
      <c r="D2420" s="203">
        <f>'02 项目基础信息（输入）'!$C$72</f>
        <v>0</v>
      </c>
      <c r="E2420" s="204" t="s">
        <v>93</v>
      </c>
      <c r="F2420" s="256"/>
      <c r="G2420" s="258"/>
      <c r="H2420" s="255"/>
      <c r="I2420" s="268"/>
      <c r="J2420" s="255"/>
      <c r="K2420" s="264"/>
      <c r="L2420" s="205"/>
      <c r="M2420" s="198">
        <f>ROUND(SUM(M2421:M2422),6)</f>
        <v>0</v>
      </c>
      <c r="N2420" s="212">
        <f>'02 项目基础信息（输入）'!$C$72</f>
        <v>0</v>
      </c>
      <c r="O2420" s="203">
        <f t="shared" si="274"/>
        <v>0</v>
      </c>
      <c r="P2420" s="203">
        <f t="shared" si="276"/>
        <v>0</v>
      </c>
      <c r="Q2420" s="271">
        <f t="shared" si="275"/>
        <v>0</v>
      </c>
      <c r="R2420" s="188"/>
      <c r="S2420" s="221"/>
      <c r="T2420" s="222"/>
      <c r="U2420" s="272" t="s">
        <v>4255</v>
      </c>
    </row>
    <row r="2421" spans="1:21" s="181" customFormat="1" ht="0" hidden="1" customHeight="1" outlineLevel="5">
      <c r="A2421" s="253" t="s">
        <v>4256</v>
      </c>
      <c r="B2421" s="254"/>
      <c r="C2421" s="250" t="s">
        <v>1609</v>
      </c>
      <c r="D2421" s="203">
        <f>'02 项目基础信息（输入）'!$C$72</f>
        <v>0</v>
      </c>
      <c r="E2421" s="204" t="s">
        <v>93</v>
      </c>
      <c r="F2421" s="202" t="s">
        <v>984</v>
      </c>
      <c r="G2421" s="262">
        <f>'03 成本测算（输入）'!D170</f>
        <v>0</v>
      </c>
      <c r="H2421" s="204" t="s">
        <v>966</v>
      </c>
      <c r="I2421" s="265">
        <f>D2421*G2421</f>
        <v>0</v>
      </c>
      <c r="J2421" s="204" t="s">
        <v>1617</v>
      </c>
      <c r="K2421" s="267">
        <f>'03 成本测算（输入）'!D171</f>
        <v>0</v>
      </c>
      <c r="L2421" s="210" t="s">
        <v>664</v>
      </c>
      <c r="M2421" s="198">
        <f>ROUND(K2421*I2421/10000,6)</f>
        <v>0</v>
      </c>
      <c r="N2421" s="212">
        <f>'02 项目基础信息（输入）'!$C$72</f>
        <v>0</v>
      </c>
      <c r="O2421" s="203">
        <f t="shared" si="274"/>
        <v>0</v>
      </c>
      <c r="P2421" s="203">
        <f t="shared" si="276"/>
        <v>0</v>
      </c>
      <c r="Q2421" s="271">
        <f t="shared" si="275"/>
        <v>0</v>
      </c>
      <c r="R2421" s="188"/>
      <c r="S2421" s="221"/>
      <c r="T2421" s="222"/>
      <c r="U2421" s="272" t="s">
        <v>4257</v>
      </c>
    </row>
    <row r="2422" spans="1:21" s="181" customFormat="1" ht="0" hidden="1" customHeight="1" outlineLevel="5">
      <c r="A2422" s="253" t="s">
        <v>4258</v>
      </c>
      <c r="B2422" s="254"/>
      <c r="C2422" s="250" t="s">
        <v>1609</v>
      </c>
      <c r="D2422" s="203">
        <f>'02 项目基础信息（输入）'!$C$72</f>
        <v>0</v>
      </c>
      <c r="E2422" s="204" t="s">
        <v>93</v>
      </c>
      <c r="F2422" s="202" t="s">
        <v>984</v>
      </c>
      <c r="G2422" s="258">
        <f>G2421</f>
        <v>0</v>
      </c>
      <c r="H2422" s="204" t="s">
        <v>966</v>
      </c>
      <c r="I2422" s="265">
        <f>D2422*G2422</f>
        <v>0</v>
      </c>
      <c r="J2422" s="204" t="s">
        <v>1617</v>
      </c>
      <c r="K2422" s="267">
        <f>'03 成本测算（输入）'!D172</f>
        <v>0</v>
      </c>
      <c r="L2422" s="210" t="s">
        <v>664</v>
      </c>
      <c r="M2422" s="198">
        <f>ROUND(K2422*I2422/10000,6)</f>
        <v>0</v>
      </c>
      <c r="N2422" s="212">
        <f>'02 项目基础信息（输入）'!$C$72</f>
        <v>0</v>
      </c>
      <c r="O2422" s="203">
        <f t="shared" si="274"/>
        <v>0</v>
      </c>
      <c r="P2422" s="203">
        <f t="shared" si="276"/>
        <v>0</v>
      </c>
      <c r="Q2422" s="271">
        <f t="shared" si="275"/>
        <v>0</v>
      </c>
      <c r="R2422" s="188"/>
      <c r="S2422" s="221"/>
      <c r="T2422" s="222"/>
      <c r="U2422" s="272" t="s">
        <v>4259</v>
      </c>
    </row>
    <row r="2423" spans="1:21" s="181" customFormat="1" ht="0" hidden="1" customHeight="1" outlineLevel="4">
      <c r="A2423" s="253" t="s">
        <v>4260</v>
      </c>
      <c r="B2423" s="254"/>
      <c r="C2423" s="250" t="s">
        <v>1609</v>
      </c>
      <c r="D2423" s="203">
        <f>'02 项目基础信息（输入）'!$C$72</f>
        <v>0</v>
      </c>
      <c r="E2423" s="204" t="s">
        <v>93</v>
      </c>
      <c r="F2423" s="202" t="s">
        <v>984</v>
      </c>
      <c r="G2423" s="258">
        <f>G2422</f>
        <v>0</v>
      </c>
      <c r="H2423" s="204" t="s">
        <v>966</v>
      </c>
      <c r="I2423" s="265">
        <f>D2423*G2423</f>
        <v>0</v>
      </c>
      <c r="J2423" s="204" t="s">
        <v>1617</v>
      </c>
      <c r="K2423" s="269"/>
      <c r="L2423" s="210" t="s">
        <v>664</v>
      </c>
      <c r="M2423" s="198">
        <f>ROUND(K2423*I2423/10000,6)</f>
        <v>0</v>
      </c>
      <c r="N2423" s="212">
        <f>'02 项目基础信息（输入）'!$C$72</f>
        <v>0</v>
      </c>
      <c r="O2423" s="203">
        <f t="shared" si="274"/>
        <v>0</v>
      </c>
      <c r="P2423" s="203">
        <f t="shared" si="276"/>
        <v>0</v>
      </c>
      <c r="Q2423" s="271">
        <f t="shared" si="275"/>
        <v>0</v>
      </c>
      <c r="R2423" s="188"/>
      <c r="S2423" s="221"/>
      <c r="T2423" s="222"/>
      <c r="U2423" s="272" t="s">
        <v>4261</v>
      </c>
    </row>
    <row r="2424" spans="1:21" s="181" customFormat="1" ht="0" hidden="1" customHeight="1" outlineLevel="3">
      <c r="A2424" s="253" t="s">
        <v>4262</v>
      </c>
      <c r="B2424" s="254"/>
      <c r="C2424" s="250" t="s">
        <v>1609</v>
      </c>
      <c r="D2424" s="203">
        <f>'02 项目基础信息（输入）'!$C$72</f>
        <v>0</v>
      </c>
      <c r="E2424" s="204" t="s">
        <v>93</v>
      </c>
      <c r="F2424" s="202" t="s">
        <v>984</v>
      </c>
      <c r="G2424" s="263"/>
      <c r="H2424" s="204" t="s">
        <v>966</v>
      </c>
      <c r="I2424" s="265">
        <f>D2424*G2424</f>
        <v>0</v>
      </c>
      <c r="J2424" s="204" t="s">
        <v>1617</v>
      </c>
      <c r="K2424" s="269"/>
      <c r="L2424" s="210" t="s">
        <v>664</v>
      </c>
      <c r="M2424" s="198">
        <f>ROUND(K2424*I2424/10000,6)</f>
        <v>0</v>
      </c>
      <c r="N2424" s="212">
        <f>'02 项目基础信息（输入）'!$C$72</f>
        <v>0</v>
      </c>
      <c r="O2424" s="203">
        <f t="shared" si="274"/>
        <v>0</v>
      </c>
      <c r="P2424" s="203">
        <f t="shared" si="276"/>
        <v>0</v>
      </c>
      <c r="Q2424" s="271">
        <f t="shared" si="275"/>
        <v>0</v>
      </c>
      <c r="R2424" s="188"/>
      <c r="S2424" s="221"/>
      <c r="T2424" s="222"/>
      <c r="U2424" s="272" t="s">
        <v>4263</v>
      </c>
    </row>
    <row r="2425" spans="1:21" s="181" customFormat="1" ht="0" hidden="1" customHeight="1" outlineLevel="3">
      <c r="A2425" s="253" t="s">
        <v>4264</v>
      </c>
      <c r="B2425" s="254"/>
      <c r="C2425" s="250" t="s">
        <v>1609</v>
      </c>
      <c r="D2425" s="203">
        <f>'02 项目基础信息（输入）'!$C$72</f>
        <v>0</v>
      </c>
      <c r="E2425" s="204" t="s">
        <v>93</v>
      </c>
      <c r="F2425" s="202" t="s">
        <v>984</v>
      </c>
      <c r="G2425" s="258">
        <f>G2421+G2424</f>
        <v>0</v>
      </c>
      <c r="H2425" s="204" t="s">
        <v>966</v>
      </c>
      <c r="I2425" s="265">
        <f>D2425*G2425</f>
        <v>0</v>
      </c>
      <c r="J2425" s="204" t="s">
        <v>1617</v>
      </c>
      <c r="K2425" s="269"/>
      <c r="L2425" s="210" t="s">
        <v>664</v>
      </c>
      <c r="M2425" s="198">
        <f>ROUND(K2425*I2425/10000,6)</f>
        <v>0</v>
      </c>
      <c r="N2425" s="212">
        <f>'02 项目基础信息（输入）'!$C$72</f>
        <v>0</v>
      </c>
      <c r="O2425" s="203">
        <f t="shared" si="274"/>
        <v>0</v>
      </c>
      <c r="P2425" s="203">
        <f t="shared" si="276"/>
        <v>0</v>
      </c>
      <c r="Q2425" s="271">
        <f t="shared" si="275"/>
        <v>0</v>
      </c>
      <c r="R2425" s="188"/>
      <c r="S2425" s="221"/>
      <c r="T2425" s="222"/>
      <c r="U2425" s="272" t="s">
        <v>4265</v>
      </c>
    </row>
    <row r="2426" spans="1:21" s="181" customFormat="1" ht="0" hidden="1" customHeight="1" outlineLevel="3">
      <c r="A2426" s="253" t="s">
        <v>4266</v>
      </c>
      <c r="B2426" s="254"/>
      <c r="C2426" s="250" t="s">
        <v>1665</v>
      </c>
      <c r="D2426" s="203">
        <f>ROUND(M2420+M2423+M2424,6)*10000</f>
        <v>0</v>
      </c>
      <c r="E2426" s="204" t="s">
        <v>1666</v>
      </c>
      <c r="F2426" s="202" t="s">
        <v>1667</v>
      </c>
      <c r="G2426" s="258">
        <f>IFERROR(I2426*100/D2426,0)</f>
        <v>0</v>
      </c>
      <c r="H2426" s="204" t="s">
        <v>123</v>
      </c>
      <c r="I2426" s="265">
        <f>N2426*K2426</f>
        <v>0</v>
      </c>
      <c r="J2426" s="204" t="s">
        <v>1666</v>
      </c>
      <c r="K2426" s="269"/>
      <c r="L2426" s="210" t="s">
        <v>675</v>
      </c>
      <c r="M2426" s="231">
        <f>ROUND(I2426/10000,6)</f>
        <v>0</v>
      </c>
      <c r="N2426" s="212">
        <f>'02 项目基础信息（输入）'!$C$72</f>
        <v>0</v>
      </c>
      <c r="O2426" s="203">
        <f t="shared" si="274"/>
        <v>0</v>
      </c>
      <c r="P2426" s="203">
        <f t="shared" si="276"/>
        <v>0</v>
      </c>
      <c r="Q2426" s="271">
        <f t="shared" si="275"/>
        <v>0</v>
      </c>
      <c r="R2426" s="188"/>
      <c r="S2426" s="221"/>
      <c r="T2426" s="222"/>
      <c r="U2426" s="272" t="s">
        <v>4267</v>
      </c>
    </row>
    <row r="2427" spans="1:21" ht="0" hidden="1" customHeight="1" outlineLevel="2">
      <c r="A2427" s="201" t="s">
        <v>4268</v>
      </c>
      <c r="B2427" s="201"/>
      <c r="C2427" s="202" t="s">
        <v>1609</v>
      </c>
      <c r="D2427" s="203">
        <f>'02 项目基础信息（输入）'!$C$72</f>
        <v>0</v>
      </c>
      <c r="E2427" s="204" t="s">
        <v>93</v>
      </c>
      <c r="F2427" s="202"/>
      <c r="G2427" s="204"/>
      <c r="H2427" s="255"/>
      <c r="I2427" s="212"/>
      <c r="J2427" s="255"/>
      <c r="K2427" s="264"/>
      <c r="L2427" s="205"/>
      <c r="M2427" s="198">
        <f>ROUND(M2428+M2435+M2444+M2445+M2446+M2447+M2448,6)</f>
        <v>0</v>
      </c>
      <c r="N2427" s="212">
        <f>'02 项目基础信息（输入）'!$C$72</f>
        <v>0</v>
      </c>
      <c r="O2427" s="203">
        <f t="shared" si="274"/>
        <v>0</v>
      </c>
      <c r="P2427" s="203">
        <f t="shared" si="276"/>
        <v>0</v>
      </c>
      <c r="Q2427" s="271">
        <f t="shared" si="275"/>
        <v>0</v>
      </c>
      <c r="S2427" s="221" t="s">
        <v>1313</v>
      </c>
      <c r="T2427" s="222"/>
      <c r="U2427" s="272" t="s">
        <v>4269</v>
      </c>
    </row>
    <row r="2428" spans="1:21" ht="0" hidden="1" customHeight="1" outlineLevel="3">
      <c r="A2428" s="253" t="s">
        <v>4270</v>
      </c>
      <c r="B2428" s="253"/>
      <c r="C2428" s="202" t="s">
        <v>1609</v>
      </c>
      <c r="D2428" s="203">
        <f>'02 项目基础信息（输入）'!$C$72</f>
        <v>0</v>
      </c>
      <c r="E2428" s="204" t="s">
        <v>93</v>
      </c>
      <c r="F2428" s="202"/>
      <c r="G2428" s="204"/>
      <c r="H2428" s="255"/>
      <c r="I2428" s="212"/>
      <c r="J2428" s="255"/>
      <c r="K2428" s="264"/>
      <c r="L2428" s="205"/>
      <c r="M2428" s="198">
        <f>ROUND(SUM(M2429:M2434),6)</f>
        <v>0</v>
      </c>
      <c r="N2428" s="212">
        <f>'02 项目基础信息（输入）'!$C$72</f>
        <v>0</v>
      </c>
      <c r="O2428" s="203">
        <f t="shared" si="274"/>
        <v>0</v>
      </c>
      <c r="P2428" s="203">
        <f t="shared" si="276"/>
        <v>0</v>
      </c>
      <c r="Q2428" s="271">
        <f t="shared" si="275"/>
        <v>0</v>
      </c>
      <c r="S2428" s="221"/>
      <c r="T2428" s="222"/>
      <c r="U2428" s="272" t="s">
        <v>4271</v>
      </c>
    </row>
    <row r="2429" spans="1:21" ht="0" hidden="1" customHeight="1" outlineLevel="4">
      <c r="A2429" s="253" t="s">
        <v>4272</v>
      </c>
      <c r="B2429" s="253"/>
      <c r="C2429" s="202" t="s">
        <v>1609</v>
      </c>
      <c r="D2429" s="203">
        <f>'02 项目基础信息（输入）'!$C$72</f>
        <v>0</v>
      </c>
      <c r="E2429" s="204" t="s">
        <v>93</v>
      </c>
      <c r="F2429" s="202" t="s">
        <v>1609</v>
      </c>
      <c r="G2429" s="204">
        <v>1</v>
      </c>
      <c r="H2429" s="204" t="s">
        <v>298</v>
      </c>
      <c r="I2429" s="265">
        <f t="shared" ref="I2429:I2434" si="277">D2429*G2429</f>
        <v>0</v>
      </c>
      <c r="J2429" s="204" t="s">
        <v>93</v>
      </c>
      <c r="K2429" s="269"/>
      <c r="L2429" s="210" t="s">
        <v>675</v>
      </c>
      <c r="M2429" s="198">
        <f t="shared" ref="M2429:M2434" si="278">ROUND(K2429*I2429/10000,6)</f>
        <v>0</v>
      </c>
      <c r="N2429" s="212">
        <f>'02 项目基础信息（输入）'!$C$72</f>
        <v>0</v>
      </c>
      <c r="O2429" s="203">
        <f t="shared" si="274"/>
        <v>0</v>
      </c>
      <c r="P2429" s="203">
        <f t="shared" si="276"/>
        <v>0</v>
      </c>
      <c r="Q2429" s="271">
        <f t="shared" si="275"/>
        <v>0</v>
      </c>
      <c r="S2429" s="221"/>
      <c r="T2429" s="222"/>
      <c r="U2429" s="272" t="s">
        <v>4273</v>
      </c>
    </row>
    <row r="2430" spans="1:21" ht="0" hidden="1" customHeight="1" outlineLevel="4">
      <c r="A2430" s="253" t="s">
        <v>4274</v>
      </c>
      <c r="B2430" s="253"/>
      <c r="C2430" s="202" t="s">
        <v>1609</v>
      </c>
      <c r="D2430" s="203">
        <f>'02 项目基础信息（输入）'!$C$72</f>
        <v>0</v>
      </c>
      <c r="E2430" s="204" t="s">
        <v>93</v>
      </c>
      <c r="F2430" s="202" t="s">
        <v>1609</v>
      </c>
      <c r="G2430" s="204">
        <v>1</v>
      </c>
      <c r="H2430" s="204" t="s">
        <v>298</v>
      </c>
      <c r="I2430" s="265">
        <f t="shared" si="277"/>
        <v>0</v>
      </c>
      <c r="J2430" s="204" t="s">
        <v>93</v>
      </c>
      <c r="K2430" s="269"/>
      <c r="L2430" s="210" t="s">
        <v>675</v>
      </c>
      <c r="M2430" s="198">
        <f t="shared" si="278"/>
        <v>0</v>
      </c>
      <c r="N2430" s="212">
        <f>'02 项目基础信息（输入）'!$C$72</f>
        <v>0</v>
      </c>
      <c r="O2430" s="203">
        <f t="shared" si="274"/>
        <v>0</v>
      </c>
      <c r="P2430" s="203">
        <f t="shared" si="276"/>
        <v>0</v>
      </c>
      <c r="Q2430" s="271">
        <f t="shared" si="275"/>
        <v>0</v>
      </c>
      <c r="S2430" s="221"/>
      <c r="T2430" s="222"/>
      <c r="U2430" s="272" t="s">
        <v>4275</v>
      </c>
    </row>
    <row r="2431" spans="1:21" ht="0" hidden="1" customHeight="1" outlineLevel="4">
      <c r="A2431" s="253" t="s">
        <v>4276</v>
      </c>
      <c r="B2431" s="253"/>
      <c r="C2431" s="202" t="s">
        <v>1609</v>
      </c>
      <c r="D2431" s="203">
        <f>'02 项目基础信息（输入）'!$C$72</f>
        <v>0</v>
      </c>
      <c r="E2431" s="204" t="s">
        <v>93</v>
      </c>
      <c r="F2431" s="202" t="s">
        <v>1609</v>
      </c>
      <c r="G2431" s="204">
        <v>1</v>
      </c>
      <c r="H2431" s="204" t="s">
        <v>298</v>
      </c>
      <c r="I2431" s="265">
        <f t="shared" si="277"/>
        <v>0</v>
      </c>
      <c r="J2431" s="204" t="s">
        <v>93</v>
      </c>
      <c r="K2431" s="269"/>
      <c r="L2431" s="210" t="s">
        <v>675</v>
      </c>
      <c r="M2431" s="198">
        <f t="shared" si="278"/>
        <v>0</v>
      </c>
      <c r="N2431" s="212">
        <f>'02 项目基础信息（输入）'!$C$72</f>
        <v>0</v>
      </c>
      <c r="O2431" s="203">
        <f t="shared" si="274"/>
        <v>0</v>
      </c>
      <c r="P2431" s="203">
        <f t="shared" si="276"/>
        <v>0</v>
      </c>
      <c r="Q2431" s="271">
        <f t="shared" si="275"/>
        <v>0</v>
      </c>
      <c r="S2431" s="221"/>
      <c r="T2431" s="222"/>
      <c r="U2431" s="272" t="s">
        <v>4277</v>
      </c>
    </row>
    <row r="2432" spans="1:21" ht="0" hidden="1" customHeight="1" outlineLevel="4">
      <c r="A2432" s="253" t="s">
        <v>4278</v>
      </c>
      <c r="B2432" s="253"/>
      <c r="C2432" s="202" t="s">
        <v>1609</v>
      </c>
      <c r="D2432" s="203">
        <f>'02 项目基础信息（输入）'!$C$72</f>
        <v>0</v>
      </c>
      <c r="E2432" s="204" t="s">
        <v>93</v>
      </c>
      <c r="F2432" s="202" t="s">
        <v>1609</v>
      </c>
      <c r="G2432" s="204">
        <v>1</v>
      </c>
      <c r="H2432" s="204" t="s">
        <v>298</v>
      </c>
      <c r="I2432" s="265">
        <f t="shared" si="277"/>
        <v>0</v>
      </c>
      <c r="J2432" s="204" t="s">
        <v>93</v>
      </c>
      <c r="K2432" s="269"/>
      <c r="L2432" s="210" t="s">
        <v>675</v>
      </c>
      <c r="M2432" s="198">
        <f t="shared" si="278"/>
        <v>0</v>
      </c>
      <c r="N2432" s="212">
        <f>'02 项目基础信息（输入）'!$C$72</f>
        <v>0</v>
      </c>
      <c r="O2432" s="203">
        <f t="shared" si="274"/>
        <v>0</v>
      </c>
      <c r="P2432" s="203">
        <f t="shared" si="276"/>
        <v>0</v>
      </c>
      <c r="Q2432" s="271">
        <f t="shared" si="275"/>
        <v>0</v>
      </c>
      <c r="S2432" s="221"/>
      <c r="T2432" s="222"/>
      <c r="U2432" s="272" t="s">
        <v>4279</v>
      </c>
    </row>
    <row r="2433" spans="1:21" ht="0" hidden="1" customHeight="1" outlineLevel="4">
      <c r="A2433" s="253" t="s">
        <v>4280</v>
      </c>
      <c r="B2433" s="253"/>
      <c r="C2433" s="202" t="s">
        <v>1609</v>
      </c>
      <c r="D2433" s="203">
        <f>'02 项目基础信息（输入）'!$C$72</f>
        <v>0</v>
      </c>
      <c r="E2433" s="204" t="s">
        <v>93</v>
      </c>
      <c r="F2433" s="202" t="s">
        <v>1609</v>
      </c>
      <c r="G2433" s="204">
        <v>1</v>
      </c>
      <c r="H2433" s="204" t="s">
        <v>298</v>
      </c>
      <c r="I2433" s="265">
        <f t="shared" si="277"/>
        <v>0</v>
      </c>
      <c r="J2433" s="204" t="s">
        <v>93</v>
      </c>
      <c r="K2433" s="269"/>
      <c r="L2433" s="210" t="s">
        <v>675</v>
      </c>
      <c r="M2433" s="198">
        <f t="shared" si="278"/>
        <v>0</v>
      </c>
      <c r="N2433" s="212">
        <f>'02 项目基础信息（输入）'!$C$72</f>
        <v>0</v>
      </c>
      <c r="O2433" s="203">
        <f t="shared" si="274"/>
        <v>0</v>
      </c>
      <c r="P2433" s="203">
        <f t="shared" si="276"/>
        <v>0</v>
      </c>
      <c r="Q2433" s="271">
        <f t="shared" si="275"/>
        <v>0</v>
      </c>
      <c r="S2433" s="221"/>
      <c r="T2433" s="222"/>
      <c r="U2433" s="272" t="s">
        <v>4281</v>
      </c>
    </row>
    <row r="2434" spans="1:21" ht="0" hidden="1" customHeight="1" outlineLevel="4">
      <c r="A2434" s="253" t="s">
        <v>4282</v>
      </c>
      <c r="B2434" s="253"/>
      <c r="C2434" s="202" t="s">
        <v>1609</v>
      </c>
      <c r="D2434" s="203">
        <f>'02 项目基础信息（输入）'!$C$72</f>
        <v>0</v>
      </c>
      <c r="E2434" s="204" t="s">
        <v>93</v>
      </c>
      <c r="F2434" s="202" t="s">
        <v>1609</v>
      </c>
      <c r="G2434" s="204">
        <v>1</v>
      </c>
      <c r="H2434" s="204" t="s">
        <v>298</v>
      </c>
      <c r="I2434" s="265">
        <f t="shared" si="277"/>
        <v>0</v>
      </c>
      <c r="J2434" s="204" t="s">
        <v>93</v>
      </c>
      <c r="K2434" s="269"/>
      <c r="L2434" s="210" t="s">
        <v>675</v>
      </c>
      <c r="M2434" s="198">
        <f t="shared" si="278"/>
        <v>0</v>
      </c>
      <c r="N2434" s="212">
        <f>'02 项目基础信息（输入）'!$C$72</f>
        <v>0</v>
      </c>
      <c r="O2434" s="203">
        <f t="shared" si="274"/>
        <v>0</v>
      </c>
      <c r="P2434" s="203">
        <f t="shared" si="276"/>
        <v>0</v>
      </c>
      <c r="Q2434" s="271">
        <f t="shared" si="275"/>
        <v>0</v>
      </c>
      <c r="S2434" s="221"/>
      <c r="T2434" s="222"/>
      <c r="U2434" s="272" t="s">
        <v>4283</v>
      </c>
    </row>
    <row r="2435" spans="1:21" ht="0" hidden="1" customHeight="1" outlineLevel="3">
      <c r="A2435" s="253" t="s">
        <v>4284</v>
      </c>
      <c r="B2435" s="253"/>
      <c r="C2435" s="202" t="s">
        <v>1609</v>
      </c>
      <c r="D2435" s="203">
        <f>'02 项目基础信息（输入）'!$C$72</f>
        <v>0</v>
      </c>
      <c r="E2435" s="204" t="s">
        <v>93</v>
      </c>
      <c r="F2435" s="202"/>
      <c r="G2435" s="204"/>
      <c r="H2435" s="204"/>
      <c r="I2435" s="203"/>
      <c r="J2435" s="255"/>
      <c r="K2435" s="231"/>
      <c r="L2435" s="205"/>
      <c r="M2435" s="198">
        <f>ROUND(SUM(M2436:M2443),6)</f>
        <v>0</v>
      </c>
      <c r="N2435" s="212">
        <f>'02 项目基础信息（输入）'!$C$72</f>
        <v>0</v>
      </c>
      <c r="O2435" s="203">
        <f t="shared" ref="O2435:O2498" si="279">ROUND(IFERROR(M2435*10000/N2435,0),2)</f>
        <v>0</v>
      </c>
      <c r="P2435" s="203">
        <f t="shared" si="276"/>
        <v>0</v>
      </c>
      <c r="Q2435" s="271">
        <f t="shared" ref="Q2435:Q2498" si="280">ROUND(IFERROR(M2435*10000/P2435,0),2)</f>
        <v>0</v>
      </c>
      <c r="S2435" s="221"/>
      <c r="T2435" s="222"/>
      <c r="U2435" s="272" t="s">
        <v>4285</v>
      </c>
    </row>
    <row r="2436" spans="1:21" ht="0" hidden="1" customHeight="1" outlineLevel="4">
      <c r="A2436" s="253" t="s">
        <v>4286</v>
      </c>
      <c r="B2436" s="253"/>
      <c r="C2436" s="202" t="s">
        <v>1609</v>
      </c>
      <c r="D2436" s="203">
        <f>'02 项目基础信息（输入）'!$C$72</f>
        <v>0</v>
      </c>
      <c r="E2436" s="204" t="s">
        <v>93</v>
      </c>
      <c r="F2436" s="202" t="s">
        <v>1609</v>
      </c>
      <c r="G2436" s="204">
        <v>1</v>
      </c>
      <c r="H2436" s="204" t="s">
        <v>298</v>
      </c>
      <c r="I2436" s="265">
        <f t="shared" ref="I2436:I2447" si="281">D2436*G2436</f>
        <v>0</v>
      </c>
      <c r="J2436" s="204" t="s">
        <v>93</v>
      </c>
      <c r="K2436" s="269"/>
      <c r="L2436" s="210" t="s">
        <v>675</v>
      </c>
      <c r="M2436" s="198">
        <f t="shared" ref="M2436:M2447" si="282">ROUND(K2436*I2436/10000,6)</f>
        <v>0</v>
      </c>
      <c r="N2436" s="212">
        <f>'02 项目基础信息（输入）'!$C$72</f>
        <v>0</v>
      </c>
      <c r="O2436" s="203">
        <f t="shared" si="279"/>
        <v>0</v>
      </c>
      <c r="P2436" s="203">
        <f t="shared" si="276"/>
        <v>0</v>
      </c>
      <c r="Q2436" s="271">
        <f t="shared" si="280"/>
        <v>0</v>
      </c>
      <c r="S2436" s="221"/>
      <c r="T2436" s="222"/>
      <c r="U2436" s="272" t="s">
        <v>4287</v>
      </c>
    </row>
    <row r="2437" spans="1:21" ht="0" hidden="1" customHeight="1" outlineLevel="4">
      <c r="A2437" s="253" t="s">
        <v>4288</v>
      </c>
      <c r="B2437" s="253"/>
      <c r="C2437" s="202" t="s">
        <v>1609</v>
      </c>
      <c r="D2437" s="203">
        <f>'02 项目基础信息（输入）'!$C$72</f>
        <v>0</v>
      </c>
      <c r="E2437" s="204" t="s">
        <v>93</v>
      </c>
      <c r="F2437" s="202" t="s">
        <v>1609</v>
      </c>
      <c r="G2437" s="204">
        <v>1</v>
      </c>
      <c r="H2437" s="204" t="s">
        <v>298</v>
      </c>
      <c r="I2437" s="265">
        <f t="shared" si="281"/>
        <v>0</v>
      </c>
      <c r="J2437" s="204" t="s">
        <v>93</v>
      </c>
      <c r="K2437" s="269"/>
      <c r="L2437" s="210" t="s">
        <v>675</v>
      </c>
      <c r="M2437" s="198">
        <f t="shared" si="282"/>
        <v>0</v>
      </c>
      <c r="N2437" s="212">
        <f>'02 项目基础信息（输入）'!$C$72</f>
        <v>0</v>
      </c>
      <c r="O2437" s="203">
        <f t="shared" si="279"/>
        <v>0</v>
      </c>
      <c r="P2437" s="203">
        <f t="shared" si="276"/>
        <v>0</v>
      </c>
      <c r="Q2437" s="271">
        <f t="shared" si="280"/>
        <v>0</v>
      </c>
      <c r="S2437" s="221"/>
      <c r="T2437" s="222"/>
      <c r="U2437" s="272" t="s">
        <v>4289</v>
      </c>
    </row>
    <row r="2438" spans="1:21" ht="0" hidden="1" customHeight="1" outlineLevel="4">
      <c r="A2438" s="253" t="s">
        <v>4290</v>
      </c>
      <c r="B2438" s="253"/>
      <c r="C2438" s="202" t="s">
        <v>1609</v>
      </c>
      <c r="D2438" s="203">
        <f>'02 项目基础信息（输入）'!$C$72</f>
        <v>0</v>
      </c>
      <c r="E2438" s="204" t="s">
        <v>93</v>
      </c>
      <c r="F2438" s="202" t="s">
        <v>1609</v>
      </c>
      <c r="G2438" s="204">
        <v>1</v>
      </c>
      <c r="H2438" s="204" t="s">
        <v>298</v>
      </c>
      <c r="I2438" s="265">
        <f t="shared" si="281"/>
        <v>0</v>
      </c>
      <c r="J2438" s="204" t="s">
        <v>93</v>
      </c>
      <c r="K2438" s="269"/>
      <c r="L2438" s="210" t="s">
        <v>675</v>
      </c>
      <c r="M2438" s="198">
        <f t="shared" si="282"/>
        <v>0</v>
      </c>
      <c r="N2438" s="212">
        <f>'02 项目基础信息（输入）'!$C$72</f>
        <v>0</v>
      </c>
      <c r="O2438" s="203">
        <f t="shared" si="279"/>
        <v>0</v>
      </c>
      <c r="P2438" s="203">
        <f t="shared" si="276"/>
        <v>0</v>
      </c>
      <c r="Q2438" s="271">
        <f t="shared" si="280"/>
        <v>0</v>
      </c>
      <c r="S2438" s="221"/>
      <c r="T2438" s="222"/>
      <c r="U2438" s="272" t="s">
        <v>4291</v>
      </c>
    </row>
    <row r="2439" spans="1:21" ht="0" hidden="1" customHeight="1" outlineLevel="4">
      <c r="A2439" s="253" t="s">
        <v>4292</v>
      </c>
      <c r="B2439" s="253"/>
      <c r="C2439" s="202" t="s">
        <v>1609</v>
      </c>
      <c r="D2439" s="203">
        <f>'02 项目基础信息（输入）'!$C$72</f>
        <v>0</v>
      </c>
      <c r="E2439" s="204" t="s">
        <v>93</v>
      </c>
      <c r="F2439" s="202" t="s">
        <v>1609</v>
      </c>
      <c r="G2439" s="204">
        <v>1</v>
      </c>
      <c r="H2439" s="204" t="s">
        <v>298</v>
      </c>
      <c r="I2439" s="265">
        <f t="shared" si="281"/>
        <v>0</v>
      </c>
      <c r="J2439" s="204" t="s">
        <v>93</v>
      </c>
      <c r="K2439" s="269"/>
      <c r="L2439" s="210" t="s">
        <v>675</v>
      </c>
      <c r="M2439" s="198">
        <f t="shared" si="282"/>
        <v>0</v>
      </c>
      <c r="N2439" s="212">
        <f>'02 项目基础信息（输入）'!$C$72</f>
        <v>0</v>
      </c>
      <c r="O2439" s="203">
        <f t="shared" si="279"/>
        <v>0</v>
      </c>
      <c r="P2439" s="203">
        <f t="shared" si="276"/>
        <v>0</v>
      </c>
      <c r="Q2439" s="271">
        <f t="shared" si="280"/>
        <v>0</v>
      </c>
      <c r="S2439" s="221"/>
      <c r="T2439" s="222"/>
      <c r="U2439" s="272" t="s">
        <v>4293</v>
      </c>
    </row>
    <row r="2440" spans="1:21" ht="0" hidden="1" customHeight="1" outlineLevel="4">
      <c r="A2440" s="253" t="s">
        <v>4294</v>
      </c>
      <c r="B2440" s="253"/>
      <c r="C2440" s="202" t="s">
        <v>1609</v>
      </c>
      <c r="D2440" s="203">
        <f>'02 项目基础信息（输入）'!$C$72</f>
        <v>0</v>
      </c>
      <c r="E2440" s="204" t="s">
        <v>93</v>
      </c>
      <c r="F2440" s="202" t="s">
        <v>1609</v>
      </c>
      <c r="G2440" s="204">
        <v>1</v>
      </c>
      <c r="H2440" s="204" t="s">
        <v>298</v>
      </c>
      <c r="I2440" s="265">
        <f t="shared" si="281"/>
        <v>0</v>
      </c>
      <c r="J2440" s="204" t="s">
        <v>93</v>
      </c>
      <c r="K2440" s="269"/>
      <c r="L2440" s="210" t="s">
        <v>675</v>
      </c>
      <c r="M2440" s="198">
        <f t="shared" si="282"/>
        <v>0</v>
      </c>
      <c r="N2440" s="212">
        <f>'02 项目基础信息（输入）'!$C$72</f>
        <v>0</v>
      </c>
      <c r="O2440" s="203">
        <f t="shared" si="279"/>
        <v>0</v>
      </c>
      <c r="P2440" s="203">
        <f t="shared" si="276"/>
        <v>0</v>
      </c>
      <c r="Q2440" s="271">
        <f t="shared" si="280"/>
        <v>0</v>
      </c>
      <c r="S2440" s="221"/>
      <c r="T2440" s="222"/>
      <c r="U2440" s="272" t="s">
        <v>4295</v>
      </c>
    </row>
    <row r="2441" spans="1:21" ht="0" hidden="1" customHeight="1" outlineLevel="4">
      <c r="A2441" s="253" t="s">
        <v>4296</v>
      </c>
      <c r="B2441" s="253"/>
      <c r="C2441" s="202" t="s">
        <v>1609</v>
      </c>
      <c r="D2441" s="203">
        <f>'02 项目基础信息（输入）'!$C$72</f>
        <v>0</v>
      </c>
      <c r="E2441" s="204" t="s">
        <v>93</v>
      </c>
      <c r="F2441" s="202" t="s">
        <v>1609</v>
      </c>
      <c r="G2441" s="204">
        <v>1</v>
      </c>
      <c r="H2441" s="204" t="s">
        <v>298</v>
      </c>
      <c r="I2441" s="265">
        <f t="shared" si="281"/>
        <v>0</v>
      </c>
      <c r="J2441" s="204" t="s">
        <v>93</v>
      </c>
      <c r="K2441" s="269"/>
      <c r="L2441" s="210" t="s">
        <v>675</v>
      </c>
      <c r="M2441" s="198">
        <f t="shared" si="282"/>
        <v>0</v>
      </c>
      <c r="N2441" s="212">
        <f>'02 项目基础信息（输入）'!$C$72</f>
        <v>0</v>
      </c>
      <c r="O2441" s="203">
        <f t="shared" si="279"/>
        <v>0</v>
      </c>
      <c r="P2441" s="203">
        <f t="shared" si="276"/>
        <v>0</v>
      </c>
      <c r="Q2441" s="271">
        <f t="shared" si="280"/>
        <v>0</v>
      </c>
      <c r="S2441" s="221"/>
      <c r="T2441" s="222"/>
      <c r="U2441" s="272" t="s">
        <v>4297</v>
      </c>
    </row>
    <row r="2442" spans="1:21" ht="0" hidden="1" customHeight="1" outlineLevel="4">
      <c r="A2442" s="253" t="s">
        <v>4298</v>
      </c>
      <c r="B2442" s="253"/>
      <c r="C2442" s="202" t="s">
        <v>1609</v>
      </c>
      <c r="D2442" s="203">
        <f>'02 项目基础信息（输入）'!$C$72</f>
        <v>0</v>
      </c>
      <c r="E2442" s="204" t="s">
        <v>93</v>
      </c>
      <c r="F2442" s="202" t="s">
        <v>1609</v>
      </c>
      <c r="G2442" s="204">
        <v>1</v>
      </c>
      <c r="H2442" s="204" t="s">
        <v>298</v>
      </c>
      <c r="I2442" s="265">
        <f t="shared" si="281"/>
        <v>0</v>
      </c>
      <c r="J2442" s="204" t="s">
        <v>93</v>
      </c>
      <c r="K2442" s="269"/>
      <c r="L2442" s="210" t="s">
        <v>675</v>
      </c>
      <c r="M2442" s="198">
        <f t="shared" si="282"/>
        <v>0</v>
      </c>
      <c r="N2442" s="212">
        <f>'02 项目基础信息（输入）'!$C$72</f>
        <v>0</v>
      </c>
      <c r="O2442" s="203">
        <f t="shared" si="279"/>
        <v>0</v>
      </c>
      <c r="P2442" s="203">
        <f t="shared" ref="P2442:P2505" si="283">N2442</f>
        <v>0</v>
      </c>
      <c r="Q2442" s="271">
        <f t="shared" si="280"/>
        <v>0</v>
      </c>
      <c r="S2442" s="221"/>
      <c r="T2442" s="222"/>
      <c r="U2442" s="272" t="s">
        <v>4299</v>
      </c>
    </row>
    <row r="2443" spans="1:21" ht="0" hidden="1" customHeight="1" outlineLevel="4">
      <c r="A2443" s="253" t="s">
        <v>4300</v>
      </c>
      <c r="B2443" s="253"/>
      <c r="C2443" s="202" t="s">
        <v>1609</v>
      </c>
      <c r="D2443" s="203">
        <f>'02 项目基础信息（输入）'!$C$72</f>
        <v>0</v>
      </c>
      <c r="E2443" s="204" t="s">
        <v>93</v>
      </c>
      <c r="F2443" s="202" t="s">
        <v>1609</v>
      </c>
      <c r="G2443" s="204">
        <v>1</v>
      </c>
      <c r="H2443" s="204" t="s">
        <v>298</v>
      </c>
      <c r="I2443" s="265">
        <f t="shared" si="281"/>
        <v>0</v>
      </c>
      <c r="J2443" s="204" t="s">
        <v>93</v>
      </c>
      <c r="K2443" s="269"/>
      <c r="L2443" s="210" t="s">
        <v>675</v>
      </c>
      <c r="M2443" s="198">
        <f t="shared" si="282"/>
        <v>0</v>
      </c>
      <c r="N2443" s="212">
        <f>'02 项目基础信息（输入）'!$C$72</f>
        <v>0</v>
      </c>
      <c r="O2443" s="203">
        <f t="shared" si="279"/>
        <v>0</v>
      </c>
      <c r="P2443" s="203">
        <f t="shared" si="283"/>
        <v>0</v>
      </c>
      <c r="Q2443" s="271">
        <f t="shared" si="280"/>
        <v>0</v>
      </c>
      <c r="S2443" s="221"/>
      <c r="T2443" s="222"/>
      <c r="U2443" s="272" t="s">
        <v>4301</v>
      </c>
    </row>
    <row r="2444" spans="1:21" ht="0" hidden="1" customHeight="1" outlineLevel="3">
      <c r="A2444" s="253" t="s">
        <v>4302</v>
      </c>
      <c r="B2444" s="253"/>
      <c r="C2444" s="202" t="s">
        <v>1609</v>
      </c>
      <c r="D2444" s="203">
        <f>'02 项目基础信息（输入）'!$C$72</f>
        <v>0</v>
      </c>
      <c r="E2444" s="204" t="s">
        <v>93</v>
      </c>
      <c r="F2444" s="202" t="s">
        <v>1609</v>
      </c>
      <c r="G2444" s="204">
        <v>1</v>
      </c>
      <c r="H2444" s="204" t="s">
        <v>298</v>
      </c>
      <c r="I2444" s="265">
        <f t="shared" si="281"/>
        <v>0</v>
      </c>
      <c r="J2444" s="204" t="s">
        <v>93</v>
      </c>
      <c r="K2444" s="269"/>
      <c r="L2444" s="210" t="s">
        <v>675</v>
      </c>
      <c r="M2444" s="198">
        <f t="shared" si="282"/>
        <v>0</v>
      </c>
      <c r="N2444" s="212">
        <f>'02 项目基础信息（输入）'!$C$72</f>
        <v>0</v>
      </c>
      <c r="O2444" s="203">
        <f t="shared" si="279"/>
        <v>0</v>
      </c>
      <c r="P2444" s="203">
        <f t="shared" si="283"/>
        <v>0</v>
      </c>
      <c r="Q2444" s="271">
        <f t="shared" si="280"/>
        <v>0</v>
      </c>
      <c r="S2444" s="221"/>
      <c r="T2444" s="222"/>
      <c r="U2444" s="272" t="s">
        <v>4303</v>
      </c>
    </row>
    <row r="2445" spans="1:21" ht="0" hidden="1" customHeight="1" outlineLevel="3">
      <c r="A2445" s="253" t="s">
        <v>4304</v>
      </c>
      <c r="B2445" s="253"/>
      <c r="C2445" s="202" t="s">
        <v>416</v>
      </c>
      <c r="D2445" s="273">
        <f>'02 项目基础信息（输入）'!D22</f>
        <v>156.75</v>
      </c>
      <c r="E2445" s="255" t="s">
        <v>400</v>
      </c>
      <c r="F2445" s="256" t="s">
        <v>416</v>
      </c>
      <c r="G2445" s="255">
        <v>1</v>
      </c>
      <c r="H2445" s="255" t="s">
        <v>1748</v>
      </c>
      <c r="I2445" s="265">
        <f t="shared" si="281"/>
        <v>156.75</v>
      </c>
      <c r="J2445" s="255" t="s">
        <v>400</v>
      </c>
      <c r="K2445" s="269"/>
      <c r="L2445" s="205" t="s">
        <v>1749</v>
      </c>
      <c r="M2445" s="198">
        <f t="shared" si="282"/>
        <v>0</v>
      </c>
      <c r="N2445" s="212">
        <f>'02 项目基础信息（输入）'!$C$72</f>
        <v>0</v>
      </c>
      <c r="O2445" s="203">
        <f t="shared" si="279"/>
        <v>0</v>
      </c>
      <c r="P2445" s="203">
        <f t="shared" si="283"/>
        <v>0</v>
      </c>
      <c r="Q2445" s="271">
        <f t="shared" si="280"/>
        <v>0</v>
      </c>
      <c r="S2445" s="221"/>
      <c r="T2445" s="222"/>
      <c r="U2445" s="272" t="s">
        <v>4305</v>
      </c>
    </row>
    <row r="2446" spans="1:21" ht="0" hidden="1" customHeight="1" outlineLevel="3">
      <c r="A2446" s="253" t="s">
        <v>4306</v>
      </c>
      <c r="B2446" s="253"/>
      <c r="C2446" s="202" t="s">
        <v>1609</v>
      </c>
      <c r="D2446" s="203">
        <f>'02 项目基础信息（输入）'!$C$72</f>
        <v>0</v>
      </c>
      <c r="E2446" s="204" t="s">
        <v>93</v>
      </c>
      <c r="F2446" s="202" t="s">
        <v>1609</v>
      </c>
      <c r="G2446" s="204">
        <v>1</v>
      </c>
      <c r="H2446" s="204" t="s">
        <v>298</v>
      </c>
      <c r="I2446" s="265">
        <f t="shared" si="281"/>
        <v>0</v>
      </c>
      <c r="J2446" s="204" t="s">
        <v>93</v>
      </c>
      <c r="K2446" s="269"/>
      <c r="L2446" s="210" t="s">
        <v>675</v>
      </c>
      <c r="M2446" s="198">
        <f t="shared" si="282"/>
        <v>0</v>
      </c>
      <c r="N2446" s="212">
        <f>'02 项目基础信息（输入）'!$C$72</f>
        <v>0</v>
      </c>
      <c r="O2446" s="203">
        <f t="shared" si="279"/>
        <v>0</v>
      </c>
      <c r="P2446" s="203">
        <f t="shared" si="283"/>
        <v>0</v>
      </c>
      <c r="Q2446" s="271">
        <f t="shared" si="280"/>
        <v>0</v>
      </c>
      <c r="S2446" s="221"/>
      <c r="T2446" s="222"/>
      <c r="U2446" s="272" t="s">
        <v>4307</v>
      </c>
    </row>
    <row r="2447" spans="1:21" ht="0" hidden="1" customHeight="1" outlineLevel="3">
      <c r="A2447" s="253" t="s">
        <v>4308</v>
      </c>
      <c r="B2447" s="253"/>
      <c r="C2447" s="202" t="s">
        <v>1609</v>
      </c>
      <c r="D2447" s="203">
        <f>'02 项目基础信息（输入）'!$C$72</f>
        <v>0</v>
      </c>
      <c r="E2447" s="204" t="s">
        <v>93</v>
      </c>
      <c r="F2447" s="202" t="s">
        <v>1609</v>
      </c>
      <c r="G2447" s="255">
        <v>1</v>
      </c>
      <c r="H2447" s="204" t="s">
        <v>298</v>
      </c>
      <c r="I2447" s="265">
        <f t="shared" si="281"/>
        <v>0</v>
      </c>
      <c r="J2447" s="204" t="s">
        <v>93</v>
      </c>
      <c r="K2447" s="269"/>
      <c r="L2447" s="210" t="s">
        <v>675</v>
      </c>
      <c r="M2447" s="198">
        <f t="shared" si="282"/>
        <v>0</v>
      </c>
      <c r="N2447" s="212">
        <f>'02 项目基础信息（输入）'!$C$72</f>
        <v>0</v>
      </c>
      <c r="O2447" s="203">
        <f t="shared" si="279"/>
        <v>0</v>
      </c>
      <c r="P2447" s="203">
        <f t="shared" si="283"/>
        <v>0</v>
      </c>
      <c r="Q2447" s="271">
        <f t="shared" si="280"/>
        <v>0</v>
      </c>
      <c r="S2447" s="221"/>
      <c r="T2447" s="222"/>
      <c r="U2447" s="272" t="s">
        <v>4309</v>
      </c>
    </row>
    <row r="2448" spans="1:21" ht="0" hidden="1" customHeight="1" outlineLevel="3">
      <c r="A2448" s="253" t="s">
        <v>4310</v>
      </c>
      <c r="B2448" s="253"/>
      <c r="C2448" s="202" t="s">
        <v>1665</v>
      </c>
      <c r="D2448" s="203">
        <f>ROUND(M2428+M2435+M2444+M2445+M2446+M2447,6)*10000</f>
        <v>0</v>
      </c>
      <c r="E2448" s="204" t="s">
        <v>1666</v>
      </c>
      <c r="F2448" s="202" t="s">
        <v>1667</v>
      </c>
      <c r="G2448" s="258">
        <f>IFERROR(I2448*100/D2448,0)</f>
        <v>0</v>
      </c>
      <c r="H2448" s="204" t="s">
        <v>123</v>
      </c>
      <c r="I2448" s="265">
        <f>N2448*K2448</f>
        <v>0</v>
      </c>
      <c r="J2448" s="204" t="s">
        <v>1666</v>
      </c>
      <c r="K2448" s="269"/>
      <c r="L2448" s="210" t="s">
        <v>675</v>
      </c>
      <c r="M2448" s="231">
        <f>ROUND(I2448/10000,6)</f>
        <v>0</v>
      </c>
      <c r="N2448" s="212">
        <f>'02 项目基础信息（输入）'!$C$72</f>
        <v>0</v>
      </c>
      <c r="O2448" s="203">
        <f t="shared" si="279"/>
        <v>0</v>
      </c>
      <c r="P2448" s="203">
        <f t="shared" si="283"/>
        <v>0</v>
      </c>
      <c r="Q2448" s="271">
        <f t="shared" si="280"/>
        <v>0</v>
      </c>
      <c r="S2448" s="221"/>
      <c r="T2448" s="222"/>
      <c r="U2448" s="272" t="s">
        <v>4311</v>
      </c>
    </row>
    <row r="2449" spans="1:21" ht="0" hidden="1" customHeight="1" outlineLevel="2">
      <c r="A2449" s="201" t="s">
        <v>4312</v>
      </c>
      <c r="B2449" s="201"/>
      <c r="C2449" s="202" t="s">
        <v>1609</v>
      </c>
      <c r="D2449" s="203">
        <f>'02 项目基础信息（输入）'!$C$72</f>
        <v>0</v>
      </c>
      <c r="E2449" s="204" t="s">
        <v>93</v>
      </c>
      <c r="F2449" s="202"/>
      <c r="G2449" s="221"/>
      <c r="H2449" s="204"/>
      <c r="I2449" s="203"/>
      <c r="J2449" s="204"/>
      <c r="K2449" s="207"/>
      <c r="L2449" s="210"/>
      <c r="M2449" s="198">
        <f>ROUND(M2450+M2451+M2452+M2453+M2457+M2458+M2459,6)</f>
        <v>0</v>
      </c>
      <c r="N2449" s="212">
        <f>'02 项目基础信息（输入）'!$C$72</f>
        <v>0</v>
      </c>
      <c r="O2449" s="203">
        <f t="shared" si="279"/>
        <v>0</v>
      </c>
      <c r="P2449" s="203">
        <f t="shared" si="283"/>
        <v>0</v>
      </c>
      <c r="Q2449" s="271">
        <f t="shared" si="280"/>
        <v>0</v>
      </c>
      <c r="S2449" s="280" t="s">
        <v>1314</v>
      </c>
      <c r="T2449" s="222"/>
      <c r="U2449" s="272" t="s">
        <v>4313</v>
      </c>
    </row>
    <row r="2450" spans="1:21" ht="0" hidden="1" customHeight="1" outlineLevel="3">
      <c r="A2450" s="253" t="s">
        <v>4314</v>
      </c>
      <c r="B2450" s="253"/>
      <c r="C2450" s="202" t="s">
        <v>1609</v>
      </c>
      <c r="D2450" s="203">
        <f>'02 项目基础信息（输入）'!$C$72</f>
        <v>0</v>
      </c>
      <c r="E2450" s="204" t="s">
        <v>93</v>
      </c>
      <c r="F2450" s="202" t="s">
        <v>4315</v>
      </c>
      <c r="G2450" s="258">
        <f>IFERROR(I2450/D2450,0)</f>
        <v>0</v>
      </c>
      <c r="H2450" s="204" t="s">
        <v>298</v>
      </c>
      <c r="I2450" s="269"/>
      <c r="J2450" s="204" t="s">
        <v>93</v>
      </c>
      <c r="K2450" s="269"/>
      <c r="L2450" s="210" t="s">
        <v>675</v>
      </c>
      <c r="M2450" s="198">
        <f>ROUND(K2450*I2450/10000,6)</f>
        <v>0</v>
      </c>
      <c r="N2450" s="212">
        <f>'02 项目基础信息（输入）'!$C$72</f>
        <v>0</v>
      </c>
      <c r="O2450" s="203">
        <f t="shared" si="279"/>
        <v>0</v>
      </c>
      <c r="P2450" s="203">
        <f t="shared" si="283"/>
        <v>0</v>
      </c>
      <c r="Q2450" s="271">
        <f t="shared" si="280"/>
        <v>0</v>
      </c>
      <c r="S2450" s="280"/>
      <c r="T2450" s="222"/>
      <c r="U2450" s="272" t="s">
        <v>4316</v>
      </c>
    </row>
    <row r="2451" spans="1:21" ht="0" hidden="1" customHeight="1" outlineLevel="3">
      <c r="A2451" s="253" t="s">
        <v>4317</v>
      </c>
      <c r="B2451" s="253"/>
      <c r="C2451" s="202" t="s">
        <v>1609</v>
      </c>
      <c r="D2451" s="203">
        <f>'02 项目基础信息（输入）'!$C$72</f>
        <v>0</v>
      </c>
      <c r="E2451" s="204" t="s">
        <v>93</v>
      </c>
      <c r="F2451" s="202" t="s">
        <v>1609</v>
      </c>
      <c r="G2451" s="255">
        <v>1</v>
      </c>
      <c r="H2451" s="204" t="s">
        <v>298</v>
      </c>
      <c r="I2451" s="265">
        <f>D2451*G2451</f>
        <v>0</v>
      </c>
      <c r="J2451" s="204" t="s">
        <v>93</v>
      </c>
      <c r="K2451" s="269"/>
      <c r="L2451" s="210" t="s">
        <v>675</v>
      </c>
      <c r="M2451" s="198">
        <f>ROUND(K2451*I2451/10000,6)</f>
        <v>0</v>
      </c>
      <c r="N2451" s="212">
        <f>'02 项目基础信息（输入）'!$C$72</f>
        <v>0</v>
      </c>
      <c r="O2451" s="203">
        <f t="shared" si="279"/>
        <v>0</v>
      </c>
      <c r="P2451" s="203">
        <f t="shared" si="283"/>
        <v>0</v>
      </c>
      <c r="Q2451" s="271">
        <f t="shared" si="280"/>
        <v>0</v>
      </c>
      <c r="S2451" s="280"/>
      <c r="T2451" s="222"/>
      <c r="U2451" s="272" t="s">
        <v>4318</v>
      </c>
    </row>
    <row r="2452" spans="1:21" ht="0" hidden="1" customHeight="1" outlineLevel="3">
      <c r="A2452" s="253" t="s">
        <v>4319</v>
      </c>
      <c r="B2452" s="253"/>
      <c r="C2452" s="202" t="s">
        <v>1609</v>
      </c>
      <c r="D2452" s="203">
        <f>'02 项目基础信息（输入）'!$C$72</f>
        <v>0</v>
      </c>
      <c r="E2452" s="204" t="s">
        <v>93</v>
      </c>
      <c r="F2452" s="202" t="s">
        <v>1609</v>
      </c>
      <c r="G2452" s="255">
        <v>1</v>
      </c>
      <c r="H2452" s="204" t="s">
        <v>298</v>
      </c>
      <c r="I2452" s="265">
        <f>D2452*G2452</f>
        <v>0</v>
      </c>
      <c r="J2452" s="204" t="s">
        <v>93</v>
      </c>
      <c r="K2452" s="269"/>
      <c r="L2452" s="210" t="s">
        <v>675</v>
      </c>
      <c r="M2452" s="198">
        <f>ROUND(K2452*I2452/10000,6)</f>
        <v>0</v>
      </c>
      <c r="N2452" s="212">
        <f>'02 项目基础信息（输入）'!$C$72</f>
        <v>0</v>
      </c>
      <c r="O2452" s="203">
        <f t="shared" si="279"/>
        <v>0</v>
      </c>
      <c r="P2452" s="203">
        <f t="shared" si="283"/>
        <v>0</v>
      </c>
      <c r="Q2452" s="271">
        <f t="shared" si="280"/>
        <v>0</v>
      </c>
      <c r="S2452" s="280"/>
      <c r="T2452" s="222"/>
      <c r="U2452" s="272" t="s">
        <v>4320</v>
      </c>
    </row>
    <row r="2453" spans="1:21" ht="0" hidden="1" customHeight="1" outlineLevel="3">
      <c r="A2453" s="253" t="s">
        <v>4321</v>
      </c>
      <c r="B2453" s="253"/>
      <c r="C2453" s="202" t="s">
        <v>1609</v>
      </c>
      <c r="D2453" s="203">
        <f>'02 项目基础信息（输入）'!$C$72</f>
        <v>0</v>
      </c>
      <c r="E2453" s="204" t="s">
        <v>93</v>
      </c>
      <c r="F2453" s="202"/>
      <c r="G2453" s="255"/>
      <c r="H2453" s="204"/>
      <c r="I2453" s="212"/>
      <c r="J2453" s="255"/>
      <c r="K2453" s="264"/>
      <c r="L2453" s="205"/>
      <c r="M2453" s="198">
        <f>ROUND(SUM(M2454:M2456),6)</f>
        <v>0</v>
      </c>
      <c r="N2453" s="212">
        <f>'02 项目基础信息（输入）'!$C$72</f>
        <v>0</v>
      </c>
      <c r="O2453" s="203">
        <f t="shared" si="279"/>
        <v>0</v>
      </c>
      <c r="P2453" s="203">
        <f t="shared" si="283"/>
        <v>0</v>
      </c>
      <c r="Q2453" s="271">
        <f t="shared" si="280"/>
        <v>0</v>
      </c>
      <c r="S2453" s="280"/>
      <c r="T2453" s="222"/>
      <c r="U2453" s="272" t="s">
        <v>4322</v>
      </c>
    </row>
    <row r="2454" spans="1:21" ht="0" hidden="1" customHeight="1" outlineLevel="4">
      <c r="A2454" s="253" t="s">
        <v>4323</v>
      </c>
      <c r="B2454" s="253"/>
      <c r="C2454" s="202" t="s">
        <v>1609</v>
      </c>
      <c r="D2454" s="203">
        <f>'02 项目基础信息（输入）'!$C$72</f>
        <v>0</v>
      </c>
      <c r="E2454" s="204" t="s">
        <v>93</v>
      </c>
      <c r="F2454" s="202" t="s">
        <v>4324</v>
      </c>
      <c r="G2454" s="258">
        <f>IFERROR(I2454/D2454,0)</f>
        <v>0</v>
      </c>
      <c r="H2454" s="204" t="s">
        <v>298</v>
      </c>
      <c r="I2454" s="269"/>
      <c r="J2454" s="204" t="s">
        <v>93</v>
      </c>
      <c r="K2454" s="269"/>
      <c r="L2454" s="210" t="s">
        <v>675</v>
      </c>
      <c r="M2454" s="198">
        <f>ROUND(K2454*I2454/10000,6)</f>
        <v>0</v>
      </c>
      <c r="N2454" s="212">
        <f>'02 项目基础信息（输入）'!$C$72</f>
        <v>0</v>
      </c>
      <c r="O2454" s="203">
        <f t="shared" si="279"/>
        <v>0</v>
      </c>
      <c r="P2454" s="203">
        <f t="shared" si="283"/>
        <v>0</v>
      </c>
      <c r="Q2454" s="271">
        <f t="shared" si="280"/>
        <v>0</v>
      </c>
      <c r="S2454" s="280"/>
      <c r="T2454" s="222"/>
      <c r="U2454" s="272" t="s">
        <v>4325</v>
      </c>
    </row>
    <row r="2455" spans="1:21" ht="0" hidden="1" customHeight="1" outlineLevel="4">
      <c r="A2455" s="253" t="s">
        <v>4326</v>
      </c>
      <c r="B2455" s="253"/>
      <c r="C2455" s="202" t="s">
        <v>1609</v>
      </c>
      <c r="D2455" s="203">
        <f>'02 项目基础信息（输入）'!$C$72</f>
        <v>0</v>
      </c>
      <c r="E2455" s="204" t="s">
        <v>93</v>
      </c>
      <c r="F2455" s="202" t="s">
        <v>4324</v>
      </c>
      <c r="G2455" s="258">
        <f>IFERROR(I2455/D2455,0)</f>
        <v>0</v>
      </c>
      <c r="H2455" s="204" t="s">
        <v>298</v>
      </c>
      <c r="I2455" s="269"/>
      <c r="J2455" s="204" t="s">
        <v>93</v>
      </c>
      <c r="K2455" s="269"/>
      <c r="L2455" s="210" t="s">
        <v>675</v>
      </c>
      <c r="M2455" s="198">
        <f>ROUND(K2455*I2455/10000,6)</f>
        <v>0</v>
      </c>
      <c r="N2455" s="212">
        <f>'02 项目基础信息（输入）'!$C$72</f>
        <v>0</v>
      </c>
      <c r="O2455" s="203">
        <f t="shared" si="279"/>
        <v>0</v>
      </c>
      <c r="P2455" s="203">
        <f t="shared" si="283"/>
        <v>0</v>
      </c>
      <c r="Q2455" s="271">
        <f t="shared" si="280"/>
        <v>0</v>
      </c>
      <c r="S2455" s="280"/>
      <c r="T2455" s="222"/>
      <c r="U2455" s="272" t="s">
        <v>4327</v>
      </c>
    </row>
    <row r="2456" spans="1:21" ht="0" hidden="1" customHeight="1" outlineLevel="4">
      <c r="A2456" s="253" t="s">
        <v>4328</v>
      </c>
      <c r="B2456" s="253"/>
      <c r="C2456" s="202" t="s">
        <v>1609</v>
      </c>
      <c r="D2456" s="203">
        <f>'02 项目基础信息（输入）'!$C$72</f>
        <v>0</v>
      </c>
      <c r="E2456" s="204" t="s">
        <v>93</v>
      </c>
      <c r="F2456" s="202" t="s">
        <v>4324</v>
      </c>
      <c r="G2456" s="258">
        <f>IFERROR(I2456/D2456,0)</f>
        <v>0</v>
      </c>
      <c r="H2456" s="204" t="s">
        <v>298</v>
      </c>
      <c r="I2456" s="269"/>
      <c r="J2456" s="204" t="s">
        <v>93</v>
      </c>
      <c r="K2456" s="269"/>
      <c r="L2456" s="210" t="s">
        <v>675</v>
      </c>
      <c r="M2456" s="198">
        <f>ROUND(K2456*I2456/10000,6)</f>
        <v>0</v>
      </c>
      <c r="N2456" s="212">
        <f>'02 项目基础信息（输入）'!$C$72</f>
        <v>0</v>
      </c>
      <c r="O2456" s="203">
        <f t="shared" si="279"/>
        <v>0</v>
      </c>
      <c r="P2456" s="203">
        <f t="shared" si="283"/>
        <v>0</v>
      </c>
      <c r="Q2456" s="271">
        <f t="shared" si="280"/>
        <v>0</v>
      </c>
      <c r="S2456" s="280"/>
      <c r="T2456" s="222"/>
      <c r="U2456" s="272" t="s">
        <v>4329</v>
      </c>
    </row>
    <row r="2457" spans="1:21" ht="0" hidden="1" customHeight="1" outlineLevel="3">
      <c r="A2457" s="253" t="s">
        <v>4330</v>
      </c>
      <c r="B2457" s="253"/>
      <c r="C2457" s="202" t="s">
        <v>1609</v>
      </c>
      <c r="D2457" s="203">
        <f>'02 项目基础信息（输入）'!$C$72</f>
        <v>0</v>
      </c>
      <c r="E2457" s="204" t="s">
        <v>93</v>
      </c>
      <c r="F2457" s="202" t="s">
        <v>1609</v>
      </c>
      <c r="G2457" s="255">
        <v>1</v>
      </c>
      <c r="H2457" s="204" t="s">
        <v>298</v>
      </c>
      <c r="I2457" s="265">
        <f>D2457*G2457</f>
        <v>0</v>
      </c>
      <c r="J2457" s="204" t="s">
        <v>93</v>
      </c>
      <c r="K2457" s="269"/>
      <c r="L2457" s="210" t="s">
        <v>675</v>
      </c>
      <c r="M2457" s="198">
        <f>ROUND(K2457*I2457/10000,6)</f>
        <v>0</v>
      </c>
      <c r="N2457" s="212">
        <f>'02 项目基础信息（输入）'!$C$72</f>
        <v>0</v>
      </c>
      <c r="O2457" s="203">
        <f t="shared" si="279"/>
        <v>0</v>
      </c>
      <c r="P2457" s="203">
        <f t="shared" si="283"/>
        <v>0</v>
      </c>
      <c r="Q2457" s="271">
        <f t="shared" si="280"/>
        <v>0</v>
      </c>
      <c r="S2457" s="280"/>
      <c r="T2457" s="222"/>
      <c r="U2457" s="272" t="s">
        <v>4331</v>
      </c>
    </row>
    <row r="2458" spans="1:21" ht="0" hidden="1" customHeight="1" outlineLevel="3">
      <c r="A2458" s="253" t="s">
        <v>4332</v>
      </c>
      <c r="B2458" s="253"/>
      <c r="C2458" s="202" t="s">
        <v>1609</v>
      </c>
      <c r="D2458" s="203">
        <f>'02 项目基础信息（输入）'!$C$72</f>
        <v>0</v>
      </c>
      <c r="E2458" s="204" t="s">
        <v>93</v>
      </c>
      <c r="F2458" s="202" t="s">
        <v>1609</v>
      </c>
      <c r="G2458" s="255">
        <v>1</v>
      </c>
      <c r="H2458" s="204" t="s">
        <v>298</v>
      </c>
      <c r="I2458" s="265">
        <f>D2458*G2458</f>
        <v>0</v>
      </c>
      <c r="J2458" s="204" t="s">
        <v>93</v>
      </c>
      <c r="K2458" s="269"/>
      <c r="L2458" s="210" t="s">
        <v>675</v>
      </c>
      <c r="M2458" s="198">
        <f>ROUND(K2458*I2458/10000,6)</f>
        <v>0</v>
      </c>
      <c r="N2458" s="212">
        <f>'02 项目基础信息（输入）'!$C$72</f>
        <v>0</v>
      </c>
      <c r="O2458" s="203">
        <f t="shared" si="279"/>
        <v>0</v>
      </c>
      <c r="P2458" s="203">
        <f t="shared" si="283"/>
        <v>0</v>
      </c>
      <c r="Q2458" s="271">
        <f t="shared" si="280"/>
        <v>0</v>
      </c>
      <c r="S2458" s="280"/>
      <c r="T2458" s="222"/>
      <c r="U2458" s="272" t="s">
        <v>4333</v>
      </c>
    </row>
    <row r="2459" spans="1:21" ht="0" hidden="1" customHeight="1" outlineLevel="3">
      <c r="A2459" s="253" t="s">
        <v>4334</v>
      </c>
      <c r="B2459" s="253"/>
      <c r="C2459" s="202" t="s">
        <v>1665</v>
      </c>
      <c r="D2459" s="203">
        <f>ROUND(M2450+M2451+M2452+M2453+M2458,6)*10000</f>
        <v>0</v>
      </c>
      <c r="E2459" s="204" t="s">
        <v>1666</v>
      </c>
      <c r="F2459" s="202" t="s">
        <v>1667</v>
      </c>
      <c r="G2459" s="258">
        <f>IFERROR(I2459*100/D2459,0)</f>
        <v>0</v>
      </c>
      <c r="H2459" s="204" t="s">
        <v>123</v>
      </c>
      <c r="I2459" s="265">
        <f>N2459*K2459</f>
        <v>0</v>
      </c>
      <c r="J2459" s="204" t="s">
        <v>1666</v>
      </c>
      <c r="K2459" s="269"/>
      <c r="L2459" s="210" t="s">
        <v>675</v>
      </c>
      <c r="M2459" s="231">
        <f>ROUND(I2459/10000,6)</f>
        <v>0</v>
      </c>
      <c r="N2459" s="212">
        <f>'02 项目基础信息（输入）'!$C$72</f>
        <v>0</v>
      </c>
      <c r="O2459" s="203">
        <f t="shared" si="279"/>
        <v>0</v>
      </c>
      <c r="P2459" s="203">
        <f t="shared" si="283"/>
        <v>0</v>
      </c>
      <c r="Q2459" s="271">
        <f t="shared" si="280"/>
        <v>0</v>
      </c>
      <c r="S2459" s="280"/>
      <c r="T2459" s="222"/>
      <c r="U2459" s="272" t="s">
        <v>4335</v>
      </c>
    </row>
    <row r="2460" spans="1:21" ht="0" hidden="1" customHeight="1" outlineLevel="2">
      <c r="A2460" s="201" t="s">
        <v>4336</v>
      </c>
      <c r="B2460" s="201"/>
      <c r="C2460" s="202" t="s">
        <v>1609</v>
      </c>
      <c r="D2460" s="203">
        <f>'02 项目基础信息（输入）'!$C$72</f>
        <v>0</v>
      </c>
      <c r="E2460" s="204" t="s">
        <v>93</v>
      </c>
      <c r="F2460" s="202"/>
      <c r="G2460" s="255"/>
      <c r="H2460" s="204"/>
      <c r="I2460" s="203"/>
      <c r="J2460" s="204"/>
      <c r="K2460" s="264"/>
      <c r="L2460" s="210"/>
      <c r="M2460" s="198">
        <f>ROUND(M2461+M2464+M2469+M2470+M2471+M2472,6)</f>
        <v>0</v>
      </c>
      <c r="N2460" s="212">
        <f>'02 项目基础信息（输入）'!$C$72</f>
        <v>0</v>
      </c>
      <c r="O2460" s="203">
        <f t="shared" si="279"/>
        <v>0</v>
      </c>
      <c r="P2460" s="203">
        <f t="shared" si="283"/>
        <v>0</v>
      </c>
      <c r="Q2460" s="271">
        <f t="shared" si="280"/>
        <v>0</v>
      </c>
      <c r="S2460" s="280" t="s">
        <v>1313</v>
      </c>
      <c r="T2460" s="222"/>
      <c r="U2460" s="272" t="s">
        <v>4337</v>
      </c>
    </row>
    <row r="2461" spans="1:21" ht="0" hidden="1" customHeight="1" outlineLevel="3">
      <c r="A2461" s="253" t="s">
        <v>4338</v>
      </c>
      <c r="B2461" s="253"/>
      <c r="C2461" s="202" t="s">
        <v>1609</v>
      </c>
      <c r="D2461" s="203">
        <f>'02 项目基础信息（输入）'!$C$72</f>
        <v>0</v>
      </c>
      <c r="E2461" s="204" t="s">
        <v>93</v>
      </c>
      <c r="F2461" s="202"/>
      <c r="G2461" s="204"/>
      <c r="H2461" s="204"/>
      <c r="I2461" s="203"/>
      <c r="J2461" s="204"/>
      <c r="K2461" s="264"/>
      <c r="L2461" s="210"/>
      <c r="M2461" s="198">
        <f>ROUND(SUM(M2462:M2463),6)</f>
        <v>0</v>
      </c>
      <c r="N2461" s="212">
        <f>'02 项目基础信息（输入）'!$C$72</f>
        <v>0</v>
      </c>
      <c r="O2461" s="203">
        <f t="shared" si="279"/>
        <v>0</v>
      </c>
      <c r="P2461" s="203">
        <f t="shared" si="283"/>
        <v>0</v>
      </c>
      <c r="Q2461" s="271">
        <f t="shared" si="280"/>
        <v>0</v>
      </c>
      <c r="S2461" s="280"/>
      <c r="T2461" s="222"/>
      <c r="U2461" s="272" t="s">
        <v>4339</v>
      </c>
    </row>
    <row r="2462" spans="1:21" ht="0" hidden="1" customHeight="1" outlineLevel="4">
      <c r="A2462" s="253" t="s">
        <v>4340</v>
      </c>
      <c r="B2462" s="253"/>
      <c r="C2462" s="202" t="s">
        <v>1609</v>
      </c>
      <c r="D2462" s="203">
        <f>'02 项目基础信息（输入）'!$C$72</f>
        <v>0</v>
      </c>
      <c r="E2462" s="204" t="s">
        <v>93</v>
      </c>
      <c r="F2462" s="202" t="s">
        <v>1609</v>
      </c>
      <c r="G2462" s="204">
        <v>1</v>
      </c>
      <c r="H2462" s="204" t="s">
        <v>298</v>
      </c>
      <c r="I2462" s="265">
        <f>D2462*G2462</f>
        <v>0</v>
      </c>
      <c r="J2462" s="204" t="s">
        <v>93</v>
      </c>
      <c r="K2462" s="269"/>
      <c r="L2462" s="210" t="s">
        <v>675</v>
      </c>
      <c r="M2462" s="198">
        <f>ROUND(K2462*I2462/10000,6)</f>
        <v>0</v>
      </c>
      <c r="N2462" s="212">
        <f>'02 项目基础信息（输入）'!$C$72</f>
        <v>0</v>
      </c>
      <c r="O2462" s="203">
        <f t="shared" si="279"/>
        <v>0</v>
      </c>
      <c r="P2462" s="203">
        <f t="shared" si="283"/>
        <v>0</v>
      </c>
      <c r="Q2462" s="271">
        <f t="shared" si="280"/>
        <v>0</v>
      </c>
      <c r="S2462" s="280"/>
      <c r="T2462" s="222"/>
      <c r="U2462" s="272" t="s">
        <v>4341</v>
      </c>
    </row>
    <row r="2463" spans="1:21" ht="0" hidden="1" customHeight="1" outlineLevel="4">
      <c r="A2463" s="253" t="s">
        <v>4342</v>
      </c>
      <c r="B2463" s="253"/>
      <c r="C2463" s="202" t="s">
        <v>1609</v>
      </c>
      <c r="D2463" s="203">
        <f>'02 项目基础信息（输入）'!$C$72</f>
        <v>0</v>
      </c>
      <c r="E2463" s="204" t="s">
        <v>93</v>
      </c>
      <c r="F2463" s="202" t="s">
        <v>1609</v>
      </c>
      <c r="G2463" s="204">
        <v>1</v>
      </c>
      <c r="H2463" s="204" t="s">
        <v>298</v>
      </c>
      <c r="I2463" s="265">
        <f>D2463*G2463</f>
        <v>0</v>
      </c>
      <c r="J2463" s="204" t="s">
        <v>93</v>
      </c>
      <c r="K2463" s="269"/>
      <c r="L2463" s="210" t="s">
        <v>675</v>
      </c>
      <c r="M2463" s="198">
        <f>ROUND(K2463*I2463/10000,6)</f>
        <v>0</v>
      </c>
      <c r="N2463" s="212">
        <f>'02 项目基础信息（输入）'!$C$72</f>
        <v>0</v>
      </c>
      <c r="O2463" s="203">
        <f t="shared" si="279"/>
        <v>0</v>
      </c>
      <c r="P2463" s="203">
        <f t="shared" si="283"/>
        <v>0</v>
      </c>
      <c r="Q2463" s="271">
        <f t="shared" si="280"/>
        <v>0</v>
      </c>
      <c r="S2463" s="280"/>
      <c r="T2463" s="222"/>
      <c r="U2463" s="272" t="s">
        <v>4343</v>
      </c>
    </row>
    <row r="2464" spans="1:21" ht="0" hidden="1" customHeight="1" outlineLevel="3">
      <c r="A2464" s="253" t="s">
        <v>4344</v>
      </c>
      <c r="B2464" s="253"/>
      <c r="C2464" s="202" t="s">
        <v>1609</v>
      </c>
      <c r="D2464" s="203">
        <f>'02 项目基础信息（输入）'!$C$72</f>
        <v>0</v>
      </c>
      <c r="E2464" s="204" t="s">
        <v>93</v>
      </c>
      <c r="F2464" s="202"/>
      <c r="G2464" s="204"/>
      <c r="H2464" s="204"/>
      <c r="I2464" s="203"/>
      <c r="J2464" s="204"/>
      <c r="K2464" s="231"/>
      <c r="L2464" s="210"/>
      <c r="M2464" s="198">
        <f>ROUND(SUM(M2465:M2468),6)</f>
        <v>0</v>
      </c>
      <c r="N2464" s="212">
        <f>'02 项目基础信息（输入）'!$C$72</f>
        <v>0</v>
      </c>
      <c r="O2464" s="203">
        <f t="shared" si="279"/>
        <v>0</v>
      </c>
      <c r="P2464" s="203">
        <f t="shared" si="283"/>
        <v>0</v>
      </c>
      <c r="Q2464" s="271">
        <f t="shared" si="280"/>
        <v>0</v>
      </c>
      <c r="S2464" s="280"/>
      <c r="T2464" s="222"/>
      <c r="U2464" s="272" t="s">
        <v>4345</v>
      </c>
    </row>
    <row r="2465" spans="1:21" ht="0" hidden="1" customHeight="1" outlineLevel="4">
      <c r="A2465" s="253" t="s">
        <v>4346</v>
      </c>
      <c r="B2465" s="253"/>
      <c r="C2465" s="202" t="s">
        <v>1609</v>
      </c>
      <c r="D2465" s="203">
        <f>'02 项目基础信息（输入）'!$C$72</f>
        <v>0</v>
      </c>
      <c r="E2465" s="204" t="s">
        <v>93</v>
      </c>
      <c r="F2465" s="202" t="s">
        <v>1609</v>
      </c>
      <c r="G2465" s="204">
        <v>1</v>
      </c>
      <c r="H2465" s="204" t="s">
        <v>298</v>
      </c>
      <c r="I2465" s="265">
        <f t="shared" ref="I2465:I2471" si="284">D2465*G2465</f>
        <v>0</v>
      </c>
      <c r="J2465" s="204" t="s">
        <v>93</v>
      </c>
      <c r="K2465" s="269"/>
      <c r="L2465" s="210" t="s">
        <v>675</v>
      </c>
      <c r="M2465" s="198">
        <f t="shared" ref="M2465:M2471" si="285">ROUND(K2465*I2465/10000,6)</f>
        <v>0</v>
      </c>
      <c r="N2465" s="212">
        <f>'02 项目基础信息（输入）'!$C$72</f>
        <v>0</v>
      </c>
      <c r="O2465" s="203">
        <f t="shared" si="279"/>
        <v>0</v>
      </c>
      <c r="P2465" s="203">
        <f t="shared" si="283"/>
        <v>0</v>
      </c>
      <c r="Q2465" s="271">
        <f t="shared" si="280"/>
        <v>0</v>
      </c>
      <c r="S2465" s="280"/>
      <c r="T2465" s="222"/>
      <c r="U2465" s="272" t="s">
        <v>4347</v>
      </c>
    </row>
    <row r="2466" spans="1:21" ht="0" hidden="1" customHeight="1" outlineLevel="4">
      <c r="A2466" s="253" t="s">
        <v>4348</v>
      </c>
      <c r="B2466" s="253"/>
      <c r="C2466" s="202" t="s">
        <v>1609</v>
      </c>
      <c r="D2466" s="203">
        <f>'02 项目基础信息（输入）'!$C$72</f>
        <v>0</v>
      </c>
      <c r="E2466" s="204" t="s">
        <v>93</v>
      </c>
      <c r="F2466" s="202" t="s">
        <v>1609</v>
      </c>
      <c r="G2466" s="204">
        <v>1</v>
      </c>
      <c r="H2466" s="204" t="s">
        <v>298</v>
      </c>
      <c r="I2466" s="265">
        <f t="shared" si="284"/>
        <v>0</v>
      </c>
      <c r="J2466" s="204" t="s">
        <v>93</v>
      </c>
      <c r="K2466" s="269"/>
      <c r="L2466" s="210" t="s">
        <v>675</v>
      </c>
      <c r="M2466" s="198">
        <f t="shared" si="285"/>
        <v>0</v>
      </c>
      <c r="N2466" s="212">
        <f>'02 项目基础信息（输入）'!$C$72</f>
        <v>0</v>
      </c>
      <c r="O2466" s="203">
        <f t="shared" si="279"/>
        <v>0</v>
      </c>
      <c r="P2466" s="203">
        <f t="shared" si="283"/>
        <v>0</v>
      </c>
      <c r="Q2466" s="271">
        <f t="shared" si="280"/>
        <v>0</v>
      </c>
      <c r="S2466" s="280"/>
      <c r="T2466" s="222"/>
      <c r="U2466" s="272" t="s">
        <v>4349</v>
      </c>
    </row>
    <row r="2467" spans="1:21" ht="0" hidden="1" customHeight="1" outlineLevel="4">
      <c r="A2467" s="253" t="s">
        <v>4350</v>
      </c>
      <c r="B2467" s="253"/>
      <c r="C2467" s="202" t="s">
        <v>1609</v>
      </c>
      <c r="D2467" s="203">
        <f>'02 项目基础信息（输入）'!$C$72</f>
        <v>0</v>
      </c>
      <c r="E2467" s="204" t="s">
        <v>93</v>
      </c>
      <c r="F2467" s="202" t="s">
        <v>1609</v>
      </c>
      <c r="G2467" s="204">
        <v>1</v>
      </c>
      <c r="H2467" s="204" t="s">
        <v>298</v>
      </c>
      <c r="I2467" s="265">
        <f t="shared" si="284"/>
        <v>0</v>
      </c>
      <c r="J2467" s="204" t="s">
        <v>93</v>
      </c>
      <c r="K2467" s="269"/>
      <c r="L2467" s="210" t="s">
        <v>675</v>
      </c>
      <c r="M2467" s="198">
        <f t="shared" si="285"/>
        <v>0</v>
      </c>
      <c r="N2467" s="212">
        <f>'02 项目基础信息（输入）'!$C$72</f>
        <v>0</v>
      </c>
      <c r="O2467" s="203">
        <f t="shared" si="279"/>
        <v>0</v>
      </c>
      <c r="P2467" s="203">
        <f t="shared" si="283"/>
        <v>0</v>
      </c>
      <c r="Q2467" s="271">
        <f t="shared" si="280"/>
        <v>0</v>
      </c>
      <c r="S2467" s="280"/>
      <c r="T2467" s="222"/>
      <c r="U2467" s="272" t="s">
        <v>4351</v>
      </c>
    </row>
    <row r="2468" spans="1:21" ht="0" hidden="1" customHeight="1" outlineLevel="4">
      <c r="A2468" s="253" t="s">
        <v>4352</v>
      </c>
      <c r="B2468" s="253"/>
      <c r="C2468" s="202" t="s">
        <v>1609</v>
      </c>
      <c r="D2468" s="203">
        <f>'02 项目基础信息（输入）'!$C$72</f>
        <v>0</v>
      </c>
      <c r="E2468" s="204" t="s">
        <v>93</v>
      </c>
      <c r="F2468" s="202" t="s">
        <v>1609</v>
      </c>
      <c r="G2468" s="204">
        <v>1</v>
      </c>
      <c r="H2468" s="204" t="s">
        <v>298</v>
      </c>
      <c r="I2468" s="265">
        <f t="shared" si="284"/>
        <v>0</v>
      </c>
      <c r="J2468" s="204" t="s">
        <v>93</v>
      </c>
      <c r="K2468" s="269"/>
      <c r="L2468" s="210" t="s">
        <v>675</v>
      </c>
      <c r="M2468" s="198">
        <f t="shared" si="285"/>
        <v>0</v>
      </c>
      <c r="N2468" s="212">
        <f>'02 项目基础信息（输入）'!$C$72</f>
        <v>0</v>
      </c>
      <c r="O2468" s="203">
        <f t="shared" si="279"/>
        <v>0</v>
      </c>
      <c r="P2468" s="203">
        <f t="shared" si="283"/>
        <v>0</v>
      </c>
      <c r="Q2468" s="271">
        <f t="shared" si="280"/>
        <v>0</v>
      </c>
      <c r="S2468" s="280"/>
      <c r="T2468" s="222"/>
      <c r="U2468" s="272" t="s">
        <v>4353</v>
      </c>
    </row>
    <row r="2469" spans="1:21" ht="0" hidden="1" customHeight="1" outlineLevel="3">
      <c r="A2469" s="253" t="s">
        <v>4354</v>
      </c>
      <c r="B2469" s="253"/>
      <c r="C2469" s="202" t="s">
        <v>1609</v>
      </c>
      <c r="D2469" s="203">
        <f>'02 项目基础信息（输入）'!$C$72</f>
        <v>0</v>
      </c>
      <c r="E2469" s="204" t="s">
        <v>93</v>
      </c>
      <c r="F2469" s="202" t="s">
        <v>1609</v>
      </c>
      <c r="G2469" s="204">
        <v>1</v>
      </c>
      <c r="H2469" s="204" t="s">
        <v>298</v>
      </c>
      <c r="I2469" s="265">
        <f t="shared" si="284"/>
        <v>0</v>
      </c>
      <c r="J2469" s="204" t="s">
        <v>93</v>
      </c>
      <c r="K2469" s="269"/>
      <c r="L2469" s="210" t="s">
        <v>675</v>
      </c>
      <c r="M2469" s="198">
        <f t="shared" si="285"/>
        <v>0</v>
      </c>
      <c r="N2469" s="212">
        <f>'02 项目基础信息（输入）'!$C$72</f>
        <v>0</v>
      </c>
      <c r="O2469" s="203">
        <f t="shared" si="279"/>
        <v>0</v>
      </c>
      <c r="P2469" s="203">
        <f t="shared" si="283"/>
        <v>0</v>
      </c>
      <c r="Q2469" s="271">
        <f t="shared" si="280"/>
        <v>0</v>
      </c>
      <c r="S2469" s="280"/>
      <c r="T2469" s="222"/>
      <c r="U2469" s="272" t="s">
        <v>4355</v>
      </c>
    </row>
    <row r="2470" spans="1:21" ht="0" hidden="1" customHeight="1" outlineLevel="3">
      <c r="A2470" s="253" t="s">
        <v>4356</v>
      </c>
      <c r="B2470" s="253"/>
      <c r="C2470" s="202" t="s">
        <v>1609</v>
      </c>
      <c r="D2470" s="203">
        <f>'02 项目基础信息（输入）'!$C$72</f>
        <v>0</v>
      </c>
      <c r="E2470" s="204" t="s">
        <v>93</v>
      </c>
      <c r="F2470" s="202" t="s">
        <v>1609</v>
      </c>
      <c r="G2470" s="255">
        <v>1</v>
      </c>
      <c r="H2470" s="204" t="s">
        <v>298</v>
      </c>
      <c r="I2470" s="265">
        <f t="shared" si="284"/>
        <v>0</v>
      </c>
      <c r="J2470" s="204" t="s">
        <v>93</v>
      </c>
      <c r="K2470" s="269"/>
      <c r="L2470" s="210" t="s">
        <v>675</v>
      </c>
      <c r="M2470" s="198">
        <f t="shared" si="285"/>
        <v>0</v>
      </c>
      <c r="N2470" s="212">
        <f>'02 项目基础信息（输入）'!$C$72</f>
        <v>0</v>
      </c>
      <c r="O2470" s="203">
        <f t="shared" si="279"/>
        <v>0</v>
      </c>
      <c r="P2470" s="203">
        <f t="shared" si="283"/>
        <v>0</v>
      </c>
      <c r="Q2470" s="271">
        <f t="shared" si="280"/>
        <v>0</v>
      </c>
      <c r="S2470" s="280"/>
      <c r="T2470" s="222"/>
      <c r="U2470" s="272" t="s">
        <v>4357</v>
      </c>
    </row>
    <row r="2471" spans="1:21" ht="0" hidden="1" customHeight="1" outlineLevel="3">
      <c r="A2471" s="253" t="s">
        <v>4358</v>
      </c>
      <c r="B2471" s="253"/>
      <c r="C2471" s="202" t="s">
        <v>1609</v>
      </c>
      <c r="D2471" s="203">
        <f>'02 项目基础信息（输入）'!$C$72</f>
        <v>0</v>
      </c>
      <c r="E2471" s="204" t="s">
        <v>93</v>
      </c>
      <c r="F2471" s="202" t="s">
        <v>1609</v>
      </c>
      <c r="G2471" s="255">
        <v>1</v>
      </c>
      <c r="H2471" s="204" t="s">
        <v>298</v>
      </c>
      <c r="I2471" s="265">
        <f t="shared" si="284"/>
        <v>0</v>
      </c>
      <c r="J2471" s="204" t="s">
        <v>93</v>
      </c>
      <c r="K2471" s="269"/>
      <c r="L2471" s="210" t="s">
        <v>675</v>
      </c>
      <c r="M2471" s="198">
        <f t="shared" si="285"/>
        <v>0</v>
      </c>
      <c r="N2471" s="212">
        <f>'02 项目基础信息（输入）'!$C$72</f>
        <v>0</v>
      </c>
      <c r="O2471" s="203">
        <f t="shared" si="279"/>
        <v>0</v>
      </c>
      <c r="P2471" s="203">
        <f t="shared" si="283"/>
        <v>0</v>
      </c>
      <c r="Q2471" s="271">
        <f t="shared" si="280"/>
        <v>0</v>
      </c>
      <c r="S2471" s="280"/>
      <c r="T2471" s="222"/>
      <c r="U2471" s="272" t="s">
        <v>4359</v>
      </c>
    </row>
    <row r="2472" spans="1:21" ht="0" hidden="1" customHeight="1" outlineLevel="3">
      <c r="A2472" s="253" t="s">
        <v>4360</v>
      </c>
      <c r="B2472" s="253"/>
      <c r="C2472" s="202" t="s">
        <v>1665</v>
      </c>
      <c r="D2472" s="203">
        <f>ROUND(M2461+M2464+M2469+M2470+M2471,6)*10000</f>
        <v>0</v>
      </c>
      <c r="E2472" s="204" t="s">
        <v>1666</v>
      </c>
      <c r="F2472" s="202" t="s">
        <v>1667</v>
      </c>
      <c r="G2472" s="258">
        <f>IFERROR(I2472*100/D2472,0)</f>
        <v>0</v>
      </c>
      <c r="H2472" s="204" t="s">
        <v>123</v>
      </c>
      <c r="I2472" s="265">
        <f>N2472*K2472</f>
        <v>0</v>
      </c>
      <c r="J2472" s="204" t="s">
        <v>1666</v>
      </c>
      <c r="K2472" s="269"/>
      <c r="L2472" s="210" t="s">
        <v>675</v>
      </c>
      <c r="M2472" s="231">
        <f>ROUND(I2472/10000,6)</f>
        <v>0</v>
      </c>
      <c r="N2472" s="212">
        <f>'02 项目基础信息（输入）'!$C$72</f>
        <v>0</v>
      </c>
      <c r="O2472" s="203">
        <f t="shared" si="279"/>
        <v>0</v>
      </c>
      <c r="P2472" s="203">
        <f t="shared" si="283"/>
        <v>0</v>
      </c>
      <c r="Q2472" s="271">
        <f t="shared" si="280"/>
        <v>0</v>
      </c>
      <c r="S2472" s="280"/>
      <c r="T2472" s="222"/>
      <c r="U2472" s="272" t="s">
        <v>4361</v>
      </c>
    </row>
    <row r="2473" spans="1:21" ht="0" hidden="1" customHeight="1" outlineLevel="2">
      <c r="A2473" s="201" t="s">
        <v>4362</v>
      </c>
      <c r="B2473" s="201"/>
      <c r="C2473" s="202" t="s">
        <v>1609</v>
      </c>
      <c r="D2473" s="203">
        <f>'02 项目基础信息（输入）'!$C$72</f>
        <v>0</v>
      </c>
      <c r="E2473" s="204" t="s">
        <v>93</v>
      </c>
      <c r="F2473" s="202"/>
      <c r="G2473" s="255"/>
      <c r="H2473" s="204"/>
      <c r="I2473" s="203"/>
      <c r="J2473" s="204"/>
      <c r="K2473" s="264"/>
      <c r="L2473" s="210"/>
      <c r="M2473" s="198">
        <f>ROUND(M2474+M2477,6)</f>
        <v>0</v>
      </c>
      <c r="N2473" s="212">
        <f>'02 项目基础信息（输入）'!$C$72</f>
        <v>0</v>
      </c>
      <c r="O2473" s="203">
        <f t="shared" si="279"/>
        <v>0</v>
      </c>
      <c r="P2473" s="203">
        <f t="shared" si="283"/>
        <v>0</v>
      </c>
      <c r="Q2473" s="271">
        <f t="shared" si="280"/>
        <v>0</v>
      </c>
      <c r="S2473" s="280" t="s">
        <v>1314</v>
      </c>
      <c r="T2473" s="222"/>
      <c r="U2473" s="272" t="s">
        <v>4363</v>
      </c>
    </row>
    <row r="2474" spans="1:21" ht="0" hidden="1" customHeight="1" outlineLevel="3">
      <c r="A2474" s="253" t="s">
        <v>4364</v>
      </c>
      <c r="B2474" s="253"/>
      <c r="C2474" s="202" t="s">
        <v>1609</v>
      </c>
      <c r="D2474" s="203">
        <f>'02 项目基础信息（输入）'!$C$72</f>
        <v>0</v>
      </c>
      <c r="E2474" s="204" t="s">
        <v>93</v>
      </c>
      <c r="F2474" s="202"/>
      <c r="G2474" s="204"/>
      <c r="H2474" s="204"/>
      <c r="I2474" s="203"/>
      <c r="J2474" s="204"/>
      <c r="K2474" s="264"/>
      <c r="L2474" s="210"/>
      <c r="M2474" s="198">
        <f>ROUND(SUM(M2475:M2476),6)</f>
        <v>0</v>
      </c>
      <c r="N2474" s="212">
        <f>'02 项目基础信息（输入）'!$C$72</f>
        <v>0</v>
      </c>
      <c r="O2474" s="203">
        <f t="shared" si="279"/>
        <v>0</v>
      </c>
      <c r="P2474" s="203">
        <f t="shared" si="283"/>
        <v>0</v>
      </c>
      <c r="Q2474" s="271">
        <f t="shared" si="280"/>
        <v>0</v>
      </c>
      <c r="S2474" s="280"/>
      <c r="T2474" s="222"/>
      <c r="U2474" s="272" t="s">
        <v>4365</v>
      </c>
    </row>
    <row r="2475" spans="1:21" ht="0" hidden="1" customHeight="1" outlineLevel="4">
      <c r="A2475" s="253" t="s">
        <v>4366</v>
      </c>
      <c r="B2475" s="253"/>
      <c r="C2475" s="202" t="s">
        <v>422</v>
      </c>
      <c r="D2475" s="273">
        <f>'02 项目基础信息（输入）'!CH72</f>
        <v>0</v>
      </c>
      <c r="E2475" s="204" t="s">
        <v>400</v>
      </c>
      <c r="F2475" s="202" t="s">
        <v>992</v>
      </c>
      <c r="G2475" s="246">
        <f>'03 成本测算（输入）'!D174</f>
        <v>0</v>
      </c>
      <c r="H2475" s="204" t="s">
        <v>4367</v>
      </c>
      <c r="I2475" s="265">
        <f>D2475*G2475</f>
        <v>0</v>
      </c>
      <c r="J2475" s="204" t="s">
        <v>1946</v>
      </c>
      <c r="K2475" s="269"/>
      <c r="L2475" s="210" t="s">
        <v>1948</v>
      </c>
      <c r="M2475" s="198">
        <f>ROUND(K2475*I2475/10000,6)</f>
        <v>0</v>
      </c>
      <c r="N2475" s="212">
        <f>'02 项目基础信息（输入）'!$C$72</f>
        <v>0</v>
      </c>
      <c r="O2475" s="203">
        <f t="shared" si="279"/>
        <v>0</v>
      </c>
      <c r="P2475" s="203">
        <f t="shared" si="283"/>
        <v>0</v>
      </c>
      <c r="Q2475" s="271">
        <f t="shared" si="280"/>
        <v>0</v>
      </c>
      <c r="S2475" s="280"/>
      <c r="T2475" s="222"/>
      <c r="U2475" s="272" t="s">
        <v>4368</v>
      </c>
    </row>
    <row r="2476" spans="1:21" ht="0" hidden="1" customHeight="1" outlineLevel="4">
      <c r="A2476" s="253" t="s">
        <v>4369</v>
      </c>
      <c r="B2476" s="253"/>
      <c r="C2476" s="256" t="s">
        <v>399</v>
      </c>
      <c r="D2476" s="273">
        <f>'02 项目基础信息（输入）'!CD72</f>
        <v>0</v>
      </c>
      <c r="E2476" s="255" t="s">
        <v>400</v>
      </c>
      <c r="F2476" s="250" t="s">
        <v>995</v>
      </c>
      <c r="G2476" s="204">
        <v>1</v>
      </c>
      <c r="H2476" s="204" t="s">
        <v>1748</v>
      </c>
      <c r="I2476" s="265">
        <f>D2476*G2476</f>
        <v>0</v>
      </c>
      <c r="J2476" s="204" t="s">
        <v>400</v>
      </c>
      <c r="K2476" s="269"/>
      <c r="L2476" s="210" t="s">
        <v>1749</v>
      </c>
      <c r="M2476" s="198">
        <f>ROUND(K2476*I2476/10000,6)</f>
        <v>0</v>
      </c>
      <c r="N2476" s="212">
        <f>'02 项目基础信息（输入）'!$C$72</f>
        <v>0</v>
      </c>
      <c r="O2476" s="203">
        <f t="shared" si="279"/>
        <v>0</v>
      </c>
      <c r="P2476" s="203">
        <f t="shared" si="283"/>
        <v>0</v>
      </c>
      <c r="Q2476" s="271">
        <f t="shared" si="280"/>
        <v>0</v>
      </c>
      <c r="S2476" s="280"/>
      <c r="T2476" s="222"/>
      <c r="U2476" s="272" t="s">
        <v>4370</v>
      </c>
    </row>
    <row r="2477" spans="1:21" ht="0" hidden="1" customHeight="1" outlineLevel="3">
      <c r="A2477" s="253" t="s">
        <v>4371</v>
      </c>
      <c r="B2477" s="274"/>
      <c r="C2477" s="275" t="s">
        <v>1609</v>
      </c>
      <c r="D2477" s="203">
        <f>'02 项目基础信息（输入）'!$C$72</f>
        <v>0</v>
      </c>
      <c r="E2477" s="276" t="s">
        <v>93</v>
      </c>
      <c r="F2477" s="202" t="s">
        <v>1609</v>
      </c>
      <c r="G2477" s="204">
        <v>1</v>
      </c>
      <c r="H2477" s="204" t="s">
        <v>298</v>
      </c>
      <c r="I2477" s="265">
        <f>D2477*G2477</f>
        <v>0</v>
      </c>
      <c r="J2477" s="204" t="s">
        <v>93</v>
      </c>
      <c r="K2477" s="269"/>
      <c r="L2477" s="210" t="s">
        <v>675</v>
      </c>
      <c r="M2477" s="198">
        <f>ROUND(K2477*I2477/10000,6)</f>
        <v>0</v>
      </c>
      <c r="N2477" s="212">
        <f>'02 项目基础信息（输入）'!$C$72</f>
        <v>0</v>
      </c>
      <c r="O2477" s="203">
        <f t="shared" si="279"/>
        <v>0</v>
      </c>
      <c r="P2477" s="203">
        <f t="shared" si="283"/>
        <v>0</v>
      </c>
      <c r="Q2477" s="271">
        <f t="shared" si="280"/>
        <v>0</v>
      </c>
      <c r="S2477" s="280"/>
      <c r="T2477" s="222"/>
      <c r="U2477" s="272" t="s">
        <v>4372</v>
      </c>
    </row>
    <row r="2478" spans="1:21" ht="0" hidden="1" customHeight="1" outlineLevel="2">
      <c r="A2478" s="201" t="s">
        <v>4373</v>
      </c>
      <c r="B2478" s="201"/>
      <c r="C2478" s="202" t="s">
        <v>1609</v>
      </c>
      <c r="D2478" s="203">
        <f>'02 项目基础信息（输入）'!$C$72</f>
        <v>0</v>
      </c>
      <c r="E2478" s="204" t="s">
        <v>93</v>
      </c>
      <c r="F2478" s="202"/>
      <c r="G2478" s="277"/>
      <c r="H2478" s="278"/>
      <c r="I2478" s="268"/>
      <c r="J2478" s="204"/>
      <c r="K2478" s="264"/>
      <c r="L2478" s="205"/>
      <c r="M2478" s="198">
        <f>ROUND(SUM(M2479),6)</f>
        <v>0</v>
      </c>
      <c r="N2478" s="212">
        <f>'02 项目基础信息（输入）'!$C$72</f>
        <v>0</v>
      </c>
      <c r="O2478" s="203">
        <f t="shared" si="279"/>
        <v>0</v>
      </c>
      <c r="P2478" s="203">
        <f t="shared" si="283"/>
        <v>0</v>
      </c>
      <c r="Q2478" s="271">
        <f t="shared" si="280"/>
        <v>0</v>
      </c>
      <c r="S2478" s="280" t="s">
        <v>1313</v>
      </c>
      <c r="T2478" s="222"/>
      <c r="U2478" s="272" t="s">
        <v>4374</v>
      </c>
    </row>
    <row r="2479" spans="1:21" ht="0" hidden="1" customHeight="1" outlineLevel="3">
      <c r="A2479" s="201" t="s">
        <v>4375</v>
      </c>
      <c r="B2479" s="201"/>
      <c r="C2479" s="202" t="s">
        <v>1609</v>
      </c>
      <c r="D2479" s="203">
        <f>'02 项目基础信息（输入）'!$C$72</f>
        <v>0</v>
      </c>
      <c r="E2479" s="204" t="s">
        <v>93</v>
      </c>
      <c r="F2479" s="202" t="s">
        <v>1927</v>
      </c>
      <c r="G2479" s="237"/>
      <c r="H2479" s="278" t="s">
        <v>123</v>
      </c>
      <c r="I2479" s="268">
        <f>G2479*D2479/100</f>
        <v>0</v>
      </c>
      <c r="J2479" s="204" t="s">
        <v>93</v>
      </c>
      <c r="K2479" s="269"/>
      <c r="L2479" s="210" t="s">
        <v>675</v>
      </c>
      <c r="M2479" s="198">
        <f>ROUND(I2479*K2479/10000,6)</f>
        <v>0</v>
      </c>
      <c r="N2479" s="212">
        <f>'02 项目基础信息（输入）'!$C$72</f>
        <v>0</v>
      </c>
      <c r="O2479" s="203">
        <f t="shared" si="279"/>
        <v>0</v>
      </c>
      <c r="P2479" s="203">
        <f t="shared" si="283"/>
        <v>0</v>
      </c>
      <c r="Q2479" s="271">
        <f t="shared" si="280"/>
        <v>0</v>
      </c>
      <c r="S2479" s="280"/>
      <c r="T2479" s="222"/>
      <c r="U2479" s="272" t="s">
        <v>4376</v>
      </c>
    </row>
    <row r="2480" spans="1:21" ht="0" hidden="1" customHeight="1" outlineLevel="2">
      <c r="A2480" s="201" t="s">
        <v>4377</v>
      </c>
      <c r="B2480" s="201"/>
      <c r="C2480" s="202" t="s">
        <v>1609</v>
      </c>
      <c r="D2480" s="203">
        <f>'02 项目基础信息（输入）'!$C$72</f>
        <v>0</v>
      </c>
      <c r="E2480" s="204" t="s">
        <v>93</v>
      </c>
      <c r="F2480" s="202"/>
      <c r="G2480" s="204"/>
      <c r="H2480" s="204"/>
      <c r="I2480" s="268"/>
      <c r="J2480" s="204"/>
      <c r="K2480" s="264"/>
      <c r="L2480" s="210"/>
      <c r="M2480" s="198">
        <f>ROUND(SUM(M2481),6)</f>
        <v>0</v>
      </c>
      <c r="N2480" s="212">
        <f>'02 项目基础信息（输入）'!$C$72</f>
        <v>0</v>
      </c>
      <c r="O2480" s="203">
        <f t="shared" si="279"/>
        <v>0</v>
      </c>
      <c r="P2480" s="203">
        <f t="shared" si="283"/>
        <v>0</v>
      </c>
      <c r="Q2480" s="271">
        <f t="shared" si="280"/>
        <v>0</v>
      </c>
      <c r="S2480" s="280" t="s">
        <v>1314</v>
      </c>
      <c r="T2480" s="222"/>
      <c r="U2480" s="272" t="s">
        <v>4378</v>
      </c>
    </row>
    <row r="2481" spans="1:21" ht="0" hidden="1" customHeight="1" outlineLevel="3">
      <c r="A2481" s="253" t="s">
        <v>4379</v>
      </c>
      <c r="B2481" s="253"/>
      <c r="C2481" s="202" t="s">
        <v>1609</v>
      </c>
      <c r="D2481" s="203">
        <f>'02 项目基础信息（输入）'!$C$72</f>
        <v>0</v>
      </c>
      <c r="E2481" s="204" t="s">
        <v>93</v>
      </c>
      <c r="F2481" s="202" t="s">
        <v>1609</v>
      </c>
      <c r="G2481" s="204">
        <v>1</v>
      </c>
      <c r="H2481" s="204" t="s">
        <v>298</v>
      </c>
      <c r="I2481" s="268">
        <f>G2481*D2481</f>
        <v>0</v>
      </c>
      <c r="J2481" s="204" t="s">
        <v>93</v>
      </c>
      <c r="K2481" s="269"/>
      <c r="L2481" s="210" t="s">
        <v>675</v>
      </c>
      <c r="M2481" s="198">
        <f>ROUND(K2481*I2481/10000,6)</f>
        <v>0</v>
      </c>
      <c r="N2481" s="212">
        <f>'02 项目基础信息（输入）'!$C$72</f>
        <v>0</v>
      </c>
      <c r="O2481" s="203">
        <f t="shared" si="279"/>
        <v>0</v>
      </c>
      <c r="P2481" s="203">
        <f t="shared" si="283"/>
        <v>0</v>
      </c>
      <c r="Q2481" s="271">
        <f t="shared" si="280"/>
        <v>0</v>
      </c>
      <c r="S2481" s="280"/>
      <c r="T2481" s="222"/>
      <c r="U2481" s="272" t="s">
        <v>4380</v>
      </c>
    </row>
    <row r="2482" spans="1:21" ht="0" hidden="1" customHeight="1" outlineLevel="2">
      <c r="A2482" s="201" t="s">
        <v>4381</v>
      </c>
      <c r="B2482" s="201"/>
      <c r="C2482" s="202" t="s">
        <v>1609</v>
      </c>
      <c r="D2482" s="203">
        <f>'02 项目基础信息（输入）'!$C$72</f>
        <v>0</v>
      </c>
      <c r="E2482" s="204" t="s">
        <v>93</v>
      </c>
      <c r="F2482" s="256"/>
      <c r="G2482" s="255"/>
      <c r="H2482" s="255"/>
      <c r="I2482" s="212"/>
      <c r="J2482" s="255"/>
      <c r="K2482" s="264"/>
      <c r="L2482" s="205"/>
      <c r="M2482" s="198">
        <f>ROUND(SUM(M2483:M2484),6)</f>
        <v>0</v>
      </c>
      <c r="N2482" s="212">
        <f>'02 项目基础信息（输入）'!$C$72</f>
        <v>0</v>
      </c>
      <c r="O2482" s="203">
        <f t="shared" si="279"/>
        <v>0</v>
      </c>
      <c r="P2482" s="203">
        <f t="shared" si="283"/>
        <v>0</v>
      </c>
      <c r="Q2482" s="271">
        <f t="shared" si="280"/>
        <v>0</v>
      </c>
      <c r="S2482" s="280" t="s">
        <v>1314</v>
      </c>
      <c r="T2482" s="222"/>
      <c r="U2482" s="272" t="s">
        <v>4382</v>
      </c>
    </row>
    <row r="2483" spans="1:21" ht="0" hidden="1" customHeight="1" outlineLevel="3">
      <c r="A2483" s="279" t="s">
        <v>4383</v>
      </c>
      <c r="B2483" s="279"/>
      <c r="C2483" s="202" t="s">
        <v>1609</v>
      </c>
      <c r="D2483" s="203">
        <f>'02 项目基础信息（输入）'!$C$72</f>
        <v>0</v>
      </c>
      <c r="E2483" s="204" t="s">
        <v>93</v>
      </c>
      <c r="F2483" s="256" t="s">
        <v>4384</v>
      </c>
      <c r="G2483" s="205">
        <f>IFERROR(I2483/D2483,0)</f>
        <v>0</v>
      </c>
      <c r="H2483" s="255" t="s">
        <v>4385</v>
      </c>
      <c r="I2483" s="273">
        <f>'03 成本测算（输入）'!D175</f>
        <v>0</v>
      </c>
      <c r="J2483" s="255" t="s">
        <v>400</v>
      </c>
      <c r="K2483" s="269"/>
      <c r="L2483" s="205" t="s">
        <v>1749</v>
      </c>
      <c r="M2483" s="198">
        <f>ROUND(K2483*I2483/10000,6)</f>
        <v>0</v>
      </c>
      <c r="N2483" s="212">
        <f>'02 项目基础信息（输入）'!$C$72</f>
        <v>0</v>
      </c>
      <c r="O2483" s="203">
        <f t="shared" si="279"/>
        <v>0</v>
      </c>
      <c r="P2483" s="203">
        <f t="shared" si="283"/>
        <v>0</v>
      </c>
      <c r="Q2483" s="271">
        <f t="shared" si="280"/>
        <v>0</v>
      </c>
      <c r="S2483" s="280"/>
      <c r="T2483" s="222"/>
      <c r="U2483" s="272" t="s">
        <v>4386</v>
      </c>
    </row>
    <row r="2484" spans="1:21" ht="0" hidden="1" customHeight="1" outlineLevel="3">
      <c r="A2484" s="279" t="s">
        <v>4387</v>
      </c>
      <c r="B2484" s="279"/>
      <c r="C2484" s="202" t="s">
        <v>1609</v>
      </c>
      <c r="D2484" s="203">
        <f>'02 项目基础信息（输入）'!$C$72</f>
        <v>0</v>
      </c>
      <c r="E2484" s="204" t="s">
        <v>93</v>
      </c>
      <c r="F2484" s="202" t="s">
        <v>1609</v>
      </c>
      <c r="G2484" s="204">
        <v>1</v>
      </c>
      <c r="H2484" s="204" t="s">
        <v>298</v>
      </c>
      <c r="I2484" s="268">
        <f>G2484*D2484</f>
        <v>0</v>
      </c>
      <c r="J2484" s="204" t="s">
        <v>93</v>
      </c>
      <c r="K2484" s="269"/>
      <c r="L2484" s="210" t="s">
        <v>675</v>
      </c>
      <c r="M2484" s="198">
        <f>ROUND(K2484*I2484/10000,6)</f>
        <v>0</v>
      </c>
      <c r="N2484" s="212">
        <f>'02 项目基础信息（输入）'!$C$72</f>
        <v>0</v>
      </c>
      <c r="O2484" s="203">
        <f t="shared" si="279"/>
        <v>0</v>
      </c>
      <c r="P2484" s="203">
        <f t="shared" si="283"/>
        <v>0</v>
      </c>
      <c r="Q2484" s="271">
        <f t="shared" si="280"/>
        <v>0</v>
      </c>
      <c r="S2484" s="280"/>
      <c r="T2484" s="222"/>
      <c r="U2484" s="272" t="s">
        <v>4388</v>
      </c>
    </row>
    <row r="2485" spans="1:21" ht="0" hidden="1" customHeight="1" outlineLevel="1" collapsed="1">
      <c r="A2485" s="248" t="s">
        <v>621</v>
      </c>
      <c r="B2485" s="248"/>
      <c r="C2485" s="202" t="s">
        <v>1609</v>
      </c>
      <c r="D2485" s="203">
        <f>'02 项目基础信息（输入）'!$C$75</f>
        <v>0</v>
      </c>
      <c r="E2485" s="204" t="s">
        <v>93</v>
      </c>
      <c r="F2485" s="202"/>
      <c r="G2485" s="204"/>
      <c r="H2485" s="204"/>
      <c r="I2485" s="202"/>
      <c r="J2485" s="204"/>
      <c r="K2485" s="202"/>
      <c r="L2485" s="210"/>
      <c r="M2485" s="198">
        <f>ROUND(M2486+M2536+M2549+M2570+M2591+M2604+M2608+M2615+M2654+M2667+M2698+M2703+M2705+M2637,6)</f>
        <v>0</v>
      </c>
      <c r="N2485" s="212">
        <f>'02 项目基础信息（输入）'!$C$75</f>
        <v>0</v>
      </c>
      <c r="O2485" s="212">
        <f t="shared" si="279"/>
        <v>0</v>
      </c>
      <c r="P2485" s="212">
        <f t="shared" si="283"/>
        <v>0</v>
      </c>
      <c r="Q2485" s="271">
        <f t="shared" si="280"/>
        <v>0</v>
      </c>
      <c r="S2485" s="280"/>
      <c r="T2485" s="222"/>
      <c r="U2485" s="223" t="s">
        <v>4389</v>
      </c>
    </row>
    <row r="2486" spans="1:21" ht="0" hidden="1" customHeight="1" outlineLevel="2">
      <c r="A2486" s="201" t="s">
        <v>4168</v>
      </c>
      <c r="B2486" s="201"/>
      <c r="C2486" s="202" t="s">
        <v>1609</v>
      </c>
      <c r="D2486" s="203">
        <f>'02 项目基础信息（输入）'!$C$75</f>
        <v>0</v>
      </c>
      <c r="E2486" s="204" t="s">
        <v>93</v>
      </c>
      <c r="F2486" s="202"/>
      <c r="G2486" s="204"/>
      <c r="H2486" s="204"/>
      <c r="I2486" s="203"/>
      <c r="J2486" s="204"/>
      <c r="K2486" s="264"/>
      <c r="L2486" s="210"/>
      <c r="M2486" s="198">
        <f>ROUND(M2487+M2510+M2532,6)</f>
        <v>0</v>
      </c>
      <c r="N2486" s="212">
        <f>'02 项目基础信息（输入）'!$C$75</f>
        <v>0</v>
      </c>
      <c r="O2486" s="203">
        <f t="shared" si="279"/>
        <v>0</v>
      </c>
      <c r="P2486" s="203">
        <f t="shared" si="283"/>
        <v>0</v>
      </c>
      <c r="Q2486" s="271">
        <f t="shared" si="280"/>
        <v>0</v>
      </c>
      <c r="S2486" s="280" t="s">
        <v>1313</v>
      </c>
      <c r="T2486" s="222"/>
      <c r="U2486" s="223" t="s">
        <v>4390</v>
      </c>
    </row>
    <row r="2487" spans="1:21" s="181" customFormat="1" ht="0" hidden="1" customHeight="1" outlineLevel="3">
      <c r="A2487" s="201" t="s">
        <v>4170</v>
      </c>
      <c r="B2487" s="249"/>
      <c r="C2487" s="250" t="s">
        <v>1609</v>
      </c>
      <c r="D2487" s="203">
        <f>'02 项目基础信息（输入）'!$C$75</f>
        <v>0</v>
      </c>
      <c r="E2487" s="204" t="s">
        <v>93</v>
      </c>
      <c r="F2487" s="202"/>
      <c r="G2487" s="204"/>
      <c r="H2487" s="204"/>
      <c r="I2487" s="265"/>
      <c r="J2487" s="204"/>
      <c r="K2487" s="202"/>
      <c r="L2487" s="210"/>
      <c r="M2487" s="198">
        <f>ROUND(M2488+M2492+M2497+M2503+M2507+M2508+M2509,6)</f>
        <v>0</v>
      </c>
      <c r="N2487" s="212">
        <f>'02 项目基础信息（输入）'!$C$75</f>
        <v>0</v>
      </c>
      <c r="O2487" s="203">
        <f t="shared" si="279"/>
        <v>0</v>
      </c>
      <c r="P2487" s="203">
        <f t="shared" si="283"/>
        <v>0</v>
      </c>
      <c r="Q2487" s="271">
        <f t="shared" si="280"/>
        <v>0</v>
      </c>
      <c r="R2487" s="188"/>
      <c r="S2487" s="280"/>
      <c r="T2487" s="222"/>
      <c r="U2487" s="223" t="s">
        <v>4391</v>
      </c>
    </row>
    <row r="2488" spans="1:21" s="181" customFormat="1" ht="0" hidden="1" customHeight="1" outlineLevel="4">
      <c r="A2488" s="201" t="s">
        <v>4172</v>
      </c>
      <c r="B2488" s="249"/>
      <c r="C2488" s="250" t="s">
        <v>1609</v>
      </c>
      <c r="D2488" s="203">
        <f>'02 项目基础信息（输入）'!$C$75</f>
        <v>0</v>
      </c>
      <c r="E2488" s="204" t="s">
        <v>93</v>
      </c>
      <c r="F2488" s="202"/>
      <c r="G2488" s="251"/>
      <c r="H2488" s="204"/>
      <c r="I2488" s="265"/>
      <c r="J2488" s="204"/>
      <c r="K2488" s="266"/>
      <c r="L2488" s="210"/>
      <c r="M2488" s="198">
        <f>ROUND(SUM(M2489:M2491),6)</f>
        <v>0</v>
      </c>
      <c r="N2488" s="212">
        <f>'02 项目基础信息（输入）'!$C$75</f>
        <v>0</v>
      </c>
      <c r="O2488" s="203">
        <f t="shared" si="279"/>
        <v>0</v>
      </c>
      <c r="P2488" s="203">
        <f t="shared" si="283"/>
        <v>0</v>
      </c>
      <c r="Q2488" s="271">
        <f t="shared" si="280"/>
        <v>0</v>
      </c>
      <c r="R2488" s="188"/>
      <c r="S2488" s="280"/>
      <c r="T2488" s="222"/>
      <c r="U2488" s="223" t="s">
        <v>4392</v>
      </c>
    </row>
    <row r="2489" spans="1:21" s="181" customFormat="1" ht="0" hidden="1" customHeight="1" outlineLevel="5">
      <c r="A2489" s="201" t="s">
        <v>4393</v>
      </c>
      <c r="B2489" s="249"/>
      <c r="C2489" s="250" t="s">
        <v>4394</v>
      </c>
      <c r="D2489" s="273">
        <f>'02 项目基础信息（输入）'!$E$75</f>
        <v>0</v>
      </c>
      <c r="E2489" s="204" t="s">
        <v>93</v>
      </c>
      <c r="F2489" s="202" t="s">
        <v>1616</v>
      </c>
      <c r="G2489" s="252">
        <f>'03 成本测算（输入）'!D179</f>
        <v>0</v>
      </c>
      <c r="H2489" s="204" t="s">
        <v>966</v>
      </c>
      <c r="I2489" s="265">
        <f>D2489*G2489</f>
        <v>0</v>
      </c>
      <c r="J2489" s="204" t="s">
        <v>1617</v>
      </c>
      <c r="K2489" s="267">
        <f>'03 成本测算（输入）'!D181</f>
        <v>0</v>
      </c>
      <c r="L2489" s="210" t="s">
        <v>664</v>
      </c>
      <c r="M2489" s="198">
        <f>ROUND(K2489*I2489/10000,6)</f>
        <v>0</v>
      </c>
      <c r="N2489" s="212">
        <f>'02 项目基础信息（输入）'!$C$75</f>
        <v>0</v>
      </c>
      <c r="O2489" s="203">
        <f t="shared" si="279"/>
        <v>0</v>
      </c>
      <c r="P2489" s="203">
        <f t="shared" si="283"/>
        <v>0</v>
      </c>
      <c r="Q2489" s="271">
        <f t="shared" si="280"/>
        <v>0</v>
      </c>
      <c r="R2489" s="188"/>
      <c r="S2489" s="280"/>
      <c r="T2489" s="222"/>
      <c r="U2489" s="223" t="s">
        <v>4395</v>
      </c>
    </row>
    <row r="2490" spans="1:21" s="181" customFormat="1" ht="0" hidden="1" customHeight="1" outlineLevel="5">
      <c r="A2490" s="201" t="s">
        <v>4396</v>
      </c>
      <c r="B2490" s="249"/>
      <c r="C2490" s="250" t="s">
        <v>4397</v>
      </c>
      <c r="D2490" s="273">
        <f>'02 项目基础信息（输入）'!$D$75</f>
        <v>0</v>
      </c>
      <c r="E2490" s="204" t="s">
        <v>93</v>
      </c>
      <c r="F2490" s="202" t="s">
        <v>1616</v>
      </c>
      <c r="G2490" s="252">
        <f>'03 成本测算（输入）'!D180</f>
        <v>0</v>
      </c>
      <c r="H2490" s="204" t="s">
        <v>966</v>
      </c>
      <c r="I2490" s="265">
        <f>D2490*G2490</f>
        <v>0</v>
      </c>
      <c r="J2490" s="204" t="s">
        <v>1617</v>
      </c>
      <c r="K2490" s="267">
        <f>'03 成本测算（输入）'!D181</f>
        <v>0</v>
      </c>
      <c r="L2490" s="210" t="s">
        <v>664</v>
      </c>
      <c r="M2490" s="198">
        <f>ROUND(K2490*I2490/10000,6)</f>
        <v>0</v>
      </c>
      <c r="N2490" s="212">
        <f>'02 项目基础信息（输入）'!$C$75</f>
        <v>0</v>
      </c>
      <c r="O2490" s="203">
        <f t="shared" si="279"/>
        <v>0</v>
      </c>
      <c r="P2490" s="203">
        <f t="shared" si="283"/>
        <v>0</v>
      </c>
      <c r="Q2490" s="271">
        <f t="shared" si="280"/>
        <v>0</v>
      </c>
      <c r="R2490" s="188"/>
      <c r="S2490" s="280"/>
      <c r="T2490" s="222"/>
      <c r="U2490" s="223" t="s">
        <v>4398</v>
      </c>
    </row>
    <row r="2491" spans="1:21" s="181" customFormat="1" ht="0" hidden="1" customHeight="1" outlineLevel="5">
      <c r="A2491" s="201" t="s">
        <v>4176</v>
      </c>
      <c r="B2491" s="249"/>
      <c r="C2491" s="250" t="s">
        <v>1609</v>
      </c>
      <c r="D2491" s="203">
        <f>'02 项目基础信息（输入）'!$C$75</f>
        <v>0</v>
      </c>
      <c r="E2491" s="204" t="s">
        <v>93</v>
      </c>
      <c r="F2491" s="202" t="s">
        <v>1616</v>
      </c>
      <c r="G2491" s="251">
        <f>IFERROR(I2491/D2491,0)</f>
        <v>0</v>
      </c>
      <c r="H2491" s="204" t="s">
        <v>966</v>
      </c>
      <c r="I2491" s="265">
        <f>I2489+I2490</f>
        <v>0</v>
      </c>
      <c r="J2491" s="204" t="s">
        <v>1617</v>
      </c>
      <c r="K2491" s="267">
        <f>'03 成本测算（输入）'!D182</f>
        <v>0</v>
      </c>
      <c r="L2491" s="210" t="s">
        <v>664</v>
      </c>
      <c r="M2491" s="198">
        <f>ROUND(K2491*I2491/10000,6)</f>
        <v>0</v>
      </c>
      <c r="N2491" s="212">
        <f>'02 项目基础信息（输入）'!$C$75</f>
        <v>0</v>
      </c>
      <c r="O2491" s="203">
        <f t="shared" si="279"/>
        <v>0</v>
      </c>
      <c r="P2491" s="203">
        <f t="shared" si="283"/>
        <v>0</v>
      </c>
      <c r="Q2491" s="271">
        <f t="shared" si="280"/>
        <v>0</v>
      </c>
      <c r="R2491" s="188"/>
      <c r="S2491" s="280"/>
      <c r="T2491" s="222"/>
      <c r="U2491" s="223" t="s">
        <v>4399</v>
      </c>
    </row>
    <row r="2492" spans="1:21" s="181" customFormat="1" ht="0" hidden="1" customHeight="1" outlineLevel="4">
      <c r="A2492" s="253" t="s">
        <v>4178</v>
      </c>
      <c r="B2492" s="254"/>
      <c r="C2492" s="250" t="s">
        <v>1609</v>
      </c>
      <c r="D2492" s="203">
        <f>'02 项目基础信息（输入）'!$C$75</f>
        <v>0</v>
      </c>
      <c r="E2492" s="204" t="s">
        <v>93</v>
      </c>
      <c r="F2492" s="202"/>
      <c r="G2492" s="251"/>
      <c r="H2492" s="255"/>
      <c r="I2492" s="265"/>
      <c r="J2492" s="204"/>
      <c r="K2492" s="264"/>
      <c r="L2492" s="210"/>
      <c r="M2492" s="198">
        <f>ROUND(SUM(M2493:M2496),6)</f>
        <v>0</v>
      </c>
      <c r="N2492" s="212">
        <f>'02 项目基础信息（输入）'!$C$75</f>
        <v>0</v>
      </c>
      <c r="O2492" s="203">
        <f t="shared" si="279"/>
        <v>0</v>
      </c>
      <c r="P2492" s="203">
        <f t="shared" si="283"/>
        <v>0</v>
      </c>
      <c r="Q2492" s="271">
        <f t="shared" si="280"/>
        <v>0</v>
      </c>
      <c r="R2492" s="188"/>
      <c r="S2492" s="280"/>
      <c r="T2492" s="222"/>
      <c r="U2492" s="223" t="s">
        <v>4400</v>
      </c>
    </row>
    <row r="2493" spans="1:21" s="181" customFormat="1" ht="0" hidden="1" customHeight="1" outlineLevel="5">
      <c r="A2493" s="253" t="s">
        <v>4180</v>
      </c>
      <c r="B2493" s="254"/>
      <c r="C2493" s="250" t="s">
        <v>1609</v>
      </c>
      <c r="D2493" s="203">
        <f>'02 项目基础信息（输入）'!$C$75</f>
        <v>0</v>
      </c>
      <c r="E2493" s="204" t="s">
        <v>93</v>
      </c>
      <c r="F2493" s="202" t="s">
        <v>4181</v>
      </c>
      <c r="G2493" s="252">
        <f>'03 成本测算（输入）'!D183</f>
        <v>0</v>
      </c>
      <c r="H2493" s="204" t="s">
        <v>298</v>
      </c>
      <c r="I2493" s="265">
        <f>D2493*G2493</f>
        <v>0</v>
      </c>
      <c r="J2493" s="204" t="s">
        <v>93</v>
      </c>
      <c r="K2493" s="267">
        <f>'03 成本测算（输入）'!D184</f>
        <v>0</v>
      </c>
      <c r="L2493" s="210" t="s">
        <v>675</v>
      </c>
      <c r="M2493" s="198">
        <f>ROUND(K2493*I2493/10000,6)</f>
        <v>0</v>
      </c>
      <c r="N2493" s="212">
        <f>'02 项目基础信息（输入）'!$C$75</f>
        <v>0</v>
      </c>
      <c r="O2493" s="203">
        <f t="shared" si="279"/>
        <v>0</v>
      </c>
      <c r="P2493" s="203">
        <f t="shared" si="283"/>
        <v>0</v>
      </c>
      <c r="Q2493" s="271">
        <f t="shared" si="280"/>
        <v>0</v>
      </c>
      <c r="R2493" s="188"/>
      <c r="S2493" s="280"/>
      <c r="T2493" s="222"/>
      <c r="U2493" s="223" t="s">
        <v>4401</v>
      </c>
    </row>
    <row r="2494" spans="1:21" s="181" customFormat="1" ht="0" hidden="1" customHeight="1" outlineLevel="5">
      <c r="A2494" s="253" t="s">
        <v>4402</v>
      </c>
      <c r="B2494" s="254"/>
      <c r="C2494" s="250" t="s">
        <v>1609</v>
      </c>
      <c r="D2494" s="203">
        <f>'02 项目基础信息（输入）'!$C$75</f>
        <v>0</v>
      </c>
      <c r="E2494" s="204" t="s">
        <v>93</v>
      </c>
      <c r="F2494" s="202" t="s">
        <v>4181</v>
      </c>
      <c r="G2494" s="251">
        <f>G2493</f>
        <v>0</v>
      </c>
      <c r="H2494" s="204" t="s">
        <v>298</v>
      </c>
      <c r="I2494" s="265">
        <f>D2494*G2494</f>
        <v>0</v>
      </c>
      <c r="J2494" s="204" t="s">
        <v>93</v>
      </c>
      <c r="K2494" s="269"/>
      <c r="L2494" s="210" t="s">
        <v>675</v>
      </c>
      <c r="M2494" s="198">
        <f>ROUND(K2494*I2494/10000,6)</f>
        <v>0</v>
      </c>
      <c r="N2494" s="212">
        <f>'02 项目基础信息（输入）'!$C$75</f>
        <v>0</v>
      </c>
      <c r="O2494" s="203">
        <f t="shared" si="279"/>
        <v>0</v>
      </c>
      <c r="P2494" s="203">
        <f t="shared" si="283"/>
        <v>0</v>
      </c>
      <c r="Q2494" s="271">
        <f t="shared" si="280"/>
        <v>0</v>
      </c>
      <c r="R2494" s="188"/>
      <c r="S2494" s="280"/>
      <c r="T2494" s="222"/>
      <c r="U2494" s="223" t="s">
        <v>4403</v>
      </c>
    </row>
    <row r="2495" spans="1:21" s="181" customFormat="1" ht="0" hidden="1" customHeight="1" outlineLevel="5">
      <c r="A2495" s="253" t="s">
        <v>4404</v>
      </c>
      <c r="B2495" s="254"/>
      <c r="C2495" s="250" t="s">
        <v>1609</v>
      </c>
      <c r="D2495" s="203">
        <f>'02 项目基础信息（输入）'!$C$75</f>
        <v>0</v>
      </c>
      <c r="E2495" s="204" t="s">
        <v>93</v>
      </c>
      <c r="F2495" s="202" t="s">
        <v>4181</v>
      </c>
      <c r="G2495" s="251">
        <f>G2494</f>
        <v>0</v>
      </c>
      <c r="H2495" s="204" t="s">
        <v>298</v>
      </c>
      <c r="I2495" s="265">
        <f>D2495*G2495</f>
        <v>0</v>
      </c>
      <c r="J2495" s="204" t="s">
        <v>93</v>
      </c>
      <c r="K2495" s="269"/>
      <c r="L2495" s="210" t="s">
        <v>675</v>
      </c>
      <c r="M2495" s="198">
        <f>ROUND(K2495*I2495/10000,6)</f>
        <v>0</v>
      </c>
      <c r="N2495" s="212">
        <f>'02 项目基础信息（输入）'!$C$75</f>
        <v>0</v>
      </c>
      <c r="O2495" s="203">
        <f t="shared" si="279"/>
        <v>0</v>
      </c>
      <c r="P2495" s="203">
        <f t="shared" si="283"/>
        <v>0</v>
      </c>
      <c r="Q2495" s="271">
        <f t="shared" si="280"/>
        <v>0</v>
      </c>
      <c r="R2495" s="188"/>
      <c r="S2495" s="280"/>
      <c r="T2495" s="222"/>
      <c r="U2495" s="223" t="s">
        <v>4405</v>
      </c>
    </row>
    <row r="2496" spans="1:21" s="181" customFormat="1" ht="0" hidden="1" customHeight="1" outlineLevel="5">
      <c r="A2496" s="253" t="s">
        <v>4406</v>
      </c>
      <c r="B2496" s="254"/>
      <c r="C2496" s="250" t="s">
        <v>1609</v>
      </c>
      <c r="D2496" s="203">
        <f>'02 项目基础信息（输入）'!$C$75</f>
        <v>0</v>
      </c>
      <c r="E2496" s="204" t="s">
        <v>93</v>
      </c>
      <c r="F2496" s="202" t="s">
        <v>4181</v>
      </c>
      <c r="G2496" s="251">
        <f>G2495</f>
        <v>0</v>
      </c>
      <c r="H2496" s="204" t="s">
        <v>298</v>
      </c>
      <c r="I2496" s="265">
        <f>D2496*G2496</f>
        <v>0</v>
      </c>
      <c r="J2496" s="204" t="s">
        <v>93</v>
      </c>
      <c r="K2496" s="269"/>
      <c r="L2496" s="210" t="s">
        <v>675</v>
      </c>
      <c r="M2496" s="198">
        <f>ROUND(K2496*I2496/10000,6)</f>
        <v>0</v>
      </c>
      <c r="N2496" s="212">
        <f>'02 项目基础信息（输入）'!$C$75</f>
        <v>0</v>
      </c>
      <c r="O2496" s="203">
        <f t="shared" si="279"/>
        <v>0</v>
      </c>
      <c r="P2496" s="203">
        <f t="shared" si="283"/>
        <v>0</v>
      </c>
      <c r="Q2496" s="271">
        <f t="shared" si="280"/>
        <v>0</v>
      </c>
      <c r="R2496" s="188"/>
      <c r="S2496" s="280"/>
      <c r="T2496" s="222"/>
      <c r="U2496" s="223" t="s">
        <v>4407</v>
      </c>
    </row>
    <row r="2497" spans="1:21" s="181" customFormat="1" ht="0" hidden="1" customHeight="1" outlineLevel="4">
      <c r="A2497" s="253" t="s">
        <v>4183</v>
      </c>
      <c r="B2497" s="254"/>
      <c r="C2497" s="250" t="s">
        <v>1609</v>
      </c>
      <c r="D2497" s="203">
        <f>'02 项目基础信息（输入）'!$C$75</f>
        <v>0</v>
      </c>
      <c r="E2497" s="204" t="s">
        <v>93</v>
      </c>
      <c r="F2497" s="202"/>
      <c r="G2497" s="251"/>
      <c r="H2497" s="204"/>
      <c r="I2497" s="265"/>
      <c r="J2497" s="204"/>
      <c r="K2497" s="266"/>
      <c r="L2497" s="210"/>
      <c r="M2497" s="198">
        <f>ROUND(SUM(M2498:M2502),6)</f>
        <v>0</v>
      </c>
      <c r="N2497" s="212">
        <f>'02 项目基础信息（输入）'!$C$75</f>
        <v>0</v>
      </c>
      <c r="O2497" s="203">
        <f t="shared" si="279"/>
        <v>0</v>
      </c>
      <c r="P2497" s="203">
        <f t="shared" si="283"/>
        <v>0</v>
      </c>
      <c r="Q2497" s="271">
        <f t="shared" si="280"/>
        <v>0</v>
      </c>
      <c r="R2497" s="188"/>
      <c r="S2497" s="280"/>
      <c r="T2497" s="222"/>
      <c r="U2497" s="223" t="s">
        <v>4408</v>
      </c>
    </row>
    <row r="2498" spans="1:21" s="181" customFormat="1" ht="0" hidden="1" customHeight="1" outlineLevel="5">
      <c r="A2498" s="253" t="s">
        <v>4409</v>
      </c>
      <c r="B2498" s="254"/>
      <c r="C2498" s="250" t="s">
        <v>4394</v>
      </c>
      <c r="D2498" s="203">
        <f>$D$2489</f>
        <v>0</v>
      </c>
      <c r="E2498" s="204" t="s">
        <v>93</v>
      </c>
      <c r="F2498" s="202" t="s">
        <v>1627</v>
      </c>
      <c r="G2498" s="252">
        <f>'03 成本测算（输入）'!D185</f>
        <v>0</v>
      </c>
      <c r="H2498" s="204" t="s">
        <v>1524</v>
      </c>
      <c r="I2498" s="265">
        <f>D2498*G2498</f>
        <v>0</v>
      </c>
      <c r="J2498" s="204" t="s">
        <v>1525</v>
      </c>
      <c r="K2498" s="267">
        <f>'03 成本测算（输入）'!D187</f>
        <v>0</v>
      </c>
      <c r="L2498" s="210" t="s">
        <v>979</v>
      </c>
      <c r="M2498" s="198">
        <f>ROUND(K2498*I2498/10000,6)</f>
        <v>0</v>
      </c>
      <c r="N2498" s="212">
        <f>'02 项目基础信息（输入）'!$C$75</f>
        <v>0</v>
      </c>
      <c r="O2498" s="203">
        <f t="shared" si="279"/>
        <v>0</v>
      </c>
      <c r="P2498" s="203">
        <f t="shared" si="283"/>
        <v>0</v>
      </c>
      <c r="Q2498" s="271">
        <f t="shared" si="280"/>
        <v>0</v>
      </c>
      <c r="R2498" s="188"/>
      <c r="S2498" s="280"/>
      <c r="T2498" s="222"/>
      <c r="U2498" s="223" t="s">
        <v>4410</v>
      </c>
    </row>
    <row r="2499" spans="1:21" s="181" customFormat="1" ht="0" hidden="1" customHeight="1" outlineLevel="5">
      <c r="A2499" s="253" t="s">
        <v>4411</v>
      </c>
      <c r="B2499" s="254"/>
      <c r="C2499" s="250" t="s">
        <v>4397</v>
      </c>
      <c r="D2499" s="203">
        <f>$D$2490</f>
        <v>0</v>
      </c>
      <c r="E2499" s="204" t="s">
        <v>93</v>
      </c>
      <c r="F2499" s="202" t="s">
        <v>1627</v>
      </c>
      <c r="G2499" s="252">
        <f>'03 成本测算（输入）'!D186</f>
        <v>0</v>
      </c>
      <c r="H2499" s="204" t="s">
        <v>1524</v>
      </c>
      <c r="I2499" s="265">
        <f>D2499*G2499</f>
        <v>0</v>
      </c>
      <c r="J2499" s="204" t="s">
        <v>1525</v>
      </c>
      <c r="K2499" s="267">
        <f>'03 成本测算（输入）'!D187</f>
        <v>0</v>
      </c>
      <c r="L2499" s="210" t="s">
        <v>979</v>
      </c>
      <c r="M2499" s="198">
        <f>ROUND(K2499*I2499/10000,6)</f>
        <v>0</v>
      </c>
      <c r="N2499" s="212">
        <f>'02 项目基础信息（输入）'!$C$75</f>
        <v>0</v>
      </c>
      <c r="O2499" s="203">
        <f t="shared" ref="O2499:O2562" si="286">ROUND(IFERROR(M2499*10000/N2499,0),2)</f>
        <v>0</v>
      </c>
      <c r="P2499" s="203">
        <f t="shared" si="283"/>
        <v>0</v>
      </c>
      <c r="Q2499" s="271">
        <f t="shared" ref="Q2499:Q2562" si="287">ROUND(IFERROR(M2499*10000/P2499,0),2)</f>
        <v>0</v>
      </c>
      <c r="R2499" s="188"/>
      <c r="S2499" s="280"/>
      <c r="T2499" s="222"/>
      <c r="U2499" s="223" t="s">
        <v>4412</v>
      </c>
    </row>
    <row r="2500" spans="1:21" s="181" customFormat="1" ht="0" hidden="1" customHeight="1" outlineLevel="5">
      <c r="A2500" s="253" t="s">
        <v>4187</v>
      </c>
      <c r="B2500" s="254"/>
      <c r="C2500" s="250" t="s">
        <v>1609</v>
      </c>
      <c r="D2500" s="203">
        <f>'02 项目基础信息（输入）'!$C$75</f>
        <v>0</v>
      </c>
      <c r="E2500" s="204" t="s">
        <v>93</v>
      </c>
      <c r="F2500" s="202" t="s">
        <v>1627</v>
      </c>
      <c r="G2500" s="251">
        <f>IFERROR(I2500/D2500,0)</f>
        <v>0</v>
      </c>
      <c r="H2500" s="204" t="s">
        <v>1524</v>
      </c>
      <c r="I2500" s="265">
        <f>I2498+I2499</f>
        <v>0</v>
      </c>
      <c r="J2500" s="204" t="s">
        <v>1525</v>
      </c>
      <c r="K2500" s="267">
        <f>'03 成本测算（输入）'!D188</f>
        <v>0</v>
      </c>
      <c r="L2500" s="210" t="s">
        <v>979</v>
      </c>
      <c r="M2500" s="198">
        <f>ROUND(K2500*I2500/10000,6)</f>
        <v>0</v>
      </c>
      <c r="N2500" s="212">
        <f>'02 项目基础信息（输入）'!$C$75</f>
        <v>0</v>
      </c>
      <c r="O2500" s="203">
        <f t="shared" si="286"/>
        <v>0</v>
      </c>
      <c r="P2500" s="203">
        <f t="shared" si="283"/>
        <v>0</v>
      </c>
      <c r="Q2500" s="271">
        <f t="shared" si="287"/>
        <v>0</v>
      </c>
      <c r="R2500" s="188"/>
      <c r="S2500" s="280"/>
      <c r="T2500" s="222"/>
      <c r="U2500" s="223" t="s">
        <v>4413</v>
      </c>
    </row>
    <row r="2501" spans="1:21" s="181" customFormat="1" ht="0" hidden="1" customHeight="1" outlineLevel="5">
      <c r="A2501" s="253" t="s">
        <v>4414</v>
      </c>
      <c r="B2501" s="254"/>
      <c r="C2501" s="250" t="s">
        <v>4397</v>
      </c>
      <c r="D2501" s="203">
        <f>$D$2489</f>
        <v>0</v>
      </c>
      <c r="E2501" s="204" t="s">
        <v>93</v>
      </c>
      <c r="F2501" s="202" t="s">
        <v>1632</v>
      </c>
      <c r="G2501" s="263"/>
      <c r="H2501" s="204" t="s">
        <v>1524</v>
      </c>
      <c r="I2501" s="265">
        <f>D2501*G2501</f>
        <v>0</v>
      </c>
      <c r="J2501" s="204" t="s">
        <v>1525</v>
      </c>
      <c r="K2501" s="269"/>
      <c r="L2501" s="210" t="s">
        <v>979</v>
      </c>
      <c r="M2501" s="198">
        <f>ROUND(K2501*I2501/10000,6)</f>
        <v>0</v>
      </c>
      <c r="N2501" s="212">
        <f>'02 项目基础信息（输入）'!$C$75</f>
        <v>0</v>
      </c>
      <c r="O2501" s="203">
        <f t="shared" si="286"/>
        <v>0</v>
      </c>
      <c r="P2501" s="203">
        <f t="shared" si="283"/>
        <v>0</v>
      </c>
      <c r="Q2501" s="271">
        <f t="shared" si="287"/>
        <v>0</v>
      </c>
      <c r="R2501" s="188"/>
      <c r="S2501" s="280"/>
      <c r="T2501" s="222"/>
      <c r="U2501" s="223" t="s">
        <v>4415</v>
      </c>
    </row>
    <row r="2502" spans="1:21" s="181" customFormat="1" ht="0" hidden="1" customHeight="1" outlineLevel="5">
      <c r="A2502" s="253" t="s">
        <v>4416</v>
      </c>
      <c r="B2502" s="254"/>
      <c r="C2502" s="250" t="s">
        <v>4397</v>
      </c>
      <c r="D2502" s="203">
        <f>$D$2490</f>
        <v>0</v>
      </c>
      <c r="E2502" s="204" t="s">
        <v>93</v>
      </c>
      <c r="F2502" s="202" t="s">
        <v>1632</v>
      </c>
      <c r="G2502" s="251">
        <f>G2501</f>
        <v>0</v>
      </c>
      <c r="H2502" s="204" t="s">
        <v>1524</v>
      </c>
      <c r="I2502" s="265">
        <f>D2502*G2502</f>
        <v>0</v>
      </c>
      <c r="J2502" s="204" t="s">
        <v>1525</v>
      </c>
      <c r="K2502" s="269"/>
      <c r="L2502" s="210" t="s">
        <v>979</v>
      </c>
      <c r="M2502" s="198">
        <f>ROUND(K2502*I2502/10000,6)</f>
        <v>0</v>
      </c>
      <c r="N2502" s="212">
        <f>'02 项目基础信息（输入）'!$C$75</f>
        <v>0</v>
      </c>
      <c r="O2502" s="203">
        <f t="shared" si="286"/>
        <v>0</v>
      </c>
      <c r="P2502" s="203">
        <f t="shared" si="283"/>
        <v>0</v>
      </c>
      <c r="Q2502" s="271">
        <f t="shared" si="287"/>
        <v>0</v>
      </c>
      <c r="R2502" s="188"/>
      <c r="S2502" s="280"/>
      <c r="T2502" s="222"/>
      <c r="U2502" s="223" t="s">
        <v>4417</v>
      </c>
    </row>
    <row r="2503" spans="1:21" s="181" customFormat="1" ht="0" hidden="1" customHeight="1" outlineLevel="4">
      <c r="A2503" s="253" t="s">
        <v>4189</v>
      </c>
      <c r="B2503" s="254"/>
      <c r="C2503" s="250" t="s">
        <v>1609</v>
      </c>
      <c r="D2503" s="203">
        <f>'02 项目基础信息（输入）'!$C$75</f>
        <v>0</v>
      </c>
      <c r="E2503" s="204" t="s">
        <v>93</v>
      </c>
      <c r="F2503" s="256"/>
      <c r="G2503" s="255"/>
      <c r="H2503" s="255"/>
      <c r="I2503" s="268"/>
      <c r="J2503" s="255"/>
      <c r="K2503" s="264"/>
      <c r="L2503" s="205"/>
      <c r="M2503" s="198">
        <f>ROUND(SUM(M2504:M2506),6)</f>
        <v>0</v>
      </c>
      <c r="N2503" s="212">
        <f>'02 项目基础信息（输入）'!$C$75</f>
        <v>0</v>
      </c>
      <c r="O2503" s="203">
        <f t="shared" si="286"/>
        <v>0</v>
      </c>
      <c r="P2503" s="203">
        <f t="shared" si="283"/>
        <v>0</v>
      </c>
      <c r="Q2503" s="271">
        <f t="shared" si="287"/>
        <v>0</v>
      </c>
      <c r="R2503" s="188"/>
      <c r="S2503" s="280"/>
      <c r="T2503" s="222"/>
      <c r="U2503" s="223" t="s">
        <v>4418</v>
      </c>
    </row>
    <row r="2504" spans="1:21" s="181" customFormat="1" ht="0" hidden="1" customHeight="1" outlineLevel="5">
      <c r="A2504" s="253" t="s">
        <v>4191</v>
      </c>
      <c r="B2504" s="254"/>
      <c r="C2504" s="250" t="s">
        <v>1609</v>
      </c>
      <c r="D2504" s="203">
        <f>'02 项目基础信息（输入）'!$C$75</f>
        <v>0</v>
      </c>
      <c r="E2504" s="204" t="s">
        <v>93</v>
      </c>
      <c r="F2504" s="250" t="s">
        <v>1637</v>
      </c>
      <c r="G2504" s="263"/>
      <c r="H2504" s="204" t="s">
        <v>1524</v>
      </c>
      <c r="I2504" s="265">
        <f>D2504*G2504</f>
        <v>0</v>
      </c>
      <c r="J2504" s="204" t="s">
        <v>1525</v>
      </c>
      <c r="K2504" s="269"/>
      <c r="L2504" s="210" t="s">
        <v>979</v>
      </c>
      <c r="M2504" s="198">
        <f>ROUND(K2504*I2504/10000,6)</f>
        <v>0</v>
      </c>
      <c r="N2504" s="212">
        <f>'02 项目基础信息（输入）'!$C$75</f>
        <v>0</v>
      </c>
      <c r="O2504" s="203">
        <f t="shared" si="286"/>
        <v>0</v>
      </c>
      <c r="P2504" s="203">
        <f t="shared" si="283"/>
        <v>0</v>
      </c>
      <c r="Q2504" s="271">
        <f t="shared" si="287"/>
        <v>0</v>
      </c>
      <c r="R2504" s="188"/>
      <c r="S2504" s="280"/>
      <c r="T2504" s="222"/>
      <c r="U2504" s="223" t="s">
        <v>4419</v>
      </c>
    </row>
    <row r="2505" spans="1:21" s="181" customFormat="1" ht="0" hidden="1" customHeight="1" outlineLevel="5">
      <c r="A2505" s="253" t="s">
        <v>4420</v>
      </c>
      <c r="B2505" s="254"/>
      <c r="C2505" s="250" t="s">
        <v>4397</v>
      </c>
      <c r="D2505" s="203">
        <f>$D$2490</f>
        <v>0</v>
      </c>
      <c r="E2505" s="204" t="s">
        <v>93</v>
      </c>
      <c r="F2505" s="250" t="s">
        <v>1637</v>
      </c>
      <c r="G2505" s="263"/>
      <c r="H2505" s="204" t="s">
        <v>1524</v>
      </c>
      <c r="I2505" s="265">
        <f>D2505*G2505</f>
        <v>0</v>
      </c>
      <c r="J2505" s="204" t="s">
        <v>1525</v>
      </c>
      <c r="K2505" s="269"/>
      <c r="L2505" s="210" t="s">
        <v>979</v>
      </c>
      <c r="M2505" s="198">
        <f>ROUND(K2505*I2505/10000,6)</f>
        <v>0</v>
      </c>
      <c r="N2505" s="212">
        <f>'02 项目基础信息（输入）'!$C$75</f>
        <v>0</v>
      </c>
      <c r="O2505" s="203">
        <f t="shared" si="286"/>
        <v>0</v>
      </c>
      <c r="P2505" s="203">
        <f t="shared" si="283"/>
        <v>0</v>
      </c>
      <c r="Q2505" s="271">
        <f t="shared" si="287"/>
        <v>0</v>
      </c>
      <c r="R2505" s="188"/>
      <c r="S2505" s="280"/>
      <c r="T2505" s="222"/>
      <c r="U2505" s="223" t="s">
        <v>4421</v>
      </c>
    </row>
    <row r="2506" spans="1:21" s="181" customFormat="1" ht="0" hidden="1" customHeight="1" outlineLevel="5">
      <c r="A2506" s="253" t="s">
        <v>4422</v>
      </c>
      <c r="B2506" s="254"/>
      <c r="C2506" s="250" t="s">
        <v>1609</v>
      </c>
      <c r="D2506" s="203">
        <f>'02 项目基础信息（输入）'!$C$75</f>
        <v>0</v>
      </c>
      <c r="E2506" s="204" t="s">
        <v>93</v>
      </c>
      <c r="F2506" s="250" t="s">
        <v>1637</v>
      </c>
      <c r="G2506" s="263"/>
      <c r="H2506" s="204" t="s">
        <v>1524</v>
      </c>
      <c r="I2506" s="265">
        <f>D2506*G2506</f>
        <v>0</v>
      </c>
      <c r="J2506" s="204" t="s">
        <v>1525</v>
      </c>
      <c r="K2506" s="269"/>
      <c r="L2506" s="210" t="s">
        <v>979</v>
      </c>
      <c r="M2506" s="198">
        <f>ROUND(K2506*I2506/10000,6)</f>
        <v>0</v>
      </c>
      <c r="N2506" s="212">
        <f>'02 项目基础信息（输入）'!$C$75</f>
        <v>0</v>
      </c>
      <c r="O2506" s="203">
        <f t="shared" si="286"/>
        <v>0</v>
      </c>
      <c r="P2506" s="203">
        <f t="shared" ref="P2506:P2569" si="288">N2506</f>
        <v>0</v>
      </c>
      <c r="Q2506" s="271">
        <f t="shared" si="287"/>
        <v>0</v>
      </c>
      <c r="R2506" s="188"/>
      <c r="S2506" s="280"/>
      <c r="T2506" s="222"/>
      <c r="U2506" s="223" t="s">
        <v>4423</v>
      </c>
    </row>
    <row r="2507" spans="1:21" s="181" customFormat="1" ht="0" hidden="1" customHeight="1" outlineLevel="4">
      <c r="A2507" s="253" t="s">
        <v>4193</v>
      </c>
      <c r="B2507" s="254"/>
      <c r="C2507" s="250" t="s">
        <v>1609</v>
      </c>
      <c r="D2507" s="203">
        <f>'02 项目基础信息（输入）'!$C$75</f>
        <v>0</v>
      </c>
      <c r="E2507" s="204" t="s">
        <v>93</v>
      </c>
      <c r="F2507" s="250" t="s">
        <v>1609</v>
      </c>
      <c r="G2507" s="255">
        <v>1</v>
      </c>
      <c r="H2507" s="204" t="s">
        <v>298</v>
      </c>
      <c r="I2507" s="265">
        <f>D2507*G2507</f>
        <v>0</v>
      </c>
      <c r="J2507" s="204" t="s">
        <v>93</v>
      </c>
      <c r="K2507" s="269"/>
      <c r="L2507" s="210" t="s">
        <v>675</v>
      </c>
      <c r="M2507" s="198">
        <f>ROUND(K2507*I2507/10000,6)</f>
        <v>0</v>
      </c>
      <c r="N2507" s="212">
        <f>'02 项目基础信息（输入）'!$C$75</f>
        <v>0</v>
      </c>
      <c r="O2507" s="203">
        <f t="shared" si="286"/>
        <v>0</v>
      </c>
      <c r="P2507" s="203">
        <f t="shared" si="288"/>
        <v>0</v>
      </c>
      <c r="Q2507" s="271">
        <f t="shared" si="287"/>
        <v>0</v>
      </c>
      <c r="R2507" s="188"/>
      <c r="S2507" s="280"/>
      <c r="T2507" s="222"/>
      <c r="U2507" s="223" t="s">
        <v>4424</v>
      </c>
    </row>
    <row r="2508" spans="1:21" s="181" customFormat="1" ht="0" hidden="1" customHeight="1" outlineLevel="4">
      <c r="A2508" s="253" t="s">
        <v>4195</v>
      </c>
      <c r="B2508" s="254"/>
      <c r="C2508" s="250" t="s">
        <v>1609</v>
      </c>
      <c r="D2508" s="203">
        <f>'02 项目基础信息（输入）'!$C$75</f>
        <v>0</v>
      </c>
      <c r="E2508" s="204" t="s">
        <v>93</v>
      </c>
      <c r="F2508" s="250" t="s">
        <v>1609</v>
      </c>
      <c r="G2508" s="255">
        <v>1</v>
      </c>
      <c r="H2508" s="204" t="s">
        <v>298</v>
      </c>
      <c r="I2508" s="265">
        <f>D2508*G2508</f>
        <v>0</v>
      </c>
      <c r="J2508" s="204" t="s">
        <v>93</v>
      </c>
      <c r="K2508" s="269"/>
      <c r="L2508" s="210" t="s">
        <v>675</v>
      </c>
      <c r="M2508" s="198">
        <f>ROUND(K2508*I2508/10000,6)</f>
        <v>0</v>
      </c>
      <c r="N2508" s="212">
        <f>'02 项目基础信息（输入）'!$C$75</f>
        <v>0</v>
      </c>
      <c r="O2508" s="203">
        <f t="shared" si="286"/>
        <v>0</v>
      </c>
      <c r="P2508" s="203">
        <f t="shared" si="288"/>
        <v>0</v>
      </c>
      <c r="Q2508" s="271">
        <f t="shared" si="287"/>
        <v>0</v>
      </c>
      <c r="R2508" s="188"/>
      <c r="S2508" s="280"/>
      <c r="T2508" s="222"/>
      <c r="U2508" s="223" t="s">
        <v>4425</v>
      </c>
    </row>
    <row r="2509" spans="1:21" s="181" customFormat="1" ht="0" hidden="1" customHeight="1" outlineLevel="4">
      <c r="A2509" s="253" t="s">
        <v>4197</v>
      </c>
      <c r="B2509" s="254"/>
      <c r="C2509" s="250" t="s">
        <v>1665</v>
      </c>
      <c r="D2509" s="203">
        <f>ROUND(M2488+M2492+M2497+M2503+M2507+M2508,6)*10000</f>
        <v>0</v>
      </c>
      <c r="E2509" s="204" t="s">
        <v>1666</v>
      </c>
      <c r="F2509" s="202" t="s">
        <v>1667</v>
      </c>
      <c r="G2509" s="258">
        <f>IFERROR(I2509*100/D2509,0)</f>
        <v>0</v>
      </c>
      <c r="H2509" s="204" t="s">
        <v>123</v>
      </c>
      <c r="I2509" s="265">
        <f>N2509*K2509</f>
        <v>0</v>
      </c>
      <c r="J2509" s="204" t="s">
        <v>1666</v>
      </c>
      <c r="K2509" s="269"/>
      <c r="L2509" s="210" t="s">
        <v>675</v>
      </c>
      <c r="M2509" s="231">
        <f>ROUND(I2509/10000,6)</f>
        <v>0</v>
      </c>
      <c r="N2509" s="212">
        <f>'02 项目基础信息（输入）'!$C$75</f>
        <v>0</v>
      </c>
      <c r="O2509" s="203">
        <f t="shared" si="286"/>
        <v>0</v>
      </c>
      <c r="P2509" s="203">
        <f t="shared" si="288"/>
        <v>0</v>
      </c>
      <c r="Q2509" s="271">
        <f t="shared" si="287"/>
        <v>0</v>
      </c>
      <c r="R2509" s="188"/>
      <c r="S2509" s="280"/>
      <c r="T2509" s="222"/>
      <c r="U2509" s="223" t="s">
        <v>4426</v>
      </c>
    </row>
    <row r="2510" spans="1:21" s="181" customFormat="1" ht="0" hidden="1" customHeight="1" outlineLevel="3">
      <c r="A2510" s="253" t="s">
        <v>4211</v>
      </c>
      <c r="B2510" s="254"/>
      <c r="C2510" s="250" t="s">
        <v>1609</v>
      </c>
      <c r="D2510" s="203">
        <f>'02 项目基础信息（输入）'!$C$75</f>
        <v>0</v>
      </c>
      <c r="E2510" s="204" t="s">
        <v>93</v>
      </c>
      <c r="F2510" s="202"/>
      <c r="G2510" s="255"/>
      <c r="H2510" s="204"/>
      <c r="I2510" s="265"/>
      <c r="J2510" s="204"/>
      <c r="K2510" s="202"/>
      <c r="L2510" s="210"/>
      <c r="M2510" s="198">
        <f>ROUND(M2511+M2514+M2517+M2520+M2523+M2526+M2529,6)</f>
        <v>0</v>
      </c>
      <c r="N2510" s="212">
        <f>'02 项目基础信息（输入）'!$C$75</f>
        <v>0</v>
      </c>
      <c r="O2510" s="203">
        <f t="shared" si="286"/>
        <v>0</v>
      </c>
      <c r="P2510" s="203">
        <f t="shared" si="288"/>
        <v>0</v>
      </c>
      <c r="Q2510" s="271">
        <f t="shared" si="287"/>
        <v>0</v>
      </c>
      <c r="R2510" s="188"/>
      <c r="S2510" s="280"/>
      <c r="T2510" s="222"/>
      <c r="U2510" s="223" t="s">
        <v>4427</v>
      </c>
    </row>
    <row r="2511" spans="1:21" s="181" customFormat="1" ht="0" hidden="1" customHeight="1" outlineLevel="4">
      <c r="A2511" s="253" t="s">
        <v>4213</v>
      </c>
      <c r="B2511" s="254"/>
      <c r="C2511" s="250" t="s">
        <v>1609</v>
      </c>
      <c r="D2511" s="203">
        <f>'02 项目基础信息（输入）'!$C$75</f>
        <v>0</v>
      </c>
      <c r="E2511" s="204" t="s">
        <v>93</v>
      </c>
      <c r="F2511" s="202"/>
      <c r="G2511" s="261"/>
      <c r="H2511" s="255"/>
      <c r="I2511" s="264"/>
      <c r="J2511" s="255"/>
      <c r="K2511" s="264"/>
      <c r="L2511" s="205"/>
      <c r="M2511" s="198">
        <f>ROUND(SUM(M2512:M2513),6)</f>
        <v>0</v>
      </c>
      <c r="N2511" s="212">
        <f>'02 项目基础信息（输入）'!$C$75</f>
        <v>0</v>
      </c>
      <c r="O2511" s="203">
        <f t="shared" si="286"/>
        <v>0</v>
      </c>
      <c r="P2511" s="203">
        <f t="shared" si="288"/>
        <v>0</v>
      </c>
      <c r="Q2511" s="271">
        <f t="shared" si="287"/>
        <v>0</v>
      </c>
      <c r="R2511" s="188"/>
      <c r="S2511" s="280"/>
      <c r="T2511" s="222"/>
      <c r="U2511" s="223" t="s">
        <v>4428</v>
      </c>
    </row>
    <row r="2512" spans="1:21" s="181" customFormat="1" ht="0" hidden="1" customHeight="1" outlineLevel="5">
      <c r="A2512" s="253" t="s">
        <v>4429</v>
      </c>
      <c r="B2512" s="254"/>
      <c r="C2512" s="250" t="s">
        <v>4394</v>
      </c>
      <c r="D2512" s="203">
        <f>$D$2489</f>
        <v>0</v>
      </c>
      <c r="E2512" s="204" t="s">
        <v>93</v>
      </c>
      <c r="F2512" s="202" t="s">
        <v>1682</v>
      </c>
      <c r="G2512" s="261">
        <f>IFERROR(I2512/D2512,0)</f>
        <v>0</v>
      </c>
      <c r="H2512" s="204" t="s">
        <v>298</v>
      </c>
      <c r="I2512" s="270"/>
      <c r="J2512" s="204" t="s">
        <v>93</v>
      </c>
      <c r="K2512" s="269"/>
      <c r="L2512" s="210" t="s">
        <v>675</v>
      </c>
      <c r="M2512" s="198">
        <f>ROUND(K2512*I2512/10000,6)</f>
        <v>0</v>
      </c>
      <c r="N2512" s="212">
        <f>'02 项目基础信息（输入）'!$C$75</f>
        <v>0</v>
      </c>
      <c r="O2512" s="203">
        <f t="shared" si="286"/>
        <v>0</v>
      </c>
      <c r="P2512" s="203">
        <f t="shared" si="288"/>
        <v>0</v>
      </c>
      <c r="Q2512" s="271">
        <f t="shared" si="287"/>
        <v>0</v>
      </c>
      <c r="R2512" s="188"/>
      <c r="S2512" s="280"/>
      <c r="T2512" s="222"/>
      <c r="U2512" s="223" t="s">
        <v>4430</v>
      </c>
    </row>
    <row r="2513" spans="1:21" s="181" customFormat="1" ht="0" hidden="1" customHeight="1" outlineLevel="5">
      <c r="A2513" s="253" t="s">
        <v>4431</v>
      </c>
      <c r="B2513" s="254"/>
      <c r="C2513" s="250" t="s">
        <v>4394</v>
      </c>
      <c r="D2513" s="203">
        <f>$D$2489</f>
        <v>0</v>
      </c>
      <c r="E2513" s="204" t="s">
        <v>93</v>
      </c>
      <c r="F2513" s="202" t="s">
        <v>1682</v>
      </c>
      <c r="G2513" s="261">
        <f>IFERROR(I2513/D2513,0)</f>
        <v>0</v>
      </c>
      <c r="H2513" s="204" t="s">
        <v>298</v>
      </c>
      <c r="I2513" s="268">
        <f>I2512</f>
        <v>0</v>
      </c>
      <c r="J2513" s="204" t="s">
        <v>93</v>
      </c>
      <c r="K2513" s="269"/>
      <c r="L2513" s="210" t="s">
        <v>675</v>
      </c>
      <c r="M2513" s="198">
        <f>ROUND(K2513*I2513/10000,6)</f>
        <v>0</v>
      </c>
      <c r="N2513" s="212">
        <f>'02 项目基础信息（输入）'!$C$75</f>
        <v>0</v>
      </c>
      <c r="O2513" s="203">
        <f t="shared" si="286"/>
        <v>0</v>
      </c>
      <c r="P2513" s="203">
        <f t="shared" si="288"/>
        <v>0</v>
      </c>
      <c r="Q2513" s="271">
        <f t="shared" si="287"/>
        <v>0</v>
      </c>
      <c r="R2513" s="188"/>
      <c r="S2513" s="280"/>
      <c r="T2513" s="222"/>
      <c r="U2513" s="223" t="s">
        <v>4432</v>
      </c>
    </row>
    <row r="2514" spans="1:21" s="181" customFormat="1" ht="0" hidden="1" customHeight="1" outlineLevel="4">
      <c r="A2514" s="253" t="s">
        <v>4219</v>
      </c>
      <c r="B2514" s="254"/>
      <c r="C2514" s="250" t="s">
        <v>1609</v>
      </c>
      <c r="D2514" s="203">
        <f>'02 项目基础信息（输入）'!$C$75</f>
        <v>0</v>
      </c>
      <c r="E2514" s="204" t="s">
        <v>93</v>
      </c>
      <c r="F2514" s="202"/>
      <c r="G2514" s="261"/>
      <c r="H2514" s="255"/>
      <c r="I2514" s="264"/>
      <c r="J2514" s="255"/>
      <c r="K2514" s="264"/>
      <c r="L2514" s="205"/>
      <c r="M2514" s="198">
        <f>ROUND(SUM(M2515:M2516),6)</f>
        <v>0</v>
      </c>
      <c r="N2514" s="212">
        <f>'02 项目基础信息（输入）'!$C$75</f>
        <v>0</v>
      </c>
      <c r="O2514" s="203">
        <f t="shared" si="286"/>
        <v>0</v>
      </c>
      <c r="P2514" s="203">
        <f t="shared" si="288"/>
        <v>0</v>
      </c>
      <c r="Q2514" s="271">
        <f t="shared" si="287"/>
        <v>0</v>
      </c>
      <c r="R2514" s="188"/>
      <c r="S2514" s="280"/>
      <c r="T2514" s="222"/>
      <c r="U2514" s="223" t="s">
        <v>4433</v>
      </c>
    </row>
    <row r="2515" spans="1:21" s="181" customFormat="1" ht="0" hidden="1" customHeight="1" outlineLevel="5">
      <c r="A2515" s="253" t="s">
        <v>4434</v>
      </c>
      <c r="B2515" s="254"/>
      <c r="C2515" s="250" t="s">
        <v>4394</v>
      </c>
      <c r="D2515" s="203">
        <f>$D$2489</f>
        <v>0</v>
      </c>
      <c r="E2515" s="204" t="s">
        <v>93</v>
      </c>
      <c r="F2515" s="202" t="s">
        <v>1682</v>
      </c>
      <c r="G2515" s="261">
        <f>IFERROR(I2515/D2515,0)</f>
        <v>0</v>
      </c>
      <c r="H2515" s="204" t="s">
        <v>298</v>
      </c>
      <c r="I2515" s="270"/>
      <c r="J2515" s="204" t="s">
        <v>93</v>
      </c>
      <c r="K2515" s="269"/>
      <c r="L2515" s="210" t="s">
        <v>675</v>
      </c>
      <c r="M2515" s="198">
        <f>ROUND(K2515*I2515/10000,6)</f>
        <v>0</v>
      </c>
      <c r="N2515" s="212">
        <f>'02 项目基础信息（输入）'!$C$75</f>
        <v>0</v>
      </c>
      <c r="O2515" s="203">
        <f t="shared" si="286"/>
        <v>0</v>
      </c>
      <c r="P2515" s="203">
        <f t="shared" si="288"/>
        <v>0</v>
      </c>
      <c r="Q2515" s="271">
        <f t="shared" si="287"/>
        <v>0</v>
      </c>
      <c r="R2515" s="188"/>
      <c r="S2515" s="280"/>
      <c r="T2515" s="222"/>
      <c r="U2515" s="223" t="s">
        <v>4435</v>
      </c>
    </row>
    <row r="2516" spans="1:21" s="181" customFormat="1" ht="0" hidden="1" customHeight="1" outlineLevel="5">
      <c r="A2516" s="253" t="s">
        <v>4436</v>
      </c>
      <c r="B2516" s="254"/>
      <c r="C2516" s="250" t="s">
        <v>4394</v>
      </c>
      <c r="D2516" s="203">
        <f>$D$2489</f>
        <v>0</v>
      </c>
      <c r="E2516" s="204" t="s">
        <v>93</v>
      </c>
      <c r="F2516" s="202" t="s">
        <v>1682</v>
      </c>
      <c r="G2516" s="261">
        <f>IFERROR(I2516/D2516,0)</f>
        <v>0</v>
      </c>
      <c r="H2516" s="204" t="s">
        <v>298</v>
      </c>
      <c r="I2516" s="268">
        <f>I2515</f>
        <v>0</v>
      </c>
      <c r="J2516" s="204" t="s">
        <v>93</v>
      </c>
      <c r="K2516" s="269"/>
      <c r="L2516" s="210" t="s">
        <v>675</v>
      </c>
      <c r="M2516" s="198">
        <f>ROUND(K2516*I2516/10000,6)</f>
        <v>0</v>
      </c>
      <c r="N2516" s="212">
        <f>'02 项目基础信息（输入）'!$C$75</f>
        <v>0</v>
      </c>
      <c r="O2516" s="203">
        <f t="shared" si="286"/>
        <v>0</v>
      </c>
      <c r="P2516" s="203">
        <f t="shared" si="288"/>
        <v>0</v>
      </c>
      <c r="Q2516" s="271">
        <f t="shared" si="287"/>
        <v>0</v>
      </c>
      <c r="R2516" s="188"/>
      <c r="S2516" s="280"/>
      <c r="T2516" s="222"/>
      <c r="U2516" s="223" t="s">
        <v>4437</v>
      </c>
    </row>
    <row r="2517" spans="1:21" s="181" customFormat="1" ht="0" hidden="1" customHeight="1" outlineLevel="4">
      <c r="A2517" s="253" t="s">
        <v>4438</v>
      </c>
      <c r="B2517" s="254"/>
      <c r="C2517" s="250" t="s">
        <v>1609</v>
      </c>
      <c r="D2517" s="203">
        <f>'02 项目基础信息（输入）'!$C$75</f>
        <v>0</v>
      </c>
      <c r="E2517" s="204" t="s">
        <v>93</v>
      </c>
      <c r="F2517" s="202"/>
      <c r="G2517" s="261"/>
      <c r="H2517" s="255"/>
      <c r="I2517" s="264"/>
      <c r="J2517" s="255"/>
      <c r="K2517" s="264"/>
      <c r="L2517" s="205"/>
      <c r="M2517" s="198">
        <f>ROUND(SUM(M2518:M2519),6)</f>
        <v>0</v>
      </c>
      <c r="N2517" s="212">
        <f>'02 项目基础信息（输入）'!$C$75</f>
        <v>0</v>
      </c>
      <c r="O2517" s="203">
        <f t="shared" si="286"/>
        <v>0</v>
      </c>
      <c r="P2517" s="203">
        <f t="shared" si="288"/>
        <v>0</v>
      </c>
      <c r="Q2517" s="271">
        <f t="shared" si="287"/>
        <v>0</v>
      </c>
      <c r="R2517" s="188"/>
      <c r="S2517" s="280"/>
      <c r="T2517" s="222"/>
      <c r="U2517" s="223" t="s">
        <v>4439</v>
      </c>
    </row>
    <row r="2518" spans="1:21" s="181" customFormat="1" ht="0" hidden="1" customHeight="1" outlineLevel="5">
      <c r="A2518" s="253" t="s">
        <v>4440</v>
      </c>
      <c r="B2518" s="254"/>
      <c r="C2518" s="250" t="s">
        <v>4397</v>
      </c>
      <c r="D2518" s="203">
        <f>$D$2490</f>
        <v>0</v>
      </c>
      <c r="E2518" s="204" t="s">
        <v>93</v>
      </c>
      <c r="F2518" s="202" t="s">
        <v>1682</v>
      </c>
      <c r="G2518" s="261">
        <f>IFERROR(I2518/D2518,0)</f>
        <v>0</v>
      </c>
      <c r="H2518" s="204" t="s">
        <v>298</v>
      </c>
      <c r="I2518" s="270"/>
      <c r="J2518" s="204" t="s">
        <v>93</v>
      </c>
      <c r="K2518" s="269"/>
      <c r="L2518" s="210" t="s">
        <v>675</v>
      </c>
      <c r="M2518" s="198">
        <f>ROUND(K2518*I2518/10000,6)</f>
        <v>0</v>
      </c>
      <c r="N2518" s="212">
        <f>'02 项目基础信息（输入）'!$C$75</f>
        <v>0</v>
      </c>
      <c r="O2518" s="203">
        <f t="shared" si="286"/>
        <v>0</v>
      </c>
      <c r="P2518" s="203">
        <f t="shared" si="288"/>
        <v>0</v>
      </c>
      <c r="Q2518" s="271">
        <f t="shared" si="287"/>
        <v>0</v>
      </c>
      <c r="R2518" s="188"/>
      <c r="S2518" s="280"/>
      <c r="T2518" s="222"/>
      <c r="U2518" s="223" t="s">
        <v>4441</v>
      </c>
    </row>
    <row r="2519" spans="1:21" s="181" customFormat="1" ht="0" hidden="1" customHeight="1" outlineLevel="5">
      <c r="A2519" s="253" t="s">
        <v>4442</v>
      </c>
      <c r="B2519" s="254"/>
      <c r="C2519" s="250" t="s">
        <v>4397</v>
      </c>
      <c r="D2519" s="203">
        <f>$D$2490</f>
        <v>0</v>
      </c>
      <c r="E2519" s="204" t="s">
        <v>93</v>
      </c>
      <c r="F2519" s="202" t="s">
        <v>1682</v>
      </c>
      <c r="G2519" s="261">
        <f>IFERROR(I2519/D2519,0)</f>
        <v>0</v>
      </c>
      <c r="H2519" s="204" t="s">
        <v>298</v>
      </c>
      <c r="I2519" s="268">
        <f>I2518</f>
        <v>0</v>
      </c>
      <c r="J2519" s="204" t="s">
        <v>93</v>
      </c>
      <c r="K2519" s="269"/>
      <c r="L2519" s="210" t="s">
        <v>675</v>
      </c>
      <c r="M2519" s="198">
        <f>ROUND(K2519*I2519/10000,6)</f>
        <v>0</v>
      </c>
      <c r="N2519" s="212">
        <f>'02 项目基础信息（输入）'!$C$75</f>
        <v>0</v>
      </c>
      <c r="O2519" s="203">
        <f t="shared" si="286"/>
        <v>0</v>
      </c>
      <c r="P2519" s="203">
        <f t="shared" si="288"/>
        <v>0</v>
      </c>
      <c r="Q2519" s="271">
        <f t="shared" si="287"/>
        <v>0</v>
      </c>
      <c r="R2519" s="188"/>
      <c r="S2519" s="280"/>
      <c r="T2519" s="222"/>
      <c r="U2519" s="223" t="s">
        <v>4443</v>
      </c>
    </row>
    <row r="2520" spans="1:21" s="181" customFormat="1" ht="0" hidden="1" customHeight="1" outlineLevel="4">
      <c r="A2520" s="253" t="s">
        <v>4444</v>
      </c>
      <c r="B2520" s="254"/>
      <c r="C2520" s="250" t="s">
        <v>1609</v>
      </c>
      <c r="D2520" s="203">
        <f>'02 项目基础信息（输入）'!$C$75</f>
        <v>0</v>
      </c>
      <c r="E2520" s="204" t="s">
        <v>93</v>
      </c>
      <c r="F2520" s="202"/>
      <c r="G2520" s="261"/>
      <c r="H2520" s="255"/>
      <c r="I2520" s="264"/>
      <c r="J2520" s="255"/>
      <c r="K2520" s="264"/>
      <c r="L2520" s="205"/>
      <c r="M2520" s="198">
        <f>ROUND(SUM(M2521:M2522),6)</f>
        <v>0</v>
      </c>
      <c r="N2520" s="212">
        <f>'02 项目基础信息（输入）'!$C$75</f>
        <v>0</v>
      </c>
      <c r="O2520" s="203">
        <f t="shared" si="286"/>
        <v>0</v>
      </c>
      <c r="P2520" s="203">
        <f t="shared" si="288"/>
        <v>0</v>
      </c>
      <c r="Q2520" s="271">
        <f t="shared" si="287"/>
        <v>0</v>
      </c>
      <c r="R2520" s="188"/>
      <c r="S2520" s="280"/>
      <c r="T2520" s="222"/>
      <c r="U2520" s="223" t="s">
        <v>4445</v>
      </c>
    </row>
    <row r="2521" spans="1:21" s="181" customFormat="1" ht="0" hidden="1" customHeight="1" outlineLevel="5">
      <c r="A2521" s="253" t="s">
        <v>4446</v>
      </c>
      <c r="B2521" s="254"/>
      <c r="C2521" s="250" t="s">
        <v>1609</v>
      </c>
      <c r="D2521" s="203">
        <f>'02 项目基础信息（输入）'!$C$75</f>
        <v>0</v>
      </c>
      <c r="E2521" s="204" t="s">
        <v>93</v>
      </c>
      <c r="F2521" s="202" t="s">
        <v>1682</v>
      </c>
      <c r="G2521" s="261">
        <f>IFERROR(I2521/D2521,0)</f>
        <v>0</v>
      </c>
      <c r="H2521" s="204" t="s">
        <v>298</v>
      </c>
      <c r="I2521" s="285"/>
      <c r="J2521" s="204" t="s">
        <v>93</v>
      </c>
      <c r="K2521" s="269"/>
      <c r="L2521" s="210" t="s">
        <v>675</v>
      </c>
      <c r="M2521" s="198">
        <f>ROUND(K2521*I2521/10000,6)</f>
        <v>0</v>
      </c>
      <c r="N2521" s="212">
        <f>'02 项目基础信息（输入）'!$C$75</f>
        <v>0</v>
      </c>
      <c r="O2521" s="203">
        <f t="shared" si="286"/>
        <v>0</v>
      </c>
      <c r="P2521" s="203">
        <f t="shared" si="288"/>
        <v>0</v>
      </c>
      <c r="Q2521" s="271">
        <f t="shared" si="287"/>
        <v>0</v>
      </c>
      <c r="R2521" s="188"/>
      <c r="S2521" s="280"/>
      <c r="T2521" s="222"/>
      <c r="U2521" s="223" t="s">
        <v>4447</v>
      </c>
    </row>
    <row r="2522" spans="1:21" s="181" customFormat="1" ht="0" hidden="1" customHeight="1" outlineLevel="5">
      <c r="A2522" s="253" t="s">
        <v>4448</v>
      </c>
      <c r="B2522" s="254"/>
      <c r="C2522" s="250" t="s">
        <v>1609</v>
      </c>
      <c r="D2522" s="203">
        <f>'02 项目基础信息（输入）'!$C$75</f>
        <v>0</v>
      </c>
      <c r="E2522" s="204" t="s">
        <v>93</v>
      </c>
      <c r="F2522" s="202" t="s">
        <v>1682</v>
      </c>
      <c r="G2522" s="261">
        <f>IFERROR(I2522/D2522,0)</f>
        <v>0</v>
      </c>
      <c r="H2522" s="204" t="s">
        <v>298</v>
      </c>
      <c r="I2522" s="268">
        <f>I2521</f>
        <v>0</v>
      </c>
      <c r="J2522" s="204" t="s">
        <v>93</v>
      </c>
      <c r="K2522" s="269"/>
      <c r="L2522" s="210" t="s">
        <v>675</v>
      </c>
      <c r="M2522" s="198">
        <f>ROUND(K2522*I2522/10000,6)</f>
        <v>0</v>
      </c>
      <c r="N2522" s="212">
        <f>'02 项目基础信息（输入）'!$C$75</f>
        <v>0</v>
      </c>
      <c r="O2522" s="203">
        <f t="shared" si="286"/>
        <v>0</v>
      </c>
      <c r="P2522" s="203">
        <f t="shared" si="288"/>
        <v>0</v>
      </c>
      <c r="Q2522" s="271">
        <f t="shared" si="287"/>
        <v>0</v>
      </c>
      <c r="R2522" s="188"/>
      <c r="S2522" s="280"/>
      <c r="T2522" s="222"/>
      <c r="U2522" s="223" t="s">
        <v>4449</v>
      </c>
    </row>
    <row r="2523" spans="1:21" s="181" customFormat="1" ht="0" hidden="1" customHeight="1" outlineLevel="4">
      <c r="A2523" s="253" t="s">
        <v>4450</v>
      </c>
      <c r="B2523" s="254"/>
      <c r="C2523" s="250" t="s">
        <v>1609</v>
      </c>
      <c r="D2523" s="203">
        <f>'02 项目基础信息（输入）'!$C$75</f>
        <v>0</v>
      </c>
      <c r="E2523" s="204" t="s">
        <v>93</v>
      </c>
      <c r="F2523" s="202"/>
      <c r="G2523" s="261"/>
      <c r="H2523" s="255"/>
      <c r="I2523" s="268"/>
      <c r="J2523" s="255"/>
      <c r="K2523" s="264"/>
      <c r="L2523" s="205"/>
      <c r="M2523" s="198">
        <f>ROUND(SUM(M2524:M2525),6)</f>
        <v>0</v>
      </c>
      <c r="N2523" s="212">
        <f>'02 项目基础信息（输入）'!$C$75</f>
        <v>0</v>
      </c>
      <c r="O2523" s="203">
        <f t="shared" si="286"/>
        <v>0</v>
      </c>
      <c r="P2523" s="203">
        <f t="shared" si="288"/>
        <v>0</v>
      </c>
      <c r="Q2523" s="271">
        <f t="shared" si="287"/>
        <v>0</v>
      </c>
      <c r="R2523" s="188"/>
      <c r="S2523" s="280"/>
      <c r="T2523" s="222"/>
      <c r="U2523" s="223" t="s">
        <v>4451</v>
      </c>
    </row>
    <row r="2524" spans="1:21" s="181" customFormat="1" ht="0" hidden="1" customHeight="1" outlineLevel="5">
      <c r="A2524" s="253" t="s">
        <v>4452</v>
      </c>
      <c r="B2524" s="254"/>
      <c r="C2524" s="250" t="s">
        <v>1609</v>
      </c>
      <c r="D2524" s="203">
        <f>'02 项目基础信息（输入）'!$C$75</f>
        <v>0</v>
      </c>
      <c r="E2524" s="204" t="s">
        <v>93</v>
      </c>
      <c r="F2524" s="202" t="s">
        <v>1682</v>
      </c>
      <c r="G2524" s="261">
        <f>IFERROR(I2524/D2524,0)</f>
        <v>0</v>
      </c>
      <c r="H2524" s="204" t="s">
        <v>298</v>
      </c>
      <c r="I2524" s="269"/>
      <c r="J2524" s="204" t="s">
        <v>93</v>
      </c>
      <c r="K2524" s="269"/>
      <c r="L2524" s="210" t="s">
        <v>675</v>
      </c>
      <c r="M2524" s="198">
        <f>ROUND(K2524*I2524/10000,6)</f>
        <v>0</v>
      </c>
      <c r="N2524" s="212">
        <f>'02 项目基础信息（输入）'!$C$75</f>
        <v>0</v>
      </c>
      <c r="O2524" s="203">
        <f t="shared" si="286"/>
        <v>0</v>
      </c>
      <c r="P2524" s="203">
        <f t="shared" si="288"/>
        <v>0</v>
      </c>
      <c r="Q2524" s="271">
        <f t="shared" si="287"/>
        <v>0</v>
      </c>
      <c r="R2524" s="188"/>
      <c r="S2524" s="280"/>
      <c r="T2524" s="222"/>
      <c r="U2524" s="223" t="s">
        <v>4453</v>
      </c>
    </row>
    <row r="2525" spans="1:21" s="181" customFormat="1" ht="0" hidden="1" customHeight="1" outlineLevel="5">
      <c r="A2525" s="253" t="s">
        <v>4454</v>
      </c>
      <c r="B2525" s="254"/>
      <c r="C2525" s="250" t="s">
        <v>1609</v>
      </c>
      <c r="D2525" s="203">
        <f>'02 项目基础信息（输入）'!$C$75</f>
        <v>0</v>
      </c>
      <c r="E2525" s="204" t="s">
        <v>93</v>
      </c>
      <c r="F2525" s="202" t="s">
        <v>1682</v>
      </c>
      <c r="G2525" s="261">
        <f>IFERROR(I2525/D2525,0)</f>
        <v>0</v>
      </c>
      <c r="H2525" s="204" t="s">
        <v>298</v>
      </c>
      <c r="I2525" s="268">
        <f>I2524</f>
        <v>0</v>
      </c>
      <c r="J2525" s="204" t="s">
        <v>93</v>
      </c>
      <c r="K2525" s="269"/>
      <c r="L2525" s="210" t="s">
        <v>675</v>
      </c>
      <c r="M2525" s="198">
        <f>ROUND(K2525*I2525/10000,6)</f>
        <v>0</v>
      </c>
      <c r="N2525" s="212">
        <f>'02 项目基础信息（输入）'!$C$75</f>
        <v>0</v>
      </c>
      <c r="O2525" s="203">
        <f t="shared" si="286"/>
        <v>0</v>
      </c>
      <c r="P2525" s="203">
        <f t="shared" si="288"/>
        <v>0</v>
      </c>
      <c r="Q2525" s="271">
        <f t="shared" si="287"/>
        <v>0</v>
      </c>
      <c r="R2525" s="188"/>
      <c r="S2525" s="280"/>
      <c r="T2525" s="222"/>
      <c r="U2525" s="223" t="s">
        <v>4455</v>
      </c>
    </row>
    <row r="2526" spans="1:21" s="181" customFormat="1" ht="0" hidden="1" customHeight="1" outlineLevel="4">
      <c r="A2526" s="253" t="s">
        <v>4456</v>
      </c>
      <c r="B2526" s="254"/>
      <c r="C2526" s="250" t="s">
        <v>1609</v>
      </c>
      <c r="D2526" s="203">
        <f>'02 项目基础信息（输入）'!$C$75</f>
        <v>0</v>
      </c>
      <c r="E2526" s="204" t="s">
        <v>93</v>
      </c>
      <c r="F2526" s="202"/>
      <c r="G2526" s="261"/>
      <c r="H2526" s="255"/>
      <c r="I2526" s="268"/>
      <c r="J2526" s="255"/>
      <c r="K2526" s="264"/>
      <c r="L2526" s="205"/>
      <c r="M2526" s="198">
        <f>ROUND(SUM(M2527:M2528),6)</f>
        <v>0</v>
      </c>
      <c r="N2526" s="212">
        <f>'02 项目基础信息（输入）'!$C$75</f>
        <v>0</v>
      </c>
      <c r="O2526" s="203">
        <f t="shared" si="286"/>
        <v>0</v>
      </c>
      <c r="P2526" s="203">
        <f t="shared" si="288"/>
        <v>0</v>
      </c>
      <c r="Q2526" s="271">
        <f t="shared" si="287"/>
        <v>0</v>
      </c>
      <c r="R2526" s="188"/>
      <c r="S2526" s="280"/>
      <c r="T2526" s="222"/>
      <c r="U2526" s="223" t="s">
        <v>4457</v>
      </c>
    </row>
    <row r="2527" spans="1:21" s="181" customFormat="1" ht="0" hidden="1" customHeight="1" outlineLevel="5">
      <c r="A2527" s="253" t="s">
        <v>4458</v>
      </c>
      <c r="B2527" s="254"/>
      <c r="C2527" s="250" t="s">
        <v>1609</v>
      </c>
      <c r="D2527" s="203">
        <f>'02 项目基础信息（输入）'!$C$75</f>
        <v>0</v>
      </c>
      <c r="E2527" s="204" t="s">
        <v>93</v>
      </c>
      <c r="F2527" s="202" t="s">
        <v>1682</v>
      </c>
      <c r="G2527" s="261">
        <f>IFERROR(I2527/D2527,0)</f>
        <v>0</v>
      </c>
      <c r="H2527" s="204" t="s">
        <v>298</v>
      </c>
      <c r="I2527" s="269"/>
      <c r="J2527" s="204" t="s">
        <v>93</v>
      </c>
      <c r="K2527" s="269"/>
      <c r="L2527" s="210" t="s">
        <v>675</v>
      </c>
      <c r="M2527" s="198">
        <f>ROUND(K2527*I2527/10000,6)</f>
        <v>0</v>
      </c>
      <c r="N2527" s="212">
        <f>'02 项目基础信息（输入）'!$C$75</f>
        <v>0</v>
      </c>
      <c r="O2527" s="203">
        <f t="shared" si="286"/>
        <v>0</v>
      </c>
      <c r="P2527" s="203">
        <f t="shared" si="288"/>
        <v>0</v>
      </c>
      <c r="Q2527" s="271">
        <f t="shared" si="287"/>
        <v>0</v>
      </c>
      <c r="R2527" s="188"/>
      <c r="S2527" s="280"/>
      <c r="T2527" s="222"/>
      <c r="U2527" s="223" t="s">
        <v>4459</v>
      </c>
    </row>
    <row r="2528" spans="1:21" s="181" customFormat="1" ht="0" hidden="1" customHeight="1" outlineLevel="5">
      <c r="A2528" s="253" t="s">
        <v>4460</v>
      </c>
      <c r="B2528" s="254"/>
      <c r="C2528" s="250" t="s">
        <v>1609</v>
      </c>
      <c r="D2528" s="203">
        <f>'02 项目基础信息（输入）'!$C$75</f>
        <v>0</v>
      </c>
      <c r="E2528" s="204" t="s">
        <v>93</v>
      </c>
      <c r="F2528" s="202" t="s">
        <v>1682</v>
      </c>
      <c r="G2528" s="261">
        <f>IFERROR(I2528/D2528,0)</f>
        <v>0</v>
      </c>
      <c r="H2528" s="204" t="s">
        <v>298</v>
      </c>
      <c r="I2528" s="268">
        <f>I2527</f>
        <v>0</v>
      </c>
      <c r="J2528" s="204" t="s">
        <v>93</v>
      </c>
      <c r="K2528" s="269"/>
      <c r="L2528" s="210" t="s">
        <v>675</v>
      </c>
      <c r="M2528" s="198">
        <f>ROUND(K2528*I2528/10000,6)</f>
        <v>0</v>
      </c>
      <c r="N2528" s="212">
        <f>'02 项目基础信息（输入）'!$C$75</f>
        <v>0</v>
      </c>
      <c r="O2528" s="203">
        <f t="shared" si="286"/>
        <v>0</v>
      </c>
      <c r="P2528" s="203">
        <f t="shared" si="288"/>
        <v>0</v>
      </c>
      <c r="Q2528" s="271">
        <f t="shared" si="287"/>
        <v>0</v>
      </c>
      <c r="R2528" s="188"/>
      <c r="S2528" s="280"/>
      <c r="T2528" s="222"/>
      <c r="U2528" s="223" t="s">
        <v>4461</v>
      </c>
    </row>
    <row r="2529" spans="1:21" s="181" customFormat="1" ht="0" hidden="1" customHeight="1" outlineLevel="4">
      <c r="A2529" s="253" t="s">
        <v>4231</v>
      </c>
      <c r="B2529" s="254"/>
      <c r="C2529" s="250" t="s">
        <v>1609</v>
      </c>
      <c r="D2529" s="203">
        <f>'02 项目基础信息（输入）'!$C$75</f>
        <v>0</v>
      </c>
      <c r="E2529" s="204" t="s">
        <v>93</v>
      </c>
      <c r="F2529" s="202"/>
      <c r="G2529" s="261"/>
      <c r="H2529" s="255"/>
      <c r="I2529" s="268"/>
      <c r="J2529" s="255"/>
      <c r="K2529" s="264"/>
      <c r="L2529" s="205"/>
      <c r="M2529" s="198">
        <f>ROUND(SUM(M2530:M2531),6)</f>
        <v>0</v>
      </c>
      <c r="N2529" s="212">
        <f>'02 项目基础信息（输入）'!$C$75</f>
        <v>0</v>
      </c>
      <c r="O2529" s="203">
        <f t="shared" si="286"/>
        <v>0</v>
      </c>
      <c r="P2529" s="203">
        <f t="shared" si="288"/>
        <v>0</v>
      </c>
      <c r="Q2529" s="271">
        <f t="shared" si="287"/>
        <v>0</v>
      </c>
      <c r="R2529" s="188"/>
      <c r="S2529" s="280"/>
      <c r="T2529" s="222"/>
      <c r="U2529" s="223" t="s">
        <v>4462</v>
      </c>
    </row>
    <row r="2530" spans="1:21" s="181" customFormat="1" ht="0" hidden="1" customHeight="1" outlineLevel="5">
      <c r="A2530" s="253" t="s">
        <v>4233</v>
      </c>
      <c r="B2530" s="254"/>
      <c r="C2530" s="250" t="s">
        <v>1609</v>
      </c>
      <c r="D2530" s="203">
        <f>'02 项目基础信息（输入）'!$C$75</f>
        <v>0</v>
      </c>
      <c r="E2530" s="204" t="s">
        <v>93</v>
      </c>
      <c r="F2530" s="202" t="s">
        <v>1682</v>
      </c>
      <c r="G2530" s="261">
        <f>IFERROR(I2530/D2530,0)</f>
        <v>0</v>
      </c>
      <c r="H2530" s="204" t="s">
        <v>298</v>
      </c>
      <c r="I2530" s="285"/>
      <c r="J2530" s="204" t="s">
        <v>93</v>
      </c>
      <c r="K2530" s="269"/>
      <c r="L2530" s="210" t="s">
        <v>675</v>
      </c>
      <c r="M2530" s="198">
        <f>ROUND(K2530*I2530/10000,6)</f>
        <v>0</v>
      </c>
      <c r="N2530" s="212">
        <f>'02 项目基础信息（输入）'!$C$75</f>
        <v>0</v>
      </c>
      <c r="O2530" s="203">
        <f t="shared" si="286"/>
        <v>0</v>
      </c>
      <c r="P2530" s="203">
        <f t="shared" si="288"/>
        <v>0</v>
      </c>
      <c r="Q2530" s="271">
        <f t="shared" si="287"/>
        <v>0</v>
      </c>
      <c r="R2530" s="188"/>
      <c r="S2530" s="280"/>
      <c r="T2530" s="222"/>
      <c r="U2530" s="223" t="s">
        <v>4463</v>
      </c>
    </row>
    <row r="2531" spans="1:21" s="181" customFormat="1" ht="0" hidden="1" customHeight="1" outlineLevel="5">
      <c r="A2531" s="253" t="s">
        <v>4235</v>
      </c>
      <c r="B2531" s="254"/>
      <c r="C2531" s="250" t="s">
        <v>1609</v>
      </c>
      <c r="D2531" s="203">
        <f>'02 项目基础信息（输入）'!$C$75</f>
        <v>0</v>
      </c>
      <c r="E2531" s="204" t="s">
        <v>93</v>
      </c>
      <c r="F2531" s="202" t="s">
        <v>1682</v>
      </c>
      <c r="G2531" s="261">
        <f>IFERROR(I2531/D2531,0)</f>
        <v>0</v>
      </c>
      <c r="H2531" s="204" t="s">
        <v>298</v>
      </c>
      <c r="I2531" s="268">
        <f>I2530</f>
        <v>0</v>
      </c>
      <c r="J2531" s="204" t="s">
        <v>93</v>
      </c>
      <c r="K2531" s="269"/>
      <c r="L2531" s="210" t="s">
        <v>675</v>
      </c>
      <c r="M2531" s="198">
        <f>ROUND(K2531*I2531/10000,6)</f>
        <v>0</v>
      </c>
      <c r="N2531" s="212">
        <f>'02 项目基础信息（输入）'!$C$75</f>
        <v>0</v>
      </c>
      <c r="O2531" s="203">
        <f t="shared" si="286"/>
        <v>0</v>
      </c>
      <c r="P2531" s="203">
        <f t="shared" si="288"/>
        <v>0</v>
      </c>
      <c r="Q2531" s="271">
        <f t="shared" si="287"/>
        <v>0</v>
      </c>
      <c r="R2531" s="188"/>
      <c r="S2531" s="280"/>
      <c r="T2531" s="222"/>
      <c r="U2531" s="223" t="s">
        <v>4464</v>
      </c>
    </row>
    <row r="2532" spans="1:21" s="181" customFormat="1" ht="0" hidden="1" customHeight="1" outlineLevel="3">
      <c r="A2532" s="253" t="s">
        <v>4237</v>
      </c>
      <c r="B2532" s="254"/>
      <c r="C2532" s="250" t="s">
        <v>1609</v>
      </c>
      <c r="D2532" s="203">
        <f>'02 项目基础信息（输入）'!$C$75</f>
        <v>0</v>
      </c>
      <c r="E2532" s="204" t="s">
        <v>93</v>
      </c>
      <c r="F2532" s="202"/>
      <c r="G2532" s="255"/>
      <c r="H2532" s="204"/>
      <c r="I2532" s="265"/>
      <c r="J2532" s="204"/>
      <c r="K2532" s="203"/>
      <c r="L2532" s="210"/>
      <c r="M2532" s="198">
        <f>ROUND(SUM(M2533:M2535),6)</f>
        <v>0</v>
      </c>
      <c r="N2532" s="212">
        <f>'02 项目基础信息（输入）'!$C$75</f>
        <v>0</v>
      </c>
      <c r="O2532" s="203">
        <f t="shared" si="286"/>
        <v>0</v>
      </c>
      <c r="P2532" s="203">
        <f t="shared" si="288"/>
        <v>0</v>
      </c>
      <c r="Q2532" s="271">
        <f t="shared" si="287"/>
        <v>0</v>
      </c>
      <c r="R2532" s="188"/>
      <c r="S2532" s="280"/>
      <c r="T2532" s="222"/>
      <c r="U2532" s="223" t="s">
        <v>4465</v>
      </c>
    </row>
    <row r="2533" spans="1:21" s="181" customFormat="1" ht="0" hidden="1" customHeight="1" outlineLevel="4">
      <c r="A2533" s="253" t="s">
        <v>4239</v>
      </c>
      <c r="B2533" s="254"/>
      <c r="C2533" s="250" t="s">
        <v>1609</v>
      </c>
      <c r="D2533" s="203">
        <f>'02 项目基础信息（输入）'!$C$75</f>
        <v>0</v>
      </c>
      <c r="E2533" s="204" t="s">
        <v>93</v>
      </c>
      <c r="F2533" s="202" t="s">
        <v>1701</v>
      </c>
      <c r="G2533" s="261">
        <f>IFERROR(I2533/D2533,0)</f>
        <v>0</v>
      </c>
      <c r="H2533" s="204" t="s">
        <v>298</v>
      </c>
      <c r="I2533" s="269"/>
      <c r="J2533" s="204" t="s">
        <v>93</v>
      </c>
      <c r="K2533" s="269"/>
      <c r="L2533" s="210" t="s">
        <v>675</v>
      </c>
      <c r="M2533" s="198">
        <f>ROUND(K2533*I2533/10000,6)</f>
        <v>0</v>
      </c>
      <c r="N2533" s="212">
        <f>'02 项目基础信息（输入）'!$C$75</f>
        <v>0</v>
      </c>
      <c r="O2533" s="203">
        <f t="shared" si="286"/>
        <v>0</v>
      </c>
      <c r="P2533" s="203">
        <f t="shared" si="288"/>
        <v>0</v>
      </c>
      <c r="Q2533" s="271">
        <f t="shared" si="287"/>
        <v>0</v>
      </c>
      <c r="R2533" s="188"/>
      <c r="S2533" s="280"/>
      <c r="T2533" s="222"/>
      <c r="U2533" s="223" t="s">
        <v>4466</v>
      </c>
    </row>
    <row r="2534" spans="1:21" s="181" customFormat="1" ht="0" hidden="1" customHeight="1" outlineLevel="4">
      <c r="A2534" s="253" t="s">
        <v>4241</v>
      </c>
      <c r="B2534" s="254"/>
      <c r="C2534" s="250" t="s">
        <v>1609</v>
      </c>
      <c r="D2534" s="203">
        <f>'02 项目基础信息（输入）'!$C$75</f>
        <v>0</v>
      </c>
      <c r="E2534" s="204" t="s">
        <v>93</v>
      </c>
      <c r="F2534" s="202" t="s">
        <v>1704</v>
      </c>
      <c r="G2534" s="261">
        <f>IFERROR(I2534/D2534,0)</f>
        <v>0</v>
      </c>
      <c r="H2534" s="204" t="s">
        <v>298</v>
      </c>
      <c r="I2534" s="269"/>
      <c r="J2534" s="204" t="s">
        <v>93</v>
      </c>
      <c r="K2534" s="269"/>
      <c r="L2534" s="210" t="s">
        <v>675</v>
      </c>
      <c r="M2534" s="198">
        <f>ROUND(K2534*I2534/10000,6)</f>
        <v>0</v>
      </c>
      <c r="N2534" s="212">
        <f>'02 项目基础信息（输入）'!$C$75</f>
        <v>0</v>
      </c>
      <c r="O2534" s="203">
        <f t="shared" si="286"/>
        <v>0</v>
      </c>
      <c r="P2534" s="203">
        <f t="shared" si="288"/>
        <v>0</v>
      </c>
      <c r="Q2534" s="271">
        <f t="shared" si="287"/>
        <v>0</v>
      </c>
      <c r="R2534" s="188"/>
      <c r="S2534" s="280"/>
      <c r="T2534" s="222"/>
      <c r="U2534" s="223" t="s">
        <v>4467</v>
      </c>
    </row>
    <row r="2535" spans="1:21" s="181" customFormat="1" ht="0" hidden="1" customHeight="1" outlineLevel="4">
      <c r="A2535" s="253" t="s">
        <v>4243</v>
      </c>
      <c r="B2535" s="254"/>
      <c r="C2535" s="250" t="s">
        <v>1609</v>
      </c>
      <c r="D2535" s="203">
        <f>'02 项目基础信息（输入）'!$C$75</f>
        <v>0</v>
      </c>
      <c r="E2535" s="204" t="s">
        <v>93</v>
      </c>
      <c r="F2535" s="202" t="s">
        <v>4244</v>
      </c>
      <c r="G2535" s="261">
        <f>IFERROR(I2535/D2535,0)</f>
        <v>0</v>
      </c>
      <c r="H2535" s="204" t="s">
        <v>1473</v>
      </c>
      <c r="I2535" s="269"/>
      <c r="J2535" s="204" t="s">
        <v>131</v>
      </c>
      <c r="K2535" s="269"/>
      <c r="L2535" s="210" t="s">
        <v>675</v>
      </c>
      <c r="M2535" s="198">
        <f>ROUND(K2535*I2535/10000,6)</f>
        <v>0</v>
      </c>
      <c r="N2535" s="212">
        <f>'02 项目基础信息（输入）'!$C$75</f>
        <v>0</v>
      </c>
      <c r="O2535" s="203">
        <f t="shared" si="286"/>
        <v>0</v>
      </c>
      <c r="P2535" s="203">
        <f t="shared" si="288"/>
        <v>0</v>
      </c>
      <c r="Q2535" s="271">
        <f t="shared" si="287"/>
        <v>0</v>
      </c>
      <c r="R2535" s="188"/>
      <c r="S2535" s="280"/>
      <c r="T2535" s="222"/>
      <c r="U2535" s="223" t="s">
        <v>4468</v>
      </c>
    </row>
    <row r="2536" spans="1:21" ht="0" hidden="1" customHeight="1" outlineLevel="2">
      <c r="A2536" s="201" t="s">
        <v>4252</v>
      </c>
      <c r="B2536" s="249"/>
      <c r="C2536" s="250" t="s">
        <v>1609</v>
      </c>
      <c r="D2536" s="203">
        <f>'02 项目基础信息（输入）'!$C$75</f>
        <v>0</v>
      </c>
      <c r="E2536" s="204" t="s">
        <v>93</v>
      </c>
      <c r="F2536" s="202"/>
      <c r="G2536" s="204"/>
      <c r="H2536" s="204"/>
      <c r="I2536" s="203"/>
      <c r="J2536" s="204"/>
      <c r="K2536" s="264"/>
      <c r="L2536" s="210"/>
      <c r="M2536" s="198">
        <f>ROUND(M2537+M2541+M2542+M2543+M2544+M2545+M2546+M2547+M2548,6)</f>
        <v>0</v>
      </c>
      <c r="N2536" s="212">
        <f>'02 项目基础信息（输入）'!$C$75</f>
        <v>0</v>
      </c>
      <c r="O2536" s="203">
        <f t="shared" si="286"/>
        <v>0</v>
      </c>
      <c r="P2536" s="203">
        <f t="shared" si="288"/>
        <v>0</v>
      </c>
      <c r="Q2536" s="271">
        <f t="shared" si="287"/>
        <v>0</v>
      </c>
      <c r="S2536" s="280" t="s">
        <v>1313</v>
      </c>
      <c r="T2536" s="222"/>
      <c r="U2536" s="223" t="s">
        <v>4469</v>
      </c>
    </row>
    <row r="2537" spans="1:21" s="181" customFormat="1" ht="0" hidden="1" customHeight="1" outlineLevel="4">
      <c r="A2537" s="253" t="s">
        <v>4254</v>
      </c>
      <c r="B2537" s="254"/>
      <c r="C2537" s="250" t="s">
        <v>1609</v>
      </c>
      <c r="D2537" s="203">
        <f>'02 项目基础信息（输入）'!$C$75</f>
        <v>0</v>
      </c>
      <c r="E2537" s="204" t="s">
        <v>93</v>
      </c>
      <c r="F2537" s="256"/>
      <c r="G2537" s="258"/>
      <c r="H2537" s="255"/>
      <c r="I2537" s="268"/>
      <c r="J2537" s="255"/>
      <c r="K2537" s="264"/>
      <c r="L2537" s="205"/>
      <c r="M2537" s="198">
        <f>ROUND(SUM(M2538:M2540),6)</f>
        <v>0</v>
      </c>
      <c r="N2537" s="212">
        <f>'02 项目基础信息（输入）'!$C$75</f>
        <v>0</v>
      </c>
      <c r="O2537" s="203">
        <f t="shared" si="286"/>
        <v>0</v>
      </c>
      <c r="P2537" s="203">
        <f t="shared" si="288"/>
        <v>0</v>
      </c>
      <c r="Q2537" s="271">
        <f t="shared" si="287"/>
        <v>0</v>
      </c>
      <c r="R2537" s="188"/>
      <c r="S2537" s="280"/>
      <c r="T2537" s="222"/>
      <c r="U2537" s="223" t="s">
        <v>4470</v>
      </c>
    </row>
    <row r="2538" spans="1:21" s="181" customFormat="1" ht="0" hidden="1" customHeight="1" outlineLevel="5">
      <c r="A2538" s="253" t="s">
        <v>4471</v>
      </c>
      <c r="B2538" s="254"/>
      <c r="C2538" s="250" t="s">
        <v>4394</v>
      </c>
      <c r="D2538" s="212">
        <f>$D$2489</f>
        <v>0</v>
      </c>
      <c r="E2538" s="204" t="s">
        <v>93</v>
      </c>
      <c r="F2538" s="202" t="s">
        <v>984</v>
      </c>
      <c r="G2538" s="281">
        <f>'03 成本测算（输入）'!D189</f>
        <v>0</v>
      </c>
      <c r="H2538" s="204" t="s">
        <v>966</v>
      </c>
      <c r="I2538" s="265">
        <f>D2538*G2538</f>
        <v>0</v>
      </c>
      <c r="J2538" s="204" t="s">
        <v>1617</v>
      </c>
      <c r="K2538" s="267">
        <f>'03 成本测算（输入）'!D191</f>
        <v>0</v>
      </c>
      <c r="L2538" s="210" t="s">
        <v>664</v>
      </c>
      <c r="M2538" s="198">
        <f t="shared" ref="M2538:M2547" si="289">ROUND(K2538*I2538/10000,6)</f>
        <v>0</v>
      </c>
      <c r="N2538" s="212">
        <f>'02 项目基础信息（输入）'!$C$75</f>
        <v>0</v>
      </c>
      <c r="O2538" s="203">
        <f t="shared" si="286"/>
        <v>0</v>
      </c>
      <c r="P2538" s="203">
        <f t="shared" si="288"/>
        <v>0</v>
      </c>
      <c r="Q2538" s="271">
        <f t="shared" si="287"/>
        <v>0</v>
      </c>
      <c r="R2538" s="188"/>
      <c r="S2538" s="280"/>
      <c r="T2538" s="222"/>
      <c r="U2538" s="223" t="s">
        <v>4472</v>
      </c>
    </row>
    <row r="2539" spans="1:21" s="181" customFormat="1" ht="0" hidden="1" customHeight="1" outlineLevel="5">
      <c r="A2539" s="253" t="s">
        <v>4473</v>
      </c>
      <c r="B2539" s="254"/>
      <c r="C2539" s="250" t="s">
        <v>4397</v>
      </c>
      <c r="D2539" s="212">
        <f>$D$2490</f>
        <v>0</v>
      </c>
      <c r="E2539" s="204" t="s">
        <v>93</v>
      </c>
      <c r="F2539" s="202" t="s">
        <v>984</v>
      </c>
      <c r="G2539" s="281">
        <f>'03 成本测算（输入）'!D190</f>
        <v>0</v>
      </c>
      <c r="H2539" s="204" t="s">
        <v>966</v>
      </c>
      <c r="I2539" s="265">
        <f>D2539*G2539</f>
        <v>0</v>
      </c>
      <c r="J2539" s="204" t="s">
        <v>1617</v>
      </c>
      <c r="K2539" s="267">
        <f>'03 成本测算（输入）'!D191</f>
        <v>0</v>
      </c>
      <c r="L2539" s="210" t="s">
        <v>664</v>
      </c>
      <c r="M2539" s="198">
        <f t="shared" si="289"/>
        <v>0</v>
      </c>
      <c r="N2539" s="212">
        <f>'02 项目基础信息（输入）'!$C$75</f>
        <v>0</v>
      </c>
      <c r="O2539" s="203">
        <f t="shared" si="286"/>
        <v>0</v>
      </c>
      <c r="P2539" s="203">
        <f t="shared" si="288"/>
        <v>0</v>
      </c>
      <c r="Q2539" s="271">
        <f t="shared" si="287"/>
        <v>0</v>
      </c>
      <c r="R2539" s="188"/>
      <c r="S2539" s="280"/>
      <c r="T2539" s="222"/>
      <c r="U2539" s="223" t="s">
        <v>4474</v>
      </c>
    </row>
    <row r="2540" spans="1:21" s="181" customFormat="1" ht="0" hidden="1" customHeight="1" outlineLevel="5">
      <c r="A2540" s="253" t="s">
        <v>4258</v>
      </c>
      <c r="B2540" s="254"/>
      <c r="C2540" s="250" t="s">
        <v>1609</v>
      </c>
      <c r="D2540" s="203">
        <f>'02 项目基础信息（输入）'!$C$75</f>
        <v>0</v>
      </c>
      <c r="E2540" s="204" t="s">
        <v>93</v>
      </c>
      <c r="F2540" s="202" t="s">
        <v>984</v>
      </c>
      <c r="G2540" s="258">
        <f>IFERROR(I2540/D2540,0)</f>
        <v>0</v>
      </c>
      <c r="H2540" s="204" t="s">
        <v>966</v>
      </c>
      <c r="I2540" s="265">
        <f>I2538+I2539</f>
        <v>0</v>
      </c>
      <c r="J2540" s="204" t="s">
        <v>1617</v>
      </c>
      <c r="K2540" s="267">
        <f>'03 成本测算（输入）'!D192</f>
        <v>0</v>
      </c>
      <c r="L2540" s="210" t="s">
        <v>664</v>
      </c>
      <c r="M2540" s="198">
        <f t="shared" si="289"/>
        <v>0</v>
      </c>
      <c r="N2540" s="212">
        <f>'02 项目基础信息（输入）'!$C$75</f>
        <v>0</v>
      </c>
      <c r="O2540" s="203">
        <f t="shared" si="286"/>
        <v>0</v>
      </c>
      <c r="P2540" s="203">
        <f t="shared" si="288"/>
        <v>0</v>
      </c>
      <c r="Q2540" s="271">
        <f t="shared" si="287"/>
        <v>0</v>
      </c>
      <c r="R2540" s="188"/>
      <c r="S2540" s="280"/>
      <c r="T2540" s="222"/>
      <c r="U2540" s="223" t="s">
        <v>4475</v>
      </c>
    </row>
    <row r="2541" spans="1:21" s="181" customFormat="1" ht="0" hidden="1" customHeight="1" outlineLevel="4">
      <c r="A2541" s="253" t="s">
        <v>4260</v>
      </c>
      <c r="B2541" s="254"/>
      <c r="C2541" s="250" t="s">
        <v>1609</v>
      </c>
      <c r="D2541" s="203">
        <f>'02 项目基础信息（输入）'!$C$75</f>
        <v>0</v>
      </c>
      <c r="E2541" s="204" t="s">
        <v>93</v>
      </c>
      <c r="F2541" s="202" t="s">
        <v>984</v>
      </c>
      <c r="G2541" s="258">
        <f>G2540</f>
        <v>0</v>
      </c>
      <c r="H2541" s="204" t="s">
        <v>966</v>
      </c>
      <c r="I2541" s="265">
        <f t="shared" ref="I2541:I2547" si="290">D2541*G2541</f>
        <v>0</v>
      </c>
      <c r="J2541" s="204" t="s">
        <v>1617</v>
      </c>
      <c r="K2541" s="269"/>
      <c r="L2541" s="210" t="s">
        <v>664</v>
      </c>
      <c r="M2541" s="198">
        <f t="shared" si="289"/>
        <v>0</v>
      </c>
      <c r="N2541" s="212">
        <f>'02 项目基础信息（输入）'!$C$75</f>
        <v>0</v>
      </c>
      <c r="O2541" s="203">
        <f t="shared" si="286"/>
        <v>0</v>
      </c>
      <c r="P2541" s="203">
        <f t="shared" si="288"/>
        <v>0</v>
      </c>
      <c r="Q2541" s="271">
        <f t="shared" si="287"/>
        <v>0</v>
      </c>
      <c r="R2541" s="188"/>
      <c r="S2541" s="280"/>
      <c r="T2541" s="222"/>
      <c r="U2541" s="223" t="s">
        <v>4476</v>
      </c>
    </row>
    <row r="2542" spans="1:21" s="181" customFormat="1" ht="0" hidden="1" customHeight="1" outlineLevel="3">
      <c r="A2542" s="253" t="s">
        <v>4477</v>
      </c>
      <c r="B2542" s="254"/>
      <c r="C2542" s="250" t="s">
        <v>4397</v>
      </c>
      <c r="D2542" s="212">
        <f>$D$2490</f>
        <v>0</v>
      </c>
      <c r="E2542" s="204" t="s">
        <v>93</v>
      </c>
      <c r="F2542" s="202" t="s">
        <v>4478</v>
      </c>
      <c r="G2542" s="263"/>
      <c r="H2542" s="204" t="s">
        <v>298</v>
      </c>
      <c r="I2542" s="265">
        <f t="shared" si="290"/>
        <v>0</v>
      </c>
      <c r="J2542" s="204" t="s">
        <v>93</v>
      </c>
      <c r="K2542" s="269"/>
      <c r="L2542" s="210" t="s">
        <v>675</v>
      </c>
      <c r="M2542" s="198">
        <f t="shared" si="289"/>
        <v>0</v>
      </c>
      <c r="N2542" s="212">
        <f>'02 项目基础信息（输入）'!$C$75</f>
        <v>0</v>
      </c>
      <c r="O2542" s="203">
        <f t="shared" si="286"/>
        <v>0</v>
      </c>
      <c r="P2542" s="203">
        <f t="shared" si="288"/>
        <v>0</v>
      </c>
      <c r="Q2542" s="271">
        <f t="shared" si="287"/>
        <v>0</v>
      </c>
      <c r="R2542" s="188"/>
      <c r="S2542" s="280"/>
      <c r="T2542" s="222"/>
      <c r="U2542" s="223" t="s">
        <v>4479</v>
      </c>
    </row>
    <row r="2543" spans="1:21" s="181" customFormat="1" ht="0" hidden="1" customHeight="1" outlineLevel="3">
      <c r="A2543" s="253" t="s">
        <v>4480</v>
      </c>
      <c r="B2543" s="254"/>
      <c r="C2543" s="250" t="s">
        <v>4397</v>
      </c>
      <c r="D2543" s="212">
        <f>$D$2490</f>
        <v>0</v>
      </c>
      <c r="E2543" s="204" t="s">
        <v>93</v>
      </c>
      <c r="F2543" s="202" t="s">
        <v>984</v>
      </c>
      <c r="G2543" s="263"/>
      <c r="H2543" s="204" t="s">
        <v>966</v>
      </c>
      <c r="I2543" s="265">
        <f t="shared" si="290"/>
        <v>0</v>
      </c>
      <c r="J2543" s="204" t="s">
        <v>1617</v>
      </c>
      <c r="K2543" s="269"/>
      <c r="L2543" s="210" t="s">
        <v>664</v>
      </c>
      <c r="M2543" s="198">
        <f t="shared" si="289"/>
        <v>0</v>
      </c>
      <c r="N2543" s="212">
        <f>'02 项目基础信息（输入）'!$C$75</f>
        <v>0</v>
      </c>
      <c r="O2543" s="203">
        <f t="shared" si="286"/>
        <v>0</v>
      </c>
      <c r="P2543" s="203">
        <f t="shared" si="288"/>
        <v>0</v>
      </c>
      <c r="Q2543" s="271">
        <f t="shared" si="287"/>
        <v>0</v>
      </c>
      <c r="R2543" s="188"/>
      <c r="S2543" s="280"/>
      <c r="T2543" s="222"/>
      <c r="U2543" s="223" t="s">
        <v>4481</v>
      </c>
    </row>
    <row r="2544" spans="1:21" s="181" customFormat="1" ht="0" hidden="1" customHeight="1" outlineLevel="3">
      <c r="A2544" s="253" t="s">
        <v>4482</v>
      </c>
      <c r="B2544" s="254"/>
      <c r="C2544" s="250" t="s">
        <v>4397</v>
      </c>
      <c r="D2544" s="212">
        <f>$D$2490</f>
        <v>0</v>
      </c>
      <c r="E2544" s="204" t="s">
        <v>93</v>
      </c>
      <c r="F2544" s="202" t="s">
        <v>984</v>
      </c>
      <c r="G2544" s="263"/>
      <c r="H2544" s="204" t="s">
        <v>966</v>
      </c>
      <c r="I2544" s="265">
        <f t="shared" si="290"/>
        <v>0</v>
      </c>
      <c r="J2544" s="204" t="s">
        <v>1617</v>
      </c>
      <c r="K2544" s="269"/>
      <c r="L2544" s="210" t="s">
        <v>664</v>
      </c>
      <c r="M2544" s="198">
        <f t="shared" si="289"/>
        <v>0</v>
      </c>
      <c r="N2544" s="212">
        <f>'02 项目基础信息（输入）'!$C$75</f>
        <v>0</v>
      </c>
      <c r="O2544" s="203">
        <f t="shared" si="286"/>
        <v>0</v>
      </c>
      <c r="P2544" s="203">
        <f t="shared" si="288"/>
        <v>0</v>
      </c>
      <c r="Q2544" s="271">
        <f t="shared" si="287"/>
        <v>0</v>
      </c>
      <c r="R2544" s="188"/>
      <c r="S2544" s="280"/>
      <c r="T2544" s="222"/>
      <c r="U2544" s="223" t="s">
        <v>4483</v>
      </c>
    </row>
    <row r="2545" spans="1:21" s="181" customFormat="1" ht="0" hidden="1" customHeight="1" outlineLevel="3">
      <c r="A2545" s="253" t="s">
        <v>4484</v>
      </c>
      <c r="B2545" s="254"/>
      <c r="C2545" s="250" t="s">
        <v>4397</v>
      </c>
      <c r="D2545" s="212">
        <f>$D$2490</f>
        <v>0</v>
      </c>
      <c r="E2545" s="204" t="s">
        <v>93</v>
      </c>
      <c r="F2545" s="282" t="s">
        <v>1609</v>
      </c>
      <c r="G2545" s="283">
        <v>1</v>
      </c>
      <c r="H2545" s="204" t="s">
        <v>298</v>
      </c>
      <c r="I2545" s="265">
        <f t="shared" si="290"/>
        <v>0</v>
      </c>
      <c r="J2545" s="204" t="s">
        <v>93</v>
      </c>
      <c r="K2545" s="269"/>
      <c r="L2545" s="210" t="s">
        <v>675</v>
      </c>
      <c r="M2545" s="198">
        <f t="shared" si="289"/>
        <v>0</v>
      </c>
      <c r="N2545" s="212">
        <f>'02 项目基础信息（输入）'!$C$75</f>
        <v>0</v>
      </c>
      <c r="O2545" s="203">
        <f t="shared" si="286"/>
        <v>0</v>
      </c>
      <c r="P2545" s="203">
        <f t="shared" si="288"/>
        <v>0</v>
      </c>
      <c r="Q2545" s="271">
        <f t="shared" si="287"/>
        <v>0</v>
      </c>
      <c r="R2545" s="188"/>
      <c r="S2545" s="280"/>
      <c r="T2545" s="222"/>
      <c r="U2545" s="223" t="s">
        <v>4485</v>
      </c>
    </row>
    <row r="2546" spans="1:21" s="181" customFormat="1" ht="0" hidden="1" customHeight="1" outlineLevel="3">
      <c r="A2546" s="253" t="s">
        <v>4262</v>
      </c>
      <c r="B2546" s="254"/>
      <c r="C2546" s="250" t="s">
        <v>1609</v>
      </c>
      <c r="D2546" s="203">
        <f>'02 项目基础信息（输入）'!$C$75</f>
        <v>0</v>
      </c>
      <c r="E2546" s="204" t="s">
        <v>93</v>
      </c>
      <c r="F2546" s="202" t="s">
        <v>984</v>
      </c>
      <c r="G2546" s="284"/>
      <c r="H2546" s="204" t="s">
        <v>966</v>
      </c>
      <c r="I2546" s="265">
        <f t="shared" si="290"/>
        <v>0</v>
      </c>
      <c r="J2546" s="204" t="s">
        <v>1617</v>
      </c>
      <c r="K2546" s="269"/>
      <c r="L2546" s="210" t="s">
        <v>664</v>
      </c>
      <c r="M2546" s="198">
        <f t="shared" si="289"/>
        <v>0</v>
      </c>
      <c r="N2546" s="212">
        <f>'02 项目基础信息（输入）'!$C$75</f>
        <v>0</v>
      </c>
      <c r="O2546" s="203">
        <f t="shared" si="286"/>
        <v>0</v>
      </c>
      <c r="P2546" s="203">
        <f t="shared" si="288"/>
        <v>0</v>
      </c>
      <c r="Q2546" s="271">
        <f t="shared" si="287"/>
        <v>0</v>
      </c>
      <c r="R2546" s="188"/>
      <c r="S2546" s="280"/>
      <c r="T2546" s="222"/>
      <c r="U2546" s="223" t="s">
        <v>4486</v>
      </c>
    </row>
    <row r="2547" spans="1:21" s="181" customFormat="1" ht="0" hidden="1" customHeight="1" outlineLevel="3">
      <c r="A2547" s="253" t="s">
        <v>4264</v>
      </c>
      <c r="B2547" s="254"/>
      <c r="C2547" s="250" t="s">
        <v>1609</v>
      </c>
      <c r="D2547" s="203">
        <f>'02 项目基础信息（输入）'!$C$75</f>
        <v>0</v>
      </c>
      <c r="E2547" s="204" t="s">
        <v>93</v>
      </c>
      <c r="F2547" s="202" t="s">
        <v>984</v>
      </c>
      <c r="G2547" s="258">
        <f>G2539+G2542+G2543+G2544+G2546</f>
        <v>0</v>
      </c>
      <c r="H2547" s="204" t="s">
        <v>966</v>
      </c>
      <c r="I2547" s="265">
        <f t="shared" si="290"/>
        <v>0</v>
      </c>
      <c r="J2547" s="204" t="s">
        <v>1617</v>
      </c>
      <c r="K2547" s="269"/>
      <c r="L2547" s="210" t="s">
        <v>664</v>
      </c>
      <c r="M2547" s="198">
        <f t="shared" si="289"/>
        <v>0</v>
      </c>
      <c r="N2547" s="212">
        <f>'02 项目基础信息（输入）'!$C$75</f>
        <v>0</v>
      </c>
      <c r="O2547" s="203">
        <f t="shared" si="286"/>
        <v>0</v>
      </c>
      <c r="P2547" s="203">
        <f t="shared" si="288"/>
        <v>0</v>
      </c>
      <c r="Q2547" s="271">
        <f t="shared" si="287"/>
        <v>0</v>
      </c>
      <c r="R2547" s="188"/>
      <c r="S2547" s="280"/>
      <c r="T2547" s="222"/>
      <c r="U2547" s="223" t="s">
        <v>4487</v>
      </c>
    </row>
    <row r="2548" spans="1:21" s="181" customFormat="1" ht="0" hidden="1" customHeight="1" outlineLevel="3">
      <c r="A2548" s="253" t="s">
        <v>4266</v>
      </c>
      <c r="B2548" s="254"/>
      <c r="C2548" s="250" t="s">
        <v>1665</v>
      </c>
      <c r="D2548" s="203">
        <f>ROUND(M2537+M2541+M2542+M2543+M2544+M2545+M2546,6)*10000</f>
        <v>0</v>
      </c>
      <c r="E2548" s="204" t="s">
        <v>1666</v>
      </c>
      <c r="F2548" s="202" t="s">
        <v>1667</v>
      </c>
      <c r="G2548" s="258">
        <f>IFERROR(I2548*100/D2548,0)</f>
        <v>0</v>
      </c>
      <c r="H2548" s="204" t="s">
        <v>123</v>
      </c>
      <c r="I2548" s="265">
        <f>N2548*K2548</f>
        <v>0</v>
      </c>
      <c r="J2548" s="204" t="s">
        <v>1666</v>
      </c>
      <c r="K2548" s="269"/>
      <c r="L2548" s="210" t="s">
        <v>675</v>
      </c>
      <c r="M2548" s="231">
        <f>ROUND(I2548/10000,6)</f>
        <v>0</v>
      </c>
      <c r="N2548" s="212">
        <f>'02 项目基础信息（输入）'!$C$75</f>
        <v>0</v>
      </c>
      <c r="O2548" s="203">
        <f t="shared" si="286"/>
        <v>0</v>
      </c>
      <c r="P2548" s="203">
        <f t="shared" si="288"/>
        <v>0</v>
      </c>
      <c r="Q2548" s="271">
        <f t="shared" si="287"/>
        <v>0</v>
      </c>
      <c r="R2548" s="188"/>
      <c r="S2548" s="280"/>
      <c r="T2548" s="222"/>
      <c r="U2548" s="223" t="s">
        <v>4488</v>
      </c>
    </row>
    <row r="2549" spans="1:21" ht="0" hidden="1" customHeight="1" outlineLevel="2">
      <c r="A2549" s="201" t="s">
        <v>4489</v>
      </c>
      <c r="B2549" s="249"/>
      <c r="C2549" s="250" t="s">
        <v>1609</v>
      </c>
      <c r="D2549" s="203">
        <f>'02 项目基础信息（输入）'!$C$75</f>
        <v>0</v>
      </c>
      <c r="E2549" s="204" t="s">
        <v>93</v>
      </c>
      <c r="F2549" s="202"/>
      <c r="G2549" s="255"/>
      <c r="H2549" s="204"/>
      <c r="I2549" s="203"/>
      <c r="J2549" s="204"/>
      <c r="K2549" s="264"/>
      <c r="L2549" s="210"/>
      <c r="M2549" s="198">
        <f>ROUND(M2550+M2565+M2568,6)</f>
        <v>0</v>
      </c>
      <c r="N2549" s="212">
        <f>'02 项目基础信息（输入）'!$C$75</f>
        <v>0</v>
      </c>
      <c r="O2549" s="203">
        <f t="shared" si="286"/>
        <v>0</v>
      </c>
      <c r="P2549" s="203">
        <f t="shared" si="288"/>
        <v>0</v>
      </c>
      <c r="Q2549" s="271">
        <f t="shared" si="287"/>
        <v>0</v>
      </c>
      <c r="S2549" s="280" t="s">
        <v>1314</v>
      </c>
      <c r="T2549" s="222"/>
      <c r="U2549" s="223" t="s">
        <v>4490</v>
      </c>
    </row>
    <row r="2550" spans="1:21" s="181" customFormat="1" ht="0" hidden="1" customHeight="1" outlineLevel="3">
      <c r="A2550" s="253" t="s">
        <v>4491</v>
      </c>
      <c r="B2550" s="254"/>
      <c r="C2550" s="250" t="s">
        <v>1609</v>
      </c>
      <c r="D2550" s="203">
        <f>'02 项目基础信息（输入）'!$C$75</f>
        <v>0</v>
      </c>
      <c r="E2550" s="204" t="s">
        <v>93</v>
      </c>
      <c r="F2550" s="202"/>
      <c r="G2550" s="204"/>
      <c r="H2550" s="204"/>
      <c r="I2550" s="265"/>
      <c r="J2550" s="204"/>
      <c r="K2550" s="203"/>
      <c r="L2550" s="210"/>
      <c r="M2550" s="198">
        <f>ROUND(M2551+M2554+M2555+M2556+M2557+M2560+M2561+M2562+M2563+M2564,6)</f>
        <v>0</v>
      </c>
      <c r="N2550" s="212">
        <f>'02 项目基础信息（输入）'!$C$75</f>
        <v>0</v>
      </c>
      <c r="O2550" s="203">
        <f t="shared" si="286"/>
        <v>0</v>
      </c>
      <c r="P2550" s="203">
        <f t="shared" si="288"/>
        <v>0</v>
      </c>
      <c r="Q2550" s="271">
        <f t="shared" si="287"/>
        <v>0</v>
      </c>
      <c r="R2550" s="188"/>
      <c r="S2550" s="280"/>
      <c r="T2550" s="222"/>
      <c r="U2550" s="223" t="s">
        <v>4492</v>
      </c>
    </row>
    <row r="2551" spans="1:21" s="181" customFormat="1" ht="0" hidden="1" customHeight="1" outlineLevel="4">
      <c r="A2551" s="253" t="s">
        <v>4493</v>
      </c>
      <c r="B2551" s="254"/>
      <c r="C2551" s="250" t="s">
        <v>1609</v>
      </c>
      <c r="D2551" s="203">
        <f>'02 项目基础信息（输入）'!$C$75</f>
        <v>0</v>
      </c>
      <c r="E2551" s="204" t="s">
        <v>93</v>
      </c>
      <c r="F2551" s="202"/>
      <c r="G2551" s="221"/>
      <c r="H2551" s="204"/>
      <c r="I2551" s="265"/>
      <c r="J2551" s="204"/>
      <c r="K2551" s="266"/>
      <c r="L2551" s="210"/>
      <c r="M2551" s="198">
        <f>ROUND(SUM(M2552:M2553),6)</f>
        <v>0</v>
      </c>
      <c r="N2551" s="212">
        <f>'02 项目基础信息（输入）'!$C$75</f>
        <v>0</v>
      </c>
      <c r="O2551" s="203">
        <f t="shared" si="286"/>
        <v>0</v>
      </c>
      <c r="P2551" s="203">
        <f t="shared" si="288"/>
        <v>0</v>
      </c>
      <c r="Q2551" s="271">
        <f t="shared" si="287"/>
        <v>0</v>
      </c>
      <c r="R2551" s="188"/>
      <c r="S2551" s="280"/>
      <c r="T2551" s="222"/>
      <c r="U2551" s="223" t="s">
        <v>4494</v>
      </c>
    </row>
    <row r="2552" spans="1:21" s="181" customFormat="1" ht="0" hidden="1" customHeight="1" outlineLevel="5">
      <c r="A2552" s="253" t="s">
        <v>4495</v>
      </c>
      <c r="B2552" s="254"/>
      <c r="C2552" s="250" t="s">
        <v>4397</v>
      </c>
      <c r="D2552" s="212">
        <f>$D$2490</f>
        <v>0</v>
      </c>
      <c r="E2552" s="204" t="s">
        <v>93</v>
      </c>
      <c r="F2552" s="202" t="s">
        <v>4496</v>
      </c>
      <c r="G2552" s="281">
        <f>'03 成本测算（输入）'!D196</f>
        <v>0</v>
      </c>
      <c r="H2552" s="204" t="s">
        <v>298</v>
      </c>
      <c r="I2552" s="265">
        <f>D2552*G2552</f>
        <v>0</v>
      </c>
      <c r="J2552" s="204" t="s">
        <v>93</v>
      </c>
      <c r="K2552" s="267">
        <f>'03 成本测算（输入）'!D197</f>
        <v>0</v>
      </c>
      <c r="L2552" s="210" t="s">
        <v>675</v>
      </c>
      <c r="M2552" s="198">
        <f>ROUND(K2552*I2552/10000,6)</f>
        <v>0</v>
      </c>
      <c r="N2552" s="212">
        <f>'02 项目基础信息（输入）'!$C$75</f>
        <v>0</v>
      </c>
      <c r="O2552" s="203">
        <f t="shared" si="286"/>
        <v>0</v>
      </c>
      <c r="P2552" s="203">
        <f t="shared" si="288"/>
        <v>0</v>
      </c>
      <c r="Q2552" s="271">
        <f t="shared" si="287"/>
        <v>0</v>
      </c>
      <c r="R2552" s="188"/>
      <c r="S2552" s="280"/>
      <c r="T2552" s="222"/>
      <c r="U2552" s="223" t="s">
        <v>4497</v>
      </c>
    </row>
    <row r="2553" spans="1:21" s="181" customFormat="1" ht="0" hidden="1" customHeight="1" outlineLevel="5">
      <c r="A2553" s="253" t="s">
        <v>4498</v>
      </c>
      <c r="B2553" s="254"/>
      <c r="C2553" s="250" t="s">
        <v>4397</v>
      </c>
      <c r="D2553" s="212">
        <f>$D$2490</f>
        <v>0</v>
      </c>
      <c r="E2553" s="204" t="s">
        <v>93</v>
      </c>
      <c r="F2553" s="202" t="s">
        <v>4496</v>
      </c>
      <c r="G2553" s="221">
        <f>G2552</f>
        <v>0</v>
      </c>
      <c r="H2553" s="204" t="s">
        <v>298</v>
      </c>
      <c r="I2553" s="265">
        <f>D2553*G2553</f>
        <v>0</v>
      </c>
      <c r="J2553" s="204" t="s">
        <v>93</v>
      </c>
      <c r="K2553" s="267">
        <f>'03 成本测算（输入）'!D198</f>
        <v>0</v>
      </c>
      <c r="L2553" s="210" t="s">
        <v>675</v>
      </c>
      <c r="M2553" s="198">
        <f>ROUND(K2553*I2553/10000,6)</f>
        <v>0</v>
      </c>
      <c r="N2553" s="212">
        <f>'02 项目基础信息（输入）'!$C$75</f>
        <v>0</v>
      </c>
      <c r="O2553" s="203">
        <f t="shared" si="286"/>
        <v>0</v>
      </c>
      <c r="P2553" s="203">
        <f t="shared" si="288"/>
        <v>0</v>
      </c>
      <c r="Q2553" s="271">
        <f t="shared" si="287"/>
        <v>0</v>
      </c>
      <c r="R2553" s="188"/>
      <c r="S2553" s="280"/>
      <c r="T2553" s="222"/>
      <c r="U2553" s="223" t="s">
        <v>4499</v>
      </c>
    </row>
    <row r="2554" spans="1:21" s="181" customFormat="1" ht="0" hidden="1" customHeight="1" outlineLevel="4">
      <c r="A2554" s="253" t="s">
        <v>4500</v>
      </c>
      <c r="B2554" s="254"/>
      <c r="C2554" s="250" t="s">
        <v>4397</v>
      </c>
      <c r="D2554" s="212">
        <f>$D$2490</f>
        <v>0</v>
      </c>
      <c r="E2554" s="204" t="s">
        <v>93</v>
      </c>
      <c r="F2554" s="202" t="s">
        <v>4501</v>
      </c>
      <c r="G2554" s="281">
        <f>'03 成本测算（输入）'!D194</f>
        <v>0</v>
      </c>
      <c r="H2554" s="204" t="s">
        <v>298</v>
      </c>
      <c r="I2554" s="265">
        <f>D2554*G2554</f>
        <v>0</v>
      </c>
      <c r="J2554" s="204" t="s">
        <v>93</v>
      </c>
      <c r="K2554" s="267">
        <f>'03 成本测算（输入）'!D195</f>
        <v>0</v>
      </c>
      <c r="L2554" s="210" t="s">
        <v>675</v>
      </c>
      <c r="M2554" s="198">
        <f>ROUND(K2554*I2554/10000,6)</f>
        <v>0</v>
      </c>
      <c r="N2554" s="212">
        <f>'02 项目基础信息（输入）'!$C$75</f>
        <v>0</v>
      </c>
      <c r="O2554" s="203">
        <f t="shared" si="286"/>
        <v>0</v>
      </c>
      <c r="P2554" s="203">
        <f t="shared" si="288"/>
        <v>0</v>
      </c>
      <c r="Q2554" s="271">
        <f t="shared" si="287"/>
        <v>0</v>
      </c>
      <c r="R2554" s="188"/>
      <c r="S2554" s="280"/>
      <c r="T2554" s="222"/>
      <c r="U2554" s="223" t="s">
        <v>4502</v>
      </c>
    </row>
    <row r="2555" spans="1:21" s="181" customFormat="1" ht="0" hidden="1" customHeight="1" outlineLevel="4">
      <c r="A2555" s="253" t="s">
        <v>4503</v>
      </c>
      <c r="B2555" s="254"/>
      <c r="C2555" s="250" t="s">
        <v>4397</v>
      </c>
      <c r="D2555" s="212">
        <f>$D$2490</f>
        <v>0</v>
      </c>
      <c r="E2555" s="204" t="s">
        <v>93</v>
      </c>
      <c r="F2555" s="202" t="s">
        <v>4504</v>
      </c>
      <c r="G2555" s="281">
        <f>'03 成本测算（输入）'!D199</f>
        <v>0</v>
      </c>
      <c r="H2555" s="204" t="s">
        <v>298</v>
      </c>
      <c r="I2555" s="265">
        <f>D2555*G2555</f>
        <v>0</v>
      </c>
      <c r="J2555" s="204" t="s">
        <v>93</v>
      </c>
      <c r="K2555" s="267">
        <f>'03 成本测算（输入）'!D200</f>
        <v>0</v>
      </c>
      <c r="L2555" s="210" t="s">
        <v>675</v>
      </c>
      <c r="M2555" s="198">
        <f>ROUND(K2555*I2555/10000,6)</f>
        <v>0</v>
      </c>
      <c r="N2555" s="212">
        <f>'02 项目基础信息（输入）'!$C$75</f>
        <v>0</v>
      </c>
      <c r="O2555" s="203">
        <f t="shared" si="286"/>
        <v>0</v>
      </c>
      <c r="P2555" s="203">
        <f t="shared" si="288"/>
        <v>0</v>
      </c>
      <c r="Q2555" s="271">
        <f t="shared" si="287"/>
        <v>0</v>
      </c>
      <c r="R2555" s="188"/>
      <c r="S2555" s="280"/>
      <c r="T2555" s="222"/>
      <c r="U2555" s="223" t="s">
        <v>4505</v>
      </c>
    </row>
    <row r="2556" spans="1:21" s="181" customFormat="1" ht="0" hidden="1" customHeight="1" outlineLevel="4">
      <c r="A2556" s="253" t="s">
        <v>4506</v>
      </c>
      <c r="B2556" s="254"/>
      <c r="C2556" s="250" t="s">
        <v>4397</v>
      </c>
      <c r="D2556" s="212">
        <f>$D$2490</f>
        <v>0</v>
      </c>
      <c r="E2556" s="204" t="s">
        <v>93</v>
      </c>
      <c r="F2556" s="202" t="s">
        <v>475</v>
      </c>
      <c r="G2556" s="281">
        <f>IFERROR('02 项目基础信息（输入）'!BZ75/'02 项目基础信息（输入）'!D75,0)</f>
        <v>0</v>
      </c>
      <c r="H2556" s="204" t="s">
        <v>298</v>
      </c>
      <c r="I2556" s="265">
        <f>D2556*G2556</f>
        <v>0</v>
      </c>
      <c r="J2556" s="204" t="s">
        <v>93</v>
      </c>
      <c r="K2556" s="269"/>
      <c r="L2556" s="210" t="s">
        <v>675</v>
      </c>
      <c r="M2556" s="198">
        <f>ROUND(K2556*I2556/10000,6)</f>
        <v>0</v>
      </c>
      <c r="N2556" s="212">
        <f>'02 项目基础信息（输入）'!$C$75</f>
        <v>0</v>
      </c>
      <c r="O2556" s="203">
        <f t="shared" si="286"/>
        <v>0</v>
      </c>
      <c r="P2556" s="203">
        <f t="shared" si="288"/>
        <v>0</v>
      </c>
      <c r="Q2556" s="271">
        <f t="shared" si="287"/>
        <v>0</v>
      </c>
      <c r="R2556" s="188"/>
      <c r="S2556" s="280"/>
      <c r="T2556" s="222"/>
      <c r="U2556" s="223" t="s">
        <v>4507</v>
      </c>
    </row>
    <row r="2557" spans="1:21" s="181" customFormat="1" ht="0" hidden="1" customHeight="1" outlineLevel="4">
      <c r="A2557" s="253" t="s">
        <v>4508</v>
      </c>
      <c r="B2557" s="254"/>
      <c r="C2557" s="250" t="s">
        <v>1609</v>
      </c>
      <c r="D2557" s="203">
        <f>'02 项目基础信息（输入）'!$C$75</f>
        <v>0</v>
      </c>
      <c r="E2557" s="204" t="s">
        <v>93</v>
      </c>
      <c r="F2557" s="202"/>
      <c r="G2557" s="210"/>
      <c r="H2557" s="204"/>
      <c r="I2557" s="265"/>
      <c r="J2557" s="204"/>
      <c r="K2557" s="266"/>
      <c r="L2557" s="210"/>
      <c r="M2557" s="198">
        <f>ROUND(SUM(M2558:M2559),6)</f>
        <v>0</v>
      </c>
      <c r="N2557" s="212">
        <f>'02 项目基础信息（输入）'!$C$75</f>
        <v>0</v>
      </c>
      <c r="O2557" s="203">
        <f t="shared" si="286"/>
        <v>0</v>
      </c>
      <c r="P2557" s="203">
        <f t="shared" si="288"/>
        <v>0</v>
      </c>
      <c r="Q2557" s="271">
        <f t="shared" si="287"/>
        <v>0</v>
      </c>
      <c r="R2557" s="188"/>
      <c r="S2557" s="280"/>
      <c r="T2557" s="222"/>
      <c r="U2557" s="223" t="s">
        <v>4509</v>
      </c>
    </row>
    <row r="2558" spans="1:21" s="181" customFormat="1" ht="0" hidden="1" customHeight="1" outlineLevel="5">
      <c r="A2558" s="253" t="s">
        <v>4510</v>
      </c>
      <c r="B2558" s="254"/>
      <c r="C2558" s="250" t="s">
        <v>4397</v>
      </c>
      <c r="D2558" s="212">
        <f t="shared" ref="D2558:D2563" si="291">$D$2490</f>
        <v>0</v>
      </c>
      <c r="E2558" s="204" t="s">
        <v>93</v>
      </c>
      <c r="F2558" s="202" t="s">
        <v>4511</v>
      </c>
      <c r="G2558" s="281">
        <f>'03 成本测算（输入）'!D201</f>
        <v>0</v>
      </c>
      <c r="H2558" s="204" t="s">
        <v>298</v>
      </c>
      <c r="I2558" s="265">
        <f>D2558*G2558</f>
        <v>0</v>
      </c>
      <c r="J2558" s="204" t="s">
        <v>93</v>
      </c>
      <c r="K2558" s="267">
        <f>'03 成本测算（输入）'!D202</f>
        <v>0</v>
      </c>
      <c r="L2558" s="210" t="s">
        <v>675</v>
      </c>
      <c r="M2558" s="198">
        <f t="shared" ref="M2558:M2563" si="292">ROUND(K2558*I2558/10000,6)</f>
        <v>0</v>
      </c>
      <c r="N2558" s="212">
        <f>'02 项目基础信息（输入）'!$C$75</f>
        <v>0</v>
      </c>
      <c r="O2558" s="203">
        <f t="shared" si="286"/>
        <v>0</v>
      </c>
      <c r="P2558" s="203">
        <f t="shared" si="288"/>
        <v>0</v>
      </c>
      <c r="Q2558" s="271">
        <f t="shared" si="287"/>
        <v>0</v>
      </c>
      <c r="R2558" s="188"/>
      <c r="S2558" s="280"/>
      <c r="T2558" s="222"/>
      <c r="U2558" s="223" t="s">
        <v>4512</v>
      </c>
    </row>
    <row r="2559" spans="1:21" s="181" customFormat="1" ht="0" hidden="1" customHeight="1" outlineLevel="5">
      <c r="A2559" s="253" t="s">
        <v>4513</v>
      </c>
      <c r="B2559" s="254"/>
      <c r="C2559" s="250" t="s">
        <v>4397</v>
      </c>
      <c r="D2559" s="212">
        <f t="shared" si="291"/>
        <v>0</v>
      </c>
      <c r="E2559" s="204" t="s">
        <v>93</v>
      </c>
      <c r="F2559" s="202" t="s">
        <v>4511</v>
      </c>
      <c r="G2559" s="221">
        <f>G2558</f>
        <v>0</v>
      </c>
      <c r="H2559" s="204" t="s">
        <v>298</v>
      </c>
      <c r="I2559" s="265">
        <f>D2559*G2559</f>
        <v>0</v>
      </c>
      <c r="J2559" s="204" t="s">
        <v>93</v>
      </c>
      <c r="K2559" s="269"/>
      <c r="L2559" s="210" t="s">
        <v>675</v>
      </c>
      <c r="M2559" s="198">
        <f t="shared" si="292"/>
        <v>0</v>
      </c>
      <c r="N2559" s="212">
        <f>'02 项目基础信息（输入）'!$C$75</f>
        <v>0</v>
      </c>
      <c r="O2559" s="203">
        <f t="shared" si="286"/>
        <v>0</v>
      </c>
      <c r="P2559" s="203">
        <f t="shared" si="288"/>
        <v>0</v>
      </c>
      <c r="Q2559" s="271">
        <f t="shared" si="287"/>
        <v>0</v>
      </c>
      <c r="R2559" s="188"/>
      <c r="S2559" s="280"/>
      <c r="T2559" s="222"/>
      <c r="U2559" s="223" t="s">
        <v>4514</v>
      </c>
    </row>
    <row r="2560" spans="1:21" s="181" customFormat="1" ht="0" hidden="1" customHeight="1" outlineLevel="4">
      <c r="A2560" s="253" t="s">
        <v>4515</v>
      </c>
      <c r="B2560" s="254"/>
      <c r="C2560" s="250" t="s">
        <v>4397</v>
      </c>
      <c r="D2560" s="212">
        <f t="shared" si="291"/>
        <v>0</v>
      </c>
      <c r="E2560" s="204" t="s">
        <v>93</v>
      </c>
      <c r="F2560" s="202" t="s">
        <v>4516</v>
      </c>
      <c r="G2560" s="261">
        <f>IFERROR(I2560/D2560,0)</f>
        <v>0</v>
      </c>
      <c r="H2560" s="204" t="s">
        <v>298</v>
      </c>
      <c r="I2560" s="270"/>
      <c r="J2560" s="204" t="s">
        <v>93</v>
      </c>
      <c r="K2560" s="269"/>
      <c r="L2560" s="210" t="s">
        <v>675</v>
      </c>
      <c r="M2560" s="198">
        <f t="shared" si="292"/>
        <v>0</v>
      </c>
      <c r="N2560" s="212">
        <f>'02 项目基础信息（输入）'!$C$75</f>
        <v>0</v>
      </c>
      <c r="O2560" s="203">
        <f t="shared" si="286"/>
        <v>0</v>
      </c>
      <c r="P2560" s="203">
        <f t="shared" si="288"/>
        <v>0</v>
      </c>
      <c r="Q2560" s="271">
        <f t="shared" si="287"/>
        <v>0</v>
      </c>
      <c r="R2560" s="188"/>
      <c r="S2560" s="280"/>
      <c r="T2560" s="222"/>
      <c r="U2560" s="223" t="s">
        <v>4517</v>
      </c>
    </row>
    <row r="2561" spans="1:21" s="181" customFormat="1" ht="0" hidden="1" customHeight="1" outlineLevel="4">
      <c r="A2561" s="253" t="s">
        <v>4518</v>
      </c>
      <c r="B2561" s="254"/>
      <c r="C2561" s="250" t="s">
        <v>4397</v>
      </c>
      <c r="D2561" s="212">
        <f t="shared" si="291"/>
        <v>0</v>
      </c>
      <c r="E2561" s="204" t="s">
        <v>93</v>
      </c>
      <c r="F2561" s="202" t="s">
        <v>4519</v>
      </c>
      <c r="G2561" s="261">
        <f>IFERROR(I2561/D2561,0)</f>
        <v>0</v>
      </c>
      <c r="H2561" s="204" t="s">
        <v>298</v>
      </c>
      <c r="I2561" s="270"/>
      <c r="J2561" s="204" t="s">
        <v>93</v>
      </c>
      <c r="K2561" s="269"/>
      <c r="L2561" s="210" t="s">
        <v>675</v>
      </c>
      <c r="M2561" s="198">
        <f t="shared" si="292"/>
        <v>0</v>
      </c>
      <c r="N2561" s="212">
        <f>'02 项目基础信息（输入）'!$C$75</f>
        <v>0</v>
      </c>
      <c r="O2561" s="203">
        <f t="shared" si="286"/>
        <v>0</v>
      </c>
      <c r="P2561" s="203">
        <f t="shared" si="288"/>
        <v>0</v>
      </c>
      <c r="Q2561" s="271">
        <f t="shared" si="287"/>
        <v>0</v>
      </c>
      <c r="R2561" s="188"/>
      <c r="S2561" s="280"/>
      <c r="T2561" s="222"/>
      <c r="U2561" s="223" t="s">
        <v>4520</v>
      </c>
    </row>
    <row r="2562" spans="1:21" s="181" customFormat="1" ht="0" hidden="1" customHeight="1" outlineLevel="4">
      <c r="A2562" s="253" t="s">
        <v>4521</v>
      </c>
      <c r="B2562" s="254"/>
      <c r="C2562" s="250" t="s">
        <v>4397</v>
      </c>
      <c r="D2562" s="212">
        <f t="shared" si="291"/>
        <v>0</v>
      </c>
      <c r="E2562" s="204" t="s">
        <v>93</v>
      </c>
      <c r="F2562" s="202" t="s">
        <v>4522</v>
      </c>
      <c r="G2562" s="261">
        <f>IFERROR(I2562/D2562,0)</f>
        <v>0</v>
      </c>
      <c r="H2562" s="204" t="s">
        <v>298</v>
      </c>
      <c r="I2562" s="270"/>
      <c r="J2562" s="204" t="s">
        <v>93</v>
      </c>
      <c r="K2562" s="269"/>
      <c r="L2562" s="210" t="s">
        <v>675</v>
      </c>
      <c r="M2562" s="198">
        <f t="shared" si="292"/>
        <v>0</v>
      </c>
      <c r="N2562" s="212">
        <f>'02 项目基础信息（输入）'!$C$75</f>
        <v>0</v>
      </c>
      <c r="O2562" s="203">
        <f t="shared" si="286"/>
        <v>0</v>
      </c>
      <c r="P2562" s="203">
        <f t="shared" si="288"/>
        <v>0</v>
      </c>
      <c r="Q2562" s="271">
        <f t="shared" si="287"/>
        <v>0</v>
      </c>
      <c r="R2562" s="188"/>
      <c r="S2562" s="280"/>
      <c r="T2562" s="222"/>
      <c r="U2562" s="223" t="s">
        <v>4523</v>
      </c>
    </row>
    <row r="2563" spans="1:21" s="181" customFormat="1" ht="0" hidden="1" customHeight="1" outlineLevel="4">
      <c r="A2563" s="253" t="s">
        <v>4524</v>
      </c>
      <c r="B2563" s="254"/>
      <c r="C2563" s="250" t="s">
        <v>4397</v>
      </c>
      <c r="D2563" s="212">
        <f t="shared" si="291"/>
        <v>0</v>
      </c>
      <c r="E2563" s="204" t="s">
        <v>93</v>
      </c>
      <c r="F2563" s="202" t="s">
        <v>4525</v>
      </c>
      <c r="G2563" s="286"/>
      <c r="H2563" s="204" t="s">
        <v>298</v>
      </c>
      <c r="I2563" s="265">
        <f>D2563*G2563</f>
        <v>0</v>
      </c>
      <c r="J2563" s="204" t="s">
        <v>93</v>
      </c>
      <c r="K2563" s="269"/>
      <c r="L2563" s="210" t="s">
        <v>675</v>
      </c>
      <c r="M2563" s="198">
        <f t="shared" si="292"/>
        <v>0</v>
      </c>
      <c r="N2563" s="212">
        <f>'02 项目基础信息（输入）'!$C$75</f>
        <v>0</v>
      </c>
      <c r="O2563" s="203">
        <f t="shared" ref="O2563:O2626" si="293">ROUND(IFERROR(M2563*10000/N2563,0),2)</f>
        <v>0</v>
      </c>
      <c r="P2563" s="203">
        <f t="shared" si="288"/>
        <v>0</v>
      </c>
      <c r="Q2563" s="271">
        <f t="shared" ref="Q2563:Q2626" si="294">ROUND(IFERROR(M2563*10000/P2563,0),2)</f>
        <v>0</v>
      </c>
      <c r="R2563" s="188"/>
      <c r="S2563" s="280"/>
      <c r="T2563" s="222"/>
      <c r="U2563" s="223" t="s">
        <v>4526</v>
      </c>
    </row>
    <row r="2564" spans="1:21" s="181" customFormat="1" ht="0" hidden="1" customHeight="1" outlineLevel="4">
      <c r="A2564" s="253" t="s">
        <v>4527</v>
      </c>
      <c r="B2564" s="254"/>
      <c r="C2564" s="250" t="s">
        <v>1665</v>
      </c>
      <c r="D2564" s="203">
        <f>ROUND(M2551+M2554+M2555+M2556+M2557+M2560+M2561+M2562+M2563,6)*10000</f>
        <v>0</v>
      </c>
      <c r="E2564" s="204" t="s">
        <v>1666</v>
      </c>
      <c r="F2564" s="202" t="s">
        <v>1667</v>
      </c>
      <c r="G2564" s="258">
        <f>IFERROR(I2564*100/D2564,0)</f>
        <v>0</v>
      </c>
      <c r="H2564" s="204" t="s">
        <v>123</v>
      </c>
      <c r="I2564" s="265">
        <f>N2564*K2564</f>
        <v>0</v>
      </c>
      <c r="J2564" s="204" t="s">
        <v>1666</v>
      </c>
      <c r="K2564" s="269"/>
      <c r="L2564" s="210" t="s">
        <v>675</v>
      </c>
      <c r="M2564" s="231">
        <f>ROUND(I2564/10000,6)</f>
        <v>0</v>
      </c>
      <c r="N2564" s="212">
        <f>'02 项目基础信息（输入）'!$C$75</f>
        <v>0</v>
      </c>
      <c r="O2564" s="203">
        <f t="shared" si="293"/>
        <v>0</v>
      </c>
      <c r="P2564" s="203">
        <f t="shared" si="288"/>
        <v>0</v>
      </c>
      <c r="Q2564" s="271">
        <f t="shared" si="294"/>
        <v>0</v>
      </c>
      <c r="R2564" s="188"/>
      <c r="S2564" s="280"/>
      <c r="T2564" s="222"/>
      <c r="U2564" s="223" t="s">
        <v>4528</v>
      </c>
    </row>
    <row r="2565" spans="1:21" s="181" customFormat="1" ht="0" hidden="1" customHeight="1" outlineLevel="3">
      <c r="A2565" s="253" t="s">
        <v>4529</v>
      </c>
      <c r="B2565" s="254"/>
      <c r="C2565" s="250" t="s">
        <v>1609</v>
      </c>
      <c r="D2565" s="203">
        <f>'02 项目基础信息（输入）'!$C$75</f>
        <v>0</v>
      </c>
      <c r="E2565" s="204" t="s">
        <v>93</v>
      </c>
      <c r="F2565" s="202"/>
      <c r="G2565" s="204"/>
      <c r="H2565" s="204"/>
      <c r="I2565" s="265"/>
      <c r="J2565" s="204"/>
      <c r="K2565" s="203"/>
      <c r="L2565" s="210"/>
      <c r="M2565" s="198">
        <f>ROUND(SUM(M2566:M2567),6)</f>
        <v>0</v>
      </c>
      <c r="N2565" s="212">
        <f>'02 项目基础信息（输入）'!$C$75</f>
        <v>0</v>
      </c>
      <c r="O2565" s="203">
        <f t="shared" si="293"/>
        <v>0</v>
      </c>
      <c r="P2565" s="203">
        <f t="shared" si="288"/>
        <v>0</v>
      </c>
      <c r="Q2565" s="271">
        <f t="shared" si="294"/>
        <v>0</v>
      </c>
      <c r="R2565" s="188"/>
      <c r="S2565" s="280"/>
      <c r="T2565" s="222"/>
      <c r="U2565" s="223" t="s">
        <v>4530</v>
      </c>
    </row>
    <row r="2566" spans="1:21" s="181" customFormat="1" ht="0" hidden="1" customHeight="1" outlineLevel="4">
      <c r="A2566" s="253" t="s">
        <v>4531</v>
      </c>
      <c r="B2566" s="254"/>
      <c r="C2566" s="250" t="s">
        <v>4397</v>
      </c>
      <c r="D2566" s="212">
        <f>$D$2490</f>
        <v>0</v>
      </c>
      <c r="E2566" s="204" t="s">
        <v>93</v>
      </c>
      <c r="F2566" s="202" t="s">
        <v>4532</v>
      </c>
      <c r="G2566" s="286"/>
      <c r="H2566" s="204" t="s">
        <v>298</v>
      </c>
      <c r="I2566" s="265">
        <f>D2566*G2566</f>
        <v>0</v>
      </c>
      <c r="J2566" s="204" t="s">
        <v>93</v>
      </c>
      <c r="K2566" s="270"/>
      <c r="L2566" s="210" t="s">
        <v>675</v>
      </c>
      <c r="M2566" s="198">
        <f>ROUND(K2566*I2566/10000,6)</f>
        <v>0</v>
      </c>
      <c r="N2566" s="212">
        <f>'02 项目基础信息（输入）'!$C$75</f>
        <v>0</v>
      </c>
      <c r="O2566" s="203">
        <f t="shared" si="293"/>
        <v>0</v>
      </c>
      <c r="P2566" s="203">
        <f t="shared" si="288"/>
        <v>0</v>
      </c>
      <c r="Q2566" s="271">
        <f t="shared" si="294"/>
        <v>0</v>
      </c>
      <c r="R2566" s="188"/>
      <c r="S2566" s="280"/>
      <c r="T2566" s="222"/>
      <c r="U2566" s="223" t="s">
        <v>4533</v>
      </c>
    </row>
    <row r="2567" spans="1:21" s="181" customFormat="1" ht="0" hidden="1" customHeight="1" outlineLevel="4">
      <c r="A2567" s="253" t="s">
        <v>4534</v>
      </c>
      <c r="B2567" s="254"/>
      <c r="C2567" s="250" t="s">
        <v>4397</v>
      </c>
      <c r="D2567" s="212">
        <f>$D$2490</f>
        <v>0</v>
      </c>
      <c r="E2567" s="204" t="s">
        <v>93</v>
      </c>
      <c r="F2567" s="250" t="s">
        <v>4535</v>
      </c>
      <c r="G2567" s="204">
        <v>1</v>
      </c>
      <c r="H2567" s="204" t="s">
        <v>298</v>
      </c>
      <c r="I2567" s="265">
        <f>D2567*G2567</f>
        <v>0</v>
      </c>
      <c r="J2567" s="204" t="s">
        <v>93</v>
      </c>
      <c r="K2567" s="270"/>
      <c r="L2567" s="210" t="s">
        <v>675</v>
      </c>
      <c r="M2567" s="198">
        <f>ROUND(K2567*I2567/10000,6)</f>
        <v>0</v>
      </c>
      <c r="N2567" s="212">
        <f>'02 项目基础信息（输入）'!$C$75</f>
        <v>0</v>
      </c>
      <c r="O2567" s="203">
        <f t="shared" si="293"/>
        <v>0</v>
      </c>
      <c r="P2567" s="203">
        <f t="shared" si="288"/>
        <v>0</v>
      </c>
      <c r="Q2567" s="271">
        <f t="shared" si="294"/>
        <v>0</v>
      </c>
      <c r="R2567" s="188"/>
      <c r="S2567" s="280"/>
      <c r="T2567" s="222"/>
      <c r="U2567" s="223" t="s">
        <v>4536</v>
      </c>
    </row>
    <row r="2568" spans="1:21" s="181" customFormat="1" ht="0" hidden="1" customHeight="1" outlineLevel="3">
      <c r="A2568" s="253" t="s">
        <v>4537</v>
      </c>
      <c r="B2568" s="254"/>
      <c r="C2568" s="250" t="s">
        <v>1609</v>
      </c>
      <c r="D2568" s="203">
        <f>'02 项目基础信息（输入）'!$C$75</f>
        <v>0</v>
      </c>
      <c r="E2568" s="204" t="s">
        <v>93</v>
      </c>
      <c r="F2568" s="202"/>
      <c r="G2568" s="204"/>
      <c r="H2568" s="204"/>
      <c r="I2568" s="265"/>
      <c r="J2568" s="204"/>
      <c r="K2568" s="203"/>
      <c r="L2568" s="210"/>
      <c r="M2568" s="198">
        <f>ROUND(SUM(M2569),6)</f>
        <v>0</v>
      </c>
      <c r="N2568" s="212">
        <f>'02 项目基础信息（输入）'!$C$75</f>
        <v>0</v>
      </c>
      <c r="O2568" s="203">
        <f t="shared" si="293"/>
        <v>0</v>
      </c>
      <c r="P2568" s="203">
        <f t="shared" si="288"/>
        <v>0</v>
      </c>
      <c r="Q2568" s="271">
        <f t="shared" si="294"/>
        <v>0</v>
      </c>
      <c r="R2568" s="188"/>
      <c r="S2568" s="280"/>
      <c r="T2568" s="222"/>
      <c r="U2568" s="223" t="s">
        <v>4538</v>
      </c>
    </row>
    <row r="2569" spans="1:21" s="181" customFormat="1" ht="0" hidden="1" customHeight="1" outlineLevel="4">
      <c r="A2569" s="253" t="s">
        <v>4539</v>
      </c>
      <c r="B2569" s="254"/>
      <c r="C2569" s="250" t="s">
        <v>4397</v>
      </c>
      <c r="D2569" s="212">
        <f>$D$2490</f>
        <v>0</v>
      </c>
      <c r="E2569" s="204" t="s">
        <v>93</v>
      </c>
      <c r="F2569" s="202" t="s">
        <v>4540</v>
      </c>
      <c r="G2569" s="286"/>
      <c r="H2569" s="204" t="s">
        <v>298</v>
      </c>
      <c r="I2569" s="265">
        <f>D2569*G2569</f>
        <v>0</v>
      </c>
      <c r="J2569" s="204" t="s">
        <v>93</v>
      </c>
      <c r="K2569" s="270"/>
      <c r="L2569" s="210" t="s">
        <v>675</v>
      </c>
      <c r="M2569" s="198">
        <f>ROUND(K2569*I2569/10000,6)</f>
        <v>0</v>
      </c>
      <c r="N2569" s="212">
        <f>'02 项目基础信息（输入）'!$C$75</f>
        <v>0</v>
      </c>
      <c r="O2569" s="203">
        <f t="shared" si="293"/>
        <v>0</v>
      </c>
      <c r="P2569" s="203">
        <f t="shared" si="288"/>
        <v>0</v>
      </c>
      <c r="Q2569" s="271">
        <f t="shared" si="294"/>
        <v>0</v>
      </c>
      <c r="R2569" s="188"/>
      <c r="S2569" s="280"/>
      <c r="T2569" s="222"/>
      <c r="U2569" s="223" t="s">
        <v>4541</v>
      </c>
    </row>
    <row r="2570" spans="1:21" ht="0" hidden="1" customHeight="1" outlineLevel="2">
      <c r="A2570" s="201" t="s">
        <v>4542</v>
      </c>
      <c r="B2570" s="201"/>
      <c r="C2570" s="202" t="s">
        <v>1609</v>
      </c>
      <c r="D2570" s="203">
        <f>'02 项目基础信息（输入）'!$C$75</f>
        <v>0</v>
      </c>
      <c r="E2570" s="204" t="s">
        <v>93</v>
      </c>
      <c r="F2570" s="202"/>
      <c r="G2570" s="204"/>
      <c r="H2570" s="204"/>
      <c r="I2570" s="203"/>
      <c r="J2570" s="255"/>
      <c r="K2570" s="264"/>
      <c r="L2570" s="205"/>
      <c r="M2570" s="198">
        <f>ROUND(M2571+M2578+M2579+M2584+M2587+M2588+M2589+M2590+M2583,6)</f>
        <v>0</v>
      </c>
      <c r="N2570" s="212">
        <f>'02 项目基础信息（输入）'!$C$75</f>
        <v>0</v>
      </c>
      <c r="O2570" s="203">
        <f t="shared" si="293"/>
        <v>0</v>
      </c>
      <c r="P2570" s="203">
        <f t="shared" ref="P2570:P2633" si="295">N2570</f>
        <v>0</v>
      </c>
      <c r="Q2570" s="271">
        <f t="shared" si="294"/>
        <v>0</v>
      </c>
      <c r="S2570" s="280" t="s">
        <v>1314</v>
      </c>
      <c r="T2570" s="222"/>
      <c r="U2570" s="223" t="s">
        <v>4543</v>
      </c>
    </row>
    <row r="2571" spans="1:21" s="181" customFormat="1" ht="0" hidden="1" customHeight="1" outlineLevel="3">
      <c r="A2571" s="253" t="s">
        <v>4544</v>
      </c>
      <c r="B2571" s="254"/>
      <c r="C2571" s="250" t="s">
        <v>1609</v>
      </c>
      <c r="D2571" s="203">
        <f>'02 项目基础信息（输入）'!$C$75</f>
        <v>0</v>
      </c>
      <c r="E2571" s="204" t="s">
        <v>93</v>
      </c>
      <c r="F2571" s="202"/>
      <c r="G2571" s="280"/>
      <c r="H2571" s="204"/>
      <c r="I2571" s="265"/>
      <c r="J2571" s="204"/>
      <c r="K2571" s="266"/>
      <c r="L2571" s="210"/>
      <c r="M2571" s="198">
        <f>ROUND(M2572+M2576+M2577,6)</f>
        <v>0</v>
      </c>
      <c r="N2571" s="212">
        <f>'02 项目基础信息（输入）'!$C$75</f>
        <v>0</v>
      </c>
      <c r="O2571" s="203">
        <f t="shared" si="293"/>
        <v>0</v>
      </c>
      <c r="P2571" s="203">
        <f t="shared" si="295"/>
        <v>0</v>
      </c>
      <c r="Q2571" s="271">
        <f t="shared" si="294"/>
        <v>0</v>
      </c>
      <c r="R2571" s="188"/>
      <c r="S2571" s="280"/>
      <c r="T2571" s="222"/>
      <c r="U2571" s="223" t="s">
        <v>4545</v>
      </c>
    </row>
    <row r="2572" spans="1:21" s="181" customFormat="1" ht="0" hidden="1" customHeight="1" outlineLevel="4">
      <c r="A2572" s="253" t="s">
        <v>4546</v>
      </c>
      <c r="B2572" s="254"/>
      <c r="C2572" s="250" t="s">
        <v>1609</v>
      </c>
      <c r="D2572" s="203">
        <f>'02 项目基础信息（输入）'!$C$75</f>
        <v>0</v>
      </c>
      <c r="E2572" s="204" t="s">
        <v>93</v>
      </c>
      <c r="F2572" s="250"/>
      <c r="G2572" s="277"/>
      <c r="H2572" s="204"/>
      <c r="I2572" s="268"/>
      <c r="J2572" s="204"/>
      <c r="K2572" s="266"/>
      <c r="L2572" s="210"/>
      <c r="M2572" s="198">
        <f>ROUND(SUM(M2573:M2575),6)</f>
        <v>0</v>
      </c>
      <c r="N2572" s="212">
        <f>'02 项目基础信息（输入）'!$C$75</f>
        <v>0</v>
      </c>
      <c r="O2572" s="203">
        <f t="shared" si="293"/>
        <v>0</v>
      </c>
      <c r="P2572" s="203">
        <f t="shared" si="295"/>
        <v>0</v>
      </c>
      <c r="Q2572" s="271">
        <f t="shared" si="294"/>
        <v>0</v>
      </c>
      <c r="R2572" s="188"/>
      <c r="S2572" s="280"/>
      <c r="T2572" s="222"/>
      <c r="U2572" s="223" t="s">
        <v>4547</v>
      </c>
    </row>
    <row r="2573" spans="1:21" s="182" customFormat="1" ht="0" hidden="1" customHeight="1" outlineLevel="5">
      <c r="A2573" s="253" t="s">
        <v>4548</v>
      </c>
      <c r="B2573" s="254"/>
      <c r="C2573" s="250" t="s">
        <v>1609</v>
      </c>
      <c r="D2573" s="203">
        <f>'02 项目基础信息（输入）'!$C$75</f>
        <v>0</v>
      </c>
      <c r="E2573" s="204" t="s">
        <v>93</v>
      </c>
      <c r="F2573" s="250" t="s">
        <v>1960</v>
      </c>
      <c r="G2573" s="259">
        <f>'03 成本测算（输入）'!D206</f>
        <v>0</v>
      </c>
      <c r="H2573" s="204" t="s">
        <v>123</v>
      </c>
      <c r="I2573" s="265">
        <f>D2573*G2573/100</f>
        <v>0</v>
      </c>
      <c r="J2573" s="204" t="s">
        <v>93</v>
      </c>
      <c r="K2573" s="267">
        <f>'03 成本测算（输入）'!D207</f>
        <v>0</v>
      </c>
      <c r="L2573" s="210" t="s">
        <v>675</v>
      </c>
      <c r="M2573" s="198">
        <f t="shared" ref="M2573:M2578" si="296">ROUND(K2573*I2573/10000,6)</f>
        <v>0</v>
      </c>
      <c r="N2573" s="212">
        <f>'02 项目基础信息（输入）'!$C$75</f>
        <v>0</v>
      </c>
      <c r="O2573" s="203">
        <f t="shared" si="293"/>
        <v>0</v>
      </c>
      <c r="P2573" s="203">
        <f t="shared" si="295"/>
        <v>0</v>
      </c>
      <c r="Q2573" s="271">
        <f t="shared" si="294"/>
        <v>0</v>
      </c>
      <c r="R2573" s="188"/>
      <c r="S2573" s="280"/>
      <c r="T2573" s="222"/>
      <c r="U2573" s="223" t="s">
        <v>4549</v>
      </c>
    </row>
    <row r="2574" spans="1:21" s="182" customFormat="1" ht="0" hidden="1" customHeight="1" outlineLevel="5">
      <c r="A2574" s="253" t="s">
        <v>4550</v>
      </c>
      <c r="B2574" s="254"/>
      <c r="C2574" s="250" t="s">
        <v>1609</v>
      </c>
      <c r="D2574" s="203">
        <f>'02 项目基础信息（输入）'!$C$75</f>
        <v>0</v>
      </c>
      <c r="E2574" s="204" t="s">
        <v>93</v>
      </c>
      <c r="F2574" s="250" t="s">
        <v>1960</v>
      </c>
      <c r="G2574" s="287">
        <f>G2573</f>
        <v>0</v>
      </c>
      <c r="H2574" s="204" t="s">
        <v>123</v>
      </c>
      <c r="I2574" s="265">
        <f>D2574*G2574/100</f>
        <v>0</v>
      </c>
      <c r="J2574" s="204" t="s">
        <v>93</v>
      </c>
      <c r="K2574" s="270"/>
      <c r="L2574" s="210" t="s">
        <v>675</v>
      </c>
      <c r="M2574" s="198">
        <f t="shared" si="296"/>
        <v>0</v>
      </c>
      <c r="N2574" s="212">
        <f>'02 项目基础信息（输入）'!$C$75</f>
        <v>0</v>
      </c>
      <c r="O2574" s="203">
        <f t="shared" si="293"/>
        <v>0</v>
      </c>
      <c r="P2574" s="203">
        <f t="shared" si="295"/>
        <v>0</v>
      </c>
      <c r="Q2574" s="271">
        <f t="shared" si="294"/>
        <v>0</v>
      </c>
      <c r="R2574" s="188"/>
      <c r="S2574" s="280"/>
      <c r="T2574" s="222"/>
      <c r="U2574" s="223" t="s">
        <v>4551</v>
      </c>
    </row>
    <row r="2575" spans="1:21" s="182" customFormat="1" ht="0" hidden="1" customHeight="1" outlineLevel="5">
      <c r="A2575" s="253" t="s">
        <v>4552</v>
      </c>
      <c r="B2575" s="254"/>
      <c r="C2575" s="250" t="s">
        <v>1609</v>
      </c>
      <c r="D2575" s="203">
        <f>'02 项目基础信息（输入）'!$C$75</f>
        <v>0</v>
      </c>
      <c r="E2575" s="204" t="s">
        <v>93</v>
      </c>
      <c r="F2575" s="250" t="s">
        <v>1960</v>
      </c>
      <c r="G2575" s="287">
        <f>G2574</f>
        <v>0</v>
      </c>
      <c r="H2575" s="204" t="s">
        <v>123</v>
      </c>
      <c r="I2575" s="265">
        <f>D2575*G2575/100</f>
        <v>0</v>
      </c>
      <c r="J2575" s="204" t="s">
        <v>93</v>
      </c>
      <c r="K2575" s="270"/>
      <c r="L2575" s="210" t="s">
        <v>675</v>
      </c>
      <c r="M2575" s="198">
        <f t="shared" si="296"/>
        <v>0</v>
      </c>
      <c r="N2575" s="212">
        <f>'02 项目基础信息（输入）'!$C$75</f>
        <v>0</v>
      </c>
      <c r="O2575" s="203">
        <f t="shared" si="293"/>
        <v>0</v>
      </c>
      <c r="P2575" s="203">
        <f t="shared" si="295"/>
        <v>0</v>
      </c>
      <c r="Q2575" s="271">
        <f t="shared" si="294"/>
        <v>0</v>
      </c>
      <c r="R2575" s="188"/>
      <c r="S2575" s="280"/>
      <c r="T2575" s="222"/>
      <c r="U2575" s="223" t="s">
        <v>4553</v>
      </c>
    </row>
    <row r="2576" spans="1:21" s="183" customFormat="1" ht="0" hidden="1" customHeight="1" outlineLevel="4">
      <c r="A2576" s="253" t="s">
        <v>4554</v>
      </c>
      <c r="B2576" s="254"/>
      <c r="C2576" s="250" t="s">
        <v>1609</v>
      </c>
      <c r="D2576" s="203">
        <f>'02 项目基础信息（输入）'!$C$75</f>
        <v>0</v>
      </c>
      <c r="E2576" s="204" t="s">
        <v>93</v>
      </c>
      <c r="F2576" s="250" t="s">
        <v>4555</v>
      </c>
      <c r="G2576" s="210">
        <f>IFERROR(I2576/D2576,0)</f>
        <v>0</v>
      </c>
      <c r="H2576" s="204" t="s">
        <v>4385</v>
      </c>
      <c r="I2576" s="292"/>
      <c r="J2576" s="204" t="s">
        <v>400</v>
      </c>
      <c r="K2576" s="270"/>
      <c r="L2576" s="210" t="s">
        <v>1749</v>
      </c>
      <c r="M2576" s="198">
        <f t="shared" si="296"/>
        <v>0</v>
      </c>
      <c r="N2576" s="212">
        <f>'02 项目基础信息（输入）'!$C$75</f>
        <v>0</v>
      </c>
      <c r="O2576" s="203">
        <f t="shared" si="293"/>
        <v>0</v>
      </c>
      <c r="P2576" s="203">
        <f t="shared" si="295"/>
        <v>0</v>
      </c>
      <c r="Q2576" s="271">
        <f t="shared" si="294"/>
        <v>0</v>
      </c>
      <c r="R2576" s="188"/>
      <c r="S2576" s="280"/>
      <c r="T2576" s="222"/>
      <c r="U2576" s="223" t="s">
        <v>4556</v>
      </c>
    </row>
    <row r="2577" spans="1:21" s="181" customFormat="1" ht="0" hidden="1" customHeight="1" outlineLevel="4">
      <c r="A2577" s="253" t="s">
        <v>4557</v>
      </c>
      <c r="B2577" s="254"/>
      <c r="C2577" s="250" t="s">
        <v>1609</v>
      </c>
      <c r="D2577" s="203">
        <f>'02 项目基础信息（输入）'!$C$75</f>
        <v>0</v>
      </c>
      <c r="E2577" s="204" t="s">
        <v>93</v>
      </c>
      <c r="F2577" s="250" t="s">
        <v>1960</v>
      </c>
      <c r="G2577" s="237"/>
      <c r="H2577" s="278" t="s">
        <v>123</v>
      </c>
      <c r="I2577" s="268">
        <f>G2577*D2577/100</f>
        <v>0</v>
      </c>
      <c r="J2577" s="204" t="s">
        <v>93</v>
      </c>
      <c r="K2577" s="270"/>
      <c r="L2577" s="210" t="s">
        <v>675</v>
      </c>
      <c r="M2577" s="198">
        <f t="shared" si="296"/>
        <v>0</v>
      </c>
      <c r="N2577" s="212">
        <f>'02 项目基础信息（输入）'!$C$75</f>
        <v>0</v>
      </c>
      <c r="O2577" s="203">
        <f t="shared" si="293"/>
        <v>0</v>
      </c>
      <c r="P2577" s="203">
        <f t="shared" si="295"/>
        <v>0</v>
      </c>
      <c r="Q2577" s="271">
        <f t="shared" si="294"/>
        <v>0</v>
      </c>
      <c r="R2577" s="188"/>
      <c r="S2577" s="280"/>
      <c r="T2577" s="222"/>
      <c r="U2577" s="223" t="s">
        <v>4558</v>
      </c>
    </row>
    <row r="2578" spans="1:21" s="181" customFormat="1" ht="0" hidden="1" customHeight="1" outlineLevel="3">
      <c r="A2578" s="253" t="s">
        <v>4559</v>
      </c>
      <c r="B2578" s="254"/>
      <c r="C2578" s="250" t="s">
        <v>4560</v>
      </c>
      <c r="D2578" s="273">
        <f>'02 项目基础信息（输入）'!BB75</f>
        <v>0</v>
      </c>
      <c r="E2578" s="204" t="s">
        <v>1082</v>
      </c>
      <c r="F2578" s="250" t="s">
        <v>4560</v>
      </c>
      <c r="G2578" s="204">
        <v>1</v>
      </c>
      <c r="H2578" s="204" t="s">
        <v>1918</v>
      </c>
      <c r="I2578" s="265">
        <f>D2578*G2578</f>
        <v>0</v>
      </c>
      <c r="J2578" s="204" t="s">
        <v>1082</v>
      </c>
      <c r="K2578" s="270"/>
      <c r="L2578" s="210" t="s">
        <v>1087</v>
      </c>
      <c r="M2578" s="198">
        <f t="shared" si="296"/>
        <v>0</v>
      </c>
      <c r="N2578" s="212">
        <f>'02 项目基础信息（输入）'!$C$75</f>
        <v>0</v>
      </c>
      <c r="O2578" s="203">
        <f t="shared" si="293"/>
        <v>0</v>
      </c>
      <c r="P2578" s="203">
        <f t="shared" si="295"/>
        <v>0</v>
      </c>
      <c r="Q2578" s="271">
        <f t="shared" si="294"/>
        <v>0</v>
      </c>
      <c r="R2578" s="188"/>
      <c r="S2578" s="280"/>
      <c r="T2578" s="222"/>
      <c r="U2578" s="223" t="s">
        <v>4561</v>
      </c>
    </row>
    <row r="2579" spans="1:21" s="181" customFormat="1" ht="0" hidden="1" customHeight="1" outlineLevel="3">
      <c r="A2579" s="253" t="s">
        <v>4562</v>
      </c>
      <c r="B2579" s="254"/>
      <c r="C2579" s="250" t="s">
        <v>1609</v>
      </c>
      <c r="D2579" s="203">
        <f>'02 项目基础信息（输入）'!$C$75</f>
        <v>0</v>
      </c>
      <c r="E2579" s="204" t="s">
        <v>93</v>
      </c>
      <c r="F2579" s="288"/>
      <c r="G2579" s="277"/>
      <c r="H2579" s="255"/>
      <c r="I2579" s="268"/>
      <c r="J2579" s="255"/>
      <c r="K2579" s="264"/>
      <c r="L2579" s="205"/>
      <c r="M2579" s="198">
        <f>ROUND(SUM(M2580:M2582),6)</f>
        <v>0</v>
      </c>
      <c r="N2579" s="212">
        <f>'02 项目基础信息（输入）'!$C$75</f>
        <v>0</v>
      </c>
      <c r="O2579" s="203">
        <f t="shared" si="293"/>
        <v>0</v>
      </c>
      <c r="P2579" s="203">
        <f t="shared" si="295"/>
        <v>0</v>
      </c>
      <c r="Q2579" s="271">
        <f t="shared" si="294"/>
        <v>0</v>
      </c>
      <c r="R2579" s="188"/>
      <c r="S2579" s="280"/>
      <c r="T2579" s="222"/>
      <c r="U2579" s="223" t="s">
        <v>4563</v>
      </c>
    </row>
    <row r="2580" spans="1:21" s="181" customFormat="1" ht="0" hidden="1" customHeight="1" outlineLevel="4">
      <c r="A2580" s="253" t="s">
        <v>4564</v>
      </c>
      <c r="B2580" s="254"/>
      <c r="C2580" s="250" t="s">
        <v>1609</v>
      </c>
      <c r="D2580" s="203">
        <f>'02 项目基础信息（输入）'!$C$75</f>
        <v>0</v>
      </c>
      <c r="E2580" s="204" t="s">
        <v>93</v>
      </c>
      <c r="F2580" s="250" t="s">
        <v>1960</v>
      </c>
      <c r="G2580" s="259">
        <f>'03 成本测算（输入）'!D208</f>
        <v>0</v>
      </c>
      <c r="H2580" s="204" t="s">
        <v>123</v>
      </c>
      <c r="I2580" s="265">
        <f>D2580*G2580/100</f>
        <v>0</v>
      </c>
      <c r="J2580" s="204" t="s">
        <v>93</v>
      </c>
      <c r="K2580" s="267">
        <f>'03 成本测算（输入）'!D209</f>
        <v>0</v>
      </c>
      <c r="L2580" s="210" t="s">
        <v>675</v>
      </c>
      <c r="M2580" s="198">
        <f>ROUND(K2580*I2580/10000,6)</f>
        <v>0</v>
      </c>
      <c r="N2580" s="212">
        <f>'02 项目基础信息（输入）'!$C$75</f>
        <v>0</v>
      </c>
      <c r="O2580" s="203">
        <f t="shared" si="293"/>
        <v>0</v>
      </c>
      <c r="P2580" s="203">
        <f t="shared" si="295"/>
        <v>0</v>
      </c>
      <c r="Q2580" s="271">
        <f t="shared" si="294"/>
        <v>0</v>
      </c>
      <c r="R2580" s="188"/>
      <c r="S2580" s="280"/>
      <c r="T2580" s="222"/>
      <c r="U2580" s="223" t="s">
        <v>4565</v>
      </c>
    </row>
    <row r="2581" spans="1:21" s="181" customFormat="1" ht="0" hidden="1" customHeight="1" outlineLevel="4">
      <c r="A2581" s="253" t="s">
        <v>4566</v>
      </c>
      <c r="B2581" s="254"/>
      <c r="C2581" s="250" t="s">
        <v>1609</v>
      </c>
      <c r="D2581" s="203">
        <f>'02 项目基础信息（输入）'!$C$75</f>
        <v>0</v>
      </c>
      <c r="E2581" s="204" t="s">
        <v>93</v>
      </c>
      <c r="F2581" s="250" t="s">
        <v>1960</v>
      </c>
      <c r="G2581" s="260">
        <f>G2580</f>
        <v>0</v>
      </c>
      <c r="H2581" s="204" t="s">
        <v>123</v>
      </c>
      <c r="I2581" s="265">
        <f>D2581*G2581/100</f>
        <v>0</v>
      </c>
      <c r="J2581" s="204" t="s">
        <v>93</v>
      </c>
      <c r="K2581" s="270"/>
      <c r="L2581" s="210" t="s">
        <v>675</v>
      </c>
      <c r="M2581" s="198">
        <f>ROUND(K2581*I2581/10000,6)</f>
        <v>0</v>
      </c>
      <c r="N2581" s="212">
        <f>'02 项目基础信息（输入）'!$C$75</f>
        <v>0</v>
      </c>
      <c r="O2581" s="203">
        <f t="shared" si="293"/>
        <v>0</v>
      </c>
      <c r="P2581" s="203">
        <f t="shared" si="295"/>
        <v>0</v>
      </c>
      <c r="Q2581" s="271">
        <f t="shared" si="294"/>
        <v>0</v>
      </c>
      <c r="R2581" s="188"/>
      <c r="S2581" s="280"/>
      <c r="T2581" s="222"/>
      <c r="U2581" s="223" t="s">
        <v>4567</v>
      </c>
    </row>
    <row r="2582" spans="1:21" s="181" customFormat="1" ht="0" hidden="1" customHeight="1" outlineLevel="4">
      <c r="A2582" s="253" t="s">
        <v>4568</v>
      </c>
      <c r="B2582" s="254"/>
      <c r="C2582" s="250" t="s">
        <v>1609</v>
      </c>
      <c r="D2582" s="203">
        <f>'02 项目基础信息（输入）'!$C$75</f>
        <v>0</v>
      </c>
      <c r="E2582" s="204" t="s">
        <v>93</v>
      </c>
      <c r="F2582" s="250" t="s">
        <v>1960</v>
      </c>
      <c r="G2582" s="260">
        <f>G2581</f>
        <v>0</v>
      </c>
      <c r="H2582" s="204" t="s">
        <v>123</v>
      </c>
      <c r="I2582" s="265">
        <f>D2582*G2582/100</f>
        <v>0</v>
      </c>
      <c r="J2582" s="204" t="s">
        <v>93</v>
      </c>
      <c r="K2582" s="270"/>
      <c r="L2582" s="210" t="s">
        <v>675</v>
      </c>
      <c r="M2582" s="198">
        <f>ROUND(K2582*I2582/10000,6)</f>
        <v>0</v>
      </c>
      <c r="N2582" s="212">
        <f>'02 项目基础信息（输入）'!$C$75</f>
        <v>0</v>
      </c>
      <c r="O2582" s="203">
        <f t="shared" si="293"/>
        <v>0</v>
      </c>
      <c r="P2582" s="203">
        <f t="shared" si="295"/>
        <v>0</v>
      </c>
      <c r="Q2582" s="271">
        <f t="shared" si="294"/>
        <v>0</v>
      </c>
      <c r="R2582" s="188"/>
      <c r="S2582" s="280"/>
      <c r="T2582" s="222"/>
      <c r="U2582" s="223" t="s">
        <v>4569</v>
      </c>
    </row>
    <row r="2583" spans="1:21" s="181" customFormat="1" ht="0" hidden="1" customHeight="1" outlineLevel="3">
      <c r="A2583" s="253" t="s">
        <v>4570</v>
      </c>
      <c r="B2583" s="254"/>
      <c r="C2583" s="250" t="s">
        <v>1609</v>
      </c>
      <c r="D2583" s="203">
        <f>'02 项目基础信息（输入）'!$C$75</f>
        <v>0</v>
      </c>
      <c r="E2583" s="204" t="s">
        <v>93</v>
      </c>
      <c r="F2583" s="250" t="s">
        <v>1960</v>
      </c>
      <c r="G2583" s="237"/>
      <c r="H2583" s="278" t="s">
        <v>123</v>
      </c>
      <c r="I2583" s="268">
        <f>G2583*D2583/100</f>
        <v>0</v>
      </c>
      <c r="J2583" s="204" t="s">
        <v>93</v>
      </c>
      <c r="K2583" s="270"/>
      <c r="L2583" s="210" t="s">
        <v>675</v>
      </c>
      <c r="M2583" s="198">
        <f>ROUND(K2583*I2583/10000,6)</f>
        <v>0</v>
      </c>
      <c r="N2583" s="212">
        <f>'02 项目基础信息（输入）'!$C$75</f>
        <v>0</v>
      </c>
      <c r="O2583" s="203">
        <f t="shared" si="293"/>
        <v>0</v>
      </c>
      <c r="P2583" s="203">
        <f t="shared" si="295"/>
        <v>0</v>
      </c>
      <c r="Q2583" s="271">
        <f t="shared" si="294"/>
        <v>0</v>
      </c>
      <c r="R2583" s="188"/>
      <c r="S2583" s="280"/>
      <c r="T2583" s="222"/>
      <c r="U2583" s="223" t="s">
        <v>4571</v>
      </c>
    </row>
    <row r="2584" spans="1:21" s="181" customFormat="1" ht="0" hidden="1" customHeight="1" outlineLevel="3">
      <c r="A2584" s="253" t="s">
        <v>4572</v>
      </c>
      <c r="B2584" s="254"/>
      <c r="C2584" s="250" t="s">
        <v>1609</v>
      </c>
      <c r="D2584" s="203">
        <f>'02 项目基础信息（输入）'!$C$75</f>
        <v>0</v>
      </c>
      <c r="E2584" s="204" t="s">
        <v>93</v>
      </c>
      <c r="F2584" s="288"/>
      <c r="G2584" s="277"/>
      <c r="H2584" s="255"/>
      <c r="I2584" s="268"/>
      <c r="J2584" s="255"/>
      <c r="K2584" s="264"/>
      <c r="L2584" s="205"/>
      <c r="M2584" s="198">
        <f>ROUND(SUM(M2585:M2586),6)</f>
        <v>0</v>
      </c>
      <c r="N2584" s="212">
        <f>'02 项目基础信息（输入）'!$C$75</f>
        <v>0</v>
      </c>
      <c r="O2584" s="203">
        <f t="shared" si="293"/>
        <v>0</v>
      </c>
      <c r="P2584" s="203">
        <f t="shared" si="295"/>
        <v>0</v>
      </c>
      <c r="Q2584" s="271">
        <f t="shared" si="294"/>
        <v>0</v>
      </c>
      <c r="R2584" s="188"/>
      <c r="S2584" s="280"/>
      <c r="T2584" s="222"/>
      <c r="U2584" s="223" t="s">
        <v>4573</v>
      </c>
    </row>
    <row r="2585" spans="1:21" s="181" customFormat="1" ht="0" hidden="1" customHeight="1" outlineLevel="4">
      <c r="A2585" s="253" t="s">
        <v>4574</v>
      </c>
      <c r="B2585" s="254"/>
      <c r="C2585" s="250" t="s">
        <v>4575</v>
      </c>
      <c r="D2585" s="273">
        <f>'02 项目基础信息（输入）'!AQ75</f>
        <v>0</v>
      </c>
      <c r="E2585" s="204" t="s">
        <v>93</v>
      </c>
      <c r="F2585" s="202" t="s">
        <v>4576</v>
      </c>
      <c r="G2585" s="204">
        <v>1</v>
      </c>
      <c r="H2585" s="204" t="s">
        <v>298</v>
      </c>
      <c r="I2585" s="265">
        <f>D2585*G2585</f>
        <v>0</v>
      </c>
      <c r="J2585" s="204" t="s">
        <v>93</v>
      </c>
      <c r="K2585" s="267">
        <f>'03 成本测算（输入）'!D211</f>
        <v>0</v>
      </c>
      <c r="L2585" s="210" t="s">
        <v>675</v>
      </c>
      <c r="M2585" s="198">
        <f>ROUND(K2585*I2585/10000,6)</f>
        <v>0</v>
      </c>
      <c r="N2585" s="212">
        <f>'02 项目基础信息（输入）'!$C$75</f>
        <v>0</v>
      </c>
      <c r="O2585" s="203">
        <f t="shared" si="293"/>
        <v>0</v>
      </c>
      <c r="P2585" s="203">
        <f t="shared" si="295"/>
        <v>0</v>
      </c>
      <c r="Q2585" s="271">
        <f t="shared" si="294"/>
        <v>0</v>
      </c>
      <c r="R2585" s="188"/>
      <c r="S2585" s="280"/>
      <c r="T2585" s="222"/>
      <c r="U2585" s="223" t="s">
        <v>4577</v>
      </c>
    </row>
    <row r="2586" spans="1:21" s="181" customFormat="1" ht="0" hidden="1" customHeight="1" outlineLevel="4">
      <c r="A2586" s="253" t="s">
        <v>4578</v>
      </c>
      <c r="B2586" s="254"/>
      <c r="C2586" s="250" t="s">
        <v>4575</v>
      </c>
      <c r="D2586" s="212">
        <f>D2585</f>
        <v>0</v>
      </c>
      <c r="E2586" s="204" t="s">
        <v>93</v>
      </c>
      <c r="F2586" s="202" t="s">
        <v>4576</v>
      </c>
      <c r="G2586" s="204">
        <v>1</v>
      </c>
      <c r="H2586" s="204" t="s">
        <v>298</v>
      </c>
      <c r="I2586" s="265">
        <f>D2586*G2586</f>
        <v>0</v>
      </c>
      <c r="J2586" s="204" t="s">
        <v>93</v>
      </c>
      <c r="K2586" s="270"/>
      <c r="L2586" s="210" t="s">
        <v>675</v>
      </c>
      <c r="M2586" s="198">
        <f>ROUND(K2586*I2586/10000,6)</f>
        <v>0</v>
      </c>
      <c r="N2586" s="212">
        <f>'02 项目基础信息（输入）'!$C$75</f>
        <v>0</v>
      </c>
      <c r="O2586" s="203">
        <f t="shared" si="293"/>
        <v>0</v>
      </c>
      <c r="P2586" s="203">
        <f t="shared" si="295"/>
        <v>0</v>
      </c>
      <c r="Q2586" s="271">
        <f t="shared" si="294"/>
        <v>0</v>
      </c>
      <c r="R2586" s="188"/>
      <c r="S2586" s="280"/>
      <c r="T2586" s="222"/>
      <c r="U2586" s="223" t="s">
        <v>4579</v>
      </c>
    </row>
    <row r="2587" spans="1:21" s="181" customFormat="1" ht="0" hidden="1" customHeight="1" outlineLevel="3">
      <c r="A2587" s="253" t="s">
        <v>4580</v>
      </c>
      <c r="B2587" s="254"/>
      <c r="C2587" s="250" t="s">
        <v>4581</v>
      </c>
      <c r="D2587" s="289">
        <f>'02 项目基础信息（输入）'!BA75</f>
        <v>0</v>
      </c>
      <c r="E2587" s="204" t="s">
        <v>1082</v>
      </c>
      <c r="F2587" s="202" t="s">
        <v>4581</v>
      </c>
      <c r="G2587" s="204">
        <v>1</v>
      </c>
      <c r="H2587" s="204" t="s">
        <v>1918</v>
      </c>
      <c r="I2587" s="265">
        <f>D2587*G2587</f>
        <v>0</v>
      </c>
      <c r="J2587" s="204" t="s">
        <v>1082</v>
      </c>
      <c r="K2587" s="270"/>
      <c r="L2587" s="210" t="s">
        <v>1087</v>
      </c>
      <c r="M2587" s="198">
        <f>ROUND(K2587*I2587/10000,6)</f>
        <v>0</v>
      </c>
      <c r="N2587" s="212">
        <f>'02 项目基础信息（输入）'!$C$75</f>
        <v>0</v>
      </c>
      <c r="O2587" s="203">
        <f t="shared" si="293"/>
        <v>0</v>
      </c>
      <c r="P2587" s="203">
        <f t="shared" si="295"/>
        <v>0</v>
      </c>
      <c r="Q2587" s="271">
        <f t="shared" si="294"/>
        <v>0</v>
      </c>
      <c r="R2587" s="188"/>
      <c r="S2587" s="280"/>
      <c r="T2587" s="222"/>
      <c r="U2587" s="223" t="s">
        <v>4582</v>
      </c>
    </row>
    <row r="2588" spans="1:21" s="181" customFormat="1" ht="0" hidden="1" customHeight="1" outlineLevel="3">
      <c r="A2588" s="253" t="s">
        <v>4583</v>
      </c>
      <c r="B2588" s="254"/>
      <c r="C2588" s="250" t="s">
        <v>1609</v>
      </c>
      <c r="D2588" s="203">
        <f>'02 项目基础信息（输入）'!$C$75</f>
        <v>0</v>
      </c>
      <c r="E2588" s="204" t="s">
        <v>93</v>
      </c>
      <c r="F2588" s="250" t="s">
        <v>4584</v>
      </c>
      <c r="G2588" s="210">
        <f>IFERROR(I2588/D2588,0)</f>
        <v>0</v>
      </c>
      <c r="H2588" s="204" t="s">
        <v>298</v>
      </c>
      <c r="I2588" s="285"/>
      <c r="J2588" s="204" t="s">
        <v>93</v>
      </c>
      <c r="K2588" s="270"/>
      <c r="L2588" s="210" t="s">
        <v>675</v>
      </c>
      <c r="M2588" s="198">
        <f>ROUND(K2588*I2588/10000,6)</f>
        <v>0</v>
      </c>
      <c r="N2588" s="212">
        <f>'02 项目基础信息（输入）'!$C$75</f>
        <v>0</v>
      </c>
      <c r="O2588" s="203">
        <f t="shared" si="293"/>
        <v>0</v>
      </c>
      <c r="P2588" s="203">
        <f t="shared" si="295"/>
        <v>0</v>
      </c>
      <c r="Q2588" s="271">
        <f t="shared" si="294"/>
        <v>0</v>
      </c>
      <c r="R2588" s="188"/>
      <c r="S2588" s="280"/>
      <c r="T2588" s="222"/>
      <c r="U2588" s="223" t="s">
        <v>4585</v>
      </c>
    </row>
    <row r="2589" spans="1:21" s="181" customFormat="1" ht="0" hidden="1" customHeight="1" outlineLevel="3">
      <c r="A2589" s="253" t="s">
        <v>4586</v>
      </c>
      <c r="B2589" s="254"/>
      <c r="C2589" s="250" t="s">
        <v>1609</v>
      </c>
      <c r="D2589" s="203">
        <f>'02 项目基础信息（输入）'!$C$75</f>
        <v>0</v>
      </c>
      <c r="E2589" s="204" t="s">
        <v>93</v>
      </c>
      <c r="F2589" s="250" t="s">
        <v>1960</v>
      </c>
      <c r="G2589" s="237"/>
      <c r="H2589" s="278" t="s">
        <v>123</v>
      </c>
      <c r="I2589" s="268">
        <f>G2589*D2589/100</f>
        <v>0</v>
      </c>
      <c r="J2589" s="204" t="s">
        <v>93</v>
      </c>
      <c r="K2589" s="270"/>
      <c r="L2589" s="210" t="s">
        <v>675</v>
      </c>
      <c r="M2589" s="198">
        <f>ROUND(K2589*I2589/10000,6)</f>
        <v>0</v>
      </c>
      <c r="N2589" s="212">
        <f>'02 项目基础信息（输入）'!$C$75</f>
        <v>0</v>
      </c>
      <c r="O2589" s="203">
        <f t="shared" si="293"/>
        <v>0</v>
      </c>
      <c r="P2589" s="203">
        <f t="shared" si="295"/>
        <v>0</v>
      </c>
      <c r="Q2589" s="271">
        <f t="shared" si="294"/>
        <v>0</v>
      </c>
      <c r="R2589" s="188"/>
      <c r="S2589" s="280"/>
      <c r="T2589" s="222"/>
      <c r="U2589" s="223" t="s">
        <v>4587</v>
      </c>
    </row>
    <row r="2590" spans="1:21" s="181" customFormat="1" ht="0" hidden="1" customHeight="1" outlineLevel="3">
      <c r="A2590" s="253" t="s">
        <v>4588</v>
      </c>
      <c r="B2590" s="254"/>
      <c r="C2590" s="250" t="s">
        <v>1665</v>
      </c>
      <c r="D2590" s="203">
        <f>ROUND(M2571+M2578+M2579+M2584+M2587+M2588+M2589,6)*10000</f>
        <v>0</v>
      </c>
      <c r="E2590" s="204" t="s">
        <v>1666</v>
      </c>
      <c r="F2590" s="202" t="s">
        <v>1667</v>
      </c>
      <c r="G2590" s="258">
        <f>IFERROR(I2590*100/D2590,0)</f>
        <v>0</v>
      </c>
      <c r="H2590" s="204" t="s">
        <v>123</v>
      </c>
      <c r="I2590" s="265">
        <f>N2590*K2590</f>
        <v>0</v>
      </c>
      <c r="J2590" s="204" t="s">
        <v>1666</v>
      </c>
      <c r="K2590" s="269"/>
      <c r="L2590" s="210" t="s">
        <v>675</v>
      </c>
      <c r="M2590" s="231">
        <f>ROUND(I2590/10000,6)</f>
        <v>0</v>
      </c>
      <c r="N2590" s="212">
        <f>'02 项目基础信息（输入）'!$C$75</f>
        <v>0</v>
      </c>
      <c r="O2590" s="203">
        <f t="shared" si="293"/>
        <v>0</v>
      </c>
      <c r="P2590" s="203">
        <f t="shared" si="295"/>
        <v>0</v>
      </c>
      <c r="Q2590" s="271">
        <f t="shared" si="294"/>
        <v>0</v>
      </c>
      <c r="R2590" s="188"/>
      <c r="S2590" s="280"/>
      <c r="T2590" s="222"/>
      <c r="U2590" s="223" t="s">
        <v>4589</v>
      </c>
    </row>
    <row r="2591" spans="1:21" ht="0" hidden="1" customHeight="1" outlineLevel="2">
      <c r="A2591" s="201" t="s">
        <v>4590</v>
      </c>
      <c r="B2591" s="201"/>
      <c r="C2591" s="202" t="s">
        <v>1609</v>
      </c>
      <c r="D2591" s="203">
        <f>'02 项目基础信息（输入）'!$C$75</f>
        <v>0</v>
      </c>
      <c r="E2591" s="204" t="s">
        <v>93</v>
      </c>
      <c r="F2591" s="256"/>
      <c r="G2591" s="255"/>
      <c r="H2591" s="255"/>
      <c r="I2591" s="212"/>
      <c r="J2591" s="255"/>
      <c r="K2591" s="264"/>
      <c r="L2591" s="205"/>
      <c r="M2591" s="198">
        <f>M2592+M2600</f>
        <v>0</v>
      </c>
      <c r="N2591" s="212">
        <f>'02 项目基础信息（输入）'!$C$75</f>
        <v>0</v>
      </c>
      <c r="O2591" s="203">
        <f t="shared" si="293"/>
        <v>0</v>
      </c>
      <c r="P2591" s="203">
        <f t="shared" si="295"/>
        <v>0</v>
      </c>
      <c r="Q2591" s="271">
        <f t="shared" si="294"/>
        <v>0</v>
      </c>
      <c r="S2591" s="280" t="s">
        <v>1314</v>
      </c>
      <c r="T2591" s="222"/>
      <c r="U2591" s="223" t="s">
        <v>4591</v>
      </c>
    </row>
    <row r="2592" spans="1:21" ht="0" hidden="1" customHeight="1" outlineLevel="3">
      <c r="A2592" s="201" t="s">
        <v>4592</v>
      </c>
      <c r="B2592" s="201"/>
      <c r="C2592" s="202" t="s">
        <v>1609</v>
      </c>
      <c r="D2592" s="203">
        <f>'02 项目基础信息（输入）'!$C$75</f>
        <v>0</v>
      </c>
      <c r="E2592" s="204" t="s">
        <v>93</v>
      </c>
      <c r="F2592" s="202"/>
      <c r="G2592" s="204"/>
      <c r="H2592" s="204"/>
      <c r="I2592" s="203"/>
      <c r="J2592" s="255"/>
      <c r="K2592" s="264"/>
      <c r="L2592" s="205"/>
      <c r="M2592" s="198">
        <f>ROUND(M2593+M2596+M2599,6)</f>
        <v>0</v>
      </c>
      <c r="N2592" s="212">
        <f>'02 项目基础信息（输入）'!$C$75</f>
        <v>0</v>
      </c>
      <c r="O2592" s="203">
        <f t="shared" si="293"/>
        <v>0</v>
      </c>
      <c r="P2592" s="203">
        <f t="shared" si="295"/>
        <v>0</v>
      </c>
      <c r="Q2592" s="271">
        <f t="shared" si="294"/>
        <v>0</v>
      </c>
      <c r="S2592" s="280"/>
      <c r="T2592" s="222"/>
      <c r="U2592" s="223" t="s">
        <v>4593</v>
      </c>
    </row>
    <row r="2593" spans="1:21" s="181" customFormat="1" ht="0" hidden="1" customHeight="1" outlineLevel="4">
      <c r="A2593" s="253" t="s">
        <v>4594</v>
      </c>
      <c r="B2593" s="254"/>
      <c r="C2593" s="250" t="s">
        <v>1609</v>
      </c>
      <c r="D2593" s="203">
        <f>'02 项目基础信息（输入）'!$C$75</f>
        <v>0</v>
      </c>
      <c r="E2593" s="204" t="s">
        <v>93</v>
      </c>
      <c r="F2593" s="202"/>
      <c r="G2593" s="280"/>
      <c r="H2593" s="204"/>
      <c r="I2593" s="268"/>
      <c r="J2593" s="204"/>
      <c r="K2593" s="203"/>
      <c r="L2593" s="210"/>
      <c r="M2593" s="198">
        <f>ROUND(SUM(M2594:M2595),6)</f>
        <v>0</v>
      </c>
      <c r="N2593" s="212">
        <f>'02 项目基础信息（输入）'!$C$75</f>
        <v>0</v>
      </c>
      <c r="O2593" s="203">
        <f t="shared" si="293"/>
        <v>0</v>
      </c>
      <c r="P2593" s="203">
        <f t="shared" si="295"/>
        <v>0</v>
      </c>
      <c r="Q2593" s="271">
        <f t="shared" si="294"/>
        <v>0</v>
      </c>
      <c r="R2593" s="188"/>
      <c r="S2593" s="280"/>
      <c r="T2593" s="222"/>
      <c r="U2593" s="223" t="s">
        <v>4595</v>
      </c>
    </row>
    <row r="2594" spans="1:21" s="181" customFormat="1" ht="0" hidden="1" customHeight="1" outlineLevel="5">
      <c r="A2594" s="253" t="s">
        <v>4596</v>
      </c>
      <c r="B2594" s="254"/>
      <c r="C2594" s="250" t="s">
        <v>1609</v>
      </c>
      <c r="D2594" s="203">
        <f>'02 项目基础信息（输入）'!$C$75</f>
        <v>0</v>
      </c>
      <c r="E2594" s="204" t="s">
        <v>93</v>
      </c>
      <c r="F2594" s="202" t="s">
        <v>4597</v>
      </c>
      <c r="G2594" s="210">
        <f>IFERROR(I2594/D2594,0)</f>
        <v>0</v>
      </c>
      <c r="H2594" s="204" t="s">
        <v>4598</v>
      </c>
      <c r="I2594" s="292"/>
      <c r="J2594" s="204" t="s">
        <v>1052</v>
      </c>
      <c r="K2594" s="270"/>
      <c r="L2594" s="210" t="s">
        <v>746</v>
      </c>
      <c r="M2594" s="198">
        <f>ROUND(K2594*I2594/10000,6)</f>
        <v>0</v>
      </c>
      <c r="N2594" s="212">
        <f>'02 项目基础信息（输入）'!$C$75</f>
        <v>0</v>
      </c>
      <c r="O2594" s="203">
        <f t="shared" si="293"/>
        <v>0</v>
      </c>
      <c r="P2594" s="203">
        <f t="shared" si="295"/>
        <v>0</v>
      </c>
      <c r="Q2594" s="271">
        <f t="shared" si="294"/>
        <v>0</v>
      </c>
      <c r="R2594" s="188"/>
      <c r="S2594" s="280"/>
      <c r="T2594" s="222"/>
      <c r="U2594" s="223" t="s">
        <v>4599</v>
      </c>
    </row>
    <row r="2595" spans="1:21" s="181" customFormat="1" ht="0" hidden="1" customHeight="1" outlineLevel="5">
      <c r="A2595" s="253" t="s">
        <v>4600</v>
      </c>
      <c r="B2595" s="254"/>
      <c r="C2595" s="250" t="s">
        <v>1609</v>
      </c>
      <c r="D2595" s="203">
        <f>'02 项目基础信息（输入）'!$C$75</f>
        <v>0</v>
      </c>
      <c r="E2595" s="204" t="s">
        <v>93</v>
      </c>
      <c r="F2595" s="202" t="s">
        <v>4597</v>
      </c>
      <c r="G2595" s="210">
        <f>IFERROR(I2595/D2595,0)</f>
        <v>0</v>
      </c>
      <c r="H2595" s="204" t="s">
        <v>4598</v>
      </c>
      <c r="I2595" s="212">
        <f>I2594</f>
        <v>0</v>
      </c>
      <c r="J2595" s="204" t="s">
        <v>1052</v>
      </c>
      <c r="K2595" s="270"/>
      <c r="L2595" s="210" t="s">
        <v>746</v>
      </c>
      <c r="M2595" s="198">
        <f>ROUND(K2595*I2595/10000,6)</f>
        <v>0</v>
      </c>
      <c r="N2595" s="212">
        <f>'02 项目基础信息（输入）'!$C$75</f>
        <v>0</v>
      </c>
      <c r="O2595" s="203">
        <f t="shared" si="293"/>
        <v>0</v>
      </c>
      <c r="P2595" s="203">
        <f t="shared" si="295"/>
        <v>0</v>
      </c>
      <c r="Q2595" s="271">
        <f t="shared" si="294"/>
        <v>0</v>
      </c>
      <c r="R2595" s="188"/>
      <c r="S2595" s="280"/>
      <c r="T2595" s="222"/>
      <c r="U2595" s="223" t="s">
        <v>4601</v>
      </c>
    </row>
    <row r="2596" spans="1:21" s="181" customFormat="1" ht="0" hidden="1" customHeight="1" outlineLevel="4">
      <c r="A2596" s="253" t="s">
        <v>4602</v>
      </c>
      <c r="B2596" s="254"/>
      <c r="C2596" s="250" t="s">
        <v>1609</v>
      </c>
      <c r="D2596" s="203">
        <f>'02 项目基础信息（输入）'!$C$75</f>
        <v>0</v>
      </c>
      <c r="E2596" s="204" t="s">
        <v>93</v>
      </c>
      <c r="F2596" s="202"/>
      <c r="G2596" s="280"/>
      <c r="H2596" s="204"/>
      <c r="I2596" s="268"/>
      <c r="J2596" s="204"/>
      <c r="K2596" s="203"/>
      <c r="L2596" s="210"/>
      <c r="M2596" s="198">
        <f>ROUND(SUM(M2597:M2598),6)</f>
        <v>0</v>
      </c>
      <c r="N2596" s="212">
        <f>'02 项目基础信息（输入）'!$C$75</f>
        <v>0</v>
      </c>
      <c r="O2596" s="203">
        <f t="shared" si="293"/>
        <v>0</v>
      </c>
      <c r="P2596" s="203">
        <f t="shared" si="295"/>
        <v>0</v>
      </c>
      <c r="Q2596" s="271">
        <f t="shared" si="294"/>
        <v>0</v>
      </c>
      <c r="R2596" s="188"/>
      <c r="S2596" s="280"/>
      <c r="T2596" s="222"/>
      <c r="U2596" s="223" t="s">
        <v>4603</v>
      </c>
    </row>
    <row r="2597" spans="1:21" s="181" customFormat="1" ht="0" hidden="1" customHeight="1" outlineLevel="5">
      <c r="A2597" s="253" t="s">
        <v>4604</v>
      </c>
      <c r="B2597" s="254"/>
      <c r="C2597" s="250" t="s">
        <v>1609</v>
      </c>
      <c r="D2597" s="203">
        <f>'02 项目基础信息（输入）'!$C$75</f>
        <v>0</v>
      </c>
      <c r="E2597" s="204" t="s">
        <v>93</v>
      </c>
      <c r="F2597" s="202" t="s">
        <v>4605</v>
      </c>
      <c r="G2597" s="210">
        <f>IFERROR(I2597/D2597,0)</f>
        <v>0</v>
      </c>
      <c r="H2597" s="204" t="s">
        <v>4606</v>
      </c>
      <c r="I2597" s="292"/>
      <c r="J2597" s="204" t="s">
        <v>1946</v>
      </c>
      <c r="K2597" s="270"/>
      <c r="L2597" s="210" t="s">
        <v>1948</v>
      </c>
      <c r="M2597" s="198">
        <f>ROUND(K2597*I2597/10000,6)</f>
        <v>0</v>
      </c>
      <c r="N2597" s="212">
        <f>'02 项目基础信息（输入）'!$C$75</f>
        <v>0</v>
      </c>
      <c r="O2597" s="203">
        <f t="shared" si="293"/>
        <v>0</v>
      </c>
      <c r="P2597" s="203">
        <f t="shared" si="295"/>
        <v>0</v>
      </c>
      <c r="Q2597" s="271">
        <f t="shared" si="294"/>
        <v>0</v>
      </c>
      <c r="R2597" s="188"/>
      <c r="S2597" s="280"/>
      <c r="T2597" s="222"/>
      <c r="U2597" s="223" t="s">
        <v>4607</v>
      </c>
    </row>
    <row r="2598" spans="1:21" s="181" customFormat="1" ht="0" hidden="1" customHeight="1" outlineLevel="5">
      <c r="A2598" s="253" t="s">
        <v>4608</v>
      </c>
      <c r="B2598" s="254"/>
      <c r="C2598" s="250" t="s">
        <v>1609</v>
      </c>
      <c r="D2598" s="203">
        <f>'02 项目基础信息（输入）'!$C$75</f>
        <v>0</v>
      </c>
      <c r="E2598" s="204" t="s">
        <v>93</v>
      </c>
      <c r="F2598" s="202" t="s">
        <v>4605</v>
      </c>
      <c r="G2598" s="210">
        <f>IFERROR(I2598/D2598,0)</f>
        <v>0</v>
      </c>
      <c r="H2598" s="204" t="s">
        <v>4606</v>
      </c>
      <c r="I2598" s="212">
        <f>I2597</f>
        <v>0</v>
      </c>
      <c r="J2598" s="204" t="s">
        <v>1946</v>
      </c>
      <c r="K2598" s="270"/>
      <c r="L2598" s="210" t="s">
        <v>1948</v>
      </c>
      <c r="M2598" s="198">
        <f>ROUND(K2598*I2598/10000,6)</f>
        <v>0</v>
      </c>
      <c r="N2598" s="212">
        <f>'02 项目基础信息（输入）'!$C$75</f>
        <v>0</v>
      </c>
      <c r="O2598" s="203">
        <f t="shared" si="293"/>
        <v>0</v>
      </c>
      <c r="P2598" s="203">
        <f t="shared" si="295"/>
        <v>0</v>
      </c>
      <c r="Q2598" s="271">
        <f t="shared" si="294"/>
        <v>0</v>
      </c>
      <c r="R2598" s="188"/>
      <c r="S2598" s="280"/>
      <c r="T2598" s="222"/>
      <c r="U2598" s="223" t="s">
        <v>4609</v>
      </c>
    </row>
    <row r="2599" spans="1:21" s="181" customFormat="1" ht="0" hidden="1" customHeight="1" outlineLevel="4">
      <c r="A2599" s="253" t="s">
        <v>4610</v>
      </c>
      <c r="B2599" s="254"/>
      <c r="C2599" s="250" t="s">
        <v>1609</v>
      </c>
      <c r="D2599" s="203">
        <f>'02 项目基础信息（输入）'!$C$75</f>
        <v>0</v>
      </c>
      <c r="E2599" s="204" t="s">
        <v>93</v>
      </c>
      <c r="F2599" s="202" t="s">
        <v>1648</v>
      </c>
      <c r="G2599" s="290">
        <v>1</v>
      </c>
      <c r="H2599" s="204" t="s">
        <v>298</v>
      </c>
      <c r="I2599" s="265">
        <f>D2599*G2599</f>
        <v>0</v>
      </c>
      <c r="J2599" s="204" t="s">
        <v>93</v>
      </c>
      <c r="K2599" s="270"/>
      <c r="L2599" s="210" t="s">
        <v>675</v>
      </c>
      <c r="M2599" s="198">
        <f>ROUND(K2599*I2599/10000,6)</f>
        <v>0</v>
      </c>
      <c r="N2599" s="212">
        <f>'02 项目基础信息（输入）'!$C$75</f>
        <v>0</v>
      </c>
      <c r="O2599" s="203">
        <f t="shared" si="293"/>
        <v>0</v>
      </c>
      <c r="P2599" s="203">
        <f t="shared" si="295"/>
        <v>0</v>
      </c>
      <c r="Q2599" s="271">
        <f t="shared" si="294"/>
        <v>0</v>
      </c>
      <c r="R2599" s="188"/>
      <c r="S2599" s="280"/>
      <c r="T2599" s="222"/>
      <c r="U2599" s="223" t="s">
        <v>4611</v>
      </c>
    </row>
    <row r="2600" spans="1:21" ht="0" hidden="1" customHeight="1" outlineLevel="3">
      <c r="A2600" s="201" t="s">
        <v>4612</v>
      </c>
      <c r="B2600" s="201"/>
      <c r="C2600" s="202" t="s">
        <v>1609</v>
      </c>
      <c r="D2600" s="203">
        <f>'02 项目基础信息（输入）'!$C$75</f>
        <v>0</v>
      </c>
      <c r="E2600" s="204" t="s">
        <v>93</v>
      </c>
      <c r="F2600" s="202"/>
      <c r="G2600" s="204"/>
      <c r="H2600" s="204"/>
      <c r="I2600" s="212"/>
      <c r="J2600" s="255"/>
      <c r="K2600" s="231"/>
      <c r="L2600" s="205"/>
      <c r="M2600" s="198">
        <f>ROUND(SUM(M2601:M2603),6)</f>
        <v>0</v>
      </c>
      <c r="N2600" s="212">
        <f>'02 项目基础信息（输入）'!$C$75</f>
        <v>0</v>
      </c>
      <c r="O2600" s="203">
        <f t="shared" si="293"/>
        <v>0</v>
      </c>
      <c r="P2600" s="203">
        <f t="shared" si="295"/>
        <v>0</v>
      </c>
      <c r="Q2600" s="271">
        <f t="shared" si="294"/>
        <v>0</v>
      </c>
      <c r="S2600" s="280"/>
      <c r="T2600" s="222"/>
      <c r="U2600" s="223" t="s">
        <v>4613</v>
      </c>
    </row>
    <row r="2601" spans="1:21" s="181" customFormat="1" ht="0" hidden="1" customHeight="1" outlineLevel="5">
      <c r="A2601" s="253" t="s">
        <v>4614</v>
      </c>
      <c r="B2601" s="253"/>
      <c r="C2601" s="202" t="s">
        <v>1609</v>
      </c>
      <c r="D2601" s="203">
        <f>'02 项目基础信息（输入）'!$C$75</f>
        <v>0</v>
      </c>
      <c r="E2601" s="204" t="s">
        <v>93</v>
      </c>
      <c r="F2601" s="202" t="s">
        <v>4615</v>
      </c>
      <c r="G2601" s="210">
        <f>IFERROR(I2601/D2601,0)</f>
        <v>0</v>
      </c>
      <c r="H2601" s="204" t="s">
        <v>4598</v>
      </c>
      <c r="I2601" s="281">
        <f>'03 成本测算（输入）'!D203</f>
        <v>0</v>
      </c>
      <c r="J2601" s="204" t="s">
        <v>1052</v>
      </c>
      <c r="K2601" s="273">
        <f>'03 成本测算（输入）'!D204</f>
        <v>0</v>
      </c>
      <c r="L2601" s="210" t="s">
        <v>746</v>
      </c>
      <c r="M2601" s="198">
        <f>ROUND(K2601*I2601/10000,6)</f>
        <v>0</v>
      </c>
      <c r="N2601" s="212">
        <f>'02 项目基础信息（输入）'!$C$75</f>
        <v>0</v>
      </c>
      <c r="O2601" s="203">
        <f t="shared" si="293"/>
        <v>0</v>
      </c>
      <c r="P2601" s="203">
        <f t="shared" si="295"/>
        <v>0</v>
      </c>
      <c r="Q2601" s="271">
        <f t="shared" si="294"/>
        <v>0</v>
      </c>
      <c r="R2601" s="188"/>
      <c r="S2601" s="280"/>
      <c r="T2601" s="222"/>
      <c r="U2601" s="223" t="s">
        <v>4616</v>
      </c>
    </row>
    <row r="2602" spans="1:21" s="181" customFormat="1" ht="0" hidden="1" customHeight="1" outlineLevel="5">
      <c r="A2602" s="253" t="s">
        <v>4617</v>
      </c>
      <c r="B2602" s="253"/>
      <c r="C2602" s="202" t="s">
        <v>1609</v>
      </c>
      <c r="D2602" s="203">
        <f>'02 项目基础信息（输入）'!$C$75</f>
        <v>0</v>
      </c>
      <c r="E2602" s="204" t="s">
        <v>93</v>
      </c>
      <c r="F2602" s="202" t="s">
        <v>4618</v>
      </c>
      <c r="G2602" s="210">
        <f>IFERROR(I2602/D2602,0)</f>
        <v>0</v>
      </c>
      <c r="H2602" s="204" t="s">
        <v>4598</v>
      </c>
      <c r="I2602" s="286"/>
      <c r="J2602" s="204" t="s">
        <v>1052</v>
      </c>
      <c r="K2602" s="270"/>
      <c r="L2602" s="210" t="s">
        <v>746</v>
      </c>
      <c r="M2602" s="198">
        <f>ROUND(K2602*I2602/10000,6)</f>
        <v>0</v>
      </c>
      <c r="N2602" s="212">
        <f>'02 项目基础信息（输入）'!$C$75</f>
        <v>0</v>
      </c>
      <c r="O2602" s="203">
        <f t="shared" si="293"/>
        <v>0</v>
      </c>
      <c r="P2602" s="203">
        <f t="shared" si="295"/>
        <v>0</v>
      </c>
      <c r="Q2602" s="271">
        <f t="shared" si="294"/>
        <v>0</v>
      </c>
      <c r="R2602" s="188"/>
      <c r="S2602" s="280"/>
      <c r="T2602" s="222"/>
      <c r="U2602" s="223" t="s">
        <v>4619</v>
      </c>
    </row>
    <row r="2603" spans="1:21" s="181" customFormat="1" ht="0" hidden="1" customHeight="1" outlineLevel="5">
      <c r="A2603" s="253" t="s">
        <v>4620</v>
      </c>
      <c r="B2603" s="253"/>
      <c r="C2603" s="202" t="s">
        <v>1609</v>
      </c>
      <c r="D2603" s="203">
        <f>'02 项目基础信息（输入）'!$C$75</f>
        <v>0</v>
      </c>
      <c r="E2603" s="204" t="s">
        <v>93</v>
      </c>
      <c r="F2603" s="202" t="s">
        <v>4621</v>
      </c>
      <c r="G2603" s="210">
        <f>IFERROR(I2603/D2603,0)</f>
        <v>0</v>
      </c>
      <c r="H2603" s="204" t="s">
        <v>4598</v>
      </c>
      <c r="I2603" s="286"/>
      <c r="J2603" s="204" t="s">
        <v>1052</v>
      </c>
      <c r="K2603" s="270"/>
      <c r="L2603" s="210" t="s">
        <v>746</v>
      </c>
      <c r="M2603" s="198">
        <f>ROUND(K2603*I2603/10000,6)</f>
        <v>0</v>
      </c>
      <c r="N2603" s="212">
        <f>'02 项目基础信息（输入）'!$C$75</f>
        <v>0</v>
      </c>
      <c r="O2603" s="203">
        <f t="shared" si="293"/>
        <v>0</v>
      </c>
      <c r="P2603" s="203">
        <f t="shared" si="295"/>
        <v>0</v>
      </c>
      <c r="Q2603" s="271">
        <f t="shared" si="294"/>
        <v>0</v>
      </c>
      <c r="R2603" s="188"/>
      <c r="S2603" s="280"/>
      <c r="T2603" s="222"/>
      <c r="U2603" s="223" t="s">
        <v>4622</v>
      </c>
    </row>
    <row r="2604" spans="1:21" ht="0" hidden="1" customHeight="1" outlineLevel="2">
      <c r="A2604" s="201" t="s">
        <v>4623</v>
      </c>
      <c r="B2604" s="201"/>
      <c r="C2604" s="202" t="s">
        <v>1609</v>
      </c>
      <c r="D2604" s="203">
        <f>'02 项目基础信息（输入）'!$C$75</f>
        <v>0</v>
      </c>
      <c r="E2604" s="204" t="s">
        <v>93</v>
      </c>
      <c r="F2604" s="256"/>
      <c r="G2604" s="255"/>
      <c r="H2604" s="255"/>
      <c r="I2604" s="212"/>
      <c r="J2604" s="255"/>
      <c r="K2604" s="264"/>
      <c r="L2604" s="205"/>
      <c r="M2604" s="198">
        <f>ROUND(SUM(M2605:M2607),6)</f>
        <v>0</v>
      </c>
      <c r="N2604" s="212">
        <f>'02 项目基础信息（输入）'!$C$75</f>
        <v>0</v>
      </c>
      <c r="O2604" s="203">
        <f t="shared" si="293"/>
        <v>0</v>
      </c>
      <c r="P2604" s="203">
        <f t="shared" si="295"/>
        <v>0</v>
      </c>
      <c r="Q2604" s="271">
        <f t="shared" si="294"/>
        <v>0</v>
      </c>
      <c r="S2604" s="280" t="s">
        <v>1314</v>
      </c>
      <c r="T2604" s="222"/>
      <c r="U2604" s="223" t="s">
        <v>4624</v>
      </c>
    </row>
    <row r="2605" spans="1:21" s="181" customFormat="1" ht="0" hidden="1" customHeight="1" outlineLevel="3">
      <c r="A2605" s="253" t="s">
        <v>4625</v>
      </c>
      <c r="B2605" s="254"/>
      <c r="C2605" s="250" t="s">
        <v>1609</v>
      </c>
      <c r="D2605" s="203">
        <f>'02 项目基础信息（输入）'!$C$75</f>
        <v>0</v>
      </c>
      <c r="E2605" s="204" t="s">
        <v>93</v>
      </c>
      <c r="F2605" s="202" t="s">
        <v>694</v>
      </c>
      <c r="G2605" s="261">
        <f>IFERROR(I2605/D2605,0)</f>
        <v>0</v>
      </c>
      <c r="H2605" s="204" t="s">
        <v>1473</v>
      </c>
      <c r="I2605" s="270"/>
      <c r="J2605" s="204" t="s">
        <v>131</v>
      </c>
      <c r="K2605" s="270"/>
      <c r="L2605" s="210" t="s">
        <v>792</v>
      </c>
      <c r="M2605" s="198">
        <f>ROUND(K2605*I2605/10000,6)</f>
        <v>0</v>
      </c>
      <c r="N2605" s="212">
        <f>'02 项目基础信息（输入）'!$C$75</f>
        <v>0</v>
      </c>
      <c r="O2605" s="203">
        <f t="shared" si="293"/>
        <v>0</v>
      </c>
      <c r="P2605" s="203">
        <f t="shared" si="295"/>
        <v>0</v>
      </c>
      <c r="Q2605" s="271">
        <f t="shared" si="294"/>
        <v>0</v>
      </c>
      <c r="R2605" s="188"/>
      <c r="S2605" s="280"/>
      <c r="T2605" s="222"/>
      <c r="U2605" s="223" t="s">
        <v>4626</v>
      </c>
    </row>
    <row r="2606" spans="1:21" s="181" customFormat="1" ht="0" hidden="1" customHeight="1" outlineLevel="3">
      <c r="A2606" s="253" t="s">
        <v>4627</v>
      </c>
      <c r="B2606" s="254"/>
      <c r="C2606" s="250" t="s">
        <v>1609</v>
      </c>
      <c r="D2606" s="203">
        <f>'02 项目基础信息（输入）'!$C$75</f>
        <v>0</v>
      </c>
      <c r="E2606" s="204" t="s">
        <v>93</v>
      </c>
      <c r="F2606" s="202" t="s">
        <v>694</v>
      </c>
      <c r="G2606" s="261">
        <f>IFERROR(I2606/D2606,0)</f>
        <v>0</v>
      </c>
      <c r="H2606" s="204" t="s">
        <v>1473</v>
      </c>
      <c r="I2606" s="270"/>
      <c r="J2606" s="204" t="s">
        <v>131</v>
      </c>
      <c r="K2606" s="270"/>
      <c r="L2606" s="210" t="s">
        <v>792</v>
      </c>
      <c r="M2606" s="198">
        <f>ROUND(K2606*I2606/10000,6)</f>
        <v>0</v>
      </c>
      <c r="N2606" s="212">
        <f>'02 项目基础信息（输入）'!$C$75</f>
        <v>0</v>
      </c>
      <c r="O2606" s="203">
        <f t="shared" si="293"/>
        <v>0</v>
      </c>
      <c r="P2606" s="203">
        <f t="shared" si="295"/>
        <v>0</v>
      </c>
      <c r="Q2606" s="271">
        <f t="shared" si="294"/>
        <v>0</v>
      </c>
      <c r="R2606" s="188"/>
      <c r="S2606" s="280"/>
      <c r="T2606" s="222"/>
      <c r="U2606" s="223" t="s">
        <v>4628</v>
      </c>
    </row>
    <row r="2607" spans="1:21" s="181" customFormat="1" ht="0" hidden="1" customHeight="1" outlineLevel="3">
      <c r="A2607" s="253" t="s">
        <v>4629</v>
      </c>
      <c r="B2607" s="254"/>
      <c r="C2607" s="250" t="s">
        <v>1609</v>
      </c>
      <c r="D2607" s="203">
        <f>'02 项目基础信息（输入）'!$C$75</f>
        <v>0</v>
      </c>
      <c r="E2607" s="204" t="s">
        <v>131</v>
      </c>
      <c r="F2607" s="202" t="s">
        <v>694</v>
      </c>
      <c r="G2607" s="261">
        <f>IFERROR(I2607/D2607,0)</f>
        <v>0</v>
      </c>
      <c r="H2607" s="204" t="s">
        <v>1473</v>
      </c>
      <c r="I2607" s="270"/>
      <c r="J2607" s="204" t="s">
        <v>131</v>
      </c>
      <c r="K2607" s="270"/>
      <c r="L2607" s="210" t="s">
        <v>792</v>
      </c>
      <c r="M2607" s="198">
        <f>ROUND(K2607*I2607/10000,6)</f>
        <v>0</v>
      </c>
      <c r="N2607" s="212">
        <f>'02 项目基础信息（输入）'!$C$75</f>
        <v>0</v>
      </c>
      <c r="O2607" s="203">
        <f t="shared" si="293"/>
        <v>0</v>
      </c>
      <c r="P2607" s="203">
        <f t="shared" si="295"/>
        <v>0</v>
      </c>
      <c r="Q2607" s="271">
        <f t="shared" si="294"/>
        <v>0</v>
      </c>
      <c r="R2607" s="188"/>
      <c r="S2607" s="280"/>
      <c r="T2607" s="222"/>
      <c r="U2607" s="223" t="s">
        <v>4630</v>
      </c>
    </row>
    <row r="2608" spans="1:21" ht="0" hidden="1" customHeight="1" outlineLevel="2">
      <c r="A2608" s="201" t="s">
        <v>4631</v>
      </c>
      <c r="B2608" s="201"/>
      <c r="C2608" s="202" t="s">
        <v>1609</v>
      </c>
      <c r="D2608" s="203">
        <f>'02 项目基础信息（输入）'!$C$75</f>
        <v>0</v>
      </c>
      <c r="E2608" s="204" t="s">
        <v>93</v>
      </c>
      <c r="F2608" s="202"/>
      <c r="G2608" s="204"/>
      <c r="H2608" s="204"/>
      <c r="I2608" s="203"/>
      <c r="J2608" s="204"/>
      <c r="K2608" s="264"/>
      <c r="L2608" s="205"/>
      <c r="M2608" s="198">
        <f>ROUND(SUM(M2609:M2614),6)</f>
        <v>0</v>
      </c>
      <c r="N2608" s="212">
        <f>'02 项目基础信息（输入）'!$C$75</f>
        <v>0</v>
      </c>
      <c r="O2608" s="203">
        <f t="shared" si="293"/>
        <v>0</v>
      </c>
      <c r="P2608" s="203">
        <f t="shared" si="295"/>
        <v>0</v>
      </c>
      <c r="Q2608" s="271">
        <f t="shared" si="294"/>
        <v>0</v>
      </c>
      <c r="S2608" s="280" t="s">
        <v>1314</v>
      </c>
      <c r="T2608" s="222"/>
      <c r="U2608" s="223" t="s">
        <v>4632</v>
      </c>
    </row>
    <row r="2609" spans="1:21" ht="0" hidden="1" customHeight="1" outlineLevel="3">
      <c r="A2609" s="253" t="s">
        <v>4633</v>
      </c>
      <c r="B2609" s="253"/>
      <c r="C2609" s="202" t="s">
        <v>1081</v>
      </c>
      <c r="D2609" s="289">
        <f>'02 项目基础信息（输入）'!AX75</f>
        <v>0</v>
      </c>
      <c r="E2609" s="204" t="s">
        <v>1082</v>
      </c>
      <c r="F2609" s="202" t="s">
        <v>1081</v>
      </c>
      <c r="G2609" s="204">
        <v>1</v>
      </c>
      <c r="H2609" s="204" t="s">
        <v>1918</v>
      </c>
      <c r="I2609" s="293">
        <f t="shared" ref="I2609:I2614" si="297">D2609*G2609</f>
        <v>0</v>
      </c>
      <c r="J2609" s="204" t="s">
        <v>1082</v>
      </c>
      <c r="K2609" s="267">
        <f>'03 成本测算（输入）'!D216</f>
        <v>0</v>
      </c>
      <c r="L2609" s="210" t="s">
        <v>1087</v>
      </c>
      <c r="M2609" s="198">
        <f t="shared" ref="M2609:M2614" si="298">ROUND(K2609*I2609/10000,6)</f>
        <v>0</v>
      </c>
      <c r="N2609" s="212">
        <f>'02 项目基础信息（输入）'!$C$75</f>
        <v>0</v>
      </c>
      <c r="O2609" s="203">
        <f t="shared" si="293"/>
        <v>0</v>
      </c>
      <c r="P2609" s="203">
        <f t="shared" si="295"/>
        <v>0</v>
      </c>
      <c r="Q2609" s="271">
        <f t="shared" si="294"/>
        <v>0</v>
      </c>
      <c r="S2609" s="280"/>
      <c r="T2609" s="222"/>
      <c r="U2609" s="223" t="s">
        <v>4634</v>
      </c>
    </row>
    <row r="2610" spans="1:21" ht="0" hidden="1" customHeight="1" outlineLevel="3">
      <c r="A2610" s="253" t="s">
        <v>4635</v>
      </c>
      <c r="B2610" s="253"/>
      <c r="C2610" s="202" t="s">
        <v>1081</v>
      </c>
      <c r="D2610" s="291">
        <f>D2609</f>
        <v>0</v>
      </c>
      <c r="E2610" s="204" t="s">
        <v>1082</v>
      </c>
      <c r="F2610" s="202" t="s">
        <v>1081</v>
      </c>
      <c r="G2610" s="204">
        <v>1</v>
      </c>
      <c r="H2610" s="204" t="s">
        <v>1918</v>
      </c>
      <c r="I2610" s="293">
        <f t="shared" si="297"/>
        <v>0</v>
      </c>
      <c r="J2610" s="204" t="s">
        <v>1082</v>
      </c>
      <c r="K2610" s="267">
        <f>'03 成本测算（输入）'!D217</f>
        <v>0</v>
      </c>
      <c r="L2610" s="210" t="s">
        <v>1087</v>
      </c>
      <c r="M2610" s="198">
        <f t="shared" si="298"/>
        <v>0</v>
      </c>
      <c r="N2610" s="212">
        <f>'02 项目基础信息（输入）'!$C$75</f>
        <v>0</v>
      </c>
      <c r="O2610" s="203">
        <f t="shared" si="293"/>
        <v>0</v>
      </c>
      <c r="P2610" s="203">
        <f t="shared" si="295"/>
        <v>0</v>
      </c>
      <c r="Q2610" s="271">
        <f t="shared" si="294"/>
        <v>0</v>
      </c>
      <c r="S2610" s="280"/>
      <c r="T2610" s="222"/>
      <c r="U2610" s="223" t="s">
        <v>4636</v>
      </c>
    </row>
    <row r="2611" spans="1:21" ht="0" hidden="1" customHeight="1" outlineLevel="3">
      <c r="A2611" s="253" t="s">
        <v>4637</v>
      </c>
      <c r="B2611" s="253"/>
      <c r="C2611" s="202" t="s">
        <v>1091</v>
      </c>
      <c r="D2611" s="289">
        <f>'02 项目基础信息（输入）'!AY75</f>
        <v>0</v>
      </c>
      <c r="E2611" s="204" t="s">
        <v>1082</v>
      </c>
      <c r="F2611" s="202" t="s">
        <v>1091</v>
      </c>
      <c r="G2611" s="204">
        <v>1</v>
      </c>
      <c r="H2611" s="204" t="s">
        <v>1918</v>
      </c>
      <c r="I2611" s="293">
        <f t="shared" si="297"/>
        <v>0</v>
      </c>
      <c r="J2611" s="204" t="s">
        <v>1082</v>
      </c>
      <c r="K2611" s="267">
        <f>'03 成本测算（输入）'!D219</f>
        <v>0</v>
      </c>
      <c r="L2611" s="210" t="s">
        <v>1087</v>
      </c>
      <c r="M2611" s="198">
        <f t="shared" si="298"/>
        <v>0</v>
      </c>
      <c r="N2611" s="212">
        <f>'02 项目基础信息（输入）'!$C$75</f>
        <v>0</v>
      </c>
      <c r="O2611" s="203">
        <f t="shared" si="293"/>
        <v>0</v>
      </c>
      <c r="P2611" s="203">
        <f t="shared" si="295"/>
        <v>0</v>
      </c>
      <c r="Q2611" s="271">
        <f t="shared" si="294"/>
        <v>0</v>
      </c>
      <c r="S2611" s="280"/>
      <c r="T2611" s="222"/>
      <c r="U2611" s="223" t="s">
        <v>4638</v>
      </c>
    </row>
    <row r="2612" spans="1:21" ht="0" hidden="1" customHeight="1" outlineLevel="3">
      <c r="A2612" s="253" t="s">
        <v>4639</v>
      </c>
      <c r="B2612" s="253"/>
      <c r="C2612" s="202" t="s">
        <v>1091</v>
      </c>
      <c r="D2612" s="291">
        <f>D2611</f>
        <v>0</v>
      </c>
      <c r="E2612" s="204" t="s">
        <v>1082</v>
      </c>
      <c r="F2612" s="202" t="s">
        <v>1091</v>
      </c>
      <c r="G2612" s="204">
        <v>1</v>
      </c>
      <c r="H2612" s="204" t="s">
        <v>1918</v>
      </c>
      <c r="I2612" s="293">
        <f t="shared" si="297"/>
        <v>0</v>
      </c>
      <c r="J2612" s="204" t="s">
        <v>1082</v>
      </c>
      <c r="K2612" s="267">
        <f>'03 成本测算（输入）'!D220</f>
        <v>0</v>
      </c>
      <c r="L2612" s="210" t="s">
        <v>1087</v>
      </c>
      <c r="M2612" s="198">
        <f t="shared" si="298"/>
        <v>0</v>
      </c>
      <c r="N2612" s="212">
        <f>'02 项目基础信息（输入）'!$C$75</f>
        <v>0</v>
      </c>
      <c r="O2612" s="203">
        <f t="shared" si="293"/>
        <v>0</v>
      </c>
      <c r="P2612" s="203">
        <f t="shared" si="295"/>
        <v>0</v>
      </c>
      <c r="Q2612" s="271">
        <f t="shared" si="294"/>
        <v>0</v>
      </c>
      <c r="S2612" s="280"/>
      <c r="T2612" s="222"/>
      <c r="U2612" s="223" t="s">
        <v>4640</v>
      </c>
    </row>
    <row r="2613" spans="1:21" ht="0" hidden="1" customHeight="1" outlineLevel="3">
      <c r="A2613" s="253" t="s">
        <v>4641</v>
      </c>
      <c r="B2613" s="253"/>
      <c r="C2613" s="202" t="s">
        <v>1099</v>
      </c>
      <c r="D2613" s="289">
        <f>'02 项目基础信息（输入）'!AZ75</f>
        <v>0</v>
      </c>
      <c r="E2613" s="204" t="s">
        <v>1082</v>
      </c>
      <c r="F2613" s="202" t="s">
        <v>1099</v>
      </c>
      <c r="G2613" s="204">
        <v>1</v>
      </c>
      <c r="H2613" s="204" t="s">
        <v>1918</v>
      </c>
      <c r="I2613" s="293">
        <f t="shared" si="297"/>
        <v>0</v>
      </c>
      <c r="J2613" s="204" t="s">
        <v>1082</v>
      </c>
      <c r="K2613" s="267">
        <f>'03 成本测算（输入）'!D222</f>
        <v>0</v>
      </c>
      <c r="L2613" s="210" t="s">
        <v>1087</v>
      </c>
      <c r="M2613" s="198">
        <f t="shared" si="298"/>
        <v>0</v>
      </c>
      <c r="N2613" s="212">
        <f>'02 项目基础信息（输入）'!$C$75</f>
        <v>0</v>
      </c>
      <c r="O2613" s="203">
        <f t="shared" si="293"/>
        <v>0</v>
      </c>
      <c r="P2613" s="203">
        <f t="shared" si="295"/>
        <v>0</v>
      </c>
      <c r="Q2613" s="271">
        <f t="shared" si="294"/>
        <v>0</v>
      </c>
      <c r="S2613" s="280"/>
      <c r="T2613" s="222"/>
      <c r="U2613" s="223" t="s">
        <v>4642</v>
      </c>
    </row>
    <row r="2614" spans="1:21" ht="0" hidden="1" customHeight="1" outlineLevel="3">
      <c r="A2614" s="253" t="s">
        <v>4643</v>
      </c>
      <c r="B2614" s="253"/>
      <c r="C2614" s="202" t="s">
        <v>1099</v>
      </c>
      <c r="D2614" s="291">
        <f>D2613</f>
        <v>0</v>
      </c>
      <c r="E2614" s="204" t="s">
        <v>1082</v>
      </c>
      <c r="F2614" s="202" t="s">
        <v>1099</v>
      </c>
      <c r="G2614" s="204">
        <v>1</v>
      </c>
      <c r="H2614" s="204" t="s">
        <v>1918</v>
      </c>
      <c r="I2614" s="293">
        <f t="shared" si="297"/>
        <v>0</v>
      </c>
      <c r="J2614" s="204" t="s">
        <v>1082</v>
      </c>
      <c r="K2614" s="267">
        <f>'03 成本测算（输入）'!D223</f>
        <v>0</v>
      </c>
      <c r="L2614" s="210" t="s">
        <v>1087</v>
      </c>
      <c r="M2614" s="198">
        <f t="shared" si="298"/>
        <v>0</v>
      </c>
      <c r="N2614" s="212">
        <f>'02 项目基础信息（输入）'!$C$75</f>
        <v>0</v>
      </c>
      <c r="O2614" s="203">
        <f t="shared" si="293"/>
        <v>0</v>
      </c>
      <c r="P2614" s="203">
        <f t="shared" si="295"/>
        <v>0</v>
      </c>
      <c r="Q2614" s="271">
        <f t="shared" si="294"/>
        <v>0</v>
      </c>
      <c r="S2614" s="280"/>
      <c r="T2614" s="222"/>
      <c r="U2614" s="223" t="s">
        <v>4644</v>
      </c>
    </row>
    <row r="2615" spans="1:21" ht="0" hidden="1" customHeight="1" outlineLevel="2">
      <c r="A2615" s="201" t="s">
        <v>4268</v>
      </c>
      <c r="B2615" s="201"/>
      <c r="C2615" s="202" t="s">
        <v>1609</v>
      </c>
      <c r="D2615" s="203">
        <f>'02 项目基础信息（输入）'!$C$75</f>
        <v>0</v>
      </c>
      <c r="E2615" s="204" t="s">
        <v>93</v>
      </c>
      <c r="F2615" s="202"/>
      <c r="G2615" s="204"/>
      <c r="H2615" s="255"/>
      <c r="I2615" s="212"/>
      <c r="J2615" s="255"/>
      <c r="K2615" s="264"/>
      <c r="L2615" s="205"/>
      <c r="M2615" s="198">
        <f>ROUND(M2616+M2623+M2633+M2634+M2635+M2636,6)</f>
        <v>0</v>
      </c>
      <c r="N2615" s="212">
        <f>'02 项目基础信息（输入）'!$C$75</f>
        <v>0</v>
      </c>
      <c r="O2615" s="203">
        <f t="shared" si="293"/>
        <v>0</v>
      </c>
      <c r="P2615" s="203">
        <f t="shared" si="295"/>
        <v>0</v>
      </c>
      <c r="Q2615" s="271">
        <f t="shared" si="294"/>
        <v>0</v>
      </c>
      <c r="S2615" s="280" t="s">
        <v>1313</v>
      </c>
      <c r="T2615" s="222"/>
      <c r="U2615" s="223" t="s">
        <v>4645</v>
      </c>
    </row>
    <row r="2616" spans="1:21" ht="0" hidden="1" customHeight="1" outlineLevel="3">
      <c r="A2616" s="253" t="s">
        <v>4270</v>
      </c>
      <c r="B2616" s="253"/>
      <c r="C2616" s="202" t="s">
        <v>1609</v>
      </c>
      <c r="D2616" s="203">
        <f>'02 项目基础信息（输入）'!$C$75</f>
        <v>0</v>
      </c>
      <c r="E2616" s="204" t="s">
        <v>93</v>
      </c>
      <c r="F2616" s="202"/>
      <c r="G2616" s="204"/>
      <c r="H2616" s="255"/>
      <c r="I2616" s="212"/>
      <c r="J2616" s="255"/>
      <c r="K2616" s="264"/>
      <c r="L2616" s="205"/>
      <c r="M2616" s="198">
        <f>ROUND(SUM(M2617:M2622),6)</f>
        <v>0</v>
      </c>
      <c r="N2616" s="212">
        <f>'02 项目基础信息（输入）'!$C$75</f>
        <v>0</v>
      </c>
      <c r="O2616" s="203">
        <f t="shared" si="293"/>
        <v>0</v>
      </c>
      <c r="P2616" s="203">
        <f t="shared" si="295"/>
        <v>0</v>
      </c>
      <c r="Q2616" s="271">
        <f t="shared" si="294"/>
        <v>0</v>
      </c>
      <c r="S2616" s="280"/>
      <c r="T2616" s="222"/>
      <c r="U2616" s="223" t="s">
        <v>4646</v>
      </c>
    </row>
    <row r="2617" spans="1:21" ht="0" hidden="1" customHeight="1" outlineLevel="4">
      <c r="A2617" s="253" t="s">
        <v>4272</v>
      </c>
      <c r="B2617" s="253"/>
      <c r="C2617" s="202" t="s">
        <v>1609</v>
      </c>
      <c r="D2617" s="203">
        <f>'02 项目基础信息（输入）'!$C$75</f>
        <v>0</v>
      </c>
      <c r="E2617" s="204" t="s">
        <v>93</v>
      </c>
      <c r="F2617" s="202" t="s">
        <v>1609</v>
      </c>
      <c r="G2617" s="204">
        <v>1</v>
      </c>
      <c r="H2617" s="204" t="s">
        <v>298</v>
      </c>
      <c r="I2617" s="265">
        <f t="shared" ref="I2617:I2622" si="299">D2617*G2617</f>
        <v>0</v>
      </c>
      <c r="J2617" s="204" t="s">
        <v>93</v>
      </c>
      <c r="K2617" s="270"/>
      <c r="L2617" s="210" t="s">
        <v>675</v>
      </c>
      <c r="M2617" s="198">
        <f t="shared" ref="M2617:M2622" si="300">ROUND(K2617*I2617/10000,6)</f>
        <v>0</v>
      </c>
      <c r="N2617" s="212">
        <f>'02 项目基础信息（输入）'!$C$75</f>
        <v>0</v>
      </c>
      <c r="O2617" s="203">
        <f t="shared" si="293"/>
        <v>0</v>
      </c>
      <c r="P2617" s="203">
        <f t="shared" si="295"/>
        <v>0</v>
      </c>
      <c r="Q2617" s="271">
        <f t="shared" si="294"/>
        <v>0</v>
      </c>
      <c r="S2617" s="280"/>
      <c r="T2617" s="222"/>
      <c r="U2617" s="223" t="s">
        <v>4647</v>
      </c>
    </row>
    <row r="2618" spans="1:21" ht="0" hidden="1" customHeight="1" outlineLevel="4">
      <c r="A2618" s="253" t="s">
        <v>4274</v>
      </c>
      <c r="B2618" s="253"/>
      <c r="C2618" s="202" t="s">
        <v>1609</v>
      </c>
      <c r="D2618" s="203">
        <f>'02 项目基础信息（输入）'!$C$75</f>
        <v>0</v>
      </c>
      <c r="E2618" s="204" t="s">
        <v>93</v>
      </c>
      <c r="F2618" s="202" t="s">
        <v>1609</v>
      </c>
      <c r="G2618" s="204">
        <v>1</v>
      </c>
      <c r="H2618" s="204" t="s">
        <v>298</v>
      </c>
      <c r="I2618" s="265">
        <f t="shared" si="299"/>
        <v>0</v>
      </c>
      <c r="J2618" s="204" t="s">
        <v>93</v>
      </c>
      <c r="K2618" s="270"/>
      <c r="L2618" s="210" t="s">
        <v>675</v>
      </c>
      <c r="M2618" s="198">
        <f t="shared" si="300"/>
        <v>0</v>
      </c>
      <c r="N2618" s="212">
        <f>'02 项目基础信息（输入）'!$C$75</f>
        <v>0</v>
      </c>
      <c r="O2618" s="203">
        <f t="shared" si="293"/>
        <v>0</v>
      </c>
      <c r="P2618" s="203">
        <f t="shared" si="295"/>
        <v>0</v>
      </c>
      <c r="Q2618" s="271">
        <f t="shared" si="294"/>
        <v>0</v>
      </c>
      <c r="S2618" s="280"/>
      <c r="T2618" s="222"/>
      <c r="U2618" s="223" t="s">
        <v>4648</v>
      </c>
    </row>
    <row r="2619" spans="1:21" ht="0" hidden="1" customHeight="1" outlineLevel="4">
      <c r="A2619" s="253" t="s">
        <v>4276</v>
      </c>
      <c r="B2619" s="253"/>
      <c r="C2619" s="202" t="s">
        <v>1609</v>
      </c>
      <c r="D2619" s="203">
        <f>'02 项目基础信息（输入）'!$C$75</f>
        <v>0</v>
      </c>
      <c r="E2619" s="204" t="s">
        <v>93</v>
      </c>
      <c r="F2619" s="202" t="s">
        <v>1609</v>
      </c>
      <c r="G2619" s="204">
        <v>1</v>
      </c>
      <c r="H2619" s="204" t="s">
        <v>298</v>
      </c>
      <c r="I2619" s="265">
        <f t="shared" si="299"/>
        <v>0</v>
      </c>
      <c r="J2619" s="204" t="s">
        <v>93</v>
      </c>
      <c r="K2619" s="270"/>
      <c r="L2619" s="210" t="s">
        <v>675</v>
      </c>
      <c r="M2619" s="198">
        <f t="shared" si="300"/>
        <v>0</v>
      </c>
      <c r="N2619" s="212">
        <f>'02 项目基础信息（输入）'!$C$75</f>
        <v>0</v>
      </c>
      <c r="O2619" s="203">
        <f t="shared" si="293"/>
        <v>0</v>
      </c>
      <c r="P2619" s="203">
        <f t="shared" si="295"/>
        <v>0</v>
      </c>
      <c r="Q2619" s="271">
        <f t="shared" si="294"/>
        <v>0</v>
      </c>
      <c r="S2619" s="280"/>
      <c r="T2619" s="222"/>
      <c r="U2619" s="223" t="s">
        <v>4649</v>
      </c>
    </row>
    <row r="2620" spans="1:21" ht="0" hidden="1" customHeight="1" outlineLevel="4">
      <c r="A2620" s="253" t="s">
        <v>4278</v>
      </c>
      <c r="B2620" s="253"/>
      <c r="C2620" s="202" t="s">
        <v>1609</v>
      </c>
      <c r="D2620" s="203">
        <f>'02 项目基础信息（输入）'!$C$75</f>
        <v>0</v>
      </c>
      <c r="E2620" s="204" t="s">
        <v>93</v>
      </c>
      <c r="F2620" s="202" t="s">
        <v>1609</v>
      </c>
      <c r="G2620" s="204">
        <v>1</v>
      </c>
      <c r="H2620" s="204" t="s">
        <v>298</v>
      </c>
      <c r="I2620" s="265">
        <f t="shared" si="299"/>
        <v>0</v>
      </c>
      <c r="J2620" s="204" t="s">
        <v>93</v>
      </c>
      <c r="K2620" s="270"/>
      <c r="L2620" s="210" t="s">
        <v>675</v>
      </c>
      <c r="M2620" s="198">
        <f t="shared" si="300"/>
        <v>0</v>
      </c>
      <c r="N2620" s="212">
        <f>'02 项目基础信息（输入）'!$C$75</f>
        <v>0</v>
      </c>
      <c r="O2620" s="203">
        <f t="shared" si="293"/>
        <v>0</v>
      </c>
      <c r="P2620" s="203">
        <f t="shared" si="295"/>
        <v>0</v>
      </c>
      <c r="Q2620" s="271">
        <f t="shared" si="294"/>
        <v>0</v>
      </c>
      <c r="S2620" s="280"/>
      <c r="T2620" s="222"/>
      <c r="U2620" s="223" t="s">
        <v>4650</v>
      </c>
    </row>
    <row r="2621" spans="1:21" ht="0" hidden="1" customHeight="1" outlineLevel="4">
      <c r="A2621" s="253" t="s">
        <v>4280</v>
      </c>
      <c r="B2621" s="253"/>
      <c r="C2621" s="202" t="s">
        <v>1609</v>
      </c>
      <c r="D2621" s="203">
        <f>'02 项目基础信息（输入）'!$C$75</f>
        <v>0</v>
      </c>
      <c r="E2621" s="204" t="s">
        <v>93</v>
      </c>
      <c r="F2621" s="202" t="s">
        <v>1609</v>
      </c>
      <c r="G2621" s="204">
        <v>1</v>
      </c>
      <c r="H2621" s="204" t="s">
        <v>298</v>
      </c>
      <c r="I2621" s="265">
        <f t="shared" si="299"/>
        <v>0</v>
      </c>
      <c r="J2621" s="204" t="s">
        <v>93</v>
      </c>
      <c r="K2621" s="270"/>
      <c r="L2621" s="210" t="s">
        <v>675</v>
      </c>
      <c r="M2621" s="198">
        <f t="shared" si="300"/>
        <v>0</v>
      </c>
      <c r="N2621" s="212">
        <f>'02 项目基础信息（输入）'!$C$75</f>
        <v>0</v>
      </c>
      <c r="O2621" s="203">
        <f t="shared" si="293"/>
        <v>0</v>
      </c>
      <c r="P2621" s="203">
        <f t="shared" si="295"/>
        <v>0</v>
      </c>
      <c r="Q2621" s="271">
        <f t="shared" si="294"/>
        <v>0</v>
      </c>
      <c r="S2621" s="280"/>
      <c r="T2621" s="222"/>
      <c r="U2621" s="223" t="s">
        <v>4651</v>
      </c>
    </row>
    <row r="2622" spans="1:21" ht="0" hidden="1" customHeight="1" outlineLevel="4">
      <c r="A2622" s="253" t="s">
        <v>4282</v>
      </c>
      <c r="B2622" s="253"/>
      <c r="C2622" s="202" t="s">
        <v>1609</v>
      </c>
      <c r="D2622" s="203">
        <f>'02 项目基础信息（输入）'!$C$75</f>
        <v>0</v>
      </c>
      <c r="E2622" s="204" t="s">
        <v>93</v>
      </c>
      <c r="F2622" s="202" t="s">
        <v>1609</v>
      </c>
      <c r="G2622" s="204">
        <v>1</v>
      </c>
      <c r="H2622" s="204" t="s">
        <v>298</v>
      </c>
      <c r="I2622" s="265">
        <f t="shared" si="299"/>
        <v>0</v>
      </c>
      <c r="J2622" s="204" t="s">
        <v>93</v>
      </c>
      <c r="K2622" s="270"/>
      <c r="L2622" s="210" t="s">
        <v>675</v>
      </c>
      <c r="M2622" s="198">
        <f t="shared" si="300"/>
        <v>0</v>
      </c>
      <c r="N2622" s="212">
        <f>'02 项目基础信息（输入）'!$C$75</f>
        <v>0</v>
      </c>
      <c r="O2622" s="203">
        <f t="shared" si="293"/>
        <v>0</v>
      </c>
      <c r="P2622" s="203">
        <f t="shared" si="295"/>
        <v>0</v>
      </c>
      <c r="Q2622" s="271">
        <f t="shared" si="294"/>
        <v>0</v>
      </c>
      <c r="S2622" s="280"/>
      <c r="T2622" s="222"/>
      <c r="U2622" s="223" t="s">
        <v>4652</v>
      </c>
    </row>
    <row r="2623" spans="1:21" ht="0" hidden="1" customHeight="1" outlineLevel="3">
      <c r="A2623" s="201" t="s">
        <v>4284</v>
      </c>
      <c r="B2623" s="201"/>
      <c r="C2623" s="202" t="s">
        <v>1609</v>
      </c>
      <c r="D2623" s="203">
        <f>'02 项目基础信息（输入）'!$C$75</f>
        <v>0</v>
      </c>
      <c r="E2623" s="204" t="s">
        <v>93</v>
      </c>
      <c r="F2623" s="202"/>
      <c r="G2623" s="204"/>
      <c r="H2623" s="204"/>
      <c r="I2623" s="203"/>
      <c r="J2623" s="255"/>
      <c r="K2623" s="231"/>
      <c r="L2623" s="205"/>
      <c r="M2623" s="198">
        <f>ROUND(SUM(M2624:M2632),6)</f>
        <v>0</v>
      </c>
      <c r="N2623" s="212">
        <f>'02 项目基础信息（输入）'!$C$75</f>
        <v>0</v>
      </c>
      <c r="O2623" s="203">
        <f t="shared" si="293"/>
        <v>0</v>
      </c>
      <c r="P2623" s="203">
        <f t="shared" si="295"/>
        <v>0</v>
      </c>
      <c r="Q2623" s="271">
        <f t="shared" si="294"/>
        <v>0</v>
      </c>
      <c r="S2623" s="280"/>
      <c r="T2623" s="222"/>
      <c r="U2623" s="223" t="s">
        <v>4653</v>
      </c>
    </row>
    <row r="2624" spans="1:21" ht="0" hidden="1" customHeight="1" outlineLevel="4">
      <c r="A2624" s="201" t="s">
        <v>4286</v>
      </c>
      <c r="B2624" s="201"/>
      <c r="C2624" s="202" t="s">
        <v>1609</v>
      </c>
      <c r="D2624" s="203">
        <f>'02 项目基础信息（输入）'!$C$75</f>
        <v>0</v>
      </c>
      <c r="E2624" s="204" t="s">
        <v>93</v>
      </c>
      <c r="F2624" s="202" t="s">
        <v>1609</v>
      </c>
      <c r="G2624" s="204">
        <v>1</v>
      </c>
      <c r="H2624" s="204" t="s">
        <v>298</v>
      </c>
      <c r="I2624" s="265">
        <f t="shared" ref="I2624:I2635" si="301">D2624*G2624</f>
        <v>0</v>
      </c>
      <c r="J2624" s="204" t="s">
        <v>93</v>
      </c>
      <c r="K2624" s="270"/>
      <c r="L2624" s="210" t="s">
        <v>675</v>
      </c>
      <c r="M2624" s="198">
        <f t="shared" ref="M2624:M2635" si="302">ROUND(K2624*I2624/10000,6)</f>
        <v>0</v>
      </c>
      <c r="N2624" s="212">
        <f>'02 项目基础信息（输入）'!$C$75</f>
        <v>0</v>
      </c>
      <c r="O2624" s="203">
        <f t="shared" si="293"/>
        <v>0</v>
      </c>
      <c r="P2624" s="203">
        <f t="shared" si="295"/>
        <v>0</v>
      </c>
      <c r="Q2624" s="271">
        <f t="shared" si="294"/>
        <v>0</v>
      </c>
      <c r="S2624" s="280"/>
      <c r="T2624" s="222"/>
      <c r="U2624" s="223" t="s">
        <v>4654</v>
      </c>
    </row>
    <row r="2625" spans="1:21" ht="0" hidden="1" customHeight="1" outlineLevel="4">
      <c r="A2625" s="201" t="s">
        <v>4288</v>
      </c>
      <c r="B2625" s="201"/>
      <c r="C2625" s="202" t="s">
        <v>1609</v>
      </c>
      <c r="D2625" s="203">
        <f>'02 项目基础信息（输入）'!$C$75</f>
        <v>0</v>
      </c>
      <c r="E2625" s="204" t="s">
        <v>93</v>
      </c>
      <c r="F2625" s="202" t="s">
        <v>1609</v>
      </c>
      <c r="G2625" s="204">
        <v>1</v>
      </c>
      <c r="H2625" s="204" t="s">
        <v>298</v>
      </c>
      <c r="I2625" s="265">
        <f t="shared" si="301"/>
        <v>0</v>
      </c>
      <c r="J2625" s="204" t="s">
        <v>93</v>
      </c>
      <c r="K2625" s="270"/>
      <c r="L2625" s="210" t="s">
        <v>675</v>
      </c>
      <c r="M2625" s="198">
        <f t="shared" si="302"/>
        <v>0</v>
      </c>
      <c r="N2625" s="212">
        <f>'02 项目基础信息（输入）'!$C$75</f>
        <v>0</v>
      </c>
      <c r="O2625" s="203">
        <f t="shared" si="293"/>
        <v>0</v>
      </c>
      <c r="P2625" s="203">
        <f t="shared" si="295"/>
        <v>0</v>
      </c>
      <c r="Q2625" s="271">
        <f t="shared" si="294"/>
        <v>0</v>
      </c>
      <c r="S2625" s="280"/>
      <c r="T2625" s="222"/>
      <c r="U2625" s="223" t="s">
        <v>4655</v>
      </c>
    </row>
    <row r="2626" spans="1:21" ht="0" hidden="1" customHeight="1" outlineLevel="4">
      <c r="A2626" s="201" t="s">
        <v>4290</v>
      </c>
      <c r="B2626" s="201"/>
      <c r="C2626" s="202" t="s">
        <v>1609</v>
      </c>
      <c r="D2626" s="203">
        <f>'02 项目基础信息（输入）'!$C$75</f>
        <v>0</v>
      </c>
      <c r="E2626" s="204" t="s">
        <v>93</v>
      </c>
      <c r="F2626" s="202" t="s">
        <v>1609</v>
      </c>
      <c r="G2626" s="204">
        <v>1</v>
      </c>
      <c r="H2626" s="204" t="s">
        <v>298</v>
      </c>
      <c r="I2626" s="265">
        <f t="shared" si="301"/>
        <v>0</v>
      </c>
      <c r="J2626" s="204" t="s">
        <v>93</v>
      </c>
      <c r="K2626" s="270"/>
      <c r="L2626" s="210" t="s">
        <v>675</v>
      </c>
      <c r="M2626" s="198">
        <f t="shared" si="302"/>
        <v>0</v>
      </c>
      <c r="N2626" s="212">
        <f>'02 项目基础信息（输入）'!$C$75</f>
        <v>0</v>
      </c>
      <c r="O2626" s="203">
        <f t="shared" si="293"/>
        <v>0</v>
      </c>
      <c r="P2626" s="203">
        <f t="shared" si="295"/>
        <v>0</v>
      </c>
      <c r="Q2626" s="271">
        <f t="shared" si="294"/>
        <v>0</v>
      </c>
      <c r="S2626" s="280"/>
      <c r="T2626" s="222"/>
      <c r="U2626" s="223" t="s">
        <v>4656</v>
      </c>
    </row>
    <row r="2627" spans="1:21" ht="0" hidden="1" customHeight="1" outlineLevel="4">
      <c r="A2627" s="201" t="s">
        <v>4657</v>
      </c>
      <c r="B2627" s="201"/>
      <c r="C2627" s="202" t="s">
        <v>1609</v>
      </c>
      <c r="D2627" s="203">
        <f>'02 项目基础信息（输入）'!$C$75</f>
        <v>0</v>
      </c>
      <c r="E2627" s="204" t="s">
        <v>93</v>
      </c>
      <c r="F2627" s="202" t="s">
        <v>1609</v>
      </c>
      <c r="G2627" s="204">
        <v>1</v>
      </c>
      <c r="H2627" s="204" t="s">
        <v>298</v>
      </c>
      <c r="I2627" s="265">
        <f t="shared" si="301"/>
        <v>0</v>
      </c>
      <c r="J2627" s="204" t="s">
        <v>93</v>
      </c>
      <c r="K2627" s="270"/>
      <c r="L2627" s="210" t="s">
        <v>675</v>
      </c>
      <c r="M2627" s="198">
        <f t="shared" si="302"/>
        <v>0</v>
      </c>
      <c r="N2627" s="212">
        <f>'02 项目基础信息（输入）'!$C$75</f>
        <v>0</v>
      </c>
      <c r="O2627" s="203">
        <f t="shared" ref="O2627:O2690" si="303">ROUND(IFERROR(M2627*10000/N2627,0),2)</f>
        <v>0</v>
      </c>
      <c r="P2627" s="203">
        <f t="shared" si="295"/>
        <v>0</v>
      </c>
      <c r="Q2627" s="271">
        <f t="shared" ref="Q2627:Q2690" si="304">ROUND(IFERROR(M2627*10000/P2627,0),2)</f>
        <v>0</v>
      </c>
      <c r="S2627" s="280"/>
      <c r="T2627" s="222"/>
      <c r="U2627" s="223" t="s">
        <v>4658</v>
      </c>
    </row>
    <row r="2628" spans="1:21" ht="0" hidden="1" customHeight="1" outlineLevel="4">
      <c r="A2628" s="201" t="s">
        <v>4292</v>
      </c>
      <c r="B2628" s="201"/>
      <c r="C2628" s="202" t="s">
        <v>1609</v>
      </c>
      <c r="D2628" s="203">
        <f>'02 项目基础信息（输入）'!$C$75</f>
        <v>0</v>
      </c>
      <c r="E2628" s="204" t="s">
        <v>93</v>
      </c>
      <c r="F2628" s="202" t="s">
        <v>1609</v>
      </c>
      <c r="G2628" s="204">
        <v>1</v>
      </c>
      <c r="H2628" s="204" t="s">
        <v>298</v>
      </c>
      <c r="I2628" s="265">
        <f t="shared" si="301"/>
        <v>0</v>
      </c>
      <c r="J2628" s="204" t="s">
        <v>93</v>
      </c>
      <c r="K2628" s="270"/>
      <c r="L2628" s="210" t="s">
        <v>675</v>
      </c>
      <c r="M2628" s="198">
        <f t="shared" si="302"/>
        <v>0</v>
      </c>
      <c r="N2628" s="212">
        <f>'02 项目基础信息（输入）'!$C$75</f>
        <v>0</v>
      </c>
      <c r="O2628" s="203">
        <f t="shared" si="303"/>
        <v>0</v>
      </c>
      <c r="P2628" s="203">
        <f t="shared" si="295"/>
        <v>0</v>
      </c>
      <c r="Q2628" s="271">
        <f t="shared" si="304"/>
        <v>0</v>
      </c>
      <c r="S2628" s="280"/>
      <c r="T2628" s="222"/>
      <c r="U2628" s="223" t="s">
        <v>4659</v>
      </c>
    </row>
    <row r="2629" spans="1:21" ht="0" hidden="1" customHeight="1" outlineLevel="4">
      <c r="A2629" s="201" t="s">
        <v>4294</v>
      </c>
      <c r="B2629" s="201"/>
      <c r="C2629" s="202" t="s">
        <v>1609</v>
      </c>
      <c r="D2629" s="203">
        <f>'02 项目基础信息（输入）'!$C$75</f>
        <v>0</v>
      </c>
      <c r="E2629" s="204" t="s">
        <v>93</v>
      </c>
      <c r="F2629" s="202" t="s">
        <v>1609</v>
      </c>
      <c r="G2629" s="204">
        <v>1</v>
      </c>
      <c r="H2629" s="204" t="s">
        <v>298</v>
      </c>
      <c r="I2629" s="265">
        <f t="shared" si="301"/>
        <v>0</v>
      </c>
      <c r="J2629" s="204" t="s">
        <v>93</v>
      </c>
      <c r="K2629" s="270"/>
      <c r="L2629" s="210" t="s">
        <v>675</v>
      </c>
      <c r="M2629" s="198">
        <f t="shared" si="302"/>
        <v>0</v>
      </c>
      <c r="N2629" s="212">
        <f>'02 项目基础信息（输入）'!$C$75</f>
        <v>0</v>
      </c>
      <c r="O2629" s="203">
        <f t="shared" si="303"/>
        <v>0</v>
      </c>
      <c r="P2629" s="203">
        <f t="shared" si="295"/>
        <v>0</v>
      </c>
      <c r="Q2629" s="271">
        <f t="shared" si="304"/>
        <v>0</v>
      </c>
      <c r="S2629" s="280"/>
      <c r="T2629" s="222"/>
      <c r="U2629" s="223" t="s">
        <v>4660</v>
      </c>
    </row>
    <row r="2630" spans="1:21" ht="0" hidden="1" customHeight="1" outlineLevel="4">
      <c r="A2630" s="201" t="s">
        <v>4296</v>
      </c>
      <c r="B2630" s="201"/>
      <c r="C2630" s="202" t="s">
        <v>1609</v>
      </c>
      <c r="D2630" s="203">
        <f>'02 项目基础信息（输入）'!$C$75</f>
        <v>0</v>
      </c>
      <c r="E2630" s="204" t="s">
        <v>93</v>
      </c>
      <c r="F2630" s="202" t="s">
        <v>1609</v>
      </c>
      <c r="G2630" s="204">
        <v>1</v>
      </c>
      <c r="H2630" s="204" t="s">
        <v>298</v>
      </c>
      <c r="I2630" s="265">
        <f t="shared" si="301"/>
        <v>0</v>
      </c>
      <c r="J2630" s="204" t="s">
        <v>93</v>
      </c>
      <c r="K2630" s="270"/>
      <c r="L2630" s="210" t="s">
        <v>675</v>
      </c>
      <c r="M2630" s="198">
        <f t="shared" si="302"/>
        <v>0</v>
      </c>
      <c r="N2630" s="212">
        <f>'02 项目基础信息（输入）'!$C$75</f>
        <v>0</v>
      </c>
      <c r="O2630" s="203">
        <f t="shared" si="303"/>
        <v>0</v>
      </c>
      <c r="P2630" s="203">
        <f t="shared" si="295"/>
        <v>0</v>
      </c>
      <c r="Q2630" s="271">
        <f t="shared" si="304"/>
        <v>0</v>
      </c>
      <c r="S2630" s="280"/>
      <c r="T2630" s="222"/>
      <c r="U2630" s="223" t="s">
        <v>4661</v>
      </c>
    </row>
    <row r="2631" spans="1:21" ht="0" hidden="1" customHeight="1" outlineLevel="4">
      <c r="A2631" s="201" t="s">
        <v>4298</v>
      </c>
      <c r="B2631" s="201"/>
      <c r="C2631" s="202" t="s">
        <v>1609</v>
      </c>
      <c r="D2631" s="203">
        <f>'02 项目基础信息（输入）'!$C$75</f>
        <v>0</v>
      </c>
      <c r="E2631" s="204" t="s">
        <v>93</v>
      </c>
      <c r="F2631" s="202" t="s">
        <v>1609</v>
      </c>
      <c r="G2631" s="204">
        <v>1</v>
      </c>
      <c r="H2631" s="204" t="s">
        <v>298</v>
      </c>
      <c r="I2631" s="265">
        <f t="shared" si="301"/>
        <v>0</v>
      </c>
      <c r="J2631" s="204" t="s">
        <v>93</v>
      </c>
      <c r="K2631" s="270"/>
      <c r="L2631" s="210" t="s">
        <v>675</v>
      </c>
      <c r="M2631" s="198">
        <f t="shared" si="302"/>
        <v>0</v>
      </c>
      <c r="N2631" s="212">
        <f>'02 项目基础信息（输入）'!$C$75</f>
        <v>0</v>
      </c>
      <c r="O2631" s="203">
        <f t="shared" si="303"/>
        <v>0</v>
      </c>
      <c r="P2631" s="203">
        <f t="shared" si="295"/>
        <v>0</v>
      </c>
      <c r="Q2631" s="271">
        <f t="shared" si="304"/>
        <v>0</v>
      </c>
      <c r="S2631" s="280"/>
      <c r="T2631" s="222"/>
      <c r="U2631" s="223" t="s">
        <v>4662</v>
      </c>
    </row>
    <row r="2632" spans="1:21" ht="0" hidden="1" customHeight="1" outlineLevel="4">
      <c r="A2632" s="201" t="s">
        <v>4300</v>
      </c>
      <c r="B2632" s="201"/>
      <c r="C2632" s="202" t="s">
        <v>1609</v>
      </c>
      <c r="D2632" s="203">
        <f>'02 项目基础信息（输入）'!$C$75</f>
        <v>0</v>
      </c>
      <c r="E2632" s="204" t="s">
        <v>93</v>
      </c>
      <c r="F2632" s="202" t="s">
        <v>1609</v>
      </c>
      <c r="G2632" s="204">
        <v>1</v>
      </c>
      <c r="H2632" s="204" t="s">
        <v>298</v>
      </c>
      <c r="I2632" s="265">
        <f t="shared" si="301"/>
        <v>0</v>
      </c>
      <c r="J2632" s="204" t="s">
        <v>93</v>
      </c>
      <c r="K2632" s="270"/>
      <c r="L2632" s="210" t="s">
        <v>675</v>
      </c>
      <c r="M2632" s="198">
        <f t="shared" si="302"/>
        <v>0</v>
      </c>
      <c r="N2632" s="212">
        <f>'02 项目基础信息（输入）'!$C$75</f>
        <v>0</v>
      </c>
      <c r="O2632" s="203">
        <f t="shared" si="303"/>
        <v>0</v>
      </c>
      <c r="P2632" s="203">
        <f t="shared" si="295"/>
        <v>0</v>
      </c>
      <c r="Q2632" s="271">
        <f t="shared" si="304"/>
        <v>0</v>
      </c>
      <c r="S2632" s="280"/>
      <c r="T2632" s="222"/>
      <c r="U2632" s="223" t="s">
        <v>4663</v>
      </c>
    </row>
    <row r="2633" spans="1:21" ht="0" hidden="1" customHeight="1" outlineLevel="3">
      <c r="A2633" s="201" t="s">
        <v>4302</v>
      </c>
      <c r="B2633" s="201"/>
      <c r="C2633" s="202" t="s">
        <v>1609</v>
      </c>
      <c r="D2633" s="203">
        <f>'02 项目基础信息（输入）'!$C$75</f>
        <v>0</v>
      </c>
      <c r="E2633" s="204" t="s">
        <v>93</v>
      </c>
      <c r="F2633" s="202" t="s">
        <v>1609</v>
      </c>
      <c r="G2633" s="204">
        <v>1</v>
      </c>
      <c r="H2633" s="204" t="s">
        <v>298</v>
      </c>
      <c r="I2633" s="265">
        <f t="shared" si="301"/>
        <v>0</v>
      </c>
      <c r="J2633" s="204" t="s">
        <v>93</v>
      </c>
      <c r="K2633" s="270"/>
      <c r="L2633" s="210" t="s">
        <v>675</v>
      </c>
      <c r="M2633" s="198">
        <f t="shared" si="302"/>
        <v>0</v>
      </c>
      <c r="N2633" s="212">
        <f>'02 项目基础信息（输入）'!$C$75</f>
        <v>0</v>
      </c>
      <c r="O2633" s="203">
        <f t="shared" si="303"/>
        <v>0</v>
      </c>
      <c r="P2633" s="203">
        <f t="shared" si="295"/>
        <v>0</v>
      </c>
      <c r="Q2633" s="271">
        <f t="shared" si="304"/>
        <v>0</v>
      </c>
      <c r="S2633" s="280"/>
      <c r="T2633" s="222"/>
      <c r="U2633" s="223" t="s">
        <v>4664</v>
      </c>
    </row>
    <row r="2634" spans="1:21" ht="0" hidden="1" customHeight="1" outlineLevel="3">
      <c r="A2634" s="201" t="s">
        <v>4306</v>
      </c>
      <c r="B2634" s="201"/>
      <c r="C2634" s="202" t="s">
        <v>1609</v>
      </c>
      <c r="D2634" s="203">
        <f>'02 项目基础信息（输入）'!$C$75</f>
        <v>0</v>
      </c>
      <c r="E2634" s="204" t="s">
        <v>93</v>
      </c>
      <c r="F2634" s="202" t="s">
        <v>1609</v>
      </c>
      <c r="G2634" s="204">
        <v>1</v>
      </c>
      <c r="H2634" s="204" t="s">
        <v>298</v>
      </c>
      <c r="I2634" s="265">
        <f t="shared" si="301"/>
        <v>0</v>
      </c>
      <c r="J2634" s="204" t="s">
        <v>93</v>
      </c>
      <c r="K2634" s="270"/>
      <c r="L2634" s="210" t="s">
        <v>675</v>
      </c>
      <c r="M2634" s="198">
        <f t="shared" si="302"/>
        <v>0</v>
      </c>
      <c r="N2634" s="212">
        <f>'02 项目基础信息（输入）'!$C$75</f>
        <v>0</v>
      </c>
      <c r="O2634" s="203">
        <f t="shared" si="303"/>
        <v>0</v>
      </c>
      <c r="P2634" s="203">
        <f t="shared" ref="P2634:P2697" si="305">N2634</f>
        <v>0</v>
      </c>
      <c r="Q2634" s="271">
        <f t="shared" si="304"/>
        <v>0</v>
      </c>
      <c r="S2634" s="280"/>
      <c r="T2634" s="222"/>
      <c r="U2634" s="223" t="s">
        <v>4665</v>
      </c>
    </row>
    <row r="2635" spans="1:21" ht="0" hidden="1" customHeight="1" outlineLevel="3">
      <c r="A2635" s="201" t="s">
        <v>4308</v>
      </c>
      <c r="B2635" s="201"/>
      <c r="C2635" s="202" t="s">
        <v>1609</v>
      </c>
      <c r="D2635" s="203">
        <f>'02 项目基础信息（输入）'!$C$75</f>
        <v>0</v>
      </c>
      <c r="E2635" s="204" t="s">
        <v>93</v>
      </c>
      <c r="F2635" s="202" t="s">
        <v>1609</v>
      </c>
      <c r="G2635" s="204">
        <v>1</v>
      </c>
      <c r="H2635" s="204" t="s">
        <v>298</v>
      </c>
      <c r="I2635" s="265">
        <f t="shared" si="301"/>
        <v>0</v>
      </c>
      <c r="J2635" s="204" t="s">
        <v>93</v>
      </c>
      <c r="K2635" s="270"/>
      <c r="L2635" s="210" t="s">
        <v>675</v>
      </c>
      <c r="M2635" s="198">
        <f t="shared" si="302"/>
        <v>0</v>
      </c>
      <c r="N2635" s="212">
        <f>'02 项目基础信息（输入）'!$C$75</f>
        <v>0</v>
      </c>
      <c r="O2635" s="203">
        <f t="shared" si="303"/>
        <v>0</v>
      </c>
      <c r="P2635" s="203">
        <f t="shared" si="305"/>
        <v>0</v>
      </c>
      <c r="Q2635" s="271">
        <f t="shared" si="304"/>
        <v>0</v>
      </c>
      <c r="S2635" s="280"/>
      <c r="T2635" s="222"/>
      <c r="U2635" s="223" t="s">
        <v>4666</v>
      </c>
    </row>
    <row r="2636" spans="1:21" ht="0" hidden="1" customHeight="1" outlineLevel="3">
      <c r="A2636" s="201" t="s">
        <v>4310</v>
      </c>
      <c r="B2636" s="201"/>
      <c r="C2636" s="202" t="s">
        <v>1665</v>
      </c>
      <c r="D2636" s="203">
        <f>ROUND(M2616+M2623+M2633+M2634+M2635,6)*10000</f>
        <v>0</v>
      </c>
      <c r="E2636" s="204" t="s">
        <v>1666</v>
      </c>
      <c r="F2636" s="202" t="s">
        <v>1667</v>
      </c>
      <c r="G2636" s="258">
        <f>IFERROR(I2636*100/D2636,0)</f>
        <v>0</v>
      </c>
      <c r="H2636" s="204" t="s">
        <v>123</v>
      </c>
      <c r="I2636" s="265">
        <f>N2636*K2636</f>
        <v>0</v>
      </c>
      <c r="J2636" s="204" t="s">
        <v>1666</v>
      </c>
      <c r="K2636" s="269"/>
      <c r="L2636" s="210" t="s">
        <v>675</v>
      </c>
      <c r="M2636" s="231">
        <f>ROUND(I2636/10000,6)</f>
        <v>0</v>
      </c>
      <c r="N2636" s="212">
        <f>'02 项目基础信息（输入）'!$C$75</f>
        <v>0</v>
      </c>
      <c r="O2636" s="203">
        <f t="shared" si="303"/>
        <v>0</v>
      </c>
      <c r="P2636" s="203">
        <f t="shared" si="305"/>
        <v>0</v>
      </c>
      <c r="Q2636" s="271">
        <f t="shared" si="304"/>
        <v>0</v>
      </c>
      <c r="S2636" s="280"/>
      <c r="T2636" s="222"/>
      <c r="U2636" s="223" t="s">
        <v>4667</v>
      </c>
    </row>
    <row r="2637" spans="1:21" ht="0" hidden="1" customHeight="1" outlineLevel="2">
      <c r="A2637" s="201" t="s">
        <v>4312</v>
      </c>
      <c r="B2637" s="201"/>
      <c r="C2637" s="202" t="s">
        <v>1609</v>
      </c>
      <c r="D2637" s="203">
        <f>'02 项目基础信息（输入）'!$C$75</f>
        <v>0</v>
      </c>
      <c r="E2637" s="204" t="s">
        <v>93</v>
      </c>
      <c r="F2637" s="202"/>
      <c r="G2637" s="221"/>
      <c r="H2637" s="204"/>
      <c r="I2637" s="203"/>
      <c r="J2637" s="204"/>
      <c r="K2637" s="207"/>
      <c r="L2637" s="210"/>
      <c r="M2637" s="198">
        <f>ROUND(M2638+M2639+M2640+M2641+M2651+M2652+M2653,6)</f>
        <v>0</v>
      </c>
      <c r="N2637" s="212">
        <f>'02 项目基础信息（输入）'!$C$75</f>
        <v>0</v>
      </c>
      <c r="O2637" s="203">
        <f t="shared" si="303"/>
        <v>0</v>
      </c>
      <c r="P2637" s="203">
        <f t="shared" si="305"/>
        <v>0</v>
      </c>
      <c r="Q2637" s="271">
        <f t="shared" si="304"/>
        <v>0</v>
      </c>
      <c r="S2637" s="280" t="s">
        <v>1314</v>
      </c>
      <c r="T2637" s="222"/>
      <c r="U2637" s="223" t="s">
        <v>4668</v>
      </c>
    </row>
    <row r="2638" spans="1:21" ht="0" hidden="1" customHeight="1" outlineLevel="3">
      <c r="A2638" s="253" t="s">
        <v>4314</v>
      </c>
      <c r="B2638" s="253"/>
      <c r="C2638" s="202" t="s">
        <v>1609</v>
      </c>
      <c r="D2638" s="203">
        <f>'02 项目基础信息（输入）'!$C$75</f>
        <v>0</v>
      </c>
      <c r="E2638" s="204" t="s">
        <v>93</v>
      </c>
      <c r="F2638" s="202" t="s">
        <v>4315</v>
      </c>
      <c r="G2638" s="258">
        <f>IFERROR(I2638/D2638,0)</f>
        <v>0</v>
      </c>
      <c r="H2638" s="204" t="s">
        <v>298</v>
      </c>
      <c r="I2638" s="270"/>
      <c r="J2638" s="204" t="s">
        <v>93</v>
      </c>
      <c r="K2638" s="270"/>
      <c r="L2638" s="210" t="s">
        <v>675</v>
      </c>
      <c r="M2638" s="198">
        <f>ROUND(K2638*I2638/10000,6)</f>
        <v>0</v>
      </c>
      <c r="N2638" s="212">
        <f>'02 项目基础信息（输入）'!$C$75</f>
        <v>0</v>
      </c>
      <c r="O2638" s="203">
        <f t="shared" si="303"/>
        <v>0</v>
      </c>
      <c r="P2638" s="203">
        <f t="shared" si="305"/>
        <v>0</v>
      </c>
      <c r="Q2638" s="271">
        <f t="shared" si="304"/>
        <v>0</v>
      </c>
      <c r="S2638" s="280"/>
      <c r="T2638" s="222"/>
      <c r="U2638" s="223" t="s">
        <v>4669</v>
      </c>
    </row>
    <row r="2639" spans="1:21" ht="0" hidden="1" customHeight="1" outlineLevel="3">
      <c r="A2639" s="253" t="s">
        <v>4317</v>
      </c>
      <c r="B2639" s="253"/>
      <c r="C2639" s="202" t="s">
        <v>1609</v>
      </c>
      <c r="D2639" s="203">
        <f>'02 项目基础信息（输入）'!$C$75</f>
        <v>0</v>
      </c>
      <c r="E2639" s="204" t="s">
        <v>93</v>
      </c>
      <c r="F2639" s="202" t="s">
        <v>1609</v>
      </c>
      <c r="G2639" s="255">
        <v>1</v>
      </c>
      <c r="H2639" s="204" t="s">
        <v>298</v>
      </c>
      <c r="I2639" s="265">
        <f>D2639*G2639</f>
        <v>0</v>
      </c>
      <c r="J2639" s="204" t="s">
        <v>93</v>
      </c>
      <c r="K2639" s="270"/>
      <c r="L2639" s="210" t="s">
        <v>675</v>
      </c>
      <c r="M2639" s="198">
        <f>ROUND(K2639*I2639/10000,6)</f>
        <v>0</v>
      </c>
      <c r="N2639" s="212">
        <f>'02 项目基础信息（输入）'!$C$75</f>
        <v>0</v>
      </c>
      <c r="O2639" s="203">
        <f t="shared" si="303"/>
        <v>0</v>
      </c>
      <c r="P2639" s="203">
        <f t="shared" si="305"/>
        <v>0</v>
      </c>
      <c r="Q2639" s="271">
        <f t="shared" si="304"/>
        <v>0</v>
      </c>
      <c r="S2639" s="280"/>
      <c r="T2639" s="222"/>
      <c r="U2639" s="223" t="s">
        <v>4670</v>
      </c>
    </row>
    <row r="2640" spans="1:21" ht="0" hidden="1" customHeight="1" outlineLevel="3">
      <c r="A2640" s="253" t="s">
        <v>4319</v>
      </c>
      <c r="B2640" s="253"/>
      <c r="C2640" s="202" t="s">
        <v>1609</v>
      </c>
      <c r="D2640" s="203">
        <f>'02 项目基础信息（输入）'!$C$75</f>
        <v>0</v>
      </c>
      <c r="E2640" s="204" t="s">
        <v>93</v>
      </c>
      <c r="F2640" s="202" t="s">
        <v>1609</v>
      </c>
      <c r="G2640" s="204">
        <v>1</v>
      </c>
      <c r="H2640" s="204" t="s">
        <v>298</v>
      </c>
      <c r="I2640" s="265">
        <f>D2640*G2640</f>
        <v>0</v>
      </c>
      <c r="J2640" s="204" t="s">
        <v>93</v>
      </c>
      <c r="K2640" s="270"/>
      <c r="L2640" s="210" t="s">
        <v>675</v>
      </c>
      <c r="M2640" s="198">
        <f>ROUND(K2640*I2640/10000,6)</f>
        <v>0</v>
      </c>
      <c r="N2640" s="212">
        <f>'02 项目基础信息（输入）'!$C$75</f>
        <v>0</v>
      </c>
      <c r="O2640" s="203">
        <f t="shared" si="303"/>
        <v>0</v>
      </c>
      <c r="P2640" s="203">
        <f t="shared" si="305"/>
        <v>0</v>
      </c>
      <c r="Q2640" s="271">
        <f t="shared" si="304"/>
        <v>0</v>
      </c>
      <c r="S2640" s="280"/>
      <c r="T2640" s="222"/>
      <c r="U2640" s="223" t="s">
        <v>4671</v>
      </c>
    </row>
    <row r="2641" spans="1:21" ht="0" hidden="1" customHeight="1" outlineLevel="3">
      <c r="A2641" s="253" t="s">
        <v>4321</v>
      </c>
      <c r="B2641" s="253"/>
      <c r="C2641" s="202" t="s">
        <v>1609</v>
      </c>
      <c r="D2641" s="203">
        <f>'02 项目基础信息（输入）'!$C$75</f>
        <v>0</v>
      </c>
      <c r="E2641" s="204" t="s">
        <v>93</v>
      </c>
      <c r="F2641" s="202"/>
      <c r="G2641" s="255"/>
      <c r="H2641" s="204"/>
      <c r="I2641" s="212"/>
      <c r="J2641" s="255"/>
      <c r="K2641" s="264"/>
      <c r="L2641" s="205"/>
      <c r="M2641" s="198">
        <f>ROUND(SUM(M2642:M2650),6)</f>
        <v>0</v>
      </c>
      <c r="N2641" s="212">
        <f>'02 项目基础信息（输入）'!$C$75</f>
        <v>0</v>
      </c>
      <c r="O2641" s="203">
        <f t="shared" si="303"/>
        <v>0</v>
      </c>
      <c r="P2641" s="203">
        <f t="shared" si="305"/>
        <v>0</v>
      </c>
      <c r="Q2641" s="271">
        <f t="shared" si="304"/>
        <v>0</v>
      </c>
      <c r="S2641" s="280"/>
      <c r="T2641" s="222"/>
      <c r="U2641" s="223" t="s">
        <v>4672</v>
      </c>
    </row>
    <row r="2642" spans="1:21" ht="0" hidden="1" customHeight="1" outlineLevel="4">
      <c r="A2642" s="253" t="s">
        <v>4673</v>
      </c>
      <c r="B2642" s="253"/>
      <c r="C2642" s="202" t="s">
        <v>1609</v>
      </c>
      <c r="D2642" s="203">
        <f>'02 项目基础信息（输入）'!$C$75</f>
        <v>0</v>
      </c>
      <c r="E2642" s="204" t="s">
        <v>93</v>
      </c>
      <c r="F2642" s="202" t="s">
        <v>4324</v>
      </c>
      <c r="G2642" s="258">
        <f t="shared" ref="G2642:G2650" si="306">IFERROR(I2642/D2642,0)</f>
        <v>0</v>
      </c>
      <c r="H2642" s="204" t="s">
        <v>298</v>
      </c>
      <c r="I2642" s="294">
        <f>'03 成本测算（输入）'!D224+'03 成本测算（输入）'!D226+'03 成本测算（输入）'!D228</f>
        <v>0</v>
      </c>
      <c r="J2642" s="204" t="s">
        <v>93</v>
      </c>
      <c r="K2642" s="267">
        <f>IFERROR(('03 成本测算（输入）'!D224*'03 成本测算（输入）'!D225+'03 成本测算（输入）'!D226*'03 成本测算（输入）'!D227+'03 成本测算（输入）'!D228*'03 成本测算（输入）'!D229)/('03 成本测算（输入）'!D224+'03 成本测算（输入）'!D226+'03 成本测算（输入）'!D228),0)</f>
        <v>0</v>
      </c>
      <c r="L2642" s="210" t="s">
        <v>675</v>
      </c>
      <c r="M2642" s="198">
        <f t="shared" ref="M2642:M2652" si="307">ROUND(K2642*I2642/10000,6)</f>
        <v>0</v>
      </c>
      <c r="N2642" s="212">
        <f>'02 项目基础信息（输入）'!$C$75</f>
        <v>0</v>
      </c>
      <c r="O2642" s="203">
        <f t="shared" si="303"/>
        <v>0</v>
      </c>
      <c r="P2642" s="203">
        <f t="shared" si="305"/>
        <v>0</v>
      </c>
      <c r="Q2642" s="271">
        <f t="shared" si="304"/>
        <v>0</v>
      </c>
      <c r="S2642" s="280"/>
      <c r="T2642" s="222"/>
      <c r="U2642" s="223" t="s">
        <v>4674</v>
      </c>
    </row>
    <row r="2643" spans="1:21" ht="0" hidden="1" customHeight="1" outlineLevel="4">
      <c r="A2643" s="253" t="s">
        <v>4675</v>
      </c>
      <c r="B2643" s="253"/>
      <c r="C2643" s="202" t="s">
        <v>1609</v>
      </c>
      <c r="D2643" s="203">
        <f>'02 项目基础信息（输入）'!$C$75</f>
        <v>0</v>
      </c>
      <c r="E2643" s="204" t="s">
        <v>93</v>
      </c>
      <c r="F2643" s="202" t="s">
        <v>4324</v>
      </c>
      <c r="G2643" s="258">
        <f t="shared" si="306"/>
        <v>0</v>
      </c>
      <c r="H2643" s="204" t="s">
        <v>298</v>
      </c>
      <c r="I2643" s="265">
        <f t="shared" ref="I2643:I2650" si="308">I2642</f>
        <v>0</v>
      </c>
      <c r="J2643" s="204" t="s">
        <v>93</v>
      </c>
      <c r="K2643" s="270"/>
      <c r="L2643" s="210" t="s">
        <v>675</v>
      </c>
      <c r="M2643" s="198">
        <f t="shared" si="307"/>
        <v>0</v>
      </c>
      <c r="N2643" s="212">
        <f>'02 项目基础信息（输入）'!$C$75</f>
        <v>0</v>
      </c>
      <c r="O2643" s="203">
        <f t="shared" si="303"/>
        <v>0</v>
      </c>
      <c r="P2643" s="203">
        <f t="shared" si="305"/>
        <v>0</v>
      </c>
      <c r="Q2643" s="271">
        <f t="shared" si="304"/>
        <v>0</v>
      </c>
      <c r="S2643" s="280"/>
      <c r="T2643" s="222"/>
      <c r="U2643" s="223" t="s">
        <v>4676</v>
      </c>
    </row>
    <row r="2644" spans="1:21" ht="0" hidden="1" customHeight="1" outlineLevel="4">
      <c r="A2644" s="253" t="s">
        <v>4677</v>
      </c>
      <c r="B2644" s="253"/>
      <c r="C2644" s="202" t="s">
        <v>1609</v>
      </c>
      <c r="D2644" s="203">
        <f>'02 项目基础信息（输入）'!$C$75</f>
        <v>0</v>
      </c>
      <c r="E2644" s="204" t="s">
        <v>93</v>
      </c>
      <c r="F2644" s="202" t="s">
        <v>4324</v>
      </c>
      <c r="G2644" s="258">
        <f t="shared" si="306"/>
        <v>0</v>
      </c>
      <c r="H2644" s="204" t="s">
        <v>298</v>
      </c>
      <c r="I2644" s="265">
        <f t="shared" si="308"/>
        <v>0</v>
      </c>
      <c r="J2644" s="204" t="s">
        <v>93</v>
      </c>
      <c r="K2644" s="270"/>
      <c r="L2644" s="210" t="s">
        <v>675</v>
      </c>
      <c r="M2644" s="198">
        <f t="shared" si="307"/>
        <v>0</v>
      </c>
      <c r="N2644" s="212">
        <f>'02 项目基础信息（输入）'!$C$75</f>
        <v>0</v>
      </c>
      <c r="O2644" s="203">
        <f t="shared" si="303"/>
        <v>0</v>
      </c>
      <c r="P2644" s="203">
        <f t="shared" si="305"/>
        <v>0</v>
      </c>
      <c r="Q2644" s="271">
        <f t="shared" si="304"/>
        <v>0</v>
      </c>
      <c r="S2644" s="280"/>
      <c r="T2644" s="222"/>
      <c r="U2644" s="223" t="s">
        <v>4678</v>
      </c>
    </row>
    <row r="2645" spans="1:21" ht="0" hidden="1" customHeight="1" outlineLevel="4">
      <c r="A2645" s="253" t="s">
        <v>4679</v>
      </c>
      <c r="B2645" s="253"/>
      <c r="C2645" s="202" t="s">
        <v>1609</v>
      </c>
      <c r="D2645" s="203">
        <f>'02 项目基础信息（输入）'!$C$75</f>
        <v>0</v>
      </c>
      <c r="E2645" s="204" t="s">
        <v>93</v>
      </c>
      <c r="F2645" s="202" t="s">
        <v>4324</v>
      </c>
      <c r="G2645" s="258">
        <f t="shared" si="306"/>
        <v>0</v>
      </c>
      <c r="H2645" s="204" t="s">
        <v>298</v>
      </c>
      <c r="I2645" s="265">
        <f t="shared" si="308"/>
        <v>0</v>
      </c>
      <c r="J2645" s="204" t="s">
        <v>93</v>
      </c>
      <c r="K2645" s="270"/>
      <c r="L2645" s="210" t="s">
        <v>675</v>
      </c>
      <c r="M2645" s="198">
        <f t="shared" si="307"/>
        <v>0</v>
      </c>
      <c r="N2645" s="212">
        <f>'02 项目基础信息（输入）'!$C$75</f>
        <v>0</v>
      </c>
      <c r="O2645" s="203">
        <f t="shared" si="303"/>
        <v>0</v>
      </c>
      <c r="P2645" s="203">
        <f t="shared" si="305"/>
        <v>0</v>
      </c>
      <c r="Q2645" s="271">
        <f t="shared" si="304"/>
        <v>0</v>
      </c>
      <c r="S2645" s="280"/>
      <c r="T2645" s="222"/>
      <c r="U2645" s="223" t="s">
        <v>4680</v>
      </c>
    </row>
    <row r="2646" spans="1:21" ht="0" hidden="1" customHeight="1" outlineLevel="4">
      <c r="A2646" s="253" t="s">
        <v>4681</v>
      </c>
      <c r="B2646" s="253"/>
      <c r="C2646" s="202" t="s">
        <v>1609</v>
      </c>
      <c r="D2646" s="203">
        <f>'02 项目基础信息（输入）'!$C$75</f>
        <v>0</v>
      </c>
      <c r="E2646" s="204" t="s">
        <v>93</v>
      </c>
      <c r="F2646" s="202" t="s">
        <v>4324</v>
      </c>
      <c r="G2646" s="258">
        <f t="shared" si="306"/>
        <v>0</v>
      </c>
      <c r="H2646" s="204" t="s">
        <v>298</v>
      </c>
      <c r="I2646" s="265">
        <f t="shared" si="308"/>
        <v>0</v>
      </c>
      <c r="J2646" s="204" t="s">
        <v>93</v>
      </c>
      <c r="K2646" s="270"/>
      <c r="L2646" s="210" t="s">
        <v>675</v>
      </c>
      <c r="M2646" s="198">
        <f t="shared" si="307"/>
        <v>0</v>
      </c>
      <c r="N2646" s="212">
        <f>'02 项目基础信息（输入）'!$C$75</f>
        <v>0</v>
      </c>
      <c r="O2646" s="203">
        <f t="shared" si="303"/>
        <v>0</v>
      </c>
      <c r="P2646" s="203">
        <f t="shared" si="305"/>
        <v>0</v>
      </c>
      <c r="Q2646" s="271">
        <f t="shared" si="304"/>
        <v>0</v>
      </c>
      <c r="S2646" s="280"/>
      <c r="T2646" s="222"/>
      <c r="U2646" s="223" t="s">
        <v>4682</v>
      </c>
    </row>
    <row r="2647" spans="1:21" ht="0" hidden="1" customHeight="1" outlineLevel="4">
      <c r="A2647" s="253" t="s">
        <v>4683</v>
      </c>
      <c r="B2647" s="253"/>
      <c r="C2647" s="202" t="s">
        <v>1609</v>
      </c>
      <c r="D2647" s="203">
        <f>'02 项目基础信息（输入）'!$C$75</f>
        <v>0</v>
      </c>
      <c r="E2647" s="204" t="s">
        <v>93</v>
      </c>
      <c r="F2647" s="202" t="s">
        <v>4324</v>
      </c>
      <c r="G2647" s="258">
        <f t="shared" si="306"/>
        <v>0</v>
      </c>
      <c r="H2647" s="204" t="s">
        <v>298</v>
      </c>
      <c r="I2647" s="265">
        <f t="shared" si="308"/>
        <v>0</v>
      </c>
      <c r="J2647" s="204" t="s">
        <v>93</v>
      </c>
      <c r="K2647" s="270"/>
      <c r="L2647" s="210" t="s">
        <v>675</v>
      </c>
      <c r="M2647" s="198">
        <f t="shared" si="307"/>
        <v>0</v>
      </c>
      <c r="N2647" s="212">
        <f>'02 项目基础信息（输入）'!$C$75</f>
        <v>0</v>
      </c>
      <c r="O2647" s="203">
        <f t="shared" si="303"/>
        <v>0</v>
      </c>
      <c r="P2647" s="203">
        <f t="shared" si="305"/>
        <v>0</v>
      </c>
      <c r="Q2647" s="271">
        <f t="shared" si="304"/>
        <v>0</v>
      </c>
      <c r="S2647" s="280"/>
      <c r="T2647" s="222"/>
      <c r="U2647" s="223" t="s">
        <v>4684</v>
      </c>
    </row>
    <row r="2648" spans="1:21" ht="0" hidden="1" customHeight="1" outlineLevel="4">
      <c r="A2648" s="253" t="s">
        <v>4323</v>
      </c>
      <c r="B2648" s="253"/>
      <c r="C2648" s="202" t="s">
        <v>1609</v>
      </c>
      <c r="D2648" s="203">
        <f>'02 项目基础信息（输入）'!$C$75</f>
        <v>0</v>
      </c>
      <c r="E2648" s="204" t="s">
        <v>93</v>
      </c>
      <c r="F2648" s="202" t="s">
        <v>4324</v>
      </c>
      <c r="G2648" s="258">
        <f t="shared" si="306"/>
        <v>0</v>
      </c>
      <c r="H2648" s="204" t="s">
        <v>298</v>
      </c>
      <c r="I2648" s="265">
        <f t="shared" si="308"/>
        <v>0</v>
      </c>
      <c r="J2648" s="204" t="s">
        <v>93</v>
      </c>
      <c r="K2648" s="270"/>
      <c r="L2648" s="210" t="s">
        <v>675</v>
      </c>
      <c r="M2648" s="198">
        <f t="shared" si="307"/>
        <v>0</v>
      </c>
      <c r="N2648" s="212">
        <f>'02 项目基础信息（输入）'!$C$75</f>
        <v>0</v>
      </c>
      <c r="O2648" s="203">
        <f t="shared" si="303"/>
        <v>0</v>
      </c>
      <c r="P2648" s="203">
        <f t="shared" si="305"/>
        <v>0</v>
      </c>
      <c r="Q2648" s="271">
        <f t="shared" si="304"/>
        <v>0</v>
      </c>
      <c r="S2648" s="280"/>
      <c r="T2648" s="222"/>
      <c r="U2648" s="223" t="s">
        <v>4685</v>
      </c>
    </row>
    <row r="2649" spans="1:21" ht="0" hidden="1" customHeight="1" outlineLevel="4">
      <c r="A2649" s="253" t="s">
        <v>4326</v>
      </c>
      <c r="B2649" s="253"/>
      <c r="C2649" s="202" t="s">
        <v>1609</v>
      </c>
      <c r="D2649" s="203">
        <f>'02 项目基础信息（输入）'!$C$75</f>
        <v>0</v>
      </c>
      <c r="E2649" s="204" t="s">
        <v>93</v>
      </c>
      <c r="F2649" s="202" t="s">
        <v>4324</v>
      </c>
      <c r="G2649" s="258">
        <f t="shared" si="306"/>
        <v>0</v>
      </c>
      <c r="H2649" s="204" t="s">
        <v>298</v>
      </c>
      <c r="I2649" s="265">
        <f t="shared" si="308"/>
        <v>0</v>
      </c>
      <c r="J2649" s="204" t="s">
        <v>93</v>
      </c>
      <c r="K2649" s="270"/>
      <c r="L2649" s="210" t="s">
        <v>675</v>
      </c>
      <c r="M2649" s="198">
        <f t="shared" si="307"/>
        <v>0</v>
      </c>
      <c r="N2649" s="212">
        <f>'02 项目基础信息（输入）'!$C$75</f>
        <v>0</v>
      </c>
      <c r="O2649" s="203">
        <f t="shared" si="303"/>
        <v>0</v>
      </c>
      <c r="P2649" s="203">
        <f t="shared" si="305"/>
        <v>0</v>
      </c>
      <c r="Q2649" s="271">
        <f t="shared" si="304"/>
        <v>0</v>
      </c>
      <c r="S2649" s="280"/>
      <c r="T2649" s="222"/>
      <c r="U2649" s="223" t="s">
        <v>4686</v>
      </c>
    </row>
    <row r="2650" spans="1:21" ht="0" hidden="1" customHeight="1" outlineLevel="4">
      <c r="A2650" s="253" t="s">
        <v>4328</v>
      </c>
      <c r="B2650" s="253"/>
      <c r="C2650" s="202" t="s">
        <v>1609</v>
      </c>
      <c r="D2650" s="203">
        <f>'02 项目基础信息（输入）'!$C$75</f>
        <v>0</v>
      </c>
      <c r="E2650" s="204" t="s">
        <v>93</v>
      </c>
      <c r="F2650" s="202" t="s">
        <v>4324</v>
      </c>
      <c r="G2650" s="258">
        <f t="shared" si="306"/>
        <v>0</v>
      </c>
      <c r="H2650" s="204" t="s">
        <v>298</v>
      </c>
      <c r="I2650" s="265">
        <f t="shared" si="308"/>
        <v>0</v>
      </c>
      <c r="J2650" s="204" t="s">
        <v>93</v>
      </c>
      <c r="K2650" s="270"/>
      <c r="L2650" s="210" t="s">
        <v>675</v>
      </c>
      <c r="M2650" s="198">
        <f t="shared" si="307"/>
        <v>0</v>
      </c>
      <c r="N2650" s="212">
        <f>'02 项目基础信息（输入）'!$C$75</f>
        <v>0</v>
      </c>
      <c r="O2650" s="203">
        <f t="shared" si="303"/>
        <v>0</v>
      </c>
      <c r="P2650" s="203">
        <f t="shared" si="305"/>
        <v>0</v>
      </c>
      <c r="Q2650" s="271">
        <f t="shared" si="304"/>
        <v>0</v>
      </c>
      <c r="S2650" s="280"/>
      <c r="T2650" s="222"/>
      <c r="U2650" s="223" t="s">
        <v>4687</v>
      </c>
    </row>
    <row r="2651" spans="1:21" ht="0" hidden="1" customHeight="1" outlineLevel="3">
      <c r="A2651" s="253" t="s">
        <v>4330</v>
      </c>
      <c r="B2651" s="253"/>
      <c r="C2651" s="202" t="s">
        <v>1609</v>
      </c>
      <c r="D2651" s="203">
        <f>'02 项目基础信息（输入）'!$C$75</f>
        <v>0</v>
      </c>
      <c r="E2651" s="204" t="s">
        <v>93</v>
      </c>
      <c r="F2651" s="202" t="s">
        <v>1609</v>
      </c>
      <c r="G2651" s="255">
        <v>1</v>
      </c>
      <c r="H2651" s="204" t="s">
        <v>298</v>
      </c>
      <c r="I2651" s="265">
        <f>D2651*G2651</f>
        <v>0</v>
      </c>
      <c r="J2651" s="204" t="s">
        <v>93</v>
      </c>
      <c r="K2651" s="270"/>
      <c r="L2651" s="210" t="s">
        <v>675</v>
      </c>
      <c r="M2651" s="198">
        <f t="shared" si="307"/>
        <v>0</v>
      </c>
      <c r="N2651" s="212">
        <f>'02 项目基础信息（输入）'!$C$75</f>
        <v>0</v>
      </c>
      <c r="O2651" s="203">
        <f t="shared" si="303"/>
        <v>0</v>
      </c>
      <c r="P2651" s="203">
        <f t="shared" si="305"/>
        <v>0</v>
      </c>
      <c r="Q2651" s="271">
        <f t="shared" si="304"/>
        <v>0</v>
      </c>
      <c r="S2651" s="280"/>
      <c r="T2651" s="222"/>
      <c r="U2651" s="223" t="s">
        <v>4688</v>
      </c>
    </row>
    <row r="2652" spans="1:21" ht="0" hidden="1" customHeight="1" outlineLevel="3">
      <c r="A2652" s="253" t="s">
        <v>4332</v>
      </c>
      <c r="B2652" s="253"/>
      <c r="C2652" s="202" t="s">
        <v>1609</v>
      </c>
      <c r="D2652" s="203">
        <f>'02 项目基础信息（输入）'!$C$75</f>
        <v>0</v>
      </c>
      <c r="E2652" s="204" t="s">
        <v>93</v>
      </c>
      <c r="F2652" s="202" t="s">
        <v>1609</v>
      </c>
      <c r="G2652" s="255">
        <v>1</v>
      </c>
      <c r="H2652" s="204" t="s">
        <v>298</v>
      </c>
      <c r="I2652" s="265">
        <f>D2652*G2652</f>
        <v>0</v>
      </c>
      <c r="J2652" s="204" t="s">
        <v>93</v>
      </c>
      <c r="K2652" s="270"/>
      <c r="L2652" s="210" t="s">
        <v>675</v>
      </c>
      <c r="M2652" s="198">
        <f t="shared" si="307"/>
        <v>0</v>
      </c>
      <c r="N2652" s="212">
        <f>'02 项目基础信息（输入）'!$C$75</f>
        <v>0</v>
      </c>
      <c r="O2652" s="203">
        <f t="shared" si="303"/>
        <v>0</v>
      </c>
      <c r="P2652" s="203">
        <f t="shared" si="305"/>
        <v>0</v>
      </c>
      <c r="Q2652" s="271">
        <f t="shared" si="304"/>
        <v>0</v>
      </c>
      <c r="S2652" s="280"/>
      <c r="T2652" s="222"/>
      <c r="U2652" s="223" t="s">
        <v>4689</v>
      </c>
    </row>
    <row r="2653" spans="1:21" ht="0" hidden="1" customHeight="1" outlineLevel="3">
      <c r="A2653" s="253" t="s">
        <v>4334</v>
      </c>
      <c r="B2653" s="253"/>
      <c r="C2653" s="202" t="s">
        <v>1665</v>
      </c>
      <c r="D2653" s="203">
        <f>ROUND(M2638+M2639+M2640+M2641+M2652,6)*10000</f>
        <v>0</v>
      </c>
      <c r="E2653" s="204" t="s">
        <v>1666</v>
      </c>
      <c r="F2653" s="202" t="s">
        <v>1667</v>
      </c>
      <c r="G2653" s="258">
        <f>IFERROR(I2653*100/D2653,0)</f>
        <v>0</v>
      </c>
      <c r="H2653" s="204" t="s">
        <v>123</v>
      </c>
      <c r="I2653" s="265">
        <f>N2653*K2653</f>
        <v>0</v>
      </c>
      <c r="J2653" s="204" t="s">
        <v>1666</v>
      </c>
      <c r="K2653" s="269"/>
      <c r="L2653" s="210" t="s">
        <v>675</v>
      </c>
      <c r="M2653" s="231">
        <f>ROUND(I2653/10000,6)</f>
        <v>0</v>
      </c>
      <c r="N2653" s="212">
        <f>'02 项目基础信息（输入）'!$C$75</f>
        <v>0</v>
      </c>
      <c r="O2653" s="203">
        <f t="shared" si="303"/>
        <v>0</v>
      </c>
      <c r="P2653" s="203">
        <f t="shared" si="305"/>
        <v>0</v>
      </c>
      <c r="Q2653" s="271">
        <f t="shared" si="304"/>
        <v>0</v>
      </c>
      <c r="S2653" s="280"/>
      <c r="T2653" s="222"/>
      <c r="U2653" s="223" t="s">
        <v>4690</v>
      </c>
    </row>
    <row r="2654" spans="1:21" ht="0" hidden="1" customHeight="1" outlineLevel="2">
      <c r="A2654" s="201" t="s">
        <v>4336</v>
      </c>
      <c r="B2654" s="201"/>
      <c r="C2654" s="202" t="s">
        <v>1609</v>
      </c>
      <c r="D2654" s="203">
        <f>'02 项目基础信息（输入）'!$C$75</f>
        <v>0</v>
      </c>
      <c r="E2654" s="204" t="s">
        <v>93</v>
      </c>
      <c r="F2654" s="202"/>
      <c r="G2654" s="204"/>
      <c r="H2654" s="204"/>
      <c r="I2654" s="203"/>
      <c r="J2654" s="204"/>
      <c r="K2654" s="264"/>
      <c r="L2654" s="210"/>
      <c r="M2654" s="198">
        <f>ROUND(M2655+M2658+M2663+M2664+M2665+M2666,6)</f>
        <v>0</v>
      </c>
      <c r="N2654" s="212">
        <f>'02 项目基础信息（输入）'!$C$75</f>
        <v>0</v>
      </c>
      <c r="O2654" s="203">
        <f t="shared" si="303"/>
        <v>0</v>
      </c>
      <c r="P2654" s="203">
        <f t="shared" si="305"/>
        <v>0</v>
      </c>
      <c r="Q2654" s="271">
        <f t="shared" si="304"/>
        <v>0</v>
      </c>
      <c r="S2654" s="280" t="s">
        <v>1313</v>
      </c>
      <c r="T2654" s="222"/>
      <c r="U2654" s="223" t="s">
        <v>4691</v>
      </c>
    </row>
    <row r="2655" spans="1:21" ht="0" hidden="1" customHeight="1" outlineLevel="3">
      <c r="A2655" s="253" t="s">
        <v>4338</v>
      </c>
      <c r="B2655" s="253"/>
      <c r="C2655" s="202" t="s">
        <v>1609</v>
      </c>
      <c r="D2655" s="203">
        <f>'02 项目基础信息（输入）'!$C$75</f>
        <v>0</v>
      </c>
      <c r="E2655" s="204" t="s">
        <v>93</v>
      </c>
      <c r="F2655" s="202"/>
      <c r="G2655" s="204"/>
      <c r="H2655" s="204"/>
      <c r="I2655" s="203"/>
      <c r="J2655" s="204"/>
      <c r="K2655" s="264"/>
      <c r="L2655" s="210"/>
      <c r="M2655" s="198">
        <f>ROUND(SUM(M2656:M2657),6)</f>
        <v>0</v>
      </c>
      <c r="N2655" s="212">
        <f>'02 项目基础信息（输入）'!$C$75</f>
        <v>0</v>
      </c>
      <c r="O2655" s="203">
        <f t="shared" si="303"/>
        <v>0</v>
      </c>
      <c r="P2655" s="203">
        <f t="shared" si="305"/>
        <v>0</v>
      </c>
      <c r="Q2655" s="271">
        <f t="shared" si="304"/>
        <v>0</v>
      </c>
      <c r="S2655" s="280"/>
      <c r="T2655" s="222"/>
      <c r="U2655" s="223" t="s">
        <v>4692</v>
      </c>
    </row>
    <row r="2656" spans="1:21" ht="0" hidden="1" customHeight="1" outlineLevel="4">
      <c r="A2656" s="253" t="s">
        <v>4340</v>
      </c>
      <c r="B2656" s="253"/>
      <c r="C2656" s="202" t="s">
        <v>1609</v>
      </c>
      <c r="D2656" s="203">
        <f>'02 项目基础信息（输入）'!$C$75</f>
        <v>0</v>
      </c>
      <c r="E2656" s="204" t="s">
        <v>93</v>
      </c>
      <c r="F2656" s="202" t="s">
        <v>1609</v>
      </c>
      <c r="G2656" s="204">
        <v>1</v>
      </c>
      <c r="H2656" s="204" t="s">
        <v>298</v>
      </c>
      <c r="I2656" s="265">
        <f>D2656*G2656</f>
        <v>0</v>
      </c>
      <c r="J2656" s="204" t="s">
        <v>93</v>
      </c>
      <c r="K2656" s="270"/>
      <c r="L2656" s="210" t="s">
        <v>675</v>
      </c>
      <c r="M2656" s="198">
        <f>ROUND(K2656*I2656/10000,6)</f>
        <v>0</v>
      </c>
      <c r="N2656" s="212">
        <f>'02 项目基础信息（输入）'!$C$75</f>
        <v>0</v>
      </c>
      <c r="O2656" s="203">
        <f t="shared" si="303"/>
        <v>0</v>
      </c>
      <c r="P2656" s="203">
        <f t="shared" si="305"/>
        <v>0</v>
      </c>
      <c r="Q2656" s="271">
        <f t="shared" si="304"/>
        <v>0</v>
      </c>
      <c r="S2656" s="280"/>
      <c r="T2656" s="222"/>
      <c r="U2656" s="223" t="s">
        <v>4693</v>
      </c>
    </row>
    <row r="2657" spans="1:21" ht="0" hidden="1" customHeight="1" outlineLevel="4">
      <c r="A2657" s="253" t="s">
        <v>4342</v>
      </c>
      <c r="B2657" s="253"/>
      <c r="C2657" s="202" t="s">
        <v>1609</v>
      </c>
      <c r="D2657" s="203">
        <f>'02 项目基础信息（输入）'!$C$75</f>
        <v>0</v>
      </c>
      <c r="E2657" s="204" t="s">
        <v>93</v>
      </c>
      <c r="F2657" s="202" t="s">
        <v>1609</v>
      </c>
      <c r="G2657" s="204">
        <v>1</v>
      </c>
      <c r="H2657" s="204" t="s">
        <v>298</v>
      </c>
      <c r="I2657" s="265">
        <f>D2657*G2657</f>
        <v>0</v>
      </c>
      <c r="J2657" s="204" t="s">
        <v>93</v>
      </c>
      <c r="K2657" s="270"/>
      <c r="L2657" s="210" t="s">
        <v>675</v>
      </c>
      <c r="M2657" s="198">
        <f>ROUND(K2657*I2657/10000,6)</f>
        <v>0</v>
      </c>
      <c r="N2657" s="212">
        <f>'02 项目基础信息（输入）'!$C$75</f>
        <v>0</v>
      </c>
      <c r="O2657" s="203">
        <f t="shared" si="303"/>
        <v>0</v>
      </c>
      <c r="P2657" s="203">
        <f t="shared" si="305"/>
        <v>0</v>
      </c>
      <c r="Q2657" s="271">
        <f t="shared" si="304"/>
        <v>0</v>
      </c>
      <c r="S2657" s="280"/>
      <c r="T2657" s="222"/>
      <c r="U2657" s="223" t="s">
        <v>4694</v>
      </c>
    </row>
    <row r="2658" spans="1:21" ht="0" hidden="1" customHeight="1" outlineLevel="3">
      <c r="A2658" s="253" t="s">
        <v>4344</v>
      </c>
      <c r="B2658" s="253"/>
      <c r="C2658" s="202" t="s">
        <v>1609</v>
      </c>
      <c r="D2658" s="203">
        <f>'02 项目基础信息（输入）'!$C$75</f>
        <v>0</v>
      </c>
      <c r="E2658" s="204" t="s">
        <v>93</v>
      </c>
      <c r="F2658" s="202"/>
      <c r="G2658" s="204"/>
      <c r="H2658" s="204"/>
      <c r="I2658" s="203"/>
      <c r="J2658" s="204"/>
      <c r="K2658" s="231"/>
      <c r="L2658" s="210"/>
      <c r="M2658" s="198">
        <f>ROUND(SUM(M2659:M2662),6)</f>
        <v>0</v>
      </c>
      <c r="N2658" s="212">
        <f>'02 项目基础信息（输入）'!$C$75</f>
        <v>0</v>
      </c>
      <c r="O2658" s="203">
        <f t="shared" si="303"/>
        <v>0</v>
      </c>
      <c r="P2658" s="203">
        <f t="shared" si="305"/>
        <v>0</v>
      </c>
      <c r="Q2658" s="271">
        <f t="shared" si="304"/>
        <v>0</v>
      </c>
      <c r="S2658" s="280"/>
      <c r="T2658" s="222"/>
      <c r="U2658" s="223" t="s">
        <v>4695</v>
      </c>
    </row>
    <row r="2659" spans="1:21" ht="0" hidden="1" customHeight="1" outlineLevel="4">
      <c r="A2659" s="253" t="s">
        <v>4346</v>
      </c>
      <c r="B2659" s="253"/>
      <c r="C2659" s="202" t="s">
        <v>1609</v>
      </c>
      <c r="D2659" s="203">
        <f>'02 项目基础信息（输入）'!$C$75</f>
        <v>0</v>
      </c>
      <c r="E2659" s="204" t="s">
        <v>93</v>
      </c>
      <c r="F2659" s="202" t="s">
        <v>1609</v>
      </c>
      <c r="G2659" s="204">
        <v>1</v>
      </c>
      <c r="H2659" s="204" t="s">
        <v>298</v>
      </c>
      <c r="I2659" s="265">
        <f t="shared" ref="I2659:I2665" si="309">D2659*G2659</f>
        <v>0</v>
      </c>
      <c r="J2659" s="204" t="s">
        <v>93</v>
      </c>
      <c r="K2659" s="270"/>
      <c r="L2659" s="210" t="s">
        <v>675</v>
      </c>
      <c r="M2659" s="198">
        <f t="shared" ref="M2659:M2665" si="310">ROUND(K2659*I2659/10000,6)</f>
        <v>0</v>
      </c>
      <c r="N2659" s="212">
        <f>'02 项目基础信息（输入）'!$C$75</f>
        <v>0</v>
      </c>
      <c r="O2659" s="203">
        <f t="shared" si="303"/>
        <v>0</v>
      </c>
      <c r="P2659" s="203">
        <f t="shared" si="305"/>
        <v>0</v>
      </c>
      <c r="Q2659" s="271">
        <f t="shared" si="304"/>
        <v>0</v>
      </c>
      <c r="S2659" s="280"/>
      <c r="T2659" s="222"/>
      <c r="U2659" s="223" t="s">
        <v>4696</v>
      </c>
    </row>
    <row r="2660" spans="1:21" ht="0" hidden="1" customHeight="1" outlineLevel="4">
      <c r="A2660" s="253" t="s">
        <v>4348</v>
      </c>
      <c r="B2660" s="253"/>
      <c r="C2660" s="202" t="s">
        <v>1609</v>
      </c>
      <c r="D2660" s="203">
        <f>'02 项目基础信息（输入）'!$C$75</f>
        <v>0</v>
      </c>
      <c r="E2660" s="204" t="s">
        <v>93</v>
      </c>
      <c r="F2660" s="202" t="s">
        <v>1609</v>
      </c>
      <c r="G2660" s="204">
        <v>1</v>
      </c>
      <c r="H2660" s="204" t="s">
        <v>298</v>
      </c>
      <c r="I2660" s="265">
        <f t="shared" si="309"/>
        <v>0</v>
      </c>
      <c r="J2660" s="204" t="s">
        <v>93</v>
      </c>
      <c r="K2660" s="270"/>
      <c r="L2660" s="210" t="s">
        <v>675</v>
      </c>
      <c r="M2660" s="198">
        <f t="shared" si="310"/>
        <v>0</v>
      </c>
      <c r="N2660" s="212">
        <f>'02 项目基础信息（输入）'!$C$75</f>
        <v>0</v>
      </c>
      <c r="O2660" s="203">
        <f t="shared" si="303"/>
        <v>0</v>
      </c>
      <c r="P2660" s="203">
        <f t="shared" si="305"/>
        <v>0</v>
      </c>
      <c r="Q2660" s="271">
        <f t="shared" si="304"/>
        <v>0</v>
      </c>
      <c r="S2660" s="280"/>
      <c r="T2660" s="222"/>
      <c r="U2660" s="223" t="s">
        <v>4697</v>
      </c>
    </row>
    <row r="2661" spans="1:21" ht="0" hidden="1" customHeight="1" outlineLevel="4">
      <c r="A2661" s="253" t="s">
        <v>4350</v>
      </c>
      <c r="B2661" s="253"/>
      <c r="C2661" s="202" t="s">
        <v>1609</v>
      </c>
      <c r="D2661" s="203">
        <f>'02 项目基础信息（输入）'!$C$75</f>
        <v>0</v>
      </c>
      <c r="E2661" s="204" t="s">
        <v>93</v>
      </c>
      <c r="F2661" s="202" t="s">
        <v>1609</v>
      </c>
      <c r="G2661" s="204">
        <v>1</v>
      </c>
      <c r="H2661" s="204" t="s">
        <v>298</v>
      </c>
      <c r="I2661" s="265">
        <f t="shared" si="309"/>
        <v>0</v>
      </c>
      <c r="J2661" s="204" t="s">
        <v>93</v>
      </c>
      <c r="K2661" s="270"/>
      <c r="L2661" s="210" t="s">
        <v>675</v>
      </c>
      <c r="M2661" s="198">
        <f t="shared" si="310"/>
        <v>0</v>
      </c>
      <c r="N2661" s="212">
        <f>'02 项目基础信息（输入）'!$C$75</f>
        <v>0</v>
      </c>
      <c r="O2661" s="203">
        <f t="shared" si="303"/>
        <v>0</v>
      </c>
      <c r="P2661" s="203">
        <f t="shared" si="305"/>
        <v>0</v>
      </c>
      <c r="Q2661" s="271">
        <f t="shared" si="304"/>
        <v>0</v>
      </c>
      <c r="S2661" s="280"/>
      <c r="T2661" s="222"/>
      <c r="U2661" s="223" t="s">
        <v>4698</v>
      </c>
    </row>
    <row r="2662" spans="1:21" ht="0" hidden="1" customHeight="1" outlineLevel="4">
      <c r="A2662" s="253" t="s">
        <v>4352</v>
      </c>
      <c r="B2662" s="253"/>
      <c r="C2662" s="202" t="s">
        <v>1609</v>
      </c>
      <c r="D2662" s="203">
        <f>'02 项目基础信息（输入）'!$C$75</f>
        <v>0</v>
      </c>
      <c r="E2662" s="204" t="s">
        <v>93</v>
      </c>
      <c r="F2662" s="202" t="s">
        <v>1609</v>
      </c>
      <c r="G2662" s="204">
        <v>1</v>
      </c>
      <c r="H2662" s="204" t="s">
        <v>298</v>
      </c>
      <c r="I2662" s="265">
        <f t="shared" si="309"/>
        <v>0</v>
      </c>
      <c r="J2662" s="204" t="s">
        <v>93</v>
      </c>
      <c r="K2662" s="270"/>
      <c r="L2662" s="210" t="s">
        <v>675</v>
      </c>
      <c r="M2662" s="198">
        <f t="shared" si="310"/>
        <v>0</v>
      </c>
      <c r="N2662" s="212">
        <f>'02 项目基础信息（输入）'!$C$75</f>
        <v>0</v>
      </c>
      <c r="O2662" s="203">
        <f t="shared" si="303"/>
        <v>0</v>
      </c>
      <c r="P2662" s="203">
        <f t="shared" si="305"/>
        <v>0</v>
      </c>
      <c r="Q2662" s="271">
        <f t="shared" si="304"/>
        <v>0</v>
      </c>
      <c r="S2662" s="280"/>
      <c r="T2662" s="222"/>
      <c r="U2662" s="223" t="s">
        <v>4699</v>
      </c>
    </row>
    <row r="2663" spans="1:21" ht="0" hidden="1" customHeight="1" outlineLevel="3">
      <c r="A2663" s="253" t="s">
        <v>4354</v>
      </c>
      <c r="B2663" s="253"/>
      <c r="C2663" s="202" t="s">
        <v>1609</v>
      </c>
      <c r="D2663" s="203">
        <f>'02 项目基础信息（输入）'!$C$75</f>
        <v>0</v>
      </c>
      <c r="E2663" s="204" t="s">
        <v>93</v>
      </c>
      <c r="F2663" s="202" t="s">
        <v>1609</v>
      </c>
      <c r="G2663" s="204">
        <v>1</v>
      </c>
      <c r="H2663" s="204" t="s">
        <v>298</v>
      </c>
      <c r="I2663" s="265">
        <f t="shared" si="309"/>
        <v>0</v>
      </c>
      <c r="J2663" s="204" t="s">
        <v>93</v>
      </c>
      <c r="K2663" s="270"/>
      <c r="L2663" s="210" t="s">
        <v>675</v>
      </c>
      <c r="M2663" s="198">
        <f t="shared" si="310"/>
        <v>0</v>
      </c>
      <c r="N2663" s="212">
        <f>'02 项目基础信息（输入）'!$C$75</f>
        <v>0</v>
      </c>
      <c r="O2663" s="203">
        <f t="shared" si="303"/>
        <v>0</v>
      </c>
      <c r="P2663" s="203">
        <f t="shared" si="305"/>
        <v>0</v>
      </c>
      <c r="Q2663" s="271">
        <f t="shared" si="304"/>
        <v>0</v>
      </c>
      <c r="S2663" s="280"/>
      <c r="T2663" s="222"/>
      <c r="U2663" s="223" t="s">
        <v>4700</v>
      </c>
    </row>
    <row r="2664" spans="1:21" ht="0" hidden="1" customHeight="1" outlineLevel="3">
      <c r="A2664" s="253" t="s">
        <v>4356</v>
      </c>
      <c r="B2664" s="253"/>
      <c r="C2664" s="202" t="s">
        <v>1609</v>
      </c>
      <c r="D2664" s="203">
        <f>'02 项目基础信息（输入）'!$C$75</f>
        <v>0</v>
      </c>
      <c r="E2664" s="204" t="s">
        <v>93</v>
      </c>
      <c r="F2664" s="202" t="s">
        <v>1609</v>
      </c>
      <c r="G2664" s="255">
        <v>1</v>
      </c>
      <c r="H2664" s="204" t="s">
        <v>298</v>
      </c>
      <c r="I2664" s="265">
        <f t="shared" si="309"/>
        <v>0</v>
      </c>
      <c r="J2664" s="204" t="s">
        <v>93</v>
      </c>
      <c r="K2664" s="270"/>
      <c r="L2664" s="210" t="s">
        <v>675</v>
      </c>
      <c r="M2664" s="198">
        <f t="shared" si="310"/>
        <v>0</v>
      </c>
      <c r="N2664" s="212">
        <f>'02 项目基础信息（输入）'!$C$75</f>
        <v>0</v>
      </c>
      <c r="O2664" s="203">
        <f t="shared" si="303"/>
        <v>0</v>
      </c>
      <c r="P2664" s="203">
        <f t="shared" si="305"/>
        <v>0</v>
      </c>
      <c r="Q2664" s="271">
        <f t="shared" si="304"/>
        <v>0</v>
      </c>
      <c r="S2664" s="280"/>
      <c r="T2664" s="222"/>
      <c r="U2664" s="223" t="s">
        <v>4701</v>
      </c>
    </row>
    <row r="2665" spans="1:21" ht="0" hidden="1" customHeight="1" outlineLevel="3">
      <c r="A2665" s="253" t="s">
        <v>4358</v>
      </c>
      <c r="B2665" s="253"/>
      <c r="C2665" s="202" t="s">
        <v>1609</v>
      </c>
      <c r="D2665" s="203">
        <f>'02 项目基础信息（输入）'!$C$75</f>
        <v>0</v>
      </c>
      <c r="E2665" s="204" t="s">
        <v>93</v>
      </c>
      <c r="F2665" s="202" t="s">
        <v>1609</v>
      </c>
      <c r="G2665" s="255">
        <v>1</v>
      </c>
      <c r="H2665" s="204" t="s">
        <v>298</v>
      </c>
      <c r="I2665" s="265">
        <f t="shared" si="309"/>
        <v>0</v>
      </c>
      <c r="J2665" s="204" t="s">
        <v>93</v>
      </c>
      <c r="K2665" s="270"/>
      <c r="L2665" s="210" t="s">
        <v>675</v>
      </c>
      <c r="M2665" s="198">
        <f t="shared" si="310"/>
        <v>0</v>
      </c>
      <c r="N2665" s="212">
        <f>'02 项目基础信息（输入）'!$C$75</f>
        <v>0</v>
      </c>
      <c r="O2665" s="203">
        <f t="shared" si="303"/>
        <v>0</v>
      </c>
      <c r="P2665" s="203">
        <f t="shared" si="305"/>
        <v>0</v>
      </c>
      <c r="Q2665" s="271">
        <f t="shared" si="304"/>
        <v>0</v>
      </c>
      <c r="S2665" s="280"/>
      <c r="T2665" s="222"/>
      <c r="U2665" s="223" t="s">
        <v>4702</v>
      </c>
    </row>
    <row r="2666" spans="1:21" ht="0" hidden="1" customHeight="1" outlineLevel="3">
      <c r="A2666" s="253" t="s">
        <v>4360</v>
      </c>
      <c r="B2666" s="253"/>
      <c r="C2666" s="202" t="s">
        <v>1665</v>
      </c>
      <c r="D2666" s="203">
        <f>ROUND(M2655+M2658+M2663+M2664+M2665,6)*10000</f>
        <v>0</v>
      </c>
      <c r="E2666" s="204" t="s">
        <v>1666</v>
      </c>
      <c r="F2666" s="202" t="s">
        <v>1667</v>
      </c>
      <c r="G2666" s="258">
        <f>IFERROR(I2666*100/D2666,0)</f>
        <v>0</v>
      </c>
      <c r="H2666" s="204" t="s">
        <v>123</v>
      </c>
      <c r="I2666" s="265">
        <f>N2666*K2666</f>
        <v>0</v>
      </c>
      <c r="J2666" s="204" t="s">
        <v>1666</v>
      </c>
      <c r="K2666" s="269"/>
      <c r="L2666" s="210" t="s">
        <v>675</v>
      </c>
      <c r="M2666" s="231">
        <f>ROUND(I2666/10000,6)</f>
        <v>0</v>
      </c>
      <c r="N2666" s="212">
        <f>'02 项目基础信息（输入）'!$C$75</f>
        <v>0</v>
      </c>
      <c r="O2666" s="203">
        <f t="shared" si="303"/>
        <v>0</v>
      </c>
      <c r="P2666" s="203">
        <f t="shared" si="305"/>
        <v>0</v>
      </c>
      <c r="Q2666" s="271">
        <f t="shared" si="304"/>
        <v>0</v>
      </c>
      <c r="S2666" s="280"/>
      <c r="T2666" s="222"/>
      <c r="U2666" s="223" t="s">
        <v>4703</v>
      </c>
    </row>
    <row r="2667" spans="1:21" ht="0" hidden="1" customHeight="1" outlineLevel="2">
      <c r="A2667" s="201" t="s">
        <v>4362</v>
      </c>
      <c r="B2667" s="201"/>
      <c r="C2667" s="202" t="s">
        <v>1609</v>
      </c>
      <c r="D2667" s="203">
        <f>'02 项目基础信息（输入）'!$C$75</f>
        <v>0</v>
      </c>
      <c r="E2667" s="204" t="s">
        <v>93</v>
      </c>
      <c r="F2667" s="202"/>
      <c r="G2667" s="255"/>
      <c r="H2667" s="204"/>
      <c r="I2667" s="203"/>
      <c r="J2667" s="204"/>
      <c r="K2667" s="264"/>
      <c r="L2667" s="210"/>
      <c r="M2667" s="198">
        <f>ROUND(M2668+M2671+M2676+M2683+M2684+M2687+M2688+M2689+M2690+M2691+M2692+M2696+M2697,6)</f>
        <v>0</v>
      </c>
      <c r="N2667" s="212">
        <f>'02 项目基础信息（输入）'!$C$75</f>
        <v>0</v>
      </c>
      <c r="O2667" s="203">
        <f t="shared" si="303"/>
        <v>0</v>
      </c>
      <c r="P2667" s="203">
        <f t="shared" si="305"/>
        <v>0</v>
      </c>
      <c r="Q2667" s="271">
        <f t="shared" si="304"/>
        <v>0</v>
      </c>
      <c r="S2667" s="280" t="s">
        <v>1314</v>
      </c>
      <c r="T2667" s="222"/>
      <c r="U2667" s="223" t="s">
        <v>4704</v>
      </c>
    </row>
    <row r="2668" spans="1:21" ht="0" hidden="1" customHeight="1" outlineLevel="3">
      <c r="A2668" s="253" t="s">
        <v>4705</v>
      </c>
      <c r="B2668" s="253"/>
      <c r="C2668" s="202" t="s">
        <v>1609</v>
      </c>
      <c r="D2668" s="203">
        <f>'02 项目基础信息（输入）'!$C$75</f>
        <v>0</v>
      </c>
      <c r="E2668" s="204" t="s">
        <v>93</v>
      </c>
      <c r="F2668" s="202"/>
      <c r="G2668" s="204"/>
      <c r="H2668" s="204"/>
      <c r="I2668" s="265"/>
      <c r="J2668" s="204"/>
      <c r="K2668" s="264"/>
      <c r="L2668" s="210"/>
      <c r="M2668" s="198">
        <f>ROUND(SUM(M2669:M2670),6)</f>
        <v>0</v>
      </c>
      <c r="N2668" s="212">
        <f>'02 项目基础信息（输入）'!$C$75</f>
        <v>0</v>
      </c>
      <c r="O2668" s="203">
        <f t="shared" si="303"/>
        <v>0</v>
      </c>
      <c r="P2668" s="203">
        <f t="shared" si="305"/>
        <v>0</v>
      </c>
      <c r="Q2668" s="271">
        <f t="shared" si="304"/>
        <v>0</v>
      </c>
      <c r="S2668" s="280"/>
      <c r="T2668" s="222"/>
      <c r="U2668" s="223" t="s">
        <v>4706</v>
      </c>
    </row>
    <row r="2669" spans="1:21" ht="0" hidden="1" customHeight="1" outlineLevel="4">
      <c r="A2669" s="253" t="s">
        <v>4707</v>
      </c>
      <c r="B2669" s="253"/>
      <c r="C2669" s="202" t="s">
        <v>1609</v>
      </c>
      <c r="D2669" s="203">
        <f>'02 项目基础信息（输入）'!$C$75</f>
        <v>0</v>
      </c>
      <c r="E2669" s="204" t="s">
        <v>93</v>
      </c>
      <c r="F2669" s="202" t="s">
        <v>1609</v>
      </c>
      <c r="G2669" s="204">
        <v>1</v>
      </c>
      <c r="H2669" s="204" t="s">
        <v>298</v>
      </c>
      <c r="I2669" s="265">
        <f>D2669*G2669</f>
        <v>0</v>
      </c>
      <c r="J2669" s="204" t="s">
        <v>93</v>
      </c>
      <c r="K2669" s="270"/>
      <c r="L2669" s="210" t="s">
        <v>675</v>
      </c>
      <c r="M2669" s="198">
        <f>ROUND(K2669*I2669/10000,6)</f>
        <v>0</v>
      </c>
      <c r="N2669" s="212">
        <f>'02 项目基础信息（输入）'!$C$75</f>
        <v>0</v>
      </c>
      <c r="O2669" s="203">
        <f t="shared" si="303"/>
        <v>0</v>
      </c>
      <c r="P2669" s="203">
        <f t="shared" si="305"/>
        <v>0</v>
      </c>
      <c r="Q2669" s="271">
        <f t="shared" si="304"/>
        <v>0</v>
      </c>
      <c r="S2669" s="280"/>
      <c r="T2669" s="222"/>
      <c r="U2669" s="223" t="s">
        <v>4708</v>
      </c>
    </row>
    <row r="2670" spans="1:21" ht="0" hidden="1" customHeight="1" outlineLevel="4">
      <c r="A2670" s="253" t="s">
        <v>4709</v>
      </c>
      <c r="B2670" s="253"/>
      <c r="C2670" s="202" t="s">
        <v>1609</v>
      </c>
      <c r="D2670" s="203">
        <f>'02 项目基础信息（输入）'!$C$75</f>
        <v>0</v>
      </c>
      <c r="E2670" s="204" t="s">
        <v>93</v>
      </c>
      <c r="F2670" s="202" t="s">
        <v>1609</v>
      </c>
      <c r="G2670" s="204">
        <v>1</v>
      </c>
      <c r="H2670" s="204" t="s">
        <v>298</v>
      </c>
      <c r="I2670" s="265">
        <f>D2670*G2670</f>
        <v>0</v>
      </c>
      <c r="J2670" s="204" t="s">
        <v>93</v>
      </c>
      <c r="K2670" s="270"/>
      <c r="L2670" s="210" t="s">
        <v>675</v>
      </c>
      <c r="M2670" s="198">
        <f>ROUND(K2670*I2670/10000,6)</f>
        <v>0</v>
      </c>
      <c r="N2670" s="212">
        <f>'02 项目基础信息（输入）'!$C$75</f>
        <v>0</v>
      </c>
      <c r="O2670" s="203">
        <f t="shared" si="303"/>
        <v>0</v>
      </c>
      <c r="P2670" s="203">
        <f t="shared" si="305"/>
        <v>0</v>
      </c>
      <c r="Q2670" s="271">
        <f t="shared" si="304"/>
        <v>0</v>
      </c>
      <c r="S2670" s="280"/>
      <c r="T2670" s="222"/>
      <c r="U2670" s="223" t="s">
        <v>4710</v>
      </c>
    </row>
    <row r="2671" spans="1:21" ht="0" hidden="1" customHeight="1" outlineLevel="3">
      <c r="A2671" s="253" t="s">
        <v>4711</v>
      </c>
      <c r="B2671" s="253"/>
      <c r="C2671" s="202" t="s">
        <v>1609</v>
      </c>
      <c r="D2671" s="203">
        <f>'02 项目基础信息（输入）'!$C$75</f>
        <v>0</v>
      </c>
      <c r="E2671" s="204" t="s">
        <v>93</v>
      </c>
      <c r="F2671" s="202"/>
      <c r="G2671" s="204"/>
      <c r="H2671" s="204"/>
      <c r="I2671" s="203"/>
      <c r="J2671" s="204"/>
      <c r="K2671" s="231"/>
      <c r="L2671" s="210"/>
      <c r="M2671" s="198">
        <f>ROUND(SUM(M2672:M2675),6)</f>
        <v>0</v>
      </c>
      <c r="N2671" s="212">
        <f>'02 项目基础信息（输入）'!$C$75</f>
        <v>0</v>
      </c>
      <c r="O2671" s="203">
        <f t="shared" si="303"/>
        <v>0</v>
      </c>
      <c r="P2671" s="203">
        <f t="shared" si="305"/>
        <v>0</v>
      </c>
      <c r="Q2671" s="271">
        <f t="shared" si="304"/>
        <v>0</v>
      </c>
      <c r="S2671" s="280"/>
      <c r="T2671" s="222"/>
      <c r="U2671" s="223" t="s">
        <v>4712</v>
      </c>
    </row>
    <row r="2672" spans="1:21" ht="0" hidden="1" customHeight="1" outlineLevel="4">
      <c r="A2672" s="253" t="s">
        <v>4713</v>
      </c>
      <c r="B2672" s="253"/>
      <c r="C2672" s="202" t="s">
        <v>1609</v>
      </c>
      <c r="D2672" s="203">
        <f>'02 项目基础信息（输入）'!$C$75</f>
        <v>0</v>
      </c>
      <c r="E2672" s="204" t="s">
        <v>93</v>
      </c>
      <c r="F2672" s="202" t="s">
        <v>1609</v>
      </c>
      <c r="G2672" s="204">
        <v>1</v>
      </c>
      <c r="H2672" s="204" t="s">
        <v>298</v>
      </c>
      <c r="I2672" s="265">
        <f>D2672*G2672</f>
        <v>0</v>
      </c>
      <c r="J2672" s="204" t="s">
        <v>93</v>
      </c>
      <c r="K2672" s="270"/>
      <c r="L2672" s="210" t="s">
        <v>675</v>
      </c>
      <c r="M2672" s="198">
        <f>ROUND(K2672*I2672/10000,6)</f>
        <v>0</v>
      </c>
      <c r="N2672" s="212">
        <f>'02 项目基础信息（输入）'!$C$75</f>
        <v>0</v>
      </c>
      <c r="O2672" s="203">
        <f t="shared" si="303"/>
        <v>0</v>
      </c>
      <c r="P2672" s="203">
        <f t="shared" si="305"/>
        <v>0</v>
      </c>
      <c r="Q2672" s="271">
        <f t="shared" si="304"/>
        <v>0</v>
      </c>
      <c r="S2672" s="280"/>
      <c r="T2672" s="222"/>
      <c r="U2672" s="223" t="s">
        <v>4714</v>
      </c>
    </row>
    <row r="2673" spans="1:21" ht="0" hidden="1" customHeight="1" outlineLevel="4">
      <c r="A2673" s="253" t="s">
        <v>4715</v>
      </c>
      <c r="B2673" s="253"/>
      <c r="C2673" s="202" t="s">
        <v>1609</v>
      </c>
      <c r="D2673" s="203">
        <f>'02 项目基础信息（输入）'!$C$75</f>
        <v>0</v>
      </c>
      <c r="E2673" s="204" t="s">
        <v>93</v>
      </c>
      <c r="F2673" s="202" t="s">
        <v>1609</v>
      </c>
      <c r="G2673" s="204">
        <v>1</v>
      </c>
      <c r="H2673" s="204" t="s">
        <v>298</v>
      </c>
      <c r="I2673" s="265">
        <f>D2673*G2673</f>
        <v>0</v>
      </c>
      <c r="J2673" s="204" t="s">
        <v>93</v>
      </c>
      <c r="K2673" s="270"/>
      <c r="L2673" s="210" t="s">
        <v>675</v>
      </c>
      <c r="M2673" s="198">
        <f>ROUND(K2673*I2673/10000,6)</f>
        <v>0</v>
      </c>
      <c r="N2673" s="212">
        <f>'02 项目基础信息（输入）'!$C$75</f>
        <v>0</v>
      </c>
      <c r="O2673" s="203">
        <f t="shared" si="303"/>
        <v>0</v>
      </c>
      <c r="P2673" s="203">
        <f t="shared" si="305"/>
        <v>0</v>
      </c>
      <c r="Q2673" s="271">
        <f t="shared" si="304"/>
        <v>0</v>
      </c>
      <c r="S2673" s="280"/>
      <c r="T2673" s="222"/>
      <c r="U2673" s="223" t="s">
        <v>4716</v>
      </c>
    </row>
    <row r="2674" spans="1:21" ht="0" hidden="1" customHeight="1" outlineLevel="4">
      <c r="A2674" s="253" t="s">
        <v>4717</v>
      </c>
      <c r="B2674" s="253"/>
      <c r="C2674" s="202" t="s">
        <v>1609</v>
      </c>
      <c r="D2674" s="203">
        <f>'02 项目基础信息（输入）'!$C$75</f>
        <v>0</v>
      </c>
      <c r="E2674" s="204" t="s">
        <v>93</v>
      </c>
      <c r="F2674" s="202" t="s">
        <v>1609</v>
      </c>
      <c r="G2674" s="204">
        <v>1</v>
      </c>
      <c r="H2674" s="204" t="s">
        <v>298</v>
      </c>
      <c r="I2674" s="265">
        <f>D2674*G2674</f>
        <v>0</v>
      </c>
      <c r="J2674" s="204" t="s">
        <v>93</v>
      </c>
      <c r="K2674" s="270"/>
      <c r="L2674" s="210" t="s">
        <v>675</v>
      </c>
      <c r="M2674" s="198">
        <f>ROUND(K2674*I2674/10000,6)</f>
        <v>0</v>
      </c>
      <c r="N2674" s="212">
        <f>'02 项目基础信息（输入）'!$C$75</f>
        <v>0</v>
      </c>
      <c r="O2674" s="203">
        <f t="shared" si="303"/>
        <v>0</v>
      </c>
      <c r="P2674" s="203">
        <f t="shared" si="305"/>
        <v>0</v>
      </c>
      <c r="Q2674" s="271">
        <f t="shared" si="304"/>
        <v>0</v>
      </c>
      <c r="S2674" s="280"/>
      <c r="T2674" s="222"/>
      <c r="U2674" s="223" t="s">
        <v>4718</v>
      </c>
    </row>
    <row r="2675" spans="1:21" ht="0" hidden="1" customHeight="1" outlineLevel="4">
      <c r="A2675" s="253" t="s">
        <v>4719</v>
      </c>
      <c r="B2675" s="253"/>
      <c r="C2675" s="202" t="s">
        <v>1609</v>
      </c>
      <c r="D2675" s="203">
        <f>'02 项目基础信息（输入）'!$C$75</f>
        <v>0</v>
      </c>
      <c r="E2675" s="204" t="s">
        <v>93</v>
      </c>
      <c r="F2675" s="202" t="s">
        <v>1609</v>
      </c>
      <c r="G2675" s="204">
        <v>1</v>
      </c>
      <c r="H2675" s="204" t="s">
        <v>298</v>
      </c>
      <c r="I2675" s="265">
        <f>D2675*G2675</f>
        <v>0</v>
      </c>
      <c r="J2675" s="204" t="s">
        <v>93</v>
      </c>
      <c r="K2675" s="270"/>
      <c r="L2675" s="210" t="s">
        <v>675</v>
      </c>
      <c r="M2675" s="198">
        <f>ROUND(K2675*I2675/10000,6)</f>
        <v>0</v>
      </c>
      <c r="N2675" s="212">
        <f>'02 项目基础信息（输入）'!$C$75</f>
        <v>0</v>
      </c>
      <c r="O2675" s="203">
        <f t="shared" si="303"/>
        <v>0</v>
      </c>
      <c r="P2675" s="203">
        <f t="shared" si="305"/>
        <v>0</v>
      </c>
      <c r="Q2675" s="271">
        <f t="shared" si="304"/>
        <v>0</v>
      </c>
      <c r="S2675" s="280"/>
      <c r="T2675" s="222"/>
      <c r="U2675" s="223" t="s">
        <v>4720</v>
      </c>
    </row>
    <row r="2676" spans="1:21" ht="0" hidden="1" customHeight="1" outlineLevel="3">
      <c r="A2676" s="253" t="s">
        <v>4721</v>
      </c>
      <c r="B2676" s="253"/>
      <c r="C2676" s="202" t="s">
        <v>1609</v>
      </c>
      <c r="D2676" s="203">
        <f>'02 项目基础信息（输入）'!$C$75</f>
        <v>0</v>
      </c>
      <c r="E2676" s="204" t="s">
        <v>93</v>
      </c>
      <c r="F2676" s="202"/>
      <c r="G2676" s="204"/>
      <c r="H2676" s="204"/>
      <c r="I2676" s="203"/>
      <c r="J2676" s="204"/>
      <c r="K2676" s="231"/>
      <c r="L2676" s="210"/>
      <c r="M2676" s="198">
        <f>ROUND(SUM(M2677:M2682),6)</f>
        <v>0</v>
      </c>
      <c r="N2676" s="212">
        <f>'02 项目基础信息（输入）'!$C$75</f>
        <v>0</v>
      </c>
      <c r="O2676" s="203">
        <f t="shared" si="303"/>
        <v>0</v>
      </c>
      <c r="P2676" s="203">
        <f t="shared" si="305"/>
        <v>0</v>
      </c>
      <c r="Q2676" s="271">
        <f t="shared" si="304"/>
        <v>0</v>
      </c>
      <c r="S2676" s="280"/>
      <c r="T2676" s="222"/>
      <c r="U2676" s="223" t="s">
        <v>4722</v>
      </c>
    </row>
    <row r="2677" spans="1:21" ht="0" hidden="1" customHeight="1" outlineLevel="4">
      <c r="A2677" s="253" t="s">
        <v>4723</v>
      </c>
      <c r="B2677" s="253"/>
      <c r="C2677" s="202" t="s">
        <v>1609</v>
      </c>
      <c r="D2677" s="203">
        <f>'02 项目基础信息（输入）'!$C$75</f>
        <v>0</v>
      </c>
      <c r="E2677" s="204" t="s">
        <v>93</v>
      </c>
      <c r="F2677" s="202" t="s">
        <v>1609</v>
      </c>
      <c r="G2677" s="204">
        <v>1</v>
      </c>
      <c r="H2677" s="204" t="s">
        <v>298</v>
      </c>
      <c r="I2677" s="265">
        <f t="shared" ref="I2677:I2683" si="311">D2677*G2677</f>
        <v>0</v>
      </c>
      <c r="J2677" s="204" t="s">
        <v>93</v>
      </c>
      <c r="K2677" s="270"/>
      <c r="L2677" s="210" t="s">
        <v>675</v>
      </c>
      <c r="M2677" s="198">
        <f t="shared" ref="M2677:M2683" si="312">ROUND(K2677*I2677/10000,6)</f>
        <v>0</v>
      </c>
      <c r="N2677" s="212">
        <f>'02 项目基础信息（输入）'!$C$75</f>
        <v>0</v>
      </c>
      <c r="O2677" s="203">
        <f t="shared" si="303"/>
        <v>0</v>
      </c>
      <c r="P2677" s="203">
        <f t="shared" si="305"/>
        <v>0</v>
      </c>
      <c r="Q2677" s="271">
        <f t="shared" si="304"/>
        <v>0</v>
      </c>
      <c r="S2677" s="280"/>
      <c r="T2677" s="222"/>
      <c r="U2677" s="223" t="s">
        <v>4724</v>
      </c>
    </row>
    <row r="2678" spans="1:21" ht="0" hidden="1" customHeight="1" outlineLevel="4">
      <c r="A2678" s="253" t="s">
        <v>4725</v>
      </c>
      <c r="B2678" s="253"/>
      <c r="C2678" s="202" t="s">
        <v>1609</v>
      </c>
      <c r="D2678" s="203">
        <f>'02 项目基础信息（输入）'!$C$75</f>
        <v>0</v>
      </c>
      <c r="E2678" s="204" t="s">
        <v>93</v>
      </c>
      <c r="F2678" s="202" t="s">
        <v>1609</v>
      </c>
      <c r="G2678" s="204">
        <v>1</v>
      </c>
      <c r="H2678" s="204" t="s">
        <v>298</v>
      </c>
      <c r="I2678" s="265">
        <f t="shared" si="311"/>
        <v>0</v>
      </c>
      <c r="J2678" s="204" t="s">
        <v>93</v>
      </c>
      <c r="K2678" s="270"/>
      <c r="L2678" s="210" t="s">
        <v>675</v>
      </c>
      <c r="M2678" s="198">
        <f t="shared" si="312"/>
        <v>0</v>
      </c>
      <c r="N2678" s="212">
        <f>'02 项目基础信息（输入）'!$C$75</f>
        <v>0</v>
      </c>
      <c r="O2678" s="203">
        <f t="shared" si="303"/>
        <v>0</v>
      </c>
      <c r="P2678" s="203">
        <f t="shared" si="305"/>
        <v>0</v>
      </c>
      <c r="Q2678" s="271">
        <f t="shared" si="304"/>
        <v>0</v>
      </c>
      <c r="S2678" s="280"/>
      <c r="T2678" s="222"/>
      <c r="U2678" s="223" t="s">
        <v>4726</v>
      </c>
    </row>
    <row r="2679" spans="1:21" ht="0" hidden="1" customHeight="1" outlineLevel="4">
      <c r="A2679" s="253" t="s">
        <v>4727</v>
      </c>
      <c r="B2679" s="253"/>
      <c r="C2679" s="202" t="s">
        <v>1609</v>
      </c>
      <c r="D2679" s="203">
        <f>'02 项目基础信息（输入）'!$C$75</f>
        <v>0</v>
      </c>
      <c r="E2679" s="204" t="s">
        <v>93</v>
      </c>
      <c r="F2679" s="202" t="s">
        <v>1609</v>
      </c>
      <c r="G2679" s="204">
        <v>1</v>
      </c>
      <c r="H2679" s="204" t="s">
        <v>298</v>
      </c>
      <c r="I2679" s="265">
        <f t="shared" si="311"/>
        <v>0</v>
      </c>
      <c r="J2679" s="204" t="s">
        <v>93</v>
      </c>
      <c r="K2679" s="270"/>
      <c r="L2679" s="210" t="s">
        <v>675</v>
      </c>
      <c r="M2679" s="198">
        <f t="shared" si="312"/>
        <v>0</v>
      </c>
      <c r="N2679" s="212">
        <f>'02 项目基础信息（输入）'!$C$75</f>
        <v>0</v>
      </c>
      <c r="O2679" s="203">
        <f t="shared" si="303"/>
        <v>0</v>
      </c>
      <c r="P2679" s="203">
        <f t="shared" si="305"/>
        <v>0</v>
      </c>
      <c r="Q2679" s="271">
        <f t="shared" si="304"/>
        <v>0</v>
      </c>
      <c r="S2679" s="280"/>
      <c r="T2679" s="222"/>
      <c r="U2679" s="223" t="s">
        <v>4728</v>
      </c>
    </row>
    <row r="2680" spans="1:21" ht="0" hidden="1" customHeight="1" outlineLevel="4">
      <c r="A2680" s="253" t="s">
        <v>4729</v>
      </c>
      <c r="B2680" s="253"/>
      <c r="C2680" s="202" t="s">
        <v>1609</v>
      </c>
      <c r="D2680" s="203">
        <f>'02 项目基础信息（输入）'!$C$75</f>
        <v>0</v>
      </c>
      <c r="E2680" s="204" t="s">
        <v>93</v>
      </c>
      <c r="F2680" s="202" t="s">
        <v>1609</v>
      </c>
      <c r="G2680" s="204">
        <v>1</v>
      </c>
      <c r="H2680" s="204" t="s">
        <v>298</v>
      </c>
      <c r="I2680" s="265">
        <f t="shared" si="311"/>
        <v>0</v>
      </c>
      <c r="J2680" s="204" t="s">
        <v>93</v>
      </c>
      <c r="K2680" s="270"/>
      <c r="L2680" s="210" t="s">
        <v>675</v>
      </c>
      <c r="M2680" s="198">
        <f t="shared" si="312"/>
        <v>0</v>
      </c>
      <c r="N2680" s="212">
        <f>'02 项目基础信息（输入）'!$C$75</f>
        <v>0</v>
      </c>
      <c r="O2680" s="203">
        <f t="shared" si="303"/>
        <v>0</v>
      </c>
      <c r="P2680" s="203">
        <f t="shared" si="305"/>
        <v>0</v>
      </c>
      <c r="Q2680" s="271">
        <f t="shared" si="304"/>
        <v>0</v>
      </c>
      <c r="S2680" s="280"/>
      <c r="T2680" s="222"/>
      <c r="U2680" s="223" t="s">
        <v>4730</v>
      </c>
    </row>
    <row r="2681" spans="1:21" ht="0" hidden="1" customHeight="1" outlineLevel="4">
      <c r="A2681" s="253" t="s">
        <v>4731</v>
      </c>
      <c r="B2681" s="253"/>
      <c r="C2681" s="202" t="s">
        <v>1609</v>
      </c>
      <c r="D2681" s="203">
        <f>'02 项目基础信息（输入）'!$C$75</f>
        <v>0</v>
      </c>
      <c r="E2681" s="204" t="s">
        <v>93</v>
      </c>
      <c r="F2681" s="202" t="s">
        <v>1609</v>
      </c>
      <c r="G2681" s="204">
        <v>1</v>
      </c>
      <c r="H2681" s="204" t="s">
        <v>298</v>
      </c>
      <c r="I2681" s="265">
        <f t="shared" si="311"/>
        <v>0</v>
      </c>
      <c r="J2681" s="204" t="s">
        <v>93</v>
      </c>
      <c r="K2681" s="270"/>
      <c r="L2681" s="210" t="s">
        <v>675</v>
      </c>
      <c r="M2681" s="198">
        <f t="shared" si="312"/>
        <v>0</v>
      </c>
      <c r="N2681" s="212">
        <f>'02 项目基础信息（输入）'!$C$75</f>
        <v>0</v>
      </c>
      <c r="O2681" s="203">
        <f t="shared" si="303"/>
        <v>0</v>
      </c>
      <c r="P2681" s="203">
        <f t="shared" si="305"/>
        <v>0</v>
      </c>
      <c r="Q2681" s="271">
        <f t="shared" si="304"/>
        <v>0</v>
      </c>
      <c r="S2681" s="280"/>
      <c r="T2681" s="222"/>
      <c r="U2681" s="223" t="s">
        <v>4732</v>
      </c>
    </row>
    <row r="2682" spans="1:21" ht="0" hidden="1" customHeight="1" outlineLevel="4">
      <c r="A2682" s="253" t="s">
        <v>4733</v>
      </c>
      <c r="B2682" s="253"/>
      <c r="C2682" s="202" t="s">
        <v>1609</v>
      </c>
      <c r="D2682" s="203">
        <f>'02 项目基础信息（输入）'!$C$75</f>
        <v>0</v>
      </c>
      <c r="E2682" s="204" t="s">
        <v>93</v>
      </c>
      <c r="F2682" s="202" t="s">
        <v>1609</v>
      </c>
      <c r="G2682" s="204">
        <v>1</v>
      </c>
      <c r="H2682" s="204" t="s">
        <v>298</v>
      </c>
      <c r="I2682" s="265">
        <f t="shared" si="311"/>
        <v>0</v>
      </c>
      <c r="J2682" s="204" t="s">
        <v>93</v>
      </c>
      <c r="K2682" s="270"/>
      <c r="L2682" s="210" t="s">
        <v>675</v>
      </c>
      <c r="M2682" s="198">
        <f t="shared" si="312"/>
        <v>0</v>
      </c>
      <c r="N2682" s="212">
        <f>'02 项目基础信息（输入）'!$C$75</f>
        <v>0</v>
      </c>
      <c r="O2682" s="203">
        <f t="shared" si="303"/>
        <v>0</v>
      </c>
      <c r="P2682" s="203">
        <f t="shared" si="305"/>
        <v>0</v>
      </c>
      <c r="Q2682" s="271">
        <f t="shared" si="304"/>
        <v>0</v>
      </c>
      <c r="S2682" s="280"/>
      <c r="T2682" s="222"/>
      <c r="U2682" s="223" t="s">
        <v>4734</v>
      </c>
    </row>
    <row r="2683" spans="1:21" ht="0" hidden="1" customHeight="1" outlineLevel="3">
      <c r="A2683" s="253" t="s">
        <v>4735</v>
      </c>
      <c r="B2683" s="253"/>
      <c r="C2683" s="202" t="s">
        <v>1609</v>
      </c>
      <c r="D2683" s="203">
        <f>'02 项目基础信息（输入）'!$C$75</f>
        <v>0</v>
      </c>
      <c r="E2683" s="204" t="s">
        <v>93</v>
      </c>
      <c r="F2683" s="202" t="s">
        <v>1609</v>
      </c>
      <c r="G2683" s="204">
        <v>1</v>
      </c>
      <c r="H2683" s="204" t="s">
        <v>298</v>
      </c>
      <c r="I2683" s="265">
        <f t="shared" si="311"/>
        <v>0</v>
      </c>
      <c r="J2683" s="204" t="s">
        <v>93</v>
      </c>
      <c r="K2683" s="270"/>
      <c r="L2683" s="210" t="s">
        <v>675</v>
      </c>
      <c r="M2683" s="198">
        <f t="shared" si="312"/>
        <v>0</v>
      </c>
      <c r="N2683" s="212">
        <f>'02 项目基础信息（输入）'!$C$75</f>
        <v>0</v>
      </c>
      <c r="O2683" s="203">
        <f t="shared" si="303"/>
        <v>0</v>
      </c>
      <c r="P2683" s="203">
        <f t="shared" si="305"/>
        <v>0</v>
      </c>
      <c r="Q2683" s="271">
        <f t="shared" si="304"/>
        <v>0</v>
      </c>
      <c r="S2683" s="280"/>
      <c r="T2683" s="222"/>
      <c r="U2683" s="223" t="s">
        <v>4736</v>
      </c>
    </row>
    <row r="2684" spans="1:21" ht="0" hidden="1" customHeight="1" outlineLevel="3">
      <c r="A2684" s="253" t="s">
        <v>4737</v>
      </c>
      <c r="B2684" s="253"/>
      <c r="C2684" s="202" t="s">
        <v>1609</v>
      </c>
      <c r="D2684" s="203">
        <f>'02 项目基础信息（输入）'!$C$75</f>
        <v>0</v>
      </c>
      <c r="E2684" s="204" t="s">
        <v>93</v>
      </c>
      <c r="F2684" s="256"/>
      <c r="G2684" s="255"/>
      <c r="H2684" s="255"/>
      <c r="I2684" s="212"/>
      <c r="J2684" s="255"/>
      <c r="K2684" s="264"/>
      <c r="L2684" s="205"/>
      <c r="M2684" s="198">
        <f>SUM(M2685:M2686)</f>
        <v>0</v>
      </c>
      <c r="N2684" s="212">
        <f>'02 项目基础信息（输入）'!$C$75</f>
        <v>0</v>
      </c>
      <c r="O2684" s="203">
        <f t="shared" si="303"/>
        <v>0</v>
      </c>
      <c r="P2684" s="203">
        <f t="shared" si="305"/>
        <v>0</v>
      </c>
      <c r="Q2684" s="271">
        <f t="shared" si="304"/>
        <v>0</v>
      </c>
      <c r="S2684" s="280"/>
      <c r="T2684" s="222"/>
      <c r="U2684" s="223" t="s">
        <v>4738</v>
      </c>
    </row>
    <row r="2685" spans="1:21" ht="0" hidden="1" customHeight="1" outlineLevel="4">
      <c r="A2685" s="253" t="s">
        <v>4739</v>
      </c>
      <c r="B2685" s="253"/>
      <c r="C2685" s="202" t="s">
        <v>1609</v>
      </c>
      <c r="D2685" s="203">
        <f>'02 项目基础信息（输入）'!$C$75</f>
        <v>0</v>
      </c>
      <c r="E2685" s="255" t="s">
        <v>93</v>
      </c>
      <c r="F2685" s="256" t="s">
        <v>4740</v>
      </c>
      <c r="G2685" s="205">
        <f>IFERROR(I2685/D2685,0)</f>
        <v>0</v>
      </c>
      <c r="H2685" s="255" t="s">
        <v>298</v>
      </c>
      <c r="I2685" s="273">
        <f>'03 成本测算（输入）'!D231</f>
        <v>0</v>
      </c>
      <c r="J2685" s="255" t="s">
        <v>93</v>
      </c>
      <c r="K2685" s="295">
        <f>'03 成本测算（输入）'!D232</f>
        <v>0</v>
      </c>
      <c r="L2685" s="205" t="s">
        <v>675</v>
      </c>
      <c r="M2685" s="198">
        <f t="shared" ref="M2685:M2691" si="313">ROUND(K2685*I2685/10000,6)</f>
        <v>0</v>
      </c>
      <c r="N2685" s="212">
        <f>'02 项目基础信息（输入）'!$C$75</f>
        <v>0</v>
      </c>
      <c r="O2685" s="203">
        <f t="shared" si="303"/>
        <v>0</v>
      </c>
      <c r="P2685" s="203">
        <f t="shared" si="305"/>
        <v>0</v>
      </c>
      <c r="Q2685" s="271">
        <f t="shared" si="304"/>
        <v>0</v>
      </c>
      <c r="S2685" s="280"/>
      <c r="T2685" s="222"/>
      <c r="U2685" s="223" t="s">
        <v>4741</v>
      </c>
    </row>
    <row r="2686" spans="1:21" ht="0" hidden="1" customHeight="1" outlineLevel="4">
      <c r="A2686" s="253" t="s">
        <v>4742</v>
      </c>
      <c r="B2686" s="253"/>
      <c r="C2686" s="202" t="s">
        <v>1609</v>
      </c>
      <c r="D2686" s="203">
        <f>'02 项目基础信息（输入）'!$C$75</f>
        <v>0</v>
      </c>
      <c r="E2686" s="255" t="s">
        <v>93</v>
      </c>
      <c r="F2686" s="256" t="s">
        <v>4740</v>
      </c>
      <c r="G2686" s="205">
        <f>IFERROR(I2686/D2686,0)</f>
        <v>0</v>
      </c>
      <c r="H2686" s="255" t="s">
        <v>298</v>
      </c>
      <c r="I2686" s="273">
        <f>'03 成本测算（输入）'!D233</f>
        <v>0</v>
      </c>
      <c r="J2686" s="255" t="s">
        <v>93</v>
      </c>
      <c r="K2686" s="295">
        <f>'03 成本测算（输入）'!D234</f>
        <v>0</v>
      </c>
      <c r="L2686" s="205" t="s">
        <v>675</v>
      </c>
      <c r="M2686" s="198">
        <f t="shared" si="313"/>
        <v>0</v>
      </c>
      <c r="N2686" s="212">
        <f>'02 项目基础信息（输入）'!$C$75</f>
        <v>0</v>
      </c>
      <c r="O2686" s="203">
        <f t="shared" si="303"/>
        <v>0</v>
      </c>
      <c r="P2686" s="203">
        <f t="shared" si="305"/>
        <v>0</v>
      </c>
      <c r="Q2686" s="271">
        <f t="shared" si="304"/>
        <v>0</v>
      </c>
      <c r="S2686" s="280"/>
      <c r="T2686" s="222"/>
      <c r="U2686" s="223" t="s">
        <v>4743</v>
      </c>
    </row>
    <row r="2687" spans="1:21" ht="0" hidden="1" customHeight="1" outlineLevel="3">
      <c r="A2687" s="253" t="s">
        <v>4744</v>
      </c>
      <c r="B2687" s="253"/>
      <c r="C2687" s="202" t="s">
        <v>1609</v>
      </c>
      <c r="D2687" s="203">
        <f>'02 项目基础信息（输入）'!$C$75</f>
        <v>0</v>
      </c>
      <c r="E2687" s="204" t="s">
        <v>93</v>
      </c>
      <c r="F2687" s="202" t="s">
        <v>1609</v>
      </c>
      <c r="G2687" s="204">
        <v>1</v>
      </c>
      <c r="H2687" s="204" t="s">
        <v>298</v>
      </c>
      <c r="I2687" s="265">
        <f>D2687*G2687</f>
        <v>0</v>
      </c>
      <c r="J2687" s="204" t="s">
        <v>93</v>
      </c>
      <c r="K2687" s="270"/>
      <c r="L2687" s="210" t="s">
        <v>675</v>
      </c>
      <c r="M2687" s="198">
        <f t="shared" si="313"/>
        <v>0</v>
      </c>
      <c r="N2687" s="212">
        <f>'02 项目基础信息（输入）'!$C$75</f>
        <v>0</v>
      </c>
      <c r="O2687" s="203">
        <f t="shared" si="303"/>
        <v>0</v>
      </c>
      <c r="P2687" s="203">
        <f t="shared" si="305"/>
        <v>0</v>
      </c>
      <c r="Q2687" s="271">
        <f t="shared" si="304"/>
        <v>0</v>
      </c>
      <c r="S2687" s="280"/>
      <c r="T2687" s="222"/>
      <c r="U2687" s="223" t="s">
        <v>4745</v>
      </c>
    </row>
    <row r="2688" spans="1:21" ht="0" hidden="1" customHeight="1" outlineLevel="3">
      <c r="A2688" s="253" t="s">
        <v>4746</v>
      </c>
      <c r="B2688" s="253"/>
      <c r="C2688" s="202" t="s">
        <v>1609</v>
      </c>
      <c r="D2688" s="203">
        <f>'02 项目基础信息（输入）'!$C$75</f>
        <v>0</v>
      </c>
      <c r="E2688" s="204" t="s">
        <v>93</v>
      </c>
      <c r="F2688" s="202" t="s">
        <v>1609</v>
      </c>
      <c r="G2688" s="204">
        <v>1</v>
      </c>
      <c r="H2688" s="204" t="s">
        <v>298</v>
      </c>
      <c r="I2688" s="265">
        <f>D2688*G2688</f>
        <v>0</v>
      </c>
      <c r="J2688" s="204" t="s">
        <v>93</v>
      </c>
      <c r="K2688" s="270"/>
      <c r="L2688" s="210" t="s">
        <v>675</v>
      </c>
      <c r="M2688" s="198">
        <f t="shared" si="313"/>
        <v>0</v>
      </c>
      <c r="N2688" s="212">
        <f>'02 项目基础信息（输入）'!$C$75</f>
        <v>0</v>
      </c>
      <c r="O2688" s="203">
        <f t="shared" si="303"/>
        <v>0</v>
      </c>
      <c r="P2688" s="203">
        <f t="shared" si="305"/>
        <v>0</v>
      </c>
      <c r="Q2688" s="271">
        <f t="shared" si="304"/>
        <v>0</v>
      </c>
      <c r="S2688" s="280"/>
      <c r="T2688" s="222"/>
      <c r="U2688" s="223" t="s">
        <v>4747</v>
      </c>
    </row>
    <row r="2689" spans="1:21" ht="0" hidden="1" customHeight="1" outlineLevel="3">
      <c r="A2689" s="253" t="s">
        <v>4748</v>
      </c>
      <c r="B2689" s="253"/>
      <c r="C2689" s="202" t="s">
        <v>1609</v>
      </c>
      <c r="D2689" s="203">
        <f>'02 项目基础信息（输入）'!$C$75</f>
        <v>0</v>
      </c>
      <c r="E2689" s="204" t="s">
        <v>93</v>
      </c>
      <c r="F2689" s="202" t="s">
        <v>1609</v>
      </c>
      <c r="G2689" s="204">
        <v>1</v>
      </c>
      <c r="H2689" s="204" t="s">
        <v>298</v>
      </c>
      <c r="I2689" s="265">
        <f>D2689*G2689</f>
        <v>0</v>
      </c>
      <c r="J2689" s="204" t="s">
        <v>93</v>
      </c>
      <c r="K2689" s="270"/>
      <c r="L2689" s="210" t="s">
        <v>675</v>
      </c>
      <c r="M2689" s="198">
        <f t="shared" si="313"/>
        <v>0</v>
      </c>
      <c r="N2689" s="212">
        <f>'02 项目基础信息（输入）'!$C$75</f>
        <v>0</v>
      </c>
      <c r="O2689" s="203">
        <f t="shared" si="303"/>
        <v>0</v>
      </c>
      <c r="P2689" s="203">
        <f t="shared" si="305"/>
        <v>0</v>
      </c>
      <c r="Q2689" s="271">
        <f t="shared" si="304"/>
        <v>0</v>
      </c>
      <c r="S2689" s="280"/>
      <c r="T2689" s="222"/>
      <c r="U2689" s="223" t="s">
        <v>4749</v>
      </c>
    </row>
    <row r="2690" spans="1:21" ht="0" hidden="1" customHeight="1" outlineLevel="3">
      <c r="A2690" s="253" t="s">
        <v>4750</v>
      </c>
      <c r="B2690" s="253"/>
      <c r="C2690" s="202" t="s">
        <v>1609</v>
      </c>
      <c r="D2690" s="203">
        <f>'02 项目基础信息（输入）'!$C$75</f>
        <v>0</v>
      </c>
      <c r="E2690" s="204" t="s">
        <v>93</v>
      </c>
      <c r="F2690" s="202" t="s">
        <v>1609</v>
      </c>
      <c r="G2690" s="204">
        <v>1</v>
      </c>
      <c r="H2690" s="204" t="s">
        <v>298</v>
      </c>
      <c r="I2690" s="265">
        <f>D2690*G2690</f>
        <v>0</v>
      </c>
      <c r="J2690" s="204" t="s">
        <v>93</v>
      </c>
      <c r="K2690" s="270"/>
      <c r="L2690" s="210" t="s">
        <v>675</v>
      </c>
      <c r="M2690" s="198">
        <f t="shared" si="313"/>
        <v>0</v>
      </c>
      <c r="N2690" s="212">
        <f>'02 项目基础信息（输入）'!$C$75</f>
        <v>0</v>
      </c>
      <c r="O2690" s="203">
        <f t="shared" si="303"/>
        <v>0</v>
      </c>
      <c r="P2690" s="203">
        <f t="shared" si="305"/>
        <v>0</v>
      </c>
      <c r="Q2690" s="271">
        <f t="shared" si="304"/>
        <v>0</v>
      </c>
      <c r="S2690" s="280"/>
      <c r="T2690" s="222"/>
      <c r="U2690" s="223" t="s">
        <v>4751</v>
      </c>
    </row>
    <row r="2691" spans="1:21" ht="0" hidden="1" customHeight="1" outlineLevel="3">
      <c r="A2691" s="253" t="s">
        <v>4752</v>
      </c>
      <c r="B2691" s="253"/>
      <c r="C2691" s="202" t="s">
        <v>1609</v>
      </c>
      <c r="D2691" s="203">
        <f>'02 项目基础信息（输入）'!$C$75</f>
        <v>0</v>
      </c>
      <c r="E2691" s="204" t="s">
        <v>93</v>
      </c>
      <c r="F2691" s="202" t="s">
        <v>1609</v>
      </c>
      <c r="G2691" s="204">
        <v>1</v>
      </c>
      <c r="H2691" s="204" t="s">
        <v>298</v>
      </c>
      <c r="I2691" s="265">
        <f>D2691*G2691</f>
        <v>0</v>
      </c>
      <c r="J2691" s="204" t="s">
        <v>93</v>
      </c>
      <c r="K2691" s="270"/>
      <c r="L2691" s="210" t="s">
        <v>675</v>
      </c>
      <c r="M2691" s="198">
        <f t="shared" si="313"/>
        <v>0</v>
      </c>
      <c r="N2691" s="212">
        <f>'02 项目基础信息（输入）'!$C$75</f>
        <v>0</v>
      </c>
      <c r="O2691" s="203">
        <f t="shared" ref="O2691:O2754" si="314">ROUND(IFERROR(M2691*10000/N2691,0),2)</f>
        <v>0</v>
      </c>
      <c r="P2691" s="203">
        <f t="shared" si="305"/>
        <v>0</v>
      </c>
      <c r="Q2691" s="271">
        <f t="shared" ref="Q2691:Q2754" si="315">ROUND(IFERROR(M2691*10000/P2691,0),2)</f>
        <v>0</v>
      </c>
      <c r="S2691" s="280"/>
      <c r="T2691" s="222"/>
      <c r="U2691" s="223" t="s">
        <v>4753</v>
      </c>
    </row>
    <row r="2692" spans="1:21" ht="0" hidden="1" customHeight="1" outlineLevel="3">
      <c r="A2692" s="253" t="s">
        <v>4754</v>
      </c>
      <c r="B2692" s="253"/>
      <c r="C2692" s="202" t="s">
        <v>1609</v>
      </c>
      <c r="D2692" s="203">
        <f>'02 项目基础信息（输入）'!$C$75</f>
        <v>0</v>
      </c>
      <c r="E2692" s="204" t="s">
        <v>93</v>
      </c>
      <c r="F2692" s="256"/>
      <c r="G2692" s="255"/>
      <c r="H2692" s="255"/>
      <c r="I2692" s="268"/>
      <c r="J2692" s="255"/>
      <c r="K2692" s="231"/>
      <c r="L2692" s="205"/>
      <c r="M2692" s="198">
        <f>SUM(M2693:M2695)</f>
        <v>0</v>
      </c>
      <c r="N2692" s="212">
        <f>'02 项目基础信息（输入）'!$C$75</f>
        <v>0</v>
      </c>
      <c r="O2692" s="203">
        <f t="shared" si="314"/>
        <v>0</v>
      </c>
      <c r="P2692" s="203">
        <f t="shared" si="305"/>
        <v>0</v>
      </c>
      <c r="Q2692" s="271">
        <f t="shared" si="315"/>
        <v>0</v>
      </c>
      <c r="S2692" s="280"/>
      <c r="T2692" s="222"/>
      <c r="U2692" s="223" t="s">
        <v>4755</v>
      </c>
    </row>
    <row r="2693" spans="1:21" ht="0" hidden="1" customHeight="1" outlineLevel="4">
      <c r="A2693" s="253" t="s">
        <v>4756</v>
      </c>
      <c r="B2693" s="253"/>
      <c r="C2693" s="202" t="s">
        <v>1609</v>
      </c>
      <c r="D2693" s="203">
        <f>'02 项目基础信息（输入）'!$C$75</f>
        <v>0</v>
      </c>
      <c r="E2693" s="204" t="s">
        <v>93</v>
      </c>
      <c r="F2693" s="202" t="s">
        <v>1609</v>
      </c>
      <c r="G2693" s="204">
        <v>1</v>
      </c>
      <c r="H2693" s="204" t="s">
        <v>298</v>
      </c>
      <c r="I2693" s="265">
        <f>D2693*G2693</f>
        <v>0</v>
      </c>
      <c r="J2693" s="204" t="s">
        <v>93</v>
      </c>
      <c r="K2693" s="270"/>
      <c r="L2693" s="210" t="s">
        <v>675</v>
      </c>
      <c r="M2693" s="198">
        <f>ROUND(K2693*I2693/10000,6)</f>
        <v>0</v>
      </c>
      <c r="N2693" s="212">
        <f>'02 项目基础信息（输入）'!$C$75</f>
        <v>0</v>
      </c>
      <c r="O2693" s="203">
        <f t="shared" si="314"/>
        <v>0</v>
      </c>
      <c r="P2693" s="203">
        <f t="shared" si="305"/>
        <v>0</v>
      </c>
      <c r="Q2693" s="271">
        <f t="shared" si="315"/>
        <v>0</v>
      </c>
      <c r="S2693" s="280"/>
      <c r="T2693" s="222"/>
      <c r="U2693" s="223" t="s">
        <v>4757</v>
      </c>
    </row>
    <row r="2694" spans="1:21" ht="0" hidden="1" customHeight="1" outlineLevel="4">
      <c r="A2694" s="253" t="s">
        <v>4758</v>
      </c>
      <c r="B2694" s="253"/>
      <c r="C2694" s="202" t="s">
        <v>1609</v>
      </c>
      <c r="D2694" s="203">
        <f>'02 项目基础信息（输入）'!$C$75</f>
        <v>0</v>
      </c>
      <c r="E2694" s="204" t="s">
        <v>93</v>
      </c>
      <c r="F2694" s="202" t="s">
        <v>1609</v>
      </c>
      <c r="G2694" s="204">
        <v>1</v>
      </c>
      <c r="H2694" s="204" t="s">
        <v>298</v>
      </c>
      <c r="I2694" s="265">
        <f>D2694*G2694</f>
        <v>0</v>
      </c>
      <c r="J2694" s="204" t="s">
        <v>93</v>
      </c>
      <c r="K2694" s="270"/>
      <c r="L2694" s="210" t="s">
        <v>675</v>
      </c>
      <c r="M2694" s="198">
        <f>ROUND(K2694*I2694/10000,6)</f>
        <v>0</v>
      </c>
      <c r="N2694" s="212">
        <f>'02 项目基础信息（输入）'!$C$75</f>
        <v>0</v>
      </c>
      <c r="O2694" s="203">
        <f t="shared" si="314"/>
        <v>0</v>
      </c>
      <c r="P2694" s="203">
        <f t="shared" si="305"/>
        <v>0</v>
      </c>
      <c r="Q2694" s="271">
        <f t="shared" si="315"/>
        <v>0</v>
      </c>
      <c r="S2694" s="280"/>
      <c r="T2694" s="222"/>
      <c r="U2694" s="223" t="s">
        <v>4759</v>
      </c>
    </row>
    <row r="2695" spans="1:21" ht="0" hidden="1" customHeight="1" outlineLevel="4">
      <c r="A2695" s="253" t="s">
        <v>4760</v>
      </c>
      <c r="B2695" s="253"/>
      <c r="C2695" s="202" t="s">
        <v>1609</v>
      </c>
      <c r="D2695" s="203">
        <f>'02 项目基础信息（输入）'!$C$75</f>
        <v>0</v>
      </c>
      <c r="E2695" s="204" t="s">
        <v>93</v>
      </c>
      <c r="F2695" s="202" t="s">
        <v>1609</v>
      </c>
      <c r="G2695" s="204">
        <v>1</v>
      </c>
      <c r="H2695" s="204" t="s">
        <v>298</v>
      </c>
      <c r="I2695" s="265">
        <f>D2695*G2695</f>
        <v>0</v>
      </c>
      <c r="J2695" s="204" t="s">
        <v>93</v>
      </c>
      <c r="K2695" s="270"/>
      <c r="L2695" s="210" t="s">
        <v>675</v>
      </c>
      <c r="M2695" s="198">
        <f>ROUND(K2695*I2695/10000,6)</f>
        <v>0</v>
      </c>
      <c r="N2695" s="212">
        <f>'02 项目基础信息（输入）'!$C$75</f>
        <v>0</v>
      </c>
      <c r="O2695" s="203">
        <f t="shared" si="314"/>
        <v>0</v>
      </c>
      <c r="P2695" s="203">
        <f t="shared" si="305"/>
        <v>0</v>
      </c>
      <c r="Q2695" s="271">
        <f t="shared" si="315"/>
        <v>0</v>
      </c>
      <c r="S2695" s="280"/>
      <c r="T2695" s="222"/>
      <c r="U2695" s="223" t="s">
        <v>4761</v>
      </c>
    </row>
    <row r="2696" spans="1:21" ht="0" hidden="1" customHeight="1" outlineLevel="3">
      <c r="A2696" s="253" t="s">
        <v>4762</v>
      </c>
      <c r="B2696" s="253"/>
      <c r="C2696" s="202" t="s">
        <v>1609</v>
      </c>
      <c r="D2696" s="203">
        <f>'02 项目基础信息（输入）'!$C$75</f>
        <v>0</v>
      </c>
      <c r="E2696" s="204" t="s">
        <v>93</v>
      </c>
      <c r="F2696" s="202" t="s">
        <v>1609</v>
      </c>
      <c r="G2696" s="204">
        <v>1</v>
      </c>
      <c r="H2696" s="204" t="s">
        <v>298</v>
      </c>
      <c r="I2696" s="265">
        <f>D2696*G2696</f>
        <v>0</v>
      </c>
      <c r="J2696" s="204" t="s">
        <v>93</v>
      </c>
      <c r="K2696" s="270"/>
      <c r="L2696" s="210" t="s">
        <v>675</v>
      </c>
      <c r="M2696" s="198">
        <f>ROUND(K2696*I2696/10000,6)</f>
        <v>0</v>
      </c>
      <c r="N2696" s="212">
        <f>'02 项目基础信息（输入）'!$C$75</f>
        <v>0</v>
      </c>
      <c r="O2696" s="203">
        <f t="shared" si="314"/>
        <v>0</v>
      </c>
      <c r="P2696" s="203">
        <f t="shared" si="305"/>
        <v>0</v>
      </c>
      <c r="Q2696" s="271">
        <f t="shared" si="315"/>
        <v>0</v>
      </c>
      <c r="S2696" s="280"/>
      <c r="T2696" s="222"/>
      <c r="U2696" s="223" t="s">
        <v>4763</v>
      </c>
    </row>
    <row r="2697" spans="1:21" ht="0" hidden="1" customHeight="1" outlineLevel="3">
      <c r="A2697" s="253" t="s">
        <v>4371</v>
      </c>
      <c r="B2697" s="253"/>
      <c r="C2697" s="202" t="s">
        <v>1609</v>
      </c>
      <c r="D2697" s="203">
        <f>'02 项目基础信息（输入）'!$C$75</f>
        <v>0</v>
      </c>
      <c r="E2697" s="204" t="s">
        <v>93</v>
      </c>
      <c r="F2697" s="202" t="s">
        <v>1609</v>
      </c>
      <c r="G2697" s="204">
        <v>1</v>
      </c>
      <c r="H2697" s="204" t="s">
        <v>298</v>
      </c>
      <c r="I2697" s="265">
        <f>D2697*G2697</f>
        <v>0</v>
      </c>
      <c r="J2697" s="204" t="s">
        <v>93</v>
      </c>
      <c r="K2697" s="270"/>
      <c r="L2697" s="210" t="s">
        <v>675</v>
      </c>
      <c r="M2697" s="198">
        <f>ROUND(K2697*I2697/10000,6)</f>
        <v>0</v>
      </c>
      <c r="N2697" s="212">
        <f>'02 项目基础信息（输入）'!$C$75</f>
        <v>0</v>
      </c>
      <c r="O2697" s="203">
        <f t="shared" si="314"/>
        <v>0</v>
      </c>
      <c r="P2697" s="203">
        <f t="shared" si="305"/>
        <v>0</v>
      </c>
      <c r="Q2697" s="271">
        <f t="shared" si="315"/>
        <v>0</v>
      </c>
      <c r="S2697" s="280"/>
      <c r="T2697" s="222"/>
      <c r="U2697" s="223" t="s">
        <v>4764</v>
      </c>
    </row>
    <row r="2698" spans="1:21" ht="0" hidden="1" customHeight="1" outlineLevel="2">
      <c r="A2698" s="201" t="s">
        <v>4765</v>
      </c>
      <c r="B2698" s="201"/>
      <c r="C2698" s="202" t="s">
        <v>1609</v>
      </c>
      <c r="D2698" s="203">
        <f>'02 项目基础信息（输入）'!$C$75</f>
        <v>0</v>
      </c>
      <c r="E2698" s="204" t="s">
        <v>93</v>
      </c>
      <c r="F2698" s="256"/>
      <c r="G2698" s="255"/>
      <c r="H2698" s="255"/>
      <c r="I2698" s="212"/>
      <c r="J2698" s="255"/>
      <c r="K2698" s="264"/>
      <c r="L2698" s="205"/>
      <c r="M2698" s="198">
        <f>SUM(M2699:M2702)</f>
        <v>0</v>
      </c>
      <c r="N2698" s="212">
        <f>'02 项目基础信息（输入）'!$C$75</f>
        <v>0</v>
      </c>
      <c r="O2698" s="203">
        <f t="shared" si="314"/>
        <v>0</v>
      </c>
      <c r="P2698" s="203">
        <f t="shared" ref="P2698:P2761" si="316">N2698</f>
        <v>0</v>
      </c>
      <c r="Q2698" s="271">
        <f t="shared" si="315"/>
        <v>0</v>
      </c>
      <c r="S2698" s="280" t="s">
        <v>1314</v>
      </c>
      <c r="T2698" s="222"/>
      <c r="U2698" s="223" t="s">
        <v>4766</v>
      </c>
    </row>
    <row r="2699" spans="1:21" ht="0" hidden="1" customHeight="1" outlineLevel="3">
      <c r="A2699" s="253" t="s">
        <v>4767</v>
      </c>
      <c r="B2699" s="253"/>
      <c r="C2699" s="202" t="s">
        <v>4397</v>
      </c>
      <c r="D2699" s="203">
        <f>$D$2490</f>
        <v>0</v>
      </c>
      <c r="E2699" s="255" t="s">
        <v>93</v>
      </c>
      <c r="F2699" s="288" t="s">
        <v>4768</v>
      </c>
      <c r="G2699" s="296">
        <f>'03 成本测算（输入）'!D193</f>
        <v>0</v>
      </c>
      <c r="H2699" s="255" t="s">
        <v>298</v>
      </c>
      <c r="I2699" s="268">
        <f>D2699*G2699</f>
        <v>0</v>
      </c>
      <c r="J2699" s="255" t="s">
        <v>93</v>
      </c>
      <c r="K2699" s="295">
        <f>'03 成本测算（输入）'!D235</f>
        <v>0</v>
      </c>
      <c r="L2699" s="205" t="s">
        <v>675</v>
      </c>
      <c r="M2699" s="198">
        <f>ROUND(I2699*K2699/10000,6)</f>
        <v>0</v>
      </c>
      <c r="N2699" s="212">
        <f>'02 项目基础信息（输入）'!$C$75</f>
        <v>0</v>
      </c>
      <c r="O2699" s="203">
        <f t="shared" si="314"/>
        <v>0</v>
      </c>
      <c r="P2699" s="203">
        <f t="shared" si="316"/>
        <v>0</v>
      </c>
      <c r="Q2699" s="271">
        <f t="shared" si="315"/>
        <v>0</v>
      </c>
      <c r="S2699" s="280"/>
      <c r="T2699" s="222"/>
      <c r="U2699" s="223" t="s">
        <v>4769</v>
      </c>
    </row>
    <row r="2700" spans="1:21" ht="0" hidden="1" customHeight="1" outlineLevel="3">
      <c r="A2700" s="253" t="s">
        <v>4770</v>
      </c>
      <c r="B2700" s="253"/>
      <c r="C2700" s="202" t="s">
        <v>4397</v>
      </c>
      <c r="D2700" s="203">
        <f>$D$2490</f>
        <v>0</v>
      </c>
      <c r="E2700" s="255" t="s">
        <v>93</v>
      </c>
      <c r="F2700" s="288" t="s">
        <v>4768</v>
      </c>
      <c r="G2700" s="205">
        <f>G2699</f>
        <v>0</v>
      </c>
      <c r="H2700" s="255" t="s">
        <v>298</v>
      </c>
      <c r="I2700" s="268">
        <f>D2700*G2700</f>
        <v>0</v>
      </c>
      <c r="J2700" s="255" t="s">
        <v>93</v>
      </c>
      <c r="K2700" s="270"/>
      <c r="L2700" s="205" t="s">
        <v>675</v>
      </c>
      <c r="M2700" s="198">
        <f>ROUND(I2700*K2700/10000,6)</f>
        <v>0</v>
      </c>
      <c r="N2700" s="212">
        <f>'02 项目基础信息（输入）'!$C$75</f>
        <v>0</v>
      </c>
      <c r="O2700" s="203">
        <f t="shared" si="314"/>
        <v>0</v>
      </c>
      <c r="P2700" s="203">
        <f t="shared" si="316"/>
        <v>0</v>
      </c>
      <c r="Q2700" s="271">
        <f t="shared" si="315"/>
        <v>0</v>
      </c>
      <c r="S2700" s="280"/>
      <c r="T2700" s="222"/>
      <c r="U2700" s="223" t="s">
        <v>4771</v>
      </c>
    </row>
    <row r="2701" spans="1:21" ht="0" hidden="1" customHeight="1" outlineLevel="3">
      <c r="A2701" s="253" t="s">
        <v>4772</v>
      </c>
      <c r="B2701" s="253"/>
      <c r="C2701" s="202" t="s">
        <v>4397</v>
      </c>
      <c r="D2701" s="203">
        <f>$D$2490</f>
        <v>0</v>
      </c>
      <c r="E2701" s="255" t="s">
        <v>93</v>
      </c>
      <c r="F2701" s="250" t="s">
        <v>4773</v>
      </c>
      <c r="G2701" s="205">
        <f>IFERROR(I2701/D2701,0)</f>
        <v>0</v>
      </c>
      <c r="H2701" s="255" t="s">
        <v>4385</v>
      </c>
      <c r="I2701" s="270"/>
      <c r="J2701" s="255" t="s">
        <v>400</v>
      </c>
      <c r="K2701" s="270"/>
      <c r="L2701" s="205" t="s">
        <v>1749</v>
      </c>
      <c r="M2701" s="198">
        <f>ROUND(I2701*K2701/10000,6)</f>
        <v>0</v>
      </c>
      <c r="N2701" s="212">
        <f>'02 项目基础信息（输入）'!$C$75</f>
        <v>0</v>
      </c>
      <c r="O2701" s="203">
        <f t="shared" si="314"/>
        <v>0</v>
      </c>
      <c r="P2701" s="203">
        <f t="shared" si="316"/>
        <v>0</v>
      </c>
      <c r="Q2701" s="271">
        <f t="shared" si="315"/>
        <v>0</v>
      </c>
      <c r="S2701" s="280"/>
      <c r="T2701" s="222"/>
      <c r="U2701" s="223" t="s">
        <v>4774</v>
      </c>
    </row>
    <row r="2702" spans="1:21" ht="0" hidden="1" customHeight="1" outlineLevel="3">
      <c r="A2702" s="253" t="s">
        <v>4775</v>
      </c>
      <c r="B2702" s="253"/>
      <c r="C2702" s="202" t="s">
        <v>4397</v>
      </c>
      <c r="D2702" s="203">
        <f>$D$2490</f>
        <v>0</v>
      </c>
      <c r="E2702" s="255" t="s">
        <v>93</v>
      </c>
      <c r="F2702" s="256" t="s">
        <v>4740</v>
      </c>
      <c r="G2702" s="205">
        <f>IFERROR(I2702/D2702,0)</f>
        <v>0</v>
      </c>
      <c r="H2702" s="255" t="s">
        <v>298</v>
      </c>
      <c r="I2702" s="270"/>
      <c r="J2702" s="255" t="s">
        <v>93</v>
      </c>
      <c r="K2702" s="270"/>
      <c r="L2702" s="205" t="s">
        <v>675</v>
      </c>
      <c r="M2702" s="198">
        <f>ROUND(I2702*K2702/10000,6)</f>
        <v>0</v>
      </c>
      <c r="N2702" s="212">
        <f>'02 项目基础信息（输入）'!$C$75</f>
        <v>0</v>
      </c>
      <c r="O2702" s="203">
        <f t="shared" si="314"/>
        <v>0</v>
      </c>
      <c r="P2702" s="203">
        <f t="shared" si="316"/>
        <v>0</v>
      </c>
      <c r="Q2702" s="271">
        <f t="shared" si="315"/>
        <v>0</v>
      </c>
      <c r="S2702" s="280"/>
      <c r="T2702" s="222"/>
      <c r="U2702" s="223" t="s">
        <v>4776</v>
      </c>
    </row>
    <row r="2703" spans="1:21" ht="0" hidden="1" customHeight="1" outlineLevel="2">
      <c r="A2703" s="201" t="s">
        <v>4377</v>
      </c>
      <c r="B2703" s="201"/>
      <c r="C2703" s="202" t="s">
        <v>1609</v>
      </c>
      <c r="D2703" s="203">
        <f>'02 项目基础信息（输入）'!$C$75</f>
        <v>0</v>
      </c>
      <c r="E2703" s="204" t="s">
        <v>93</v>
      </c>
      <c r="F2703" s="202"/>
      <c r="G2703" s="204"/>
      <c r="H2703" s="204"/>
      <c r="I2703" s="268"/>
      <c r="J2703" s="204"/>
      <c r="K2703" s="264"/>
      <c r="L2703" s="210"/>
      <c r="M2703" s="198">
        <f>ROUND(SUM(M2704),6)</f>
        <v>0</v>
      </c>
      <c r="N2703" s="212">
        <f>'02 项目基础信息（输入）'!$C$75</f>
        <v>0</v>
      </c>
      <c r="O2703" s="203">
        <f t="shared" si="314"/>
        <v>0</v>
      </c>
      <c r="P2703" s="203">
        <f t="shared" si="316"/>
        <v>0</v>
      </c>
      <c r="Q2703" s="271">
        <f t="shared" si="315"/>
        <v>0</v>
      </c>
      <c r="S2703" s="280" t="s">
        <v>1314</v>
      </c>
      <c r="T2703" s="222"/>
      <c r="U2703" s="223" t="s">
        <v>4777</v>
      </c>
    </row>
    <row r="2704" spans="1:21" ht="0" hidden="1" customHeight="1" outlineLevel="3">
      <c r="A2704" s="253" t="s">
        <v>4379</v>
      </c>
      <c r="B2704" s="253"/>
      <c r="C2704" s="202" t="s">
        <v>1609</v>
      </c>
      <c r="D2704" s="203">
        <f>'02 项目基础信息（输入）'!$C$75</f>
        <v>0</v>
      </c>
      <c r="E2704" s="204" t="s">
        <v>93</v>
      </c>
      <c r="F2704" s="202" t="s">
        <v>1609</v>
      </c>
      <c r="G2704" s="204">
        <v>1</v>
      </c>
      <c r="H2704" s="204" t="s">
        <v>298</v>
      </c>
      <c r="I2704" s="268">
        <f>G2704*D2704</f>
        <v>0</v>
      </c>
      <c r="J2704" s="204" t="s">
        <v>93</v>
      </c>
      <c r="K2704" s="269"/>
      <c r="L2704" s="210" t="s">
        <v>675</v>
      </c>
      <c r="M2704" s="198">
        <f>ROUND(K2704*I2704/10000,6)</f>
        <v>0</v>
      </c>
      <c r="N2704" s="212">
        <f>'02 项目基础信息（输入）'!$C$75</f>
        <v>0</v>
      </c>
      <c r="O2704" s="203">
        <f t="shared" si="314"/>
        <v>0</v>
      </c>
      <c r="P2704" s="203">
        <f t="shared" si="316"/>
        <v>0</v>
      </c>
      <c r="Q2704" s="271">
        <f t="shared" si="315"/>
        <v>0</v>
      </c>
      <c r="S2704" s="280"/>
      <c r="T2704" s="222"/>
      <c r="U2704" s="223" t="s">
        <v>4778</v>
      </c>
    </row>
    <row r="2705" spans="1:21" ht="0" hidden="1" customHeight="1" outlineLevel="2">
      <c r="A2705" s="201" t="s">
        <v>4381</v>
      </c>
      <c r="B2705" s="201"/>
      <c r="C2705" s="202" t="s">
        <v>1609</v>
      </c>
      <c r="D2705" s="203">
        <f>'02 项目基础信息（输入）'!$C$75</f>
        <v>0</v>
      </c>
      <c r="E2705" s="204" t="s">
        <v>93</v>
      </c>
      <c r="F2705" s="256"/>
      <c r="G2705" s="255"/>
      <c r="H2705" s="255"/>
      <c r="I2705" s="212"/>
      <c r="J2705" s="255"/>
      <c r="K2705" s="231"/>
      <c r="L2705" s="205"/>
      <c r="M2705" s="198">
        <f>ROUND(SUM(M2706:M2712),6)</f>
        <v>0</v>
      </c>
      <c r="N2705" s="212">
        <f>'02 项目基础信息（输入）'!$C$75</f>
        <v>0</v>
      </c>
      <c r="O2705" s="203">
        <f t="shared" si="314"/>
        <v>0</v>
      </c>
      <c r="P2705" s="203">
        <f t="shared" si="316"/>
        <v>0</v>
      </c>
      <c r="Q2705" s="271">
        <f t="shared" si="315"/>
        <v>0</v>
      </c>
      <c r="S2705" s="280" t="s">
        <v>1314</v>
      </c>
      <c r="T2705" s="222"/>
      <c r="U2705" s="223" t="s">
        <v>4779</v>
      </c>
    </row>
    <row r="2706" spans="1:21" ht="0" hidden="1" customHeight="1" outlineLevel="3">
      <c r="A2706" s="253" t="s">
        <v>4780</v>
      </c>
      <c r="B2706" s="253"/>
      <c r="C2706" s="202" t="s">
        <v>1609</v>
      </c>
      <c r="D2706" s="203">
        <f>'02 项目基础信息（输入）'!$C$75</f>
        <v>0</v>
      </c>
      <c r="E2706" s="204" t="s">
        <v>93</v>
      </c>
      <c r="F2706" s="250" t="s">
        <v>4781</v>
      </c>
      <c r="G2706" s="205">
        <f t="shared" ref="G2706:G2711" si="317">IFERROR(I2706/D2706,0)</f>
        <v>0</v>
      </c>
      <c r="H2706" s="204" t="s">
        <v>4782</v>
      </c>
      <c r="I2706" s="270"/>
      <c r="J2706" s="204" t="s">
        <v>2198</v>
      </c>
      <c r="K2706" s="270"/>
      <c r="L2706" s="210" t="s">
        <v>841</v>
      </c>
      <c r="M2706" s="198">
        <f t="shared" ref="M2706:M2712" si="318">ROUND(K2706*I2706/10000,6)</f>
        <v>0</v>
      </c>
      <c r="N2706" s="212">
        <f>'02 项目基础信息（输入）'!$C$75</f>
        <v>0</v>
      </c>
      <c r="O2706" s="203">
        <f t="shared" si="314"/>
        <v>0</v>
      </c>
      <c r="P2706" s="203">
        <f t="shared" si="316"/>
        <v>0</v>
      </c>
      <c r="Q2706" s="271">
        <f t="shared" si="315"/>
        <v>0</v>
      </c>
      <c r="S2706" s="280"/>
      <c r="T2706" s="222"/>
      <c r="U2706" s="223" t="s">
        <v>4783</v>
      </c>
    </row>
    <row r="2707" spans="1:21" ht="0" hidden="1" customHeight="1" outlineLevel="3">
      <c r="A2707" s="253" t="s">
        <v>4784</v>
      </c>
      <c r="B2707" s="253"/>
      <c r="C2707" s="202" t="s">
        <v>1609</v>
      </c>
      <c r="D2707" s="203">
        <f>'02 项目基础信息（输入）'!$C$75</f>
        <v>0</v>
      </c>
      <c r="E2707" s="204" t="s">
        <v>93</v>
      </c>
      <c r="F2707" s="250" t="s">
        <v>4781</v>
      </c>
      <c r="G2707" s="205">
        <f t="shared" si="317"/>
        <v>0</v>
      </c>
      <c r="H2707" s="204" t="s">
        <v>4782</v>
      </c>
      <c r="I2707" s="270"/>
      <c r="J2707" s="204" t="s">
        <v>2198</v>
      </c>
      <c r="K2707" s="270"/>
      <c r="L2707" s="210" t="s">
        <v>841</v>
      </c>
      <c r="M2707" s="198">
        <f t="shared" si="318"/>
        <v>0</v>
      </c>
      <c r="N2707" s="212">
        <f>'02 项目基础信息（输入）'!$C$75</f>
        <v>0</v>
      </c>
      <c r="O2707" s="203">
        <f t="shared" si="314"/>
        <v>0</v>
      </c>
      <c r="P2707" s="203">
        <f t="shared" si="316"/>
        <v>0</v>
      </c>
      <c r="Q2707" s="271">
        <f t="shared" si="315"/>
        <v>0</v>
      </c>
      <c r="S2707" s="280"/>
      <c r="T2707" s="222"/>
      <c r="U2707" s="223" t="s">
        <v>4785</v>
      </c>
    </row>
    <row r="2708" spans="1:21" ht="0" hidden="1" customHeight="1" outlineLevel="3">
      <c r="A2708" s="253" t="s">
        <v>4786</v>
      </c>
      <c r="B2708" s="253"/>
      <c r="C2708" s="202" t="s">
        <v>1609</v>
      </c>
      <c r="D2708" s="203">
        <f>'02 项目基础信息（输入）'!$C$75</f>
        <v>0</v>
      </c>
      <c r="E2708" s="204" t="s">
        <v>93</v>
      </c>
      <c r="F2708" s="250" t="s">
        <v>4781</v>
      </c>
      <c r="G2708" s="205">
        <f t="shared" si="317"/>
        <v>0</v>
      </c>
      <c r="H2708" s="204" t="s">
        <v>4385</v>
      </c>
      <c r="I2708" s="270"/>
      <c r="J2708" s="204" t="s">
        <v>400</v>
      </c>
      <c r="K2708" s="270"/>
      <c r="L2708" s="210" t="s">
        <v>1749</v>
      </c>
      <c r="M2708" s="198">
        <f t="shared" si="318"/>
        <v>0</v>
      </c>
      <c r="N2708" s="212">
        <f>'02 项目基础信息（输入）'!$C$75</f>
        <v>0</v>
      </c>
      <c r="O2708" s="203">
        <f t="shared" si="314"/>
        <v>0</v>
      </c>
      <c r="P2708" s="203">
        <f t="shared" si="316"/>
        <v>0</v>
      </c>
      <c r="Q2708" s="271">
        <f t="shared" si="315"/>
        <v>0</v>
      </c>
      <c r="S2708" s="280"/>
      <c r="T2708" s="222"/>
      <c r="U2708" s="223" t="s">
        <v>4787</v>
      </c>
    </row>
    <row r="2709" spans="1:21" ht="0" hidden="1" customHeight="1" outlineLevel="3">
      <c r="A2709" s="253" t="s">
        <v>4788</v>
      </c>
      <c r="B2709" s="253"/>
      <c r="C2709" s="202" t="s">
        <v>1609</v>
      </c>
      <c r="D2709" s="203">
        <f>'02 项目基础信息（输入）'!$C$75</f>
        <v>0</v>
      </c>
      <c r="E2709" s="204" t="s">
        <v>93</v>
      </c>
      <c r="F2709" s="250" t="s">
        <v>4781</v>
      </c>
      <c r="G2709" s="205">
        <f t="shared" si="317"/>
        <v>0</v>
      </c>
      <c r="H2709" s="204" t="s">
        <v>4606</v>
      </c>
      <c r="I2709" s="270"/>
      <c r="J2709" s="204" t="s">
        <v>1946</v>
      </c>
      <c r="K2709" s="270"/>
      <c r="L2709" s="210" t="s">
        <v>1948</v>
      </c>
      <c r="M2709" s="198">
        <f t="shared" si="318"/>
        <v>0</v>
      </c>
      <c r="N2709" s="212">
        <f>'02 项目基础信息（输入）'!$C$75</f>
        <v>0</v>
      </c>
      <c r="O2709" s="203">
        <f t="shared" si="314"/>
        <v>0</v>
      </c>
      <c r="P2709" s="203">
        <f t="shared" si="316"/>
        <v>0</v>
      </c>
      <c r="Q2709" s="271">
        <f t="shared" si="315"/>
        <v>0</v>
      </c>
      <c r="S2709" s="280"/>
      <c r="T2709" s="222"/>
      <c r="U2709" s="223" t="s">
        <v>4789</v>
      </c>
    </row>
    <row r="2710" spans="1:21" ht="0" hidden="1" customHeight="1" outlineLevel="3">
      <c r="A2710" s="253" t="s">
        <v>4790</v>
      </c>
      <c r="B2710" s="253"/>
      <c r="C2710" s="202" t="s">
        <v>1609</v>
      </c>
      <c r="D2710" s="203">
        <f>'02 项目基础信息（输入）'!$C$75</f>
        <v>0</v>
      </c>
      <c r="E2710" s="204" t="s">
        <v>93</v>
      </c>
      <c r="F2710" s="202" t="s">
        <v>4791</v>
      </c>
      <c r="G2710" s="205">
        <f t="shared" si="317"/>
        <v>0</v>
      </c>
      <c r="H2710" s="255" t="s">
        <v>298</v>
      </c>
      <c r="I2710" s="273">
        <f>'02 项目基础信息（输入）'!BF75</f>
        <v>0</v>
      </c>
      <c r="J2710" s="204" t="s">
        <v>93</v>
      </c>
      <c r="K2710" s="270"/>
      <c r="L2710" s="210" t="s">
        <v>675</v>
      </c>
      <c r="M2710" s="198">
        <f t="shared" si="318"/>
        <v>0</v>
      </c>
      <c r="N2710" s="212">
        <f>'02 项目基础信息（输入）'!$C$75</f>
        <v>0</v>
      </c>
      <c r="O2710" s="203">
        <f t="shared" si="314"/>
        <v>0</v>
      </c>
      <c r="P2710" s="203">
        <f t="shared" si="316"/>
        <v>0</v>
      </c>
      <c r="Q2710" s="271">
        <f t="shared" si="315"/>
        <v>0</v>
      </c>
      <c r="S2710" s="280"/>
      <c r="T2710" s="222"/>
      <c r="U2710" s="223" t="s">
        <v>4792</v>
      </c>
    </row>
    <row r="2711" spans="1:21" ht="0" hidden="1" customHeight="1" outlineLevel="3">
      <c r="A2711" s="253" t="s">
        <v>4793</v>
      </c>
      <c r="B2711" s="253"/>
      <c r="C2711" s="202" t="s">
        <v>1609</v>
      </c>
      <c r="D2711" s="203">
        <f>'02 项目基础信息（输入）'!$C$75</f>
        <v>0</v>
      </c>
      <c r="E2711" s="204" t="s">
        <v>93</v>
      </c>
      <c r="F2711" s="202" t="s">
        <v>4794</v>
      </c>
      <c r="G2711" s="205">
        <f t="shared" si="317"/>
        <v>0</v>
      </c>
      <c r="H2711" s="255" t="s">
        <v>298</v>
      </c>
      <c r="I2711" s="273">
        <f>'02 项目基础信息（输入）'!BE75</f>
        <v>0</v>
      </c>
      <c r="J2711" s="204" t="s">
        <v>93</v>
      </c>
      <c r="K2711" s="270"/>
      <c r="L2711" s="210" t="s">
        <v>675</v>
      </c>
      <c r="M2711" s="198">
        <f t="shared" si="318"/>
        <v>0</v>
      </c>
      <c r="N2711" s="212">
        <f>'02 项目基础信息（输入）'!$C$75</f>
        <v>0</v>
      </c>
      <c r="O2711" s="203">
        <f t="shared" si="314"/>
        <v>0</v>
      </c>
      <c r="P2711" s="203">
        <f t="shared" si="316"/>
        <v>0</v>
      </c>
      <c r="Q2711" s="271">
        <f t="shared" si="315"/>
        <v>0</v>
      </c>
      <c r="S2711" s="280"/>
      <c r="T2711" s="222"/>
      <c r="U2711" s="223" t="s">
        <v>4795</v>
      </c>
    </row>
    <row r="2712" spans="1:21" ht="0" hidden="1" customHeight="1" outlineLevel="3">
      <c r="A2712" s="253" t="s">
        <v>4796</v>
      </c>
      <c r="B2712" s="253"/>
      <c r="C2712" s="202" t="s">
        <v>1609</v>
      </c>
      <c r="D2712" s="203">
        <f>'02 项目基础信息（输入）'!$C$75</f>
        <v>0</v>
      </c>
      <c r="E2712" s="204" t="s">
        <v>93</v>
      </c>
      <c r="F2712" s="202" t="s">
        <v>1609</v>
      </c>
      <c r="G2712" s="204">
        <v>1</v>
      </c>
      <c r="H2712" s="204" t="s">
        <v>298</v>
      </c>
      <c r="I2712" s="268">
        <f>G2712*D2712</f>
        <v>0</v>
      </c>
      <c r="J2712" s="204" t="s">
        <v>93</v>
      </c>
      <c r="K2712" s="270"/>
      <c r="L2712" s="210" t="s">
        <v>675</v>
      </c>
      <c r="M2712" s="198">
        <f t="shared" si="318"/>
        <v>0</v>
      </c>
      <c r="N2712" s="212">
        <f>'02 项目基础信息（输入）'!$C$75</f>
        <v>0</v>
      </c>
      <c r="O2712" s="203">
        <f t="shared" si="314"/>
        <v>0</v>
      </c>
      <c r="P2712" s="203">
        <f t="shared" si="316"/>
        <v>0</v>
      </c>
      <c r="Q2712" s="271">
        <f t="shared" si="315"/>
        <v>0</v>
      </c>
      <c r="S2712" s="280"/>
      <c r="T2712" s="222"/>
      <c r="U2712" s="223" t="s">
        <v>4797</v>
      </c>
    </row>
    <row r="2713" spans="1:21" ht="0" hidden="1" customHeight="1" outlineLevel="1" collapsed="1">
      <c r="A2713" s="248" t="s">
        <v>625</v>
      </c>
      <c r="B2713" s="248"/>
      <c r="C2713" s="202" t="s">
        <v>1609</v>
      </c>
      <c r="D2713" s="203">
        <f>'02 项目基础信息（输入）'!$C$78</f>
        <v>0</v>
      </c>
      <c r="E2713" s="204" t="s">
        <v>93</v>
      </c>
      <c r="F2713" s="202"/>
      <c r="G2713" s="204"/>
      <c r="H2713" s="204"/>
      <c r="I2713" s="202"/>
      <c r="J2713" s="204"/>
      <c r="K2713" s="202"/>
      <c r="L2713" s="210"/>
      <c r="M2713" s="198">
        <f>ROUND(M2714+M2756+M2768+M2788+M2823+M2836+M2840+M2843+M2882+M2895+M2928+M2933+M2935+M2865,6)</f>
        <v>0</v>
      </c>
      <c r="N2713" s="212">
        <f>'02 项目基础信息（输入）'!$C$78</f>
        <v>0</v>
      </c>
      <c r="O2713" s="212">
        <f t="shared" si="314"/>
        <v>0</v>
      </c>
      <c r="P2713" s="212">
        <f t="shared" si="316"/>
        <v>0</v>
      </c>
      <c r="Q2713" s="271">
        <f t="shared" si="315"/>
        <v>0</v>
      </c>
      <c r="S2713" s="280"/>
      <c r="T2713" s="222"/>
      <c r="U2713" s="223" t="s">
        <v>4798</v>
      </c>
    </row>
    <row r="2714" spans="1:21" ht="0" hidden="1" customHeight="1" outlineLevel="2">
      <c r="A2714" s="201" t="s">
        <v>4168</v>
      </c>
      <c r="B2714" s="201"/>
      <c r="C2714" s="202" t="s">
        <v>1609</v>
      </c>
      <c r="D2714" s="203">
        <f>'02 项目基础信息（输入）'!$C$78</f>
        <v>0</v>
      </c>
      <c r="E2714" s="204" t="s">
        <v>93</v>
      </c>
      <c r="F2714" s="202"/>
      <c r="G2714" s="204"/>
      <c r="H2714" s="204"/>
      <c r="I2714" s="203"/>
      <c r="J2714" s="204"/>
      <c r="K2714" s="264"/>
      <c r="L2714" s="210"/>
      <c r="M2714" s="198">
        <f>ROUND(M2715+M2736+M2752,6)</f>
        <v>0</v>
      </c>
      <c r="N2714" s="212">
        <f>'02 项目基础信息（输入）'!$C$78</f>
        <v>0</v>
      </c>
      <c r="O2714" s="203">
        <f t="shared" si="314"/>
        <v>0</v>
      </c>
      <c r="P2714" s="203">
        <f t="shared" si="316"/>
        <v>0</v>
      </c>
      <c r="Q2714" s="271">
        <f t="shared" si="315"/>
        <v>0</v>
      </c>
      <c r="S2714" s="280" t="s">
        <v>1313</v>
      </c>
      <c r="T2714" s="222"/>
      <c r="U2714" s="298" t="s">
        <v>4799</v>
      </c>
    </row>
    <row r="2715" spans="1:21" s="181" customFormat="1" ht="0" hidden="1" customHeight="1" outlineLevel="3">
      <c r="A2715" s="253" t="s">
        <v>4170</v>
      </c>
      <c r="B2715" s="254"/>
      <c r="C2715" s="250" t="s">
        <v>1609</v>
      </c>
      <c r="D2715" s="203">
        <f>'02 项目基础信息（输入）'!$C$78</f>
        <v>0</v>
      </c>
      <c r="E2715" s="204" t="s">
        <v>93</v>
      </c>
      <c r="F2715" s="202"/>
      <c r="G2715" s="204"/>
      <c r="H2715" s="204"/>
      <c r="I2715" s="265"/>
      <c r="J2715" s="204"/>
      <c r="K2715" s="202"/>
      <c r="L2715" s="210"/>
      <c r="M2715" s="198">
        <f>ROUND(M2716+M2719+M2724+M2729+M2733+M2734+M2735,6)</f>
        <v>0</v>
      </c>
      <c r="N2715" s="212">
        <f>'02 项目基础信息（输入）'!$C$78</f>
        <v>0</v>
      </c>
      <c r="O2715" s="203">
        <f t="shared" si="314"/>
        <v>0</v>
      </c>
      <c r="P2715" s="203">
        <f t="shared" si="316"/>
        <v>0</v>
      </c>
      <c r="Q2715" s="271">
        <f t="shared" si="315"/>
        <v>0</v>
      </c>
      <c r="R2715" s="188"/>
      <c r="S2715" s="280"/>
      <c r="T2715" s="222"/>
      <c r="U2715" s="299" t="s">
        <v>4800</v>
      </c>
    </row>
    <row r="2716" spans="1:21" s="181" customFormat="1" ht="0" hidden="1" customHeight="1" outlineLevel="4">
      <c r="A2716" s="253" t="s">
        <v>4172</v>
      </c>
      <c r="B2716" s="254"/>
      <c r="C2716" s="250" t="s">
        <v>1609</v>
      </c>
      <c r="D2716" s="203">
        <f>'02 项目基础信息（输入）'!$C$78</f>
        <v>0</v>
      </c>
      <c r="E2716" s="204" t="s">
        <v>93</v>
      </c>
      <c r="F2716" s="202"/>
      <c r="G2716" s="251"/>
      <c r="H2716" s="204"/>
      <c r="I2716" s="265"/>
      <c r="J2716" s="204"/>
      <c r="K2716" s="266"/>
      <c r="L2716" s="210"/>
      <c r="M2716" s="198">
        <f>ROUND(SUM(M2717:M2718),6)</f>
        <v>0</v>
      </c>
      <c r="N2716" s="212">
        <f>'02 项目基础信息（输入）'!$C$78</f>
        <v>0</v>
      </c>
      <c r="O2716" s="203">
        <f t="shared" si="314"/>
        <v>0</v>
      </c>
      <c r="P2716" s="203">
        <f t="shared" si="316"/>
        <v>0</v>
      </c>
      <c r="Q2716" s="271">
        <f t="shared" si="315"/>
        <v>0</v>
      </c>
      <c r="R2716" s="188"/>
      <c r="S2716" s="280"/>
      <c r="T2716" s="222"/>
      <c r="U2716" s="299" t="s">
        <v>4801</v>
      </c>
    </row>
    <row r="2717" spans="1:21" s="181" customFormat="1" ht="0" hidden="1" customHeight="1" outlineLevel="5">
      <c r="A2717" s="253" t="s">
        <v>4802</v>
      </c>
      <c r="B2717" s="254"/>
      <c r="C2717" s="250" t="s">
        <v>1609</v>
      </c>
      <c r="D2717" s="203">
        <f>'02 项目基础信息（输入）'!$C$78</f>
        <v>0</v>
      </c>
      <c r="E2717" s="204" t="s">
        <v>93</v>
      </c>
      <c r="F2717" s="202" t="s">
        <v>1616</v>
      </c>
      <c r="G2717" s="252">
        <f>'03 成本测算（输入）'!D237</f>
        <v>0</v>
      </c>
      <c r="H2717" s="204" t="s">
        <v>966</v>
      </c>
      <c r="I2717" s="265">
        <f>D2717*G2717</f>
        <v>0</v>
      </c>
      <c r="J2717" s="204" t="s">
        <v>1617</v>
      </c>
      <c r="K2717" s="267">
        <f>'03 成本测算（输入）'!D238</f>
        <v>0</v>
      </c>
      <c r="L2717" s="210" t="s">
        <v>664</v>
      </c>
      <c r="M2717" s="198">
        <f>ROUND(K2717*I2717/10000,6)</f>
        <v>0</v>
      </c>
      <c r="N2717" s="212">
        <f>'02 项目基础信息（输入）'!$C$78</f>
        <v>0</v>
      </c>
      <c r="O2717" s="203">
        <f t="shared" si="314"/>
        <v>0</v>
      </c>
      <c r="P2717" s="203">
        <f t="shared" si="316"/>
        <v>0</v>
      </c>
      <c r="Q2717" s="271">
        <f t="shared" si="315"/>
        <v>0</v>
      </c>
      <c r="R2717" s="188"/>
      <c r="S2717" s="280"/>
      <c r="T2717" s="222"/>
      <c r="U2717" s="299" t="s">
        <v>4803</v>
      </c>
    </row>
    <row r="2718" spans="1:21" s="181" customFormat="1" ht="0" hidden="1" customHeight="1" outlineLevel="5">
      <c r="A2718" s="253" t="s">
        <v>4176</v>
      </c>
      <c r="B2718" s="254"/>
      <c r="C2718" s="250" t="s">
        <v>1609</v>
      </c>
      <c r="D2718" s="203">
        <f>'02 项目基础信息（输入）'!$C$78</f>
        <v>0</v>
      </c>
      <c r="E2718" s="204" t="s">
        <v>93</v>
      </c>
      <c r="F2718" s="202" t="s">
        <v>1616</v>
      </c>
      <c r="G2718" s="251">
        <f>G2717</f>
        <v>0</v>
      </c>
      <c r="H2718" s="204" t="s">
        <v>966</v>
      </c>
      <c r="I2718" s="265">
        <f>D2718*G2718</f>
        <v>0</v>
      </c>
      <c r="J2718" s="204" t="s">
        <v>1617</v>
      </c>
      <c r="K2718" s="267">
        <f>'03 成本测算（输入）'!D239</f>
        <v>0</v>
      </c>
      <c r="L2718" s="210" t="s">
        <v>664</v>
      </c>
      <c r="M2718" s="198">
        <f>ROUND(K2718*I2718/10000,6)</f>
        <v>0</v>
      </c>
      <c r="N2718" s="212">
        <f>'02 项目基础信息（输入）'!$C$78</f>
        <v>0</v>
      </c>
      <c r="O2718" s="203">
        <f t="shared" si="314"/>
        <v>0</v>
      </c>
      <c r="P2718" s="203">
        <f t="shared" si="316"/>
        <v>0</v>
      </c>
      <c r="Q2718" s="271">
        <f t="shared" si="315"/>
        <v>0</v>
      </c>
      <c r="R2718" s="188"/>
      <c r="S2718" s="280"/>
      <c r="T2718" s="222"/>
      <c r="U2718" s="299" t="s">
        <v>4804</v>
      </c>
    </row>
    <row r="2719" spans="1:21" s="181" customFormat="1" ht="0" hidden="1" customHeight="1" outlineLevel="4">
      <c r="A2719" s="253" t="s">
        <v>4178</v>
      </c>
      <c r="B2719" s="254"/>
      <c r="C2719" s="250" t="s">
        <v>1609</v>
      </c>
      <c r="D2719" s="203">
        <f>'02 项目基础信息（输入）'!$C$78</f>
        <v>0</v>
      </c>
      <c r="E2719" s="204" t="s">
        <v>93</v>
      </c>
      <c r="F2719" s="202"/>
      <c r="G2719" s="251"/>
      <c r="H2719" s="255"/>
      <c r="I2719" s="265"/>
      <c r="J2719" s="204"/>
      <c r="K2719" s="204"/>
      <c r="L2719" s="210"/>
      <c r="M2719" s="198">
        <f>ROUND(SUM(M2720:M2723),6)</f>
        <v>0</v>
      </c>
      <c r="N2719" s="212">
        <f>'02 项目基础信息（输入）'!$C$78</f>
        <v>0</v>
      </c>
      <c r="O2719" s="203">
        <f t="shared" si="314"/>
        <v>0</v>
      </c>
      <c r="P2719" s="203">
        <f t="shared" si="316"/>
        <v>0</v>
      </c>
      <c r="Q2719" s="271">
        <f t="shared" si="315"/>
        <v>0</v>
      </c>
      <c r="R2719" s="188"/>
      <c r="S2719" s="280"/>
      <c r="T2719" s="222"/>
      <c r="U2719" s="299" t="s">
        <v>4805</v>
      </c>
    </row>
    <row r="2720" spans="1:21" s="181" customFormat="1" ht="0" hidden="1" customHeight="1" outlineLevel="5">
      <c r="A2720" s="253" t="s">
        <v>4180</v>
      </c>
      <c r="B2720" s="254"/>
      <c r="C2720" s="250" t="s">
        <v>1609</v>
      </c>
      <c r="D2720" s="203">
        <f>'02 项目基础信息（输入）'!$C$78</f>
        <v>0</v>
      </c>
      <c r="E2720" s="204" t="s">
        <v>93</v>
      </c>
      <c r="F2720" s="202" t="s">
        <v>4181</v>
      </c>
      <c r="G2720" s="252">
        <f>'03 成本测算（输入）'!D240</f>
        <v>0</v>
      </c>
      <c r="H2720" s="204" t="s">
        <v>298</v>
      </c>
      <c r="I2720" s="265">
        <f>D2720*G2720</f>
        <v>0</v>
      </c>
      <c r="J2720" s="204" t="s">
        <v>93</v>
      </c>
      <c r="K2720" s="267">
        <f>'03 成本测算（输入）'!D241</f>
        <v>0</v>
      </c>
      <c r="L2720" s="210" t="s">
        <v>675</v>
      </c>
      <c r="M2720" s="198">
        <f>ROUND(K2720*I2720/10000,6)</f>
        <v>0</v>
      </c>
      <c r="N2720" s="212">
        <f>'02 项目基础信息（输入）'!$C$78</f>
        <v>0</v>
      </c>
      <c r="O2720" s="203">
        <f t="shared" si="314"/>
        <v>0</v>
      </c>
      <c r="P2720" s="203">
        <f t="shared" si="316"/>
        <v>0</v>
      </c>
      <c r="Q2720" s="271">
        <f t="shared" si="315"/>
        <v>0</v>
      </c>
      <c r="R2720" s="188"/>
      <c r="S2720" s="280"/>
      <c r="T2720" s="222"/>
      <c r="U2720" s="299" t="s">
        <v>4806</v>
      </c>
    </row>
    <row r="2721" spans="1:21" s="181" customFormat="1" ht="0" hidden="1" customHeight="1" outlineLevel="5">
      <c r="A2721" s="253" t="s">
        <v>4402</v>
      </c>
      <c r="B2721" s="254"/>
      <c r="C2721" s="250" t="s">
        <v>1609</v>
      </c>
      <c r="D2721" s="203">
        <f>'02 项目基础信息（输入）'!$C$78</f>
        <v>0</v>
      </c>
      <c r="E2721" s="204" t="s">
        <v>93</v>
      </c>
      <c r="F2721" s="202" t="s">
        <v>4181</v>
      </c>
      <c r="G2721" s="251">
        <f>G2720</f>
        <v>0</v>
      </c>
      <c r="H2721" s="204" t="s">
        <v>298</v>
      </c>
      <c r="I2721" s="265">
        <f>D2721*G2721</f>
        <v>0</v>
      </c>
      <c r="J2721" s="204" t="s">
        <v>93</v>
      </c>
      <c r="K2721" s="270"/>
      <c r="L2721" s="210" t="s">
        <v>675</v>
      </c>
      <c r="M2721" s="198">
        <f>ROUND(K2721*I2721/10000,6)</f>
        <v>0</v>
      </c>
      <c r="N2721" s="212">
        <f>'02 项目基础信息（输入）'!$C$78</f>
        <v>0</v>
      </c>
      <c r="O2721" s="203">
        <f t="shared" si="314"/>
        <v>0</v>
      </c>
      <c r="P2721" s="203">
        <f t="shared" si="316"/>
        <v>0</v>
      </c>
      <c r="Q2721" s="271">
        <f t="shared" si="315"/>
        <v>0</v>
      </c>
      <c r="R2721" s="188"/>
      <c r="S2721" s="280"/>
      <c r="T2721" s="222"/>
      <c r="U2721" s="299" t="s">
        <v>4807</v>
      </c>
    </row>
    <row r="2722" spans="1:21" s="181" customFormat="1" ht="0" hidden="1" customHeight="1" outlineLevel="5">
      <c r="A2722" s="253" t="s">
        <v>4404</v>
      </c>
      <c r="B2722" s="254"/>
      <c r="C2722" s="250" t="s">
        <v>1609</v>
      </c>
      <c r="D2722" s="203">
        <f>'02 项目基础信息（输入）'!$C$78</f>
        <v>0</v>
      </c>
      <c r="E2722" s="204" t="s">
        <v>93</v>
      </c>
      <c r="F2722" s="202" t="s">
        <v>4181</v>
      </c>
      <c r="G2722" s="251">
        <f>G2721</f>
        <v>0</v>
      </c>
      <c r="H2722" s="204" t="s">
        <v>298</v>
      </c>
      <c r="I2722" s="265">
        <f>D2722*G2722</f>
        <v>0</v>
      </c>
      <c r="J2722" s="204" t="s">
        <v>93</v>
      </c>
      <c r="K2722" s="270"/>
      <c r="L2722" s="210" t="s">
        <v>675</v>
      </c>
      <c r="M2722" s="198">
        <f>ROUND(K2722*I2722/10000,6)</f>
        <v>0</v>
      </c>
      <c r="N2722" s="212">
        <f>'02 项目基础信息（输入）'!$C$78</f>
        <v>0</v>
      </c>
      <c r="O2722" s="203">
        <f t="shared" si="314"/>
        <v>0</v>
      </c>
      <c r="P2722" s="203">
        <f t="shared" si="316"/>
        <v>0</v>
      </c>
      <c r="Q2722" s="271">
        <f t="shared" si="315"/>
        <v>0</v>
      </c>
      <c r="R2722" s="188"/>
      <c r="S2722" s="280"/>
      <c r="T2722" s="222"/>
      <c r="U2722" s="299" t="s">
        <v>4808</v>
      </c>
    </row>
    <row r="2723" spans="1:21" s="181" customFormat="1" ht="0" hidden="1" customHeight="1" outlineLevel="5">
      <c r="A2723" s="253" t="s">
        <v>4406</v>
      </c>
      <c r="B2723" s="254"/>
      <c r="C2723" s="250" t="s">
        <v>1609</v>
      </c>
      <c r="D2723" s="203">
        <f>'02 项目基础信息（输入）'!$C$78</f>
        <v>0</v>
      </c>
      <c r="E2723" s="204" t="s">
        <v>93</v>
      </c>
      <c r="F2723" s="202" t="s">
        <v>4181</v>
      </c>
      <c r="G2723" s="297"/>
      <c r="H2723" s="204" t="s">
        <v>298</v>
      </c>
      <c r="I2723" s="265">
        <f>D2723*G2723</f>
        <v>0</v>
      </c>
      <c r="J2723" s="204" t="s">
        <v>93</v>
      </c>
      <c r="K2723" s="270"/>
      <c r="L2723" s="210" t="s">
        <v>675</v>
      </c>
      <c r="M2723" s="198">
        <f>ROUND(K2723*I2723/10000,6)</f>
        <v>0</v>
      </c>
      <c r="N2723" s="212">
        <f>'02 项目基础信息（输入）'!$C$78</f>
        <v>0</v>
      </c>
      <c r="O2723" s="203">
        <f t="shared" si="314"/>
        <v>0</v>
      </c>
      <c r="P2723" s="203">
        <f t="shared" si="316"/>
        <v>0</v>
      </c>
      <c r="Q2723" s="271">
        <f t="shared" si="315"/>
        <v>0</v>
      </c>
      <c r="R2723" s="188"/>
      <c r="S2723" s="280"/>
      <c r="T2723" s="222"/>
      <c r="U2723" s="299" t="s">
        <v>4809</v>
      </c>
    </row>
    <row r="2724" spans="1:21" s="181" customFormat="1" ht="0" hidden="1" customHeight="1" outlineLevel="4">
      <c r="A2724" s="253" t="s">
        <v>4183</v>
      </c>
      <c r="B2724" s="254"/>
      <c r="C2724" s="250" t="s">
        <v>1609</v>
      </c>
      <c r="D2724" s="203">
        <f>'02 项目基础信息（输入）'!$C$78</f>
        <v>0</v>
      </c>
      <c r="E2724" s="204" t="s">
        <v>93</v>
      </c>
      <c r="F2724" s="202"/>
      <c r="G2724" s="251"/>
      <c r="H2724" s="204"/>
      <c r="I2724" s="265"/>
      <c r="J2724" s="204"/>
      <c r="K2724" s="266"/>
      <c r="L2724" s="210"/>
      <c r="M2724" s="198">
        <f>ROUND(SUM(M2725:M2728),6)</f>
        <v>0</v>
      </c>
      <c r="N2724" s="212">
        <f>'02 项目基础信息（输入）'!$C$78</f>
        <v>0</v>
      </c>
      <c r="O2724" s="203">
        <f t="shared" si="314"/>
        <v>0</v>
      </c>
      <c r="P2724" s="203">
        <f t="shared" si="316"/>
        <v>0</v>
      </c>
      <c r="Q2724" s="271">
        <f t="shared" si="315"/>
        <v>0</v>
      </c>
      <c r="R2724" s="188"/>
      <c r="S2724" s="280"/>
      <c r="T2724" s="222"/>
      <c r="U2724" s="299" t="s">
        <v>4810</v>
      </c>
    </row>
    <row r="2725" spans="1:21" s="181" customFormat="1" ht="0" hidden="1" customHeight="1" outlineLevel="5">
      <c r="A2725" s="253" t="s">
        <v>4811</v>
      </c>
      <c r="B2725" s="254"/>
      <c r="C2725" s="250" t="s">
        <v>1609</v>
      </c>
      <c r="D2725" s="203">
        <f>'02 项目基础信息（输入）'!$C$78</f>
        <v>0</v>
      </c>
      <c r="E2725" s="204" t="s">
        <v>93</v>
      </c>
      <c r="F2725" s="202" t="s">
        <v>1627</v>
      </c>
      <c r="G2725" s="252">
        <f>'03 成本测算（输入）'!D242</f>
        <v>0</v>
      </c>
      <c r="H2725" s="204" t="s">
        <v>1524</v>
      </c>
      <c r="I2725" s="265">
        <f>D2725*G2725</f>
        <v>0</v>
      </c>
      <c r="J2725" s="204" t="s">
        <v>1525</v>
      </c>
      <c r="K2725" s="267">
        <f>'03 成本测算（输入）'!D243</f>
        <v>0</v>
      </c>
      <c r="L2725" s="210" t="s">
        <v>979</v>
      </c>
      <c r="M2725" s="198">
        <f>ROUND(K2725*I2725/10000,6)</f>
        <v>0</v>
      </c>
      <c r="N2725" s="212">
        <f>'02 项目基础信息（输入）'!$C$78</f>
        <v>0</v>
      </c>
      <c r="O2725" s="203">
        <f t="shared" si="314"/>
        <v>0</v>
      </c>
      <c r="P2725" s="203">
        <f t="shared" si="316"/>
        <v>0</v>
      </c>
      <c r="Q2725" s="271">
        <f t="shared" si="315"/>
        <v>0</v>
      </c>
      <c r="R2725" s="188"/>
      <c r="S2725" s="280"/>
      <c r="T2725" s="222"/>
      <c r="U2725" s="299" t="s">
        <v>4812</v>
      </c>
    </row>
    <row r="2726" spans="1:21" s="181" customFormat="1" ht="0" hidden="1" customHeight="1" outlineLevel="5">
      <c r="A2726" s="253" t="s">
        <v>4187</v>
      </c>
      <c r="B2726" s="254"/>
      <c r="C2726" s="250" t="s">
        <v>1609</v>
      </c>
      <c r="D2726" s="203">
        <f>'02 项目基础信息（输入）'!$C$78</f>
        <v>0</v>
      </c>
      <c r="E2726" s="204" t="s">
        <v>93</v>
      </c>
      <c r="F2726" s="202" t="s">
        <v>1627</v>
      </c>
      <c r="G2726" s="251">
        <f>G2725</f>
        <v>0</v>
      </c>
      <c r="H2726" s="204" t="s">
        <v>1524</v>
      </c>
      <c r="I2726" s="265">
        <f>D2726*G2726</f>
        <v>0</v>
      </c>
      <c r="J2726" s="204" t="s">
        <v>1525</v>
      </c>
      <c r="K2726" s="267">
        <f>'03 成本测算（输入）'!D244</f>
        <v>0</v>
      </c>
      <c r="L2726" s="210" t="s">
        <v>979</v>
      </c>
      <c r="M2726" s="198">
        <f>ROUND(K2726*I2726/10000,6)</f>
        <v>0</v>
      </c>
      <c r="N2726" s="212">
        <f>'02 项目基础信息（输入）'!$C$78</f>
        <v>0</v>
      </c>
      <c r="O2726" s="203">
        <f t="shared" si="314"/>
        <v>0</v>
      </c>
      <c r="P2726" s="203">
        <f t="shared" si="316"/>
        <v>0</v>
      </c>
      <c r="Q2726" s="271">
        <f t="shared" si="315"/>
        <v>0</v>
      </c>
      <c r="R2726" s="188"/>
      <c r="S2726" s="280"/>
      <c r="T2726" s="222"/>
      <c r="U2726" s="299" t="s">
        <v>4813</v>
      </c>
    </row>
    <row r="2727" spans="1:21" s="181" customFormat="1" ht="0" hidden="1" customHeight="1" outlineLevel="5">
      <c r="A2727" s="253" t="s">
        <v>4814</v>
      </c>
      <c r="B2727" s="254"/>
      <c r="C2727" s="250" t="s">
        <v>1609</v>
      </c>
      <c r="D2727" s="203">
        <f>'02 项目基础信息（输入）'!$C$78</f>
        <v>0</v>
      </c>
      <c r="E2727" s="204" t="s">
        <v>93</v>
      </c>
      <c r="F2727" s="202" t="s">
        <v>1632</v>
      </c>
      <c r="G2727" s="297"/>
      <c r="H2727" s="204" t="s">
        <v>1524</v>
      </c>
      <c r="I2727" s="265">
        <f>D2727*G2727</f>
        <v>0</v>
      </c>
      <c r="J2727" s="204" t="s">
        <v>1525</v>
      </c>
      <c r="K2727" s="270"/>
      <c r="L2727" s="210" t="s">
        <v>979</v>
      </c>
      <c r="M2727" s="198">
        <f>ROUND(K2727*I2727/10000,6)</f>
        <v>0</v>
      </c>
      <c r="N2727" s="212">
        <f>'02 项目基础信息（输入）'!$C$78</f>
        <v>0</v>
      </c>
      <c r="O2727" s="203">
        <f t="shared" si="314"/>
        <v>0</v>
      </c>
      <c r="P2727" s="203">
        <f t="shared" si="316"/>
        <v>0</v>
      </c>
      <c r="Q2727" s="271">
        <f t="shared" si="315"/>
        <v>0</v>
      </c>
      <c r="R2727" s="188"/>
      <c r="S2727" s="280"/>
      <c r="T2727" s="222"/>
      <c r="U2727" s="299" t="s">
        <v>4815</v>
      </c>
    </row>
    <row r="2728" spans="1:21" s="181" customFormat="1" ht="0" hidden="1" customHeight="1" outlineLevel="5">
      <c r="A2728" s="253" t="s">
        <v>4816</v>
      </c>
      <c r="B2728" s="254"/>
      <c r="C2728" s="250" t="s">
        <v>1609</v>
      </c>
      <c r="D2728" s="203">
        <f>'02 项目基础信息（输入）'!$C$78</f>
        <v>0</v>
      </c>
      <c r="E2728" s="204" t="s">
        <v>93</v>
      </c>
      <c r="F2728" s="202" t="s">
        <v>1632</v>
      </c>
      <c r="G2728" s="251">
        <f>G2727</f>
        <v>0</v>
      </c>
      <c r="H2728" s="204" t="s">
        <v>1524</v>
      </c>
      <c r="I2728" s="265">
        <f>D2728*G2728</f>
        <v>0</v>
      </c>
      <c r="J2728" s="204" t="s">
        <v>1525</v>
      </c>
      <c r="K2728" s="270"/>
      <c r="L2728" s="210" t="s">
        <v>979</v>
      </c>
      <c r="M2728" s="198">
        <f>ROUND(K2728*I2728/10000,6)</f>
        <v>0</v>
      </c>
      <c r="N2728" s="212">
        <f>'02 项目基础信息（输入）'!$C$78</f>
        <v>0</v>
      </c>
      <c r="O2728" s="203">
        <f t="shared" si="314"/>
        <v>0</v>
      </c>
      <c r="P2728" s="203">
        <f t="shared" si="316"/>
        <v>0</v>
      </c>
      <c r="Q2728" s="271">
        <f t="shared" si="315"/>
        <v>0</v>
      </c>
      <c r="R2728" s="188"/>
      <c r="S2728" s="280"/>
      <c r="T2728" s="222"/>
      <c r="U2728" s="299" t="s">
        <v>4817</v>
      </c>
    </row>
    <row r="2729" spans="1:21" s="181" customFormat="1" ht="0" hidden="1" customHeight="1" outlineLevel="4">
      <c r="A2729" s="253" t="s">
        <v>4189</v>
      </c>
      <c r="B2729" s="254"/>
      <c r="C2729" s="250" t="s">
        <v>1609</v>
      </c>
      <c r="D2729" s="203">
        <f>'02 项目基础信息（输入）'!$C$78</f>
        <v>0</v>
      </c>
      <c r="E2729" s="204" t="s">
        <v>93</v>
      </c>
      <c r="F2729" s="256"/>
      <c r="G2729" s="255"/>
      <c r="H2729" s="255"/>
      <c r="I2729" s="268"/>
      <c r="J2729" s="255"/>
      <c r="K2729" s="264"/>
      <c r="L2729" s="205"/>
      <c r="M2729" s="198">
        <f>ROUND(SUM(M2730:M2732),6)</f>
        <v>0</v>
      </c>
      <c r="N2729" s="212">
        <f>'02 项目基础信息（输入）'!$C$78</f>
        <v>0</v>
      </c>
      <c r="O2729" s="203">
        <f t="shared" si="314"/>
        <v>0</v>
      </c>
      <c r="P2729" s="203">
        <f t="shared" si="316"/>
        <v>0</v>
      </c>
      <c r="Q2729" s="271">
        <f t="shared" si="315"/>
        <v>0</v>
      </c>
      <c r="R2729" s="188"/>
      <c r="S2729" s="280"/>
      <c r="T2729" s="222"/>
      <c r="U2729" s="299" t="s">
        <v>4818</v>
      </c>
    </row>
    <row r="2730" spans="1:21" s="181" customFormat="1" ht="0" hidden="1" customHeight="1" outlineLevel="5">
      <c r="A2730" s="253" t="s">
        <v>4191</v>
      </c>
      <c r="B2730" s="254"/>
      <c r="C2730" s="250" t="s">
        <v>1609</v>
      </c>
      <c r="D2730" s="203">
        <f>'02 项目基础信息（输入）'!$C$78</f>
        <v>0</v>
      </c>
      <c r="E2730" s="204" t="s">
        <v>93</v>
      </c>
      <c r="F2730" s="250" t="s">
        <v>1637</v>
      </c>
      <c r="G2730" s="257"/>
      <c r="H2730" s="204" t="s">
        <v>1524</v>
      </c>
      <c r="I2730" s="265">
        <f>D2730*G2730</f>
        <v>0</v>
      </c>
      <c r="J2730" s="204" t="s">
        <v>1525</v>
      </c>
      <c r="K2730" s="270"/>
      <c r="L2730" s="210" t="s">
        <v>979</v>
      </c>
      <c r="M2730" s="198">
        <f>ROUND(K2730*I2730/10000,6)</f>
        <v>0</v>
      </c>
      <c r="N2730" s="212">
        <f>'02 项目基础信息（输入）'!$C$78</f>
        <v>0</v>
      </c>
      <c r="O2730" s="203">
        <f t="shared" si="314"/>
        <v>0</v>
      </c>
      <c r="P2730" s="203">
        <f t="shared" si="316"/>
        <v>0</v>
      </c>
      <c r="Q2730" s="271">
        <f t="shared" si="315"/>
        <v>0</v>
      </c>
      <c r="R2730" s="188"/>
      <c r="S2730" s="280"/>
      <c r="T2730" s="222"/>
      <c r="U2730" s="299" t="s">
        <v>4819</v>
      </c>
    </row>
    <row r="2731" spans="1:21" s="181" customFormat="1" ht="0" hidden="1" customHeight="1" outlineLevel="5">
      <c r="A2731" s="253" t="s">
        <v>4820</v>
      </c>
      <c r="B2731" s="254"/>
      <c r="C2731" s="250" t="s">
        <v>1609</v>
      </c>
      <c r="D2731" s="203">
        <f>'02 项目基础信息（输入）'!$C$78</f>
        <v>0</v>
      </c>
      <c r="E2731" s="204" t="s">
        <v>93</v>
      </c>
      <c r="F2731" s="250" t="s">
        <v>1637</v>
      </c>
      <c r="G2731" s="205">
        <f>G2730</f>
        <v>0</v>
      </c>
      <c r="H2731" s="204" t="s">
        <v>1524</v>
      </c>
      <c r="I2731" s="265">
        <f>D2731*G2731</f>
        <v>0</v>
      </c>
      <c r="J2731" s="204" t="s">
        <v>1525</v>
      </c>
      <c r="K2731" s="270"/>
      <c r="L2731" s="210" t="s">
        <v>979</v>
      </c>
      <c r="M2731" s="198">
        <f>ROUND(K2731*I2731/10000,6)</f>
        <v>0</v>
      </c>
      <c r="N2731" s="212">
        <f>'02 项目基础信息（输入）'!$C$78</f>
        <v>0</v>
      </c>
      <c r="O2731" s="203">
        <f t="shared" si="314"/>
        <v>0</v>
      </c>
      <c r="P2731" s="203">
        <f t="shared" si="316"/>
        <v>0</v>
      </c>
      <c r="Q2731" s="271">
        <f t="shared" si="315"/>
        <v>0</v>
      </c>
      <c r="R2731" s="188"/>
      <c r="S2731" s="280"/>
      <c r="T2731" s="222"/>
      <c r="U2731" s="299" t="s">
        <v>4821</v>
      </c>
    </row>
    <row r="2732" spans="1:21" s="181" customFormat="1" ht="0" hidden="1" customHeight="1" outlineLevel="5">
      <c r="A2732" s="253" t="s">
        <v>4422</v>
      </c>
      <c r="B2732" s="254"/>
      <c r="C2732" s="250" t="s">
        <v>1609</v>
      </c>
      <c r="D2732" s="203">
        <f>'02 项目基础信息（输入）'!$C$78</f>
        <v>0</v>
      </c>
      <c r="E2732" s="204" t="s">
        <v>93</v>
      </c>
      <c r="F2732" s="250" t="s">
        <v>1637</v>
      </c>
      <c r="G2732" s="205">
        <f>G2730</f>
        <v>0</v>
      </c>
      <c r="H2732" s="204" t="s">
        <v>1524</v>
      </c>
      <c r="I2732" s="265">
        <f>D2732*G2732</f>
        <v>0</v>
      </c>
      <c r="J2732" s="204" t="s">
        <v>1525</v>
      </c>
      <c r="K2732" s="270"/>
      <c r="L2732" s="210" t="s">
        <v>979</v>
      </c>
      <c r="M2732" s="198">
        <f>ROUND(K2732*I2732/10000,6)</f>
        <v>0</v>
      </c>
      <c r="N2732" s="212">
        <f>'02 项目基础信息（输入）'!$C$78</f>
        <v>0</v>
      </c>
      <c r="O2732" s="203">
        <f t="shared" si="314"/>
        <v>0</v>
      </c>
      <c r="P2732" s="203">
        <f t="shared" si="316"/>
        <v>0</v>
      </c>
      <c r="Q2732" s="271">
        <f t="shared" si="315"/>
        <v>0</v>
      </c>
      <c r="R2732" s="188"/>
      <c r="S2732" s="280"/>
      <c r="T2732" s="222"/>
      <c r="U2732" s="299" t="s">
        <v>4822</v>
      </c>
    </row>
    <row r="2733" spans="1:21" s="181" customFormat="1" ht="0" hidden="1" customHeight="1" outlineLevel="4">
      <c r="A2733" s="253" t="s">
        <v>4193</v>
      </c>
      <c r="B2733" s="254"/>
      <c r="C2733" s="250" t="s">
        <v>1609</v>
      </c>
      <c r="D2733" s="203">
        <f>'02 项目基础信息（输入）'!$C$78</f>
        <v>0</v>
      </c>
      <c r="E2733" s="204" t="s">
        <v>93</v>
      </c>
      <c r="F2733" s="250" t="s">
        <v>1609</v>
      </c>
      <c r="G2733" s="255">
        <v>1</v>
      </c>
      <c r="H2733" s="204" t="s">
        <v>298</v>
      </c>
      <c r="I2733" s="265">
        <f>D2733*G2733</f>
        <v>0</v>
      </c>
      <c r="J2733" s="204" t="s">
        <v>93</v>
      </c>
      <c r="K2733" s="270"/>
      <c r="L2733" s="210" t="s">
        <v>675</v>
      </c>
      <c r="M2733" s="198">
        <f>ROUND(K2733*I2733/10000,6)</f>
        <v>0</v>
      </c>
      <c r="N2733" s="212">
        <f>'02 项目基础信息（输入）'!$C$78</f>
        <v>0</v>
      </c>
      <c r="O2733" s="203">
        <f t="shared" si="314"/>
        <v>0</v>
      </c>
      <c r="P2733" s="203">
        <f t="shared" si="316"/>
        <v>0</v>
      </c>
      <c r="Q2733" s="271">
        <f t="shared" si="315"/>
        <v>0</v>
      </c>
      <c r="R2733" s="188"/>
      <c r="S2733" s="280"/>
      <c r="T2733" s="222"/>
      <c r="U2733" s="299" t="s">
        <v>4823</v>
      </c>
    </row>
    <row r="2734" spans="1:21" s="181" customFormat="1" ht="0" hidden="1" customHeight="1" outlineLevel="4">
      <c r="A2734" s="253" t="s">
        <v>4195</v>
      </c>
      <c r="B2734" s="254"/>
      <c r="C2734" s="250" t="s">
        <v>1609</v>
      </c>
      <c r="D2734" s="203">
        <f>'02 项目基础信息（输入）'!$C$78</f>
        <v>0</v>
      </c>
      <c r="E2734" s="204" t="s">
        <v>93</v>
      </c>
      <c r="F2734" s="250" t="s">
        <v>1609</v>
      </c>
      <c r="G2734" s="255">
        <v>1</v>
      </c>
      <c r="H2734" s="204" t="s">
        <v>298</v>
      </c>
      <c r="I2734" s="265">
        <f>D2734*G2734</f>
        <v>0</v>
      </c>
      <c r="J2734" s="204" t="s">
        <v>93</v>
      </c>
      <c r="K2734" s="270"/>
      <c r="L2734" s="210" t="s">
        <v>675</v>
      </c>
      <c r="M2734" s="198">
        <f>ROUND(K2734*I2734/10000,6)</f>
        <v>0</v>
      </c>
      <c r="N2734" s="212">
        <f>'02 项目基础信息（输入）'!$C$78</f>
        <v>0</v>
      </c>
      <c r="O2734" s="203">
        <f t="shared" si="314"/>
        <v>0</v>
      </c>
      <c r="P2734" s="203">
        <f t="shared" si="316"/>
        <v>0</v>
      </c>
      <c r="Q2734" s="271">
        <f t="shared" si="315"/>
        <v>0</v>
      </c>
      <c r="R2734" s="188"/>
      <c r="S2734" s="280"/>
      <c r="T2734" s="222"/>
      <c r="U2734" s="299" t="s">
        <v>4824</v>
      </c>
    </row>
    <row r="2735" spans="1:21" s="181" customFormat="1" ht="0" hidden="1" customHeight="1" outlineLevel="4">
      <c r="A2735" s="253" t="s">
        <v>4197</v>
      </c>
      <c r="B2735" s="254"/>
      <c r="C2735" s="250" t="s">
        <v>1665</v>
      </c>
      <c r="D2735" s="203">
        <f>ROUND(M2716+M2719+M2724+M2729+M2733+M2734,6)*10000</f>
        <v>0</v>
      </c>
      <c r="E2735" s="204" t="s">
        <v>1666</v>
      </c>
      <c r="F2735" s="202" t="s">
        <v>1667</v>
      </c>
      <c r="G2735" s="258">
        <f>IFERROR(I2735*100/D2735,0)</f>
        <v>0</v>
      </c>
      <c r="H2735" s="204" t="s">
        <v>123</v>
      </c>
      <c r="I2735" s="265">
        <f>N2735*K2735</f>
        <v>0</v>
      </c>
      <c r="J2735" s="204" t="s">
        <v>1666</v>
      </c>
      <c r="K2735" s="269"/>
      <c r="L2735" s="210" t="s">
        <v>675</v>
      </c>
      <c r="M2735" s="231">
        <f>ROUND(I2735/10000,6)</f>
        <v>0</v>
      </c>
      <c r="N2735" s="212">
        <f>'02 项目基础信息（输入）'!$C$78</f>
        <v>0</v>
      </c>
      <c r="O2735" s="203">
        <f t="shared" si="314"/>
        <v>0</v>
      </c>
      <c r="P2735" s="203">
        <f t="shared" si="316"/>
        <v>0</v>
      </c>
      <c r="Q2735" s="271">
        <f t="shared" si="315"/>
        <v>0</v>
      </c>
      <c r="R2735" s="188"/>
      <c r="S2735" s="280"/>
      <c r="T2735" s="222"/>
      <c r="U2735" s="299" t="s">
        <v>4825</v>
      </c>
    </row>
    <row r="2736" spans="1:21" s="181" customFormat="1" ht="0" hidden="1" customHeight="1" outlineLevel="3">
      <c r="A2736" s="253" t="s">
        <v>4211</v>
      </c>
      <c r="B2736" s="254"/>
      <c r="C2736" s="250" t="s">
        <v>1609</v>
      </c>
      <c r="D2736" s="203">
        <f>'02 项目基础信息（输入）'!$C$78</f>
        <v>0</v>
      </c>
      <c r="E2736" s="204" t="s">
        <v>93</v>
      </c>
      <c r="F2736" s="202"/>
      <c r="G2736" s="255"/>
      <c r="H2736" s="204"/>
      <c r="I2736" s="265"/>
      <c r="J2736" s="204"/>
      <c r="K2736" s="202"/>
      <c r="L2736" s="210"/>
      <c r="M2736" s="198">
        <f>ROUND(M2737+M2740+M2743+M2746+M2749,6)</f>
        <v>0</v>
      </c>
      <c r="N2736" s="212">
        <f>'02 项目基础信息（输入）'!$C$78</f>
        <v>0</v>
      </c>
      <c r="O2736" s="203">
        <f t="shared" si="314"/>
        <v>0</v>
      </c>
      <c r="P2736" s="203">
        <f t="shared" si="316"/>
        <v>0</v>
      </c>
      <c r="Q2736" s="271">
        <f t="shared" si="315"/>
        <v>0</v>
      </c>
      <c r="R2736" s="188"/>
      <c r="S2736" s="280"/>
      <c r="T2736" s="222"/>
      <c r="U2736" s="299" t="s">
        <v>4826</v>
      </c>
    </row>
    <row r="2737" spans="1:21" s="181" customFormat="1" ht="0" hidden="1" customHeight="1" outlineLevel="4">
      <c r="A2737" s="253" t="s">
        <v>4438</v>
      </c>
      <c r="B2737" s="254"/>
      <c r="C2737" s="250" t="s">
        <v>1609</v>
      </c>
      <c r="D2737" s="203">
        <f>'02 项目基础信息（输入）'!$C$78</f>
        <v>0</v>
      </c>
      <c r="E2737" s="204" t="s">
        <v>93</v>
      </c>
      <c r="F2737" s="202"/>
      <c r="G2737" s="261"/>
      <c r="H2737" s="255"/>
      <c r="I2737" s="264"/>
      <c r="J2737" s="255"/>
      <c r="K2737" s="264"/>
      <c r="L2737" s="205"/>
      <c r="M2737" s="198">
        <f>ROUND(SUM(M2738:M2739),6)</f>
        <v>0</v>
      </c>
      <c r="N2737" s="212">
        <f>'02 项目基础信息（输入）'!$C$78</f>
        <v>0</v>
      </c>
      <c r="O2737" s="203">
        <f t="shared" si="314"/>
        <v>0</v>
      </c>
      <c r="P2737" s="203">
        <f t="shared" si="316"/>
        <v>0</v>
      </c>
      <c r="Q2737" s="271">
        <f t="shared" si="315"/>
        <v>0</v>
      </c>
      <c r="R2737" s="188"/>
      <c r="S2737" s="280"/>
      <c r="T2737" s="222"/>
      <c r="U2737" s="299" t="s">
        <v>4827</v>
      </c>
    </row>
    <row r="2738" spans="1:21" s="181" customFormat="1" ht="0" hidden="1" customHeight="1" outlineLevel="5">
      <c r="A2738" s="253" t="s">
        <v>4828</v>
      </c>
      <c r="B2738" s="254"/>
      <c r="C2738" s="250" t="s">
        <v>1609</v>
      </c>
      <c r="D2738" s="203">
        <f>'02 项目基础信息（输入）'!$C$78</f>
        <v>0</v>
      </c>
      <c r="E2738" s="204" t="s">
        <v>93</v>
      </c>
      <c r="F2738" s="202" t="s">
        <v>1682</v>
      </c>
      <c r="G2738" s="261">
        <f>IFERROR(I2738/D2738,0)</f>
        <v>0</v>
      </c>
      <c r="H2738" s="204" t="s">
        <v>298</v>
      </c>
      <c r="I2738" s="270"/>
      <c r="J2738" s="204" t="s">
        <v>93</v>
      </c>
      <c r="K2738" s="270"/>
      <c r="L2738" s="210" t="s">
        <v>675</v>
      </c>
      <c r="M2738" s="198">
        <f>ROUND(K2738*I2738/10000,6)</f>
        <v>0</v>
      </c>
      <c r="N2738" s="212">
        <f>'02 项目基础信息（输入）'!$C$78</f>
        <v>0</v>
      </c>
      <c r="O2738" s="203">
        <f t="shared" si="314"/>
        <v>0</v>
      </c>
      <c r="P2738" s="203">
        <f t="shared" si="316"/>
        <v>0</v>
      </c>
      <c r="Q2738" s="271">
        <f t="shared" si="315"/>
        <v>0</v>
      </c>
      <c r="R2738" s="188"/>
      <c r="S2738" s="280"/>
      <c r="T2738" s="222"/>
      <c r="U2738" s="299" t="s">
        <v>4829</v>
      </c>
    </row>
    <row r="2739" spans="1:21" s="181" customFormat="1" ht="0" hidden="1" customHeight="1" outlineLevel="5">
      <c r="A2739" s="253" t="s">
        <v>4830</v>
      </c>
      <c r="B2739" s="254"/>
      <c r="C2739" s="250" t="s">
        <v>1609</v>
      </c>
      <c r="D2739" s="203">
        <f>'02 项目基础信息（输入）'!$C$78</f>
        <v>0</v>
      </c>
      <c r="E2739" s="204" t="s">
        <v>93</v>
      </c>
      <c r="F2739" s="202" t="s">
        <v>1682</v>
      </c>
      <c r="G2739" s="261">
        <f>IFERROR(I2739/D2739,0)</f>
        <v>0</v>
      </c>
      <c r="H2739" s="204" t="s">
        <v>298</v>
      </c>
      <c r="I2739" s="268">
        <f>I2738</f>
        <v>0</v>
      </c>
      <c r="J2739" s="204" t="s">
        <v>93</v>
      </c>
      <c r="K2739" s="270"/>
      <c r="L2739" s="210" t="s">
        <v>675</v>
      </c>
      <c r="M2739" s="198">
        <f>ROUND(K2739*I2739/10000,6)</f>
        <v>0</v>
      </c>
      <c r="N2739" s="212">
        <f>'02 项目基础信息（输入）'!$C$78</f>
        <v>0</v>
      </c>
      <c r="O2739" s="203">
        <f t="shared" si="314"/>
        <v>0</v>
      </c>
      <c r="P2739" s="203">
        <f t="shared" si="316"/>
        <v>0</v>
      </c>
      <c r="Q2739" s="271">
        <f t="shared" si="315"/>
        <v>0</v>
      </c>
      <c r="R2739" s="188"/>
      <c r="S2739" s="280"/>
      <c r="T2739" s="222"/>
      <c r="U2739" s="299" t="s">
        <v>4831</v>
      </c>
    </row>
    <row r="2740" spans="1:21" s="181" customFormat="1" ht="0" hidden="1" customHeight="1" outlineLevel="4">
      <c r="A2740" s="253" t="s">
        <v>4444</v>
      </c>
      <c r="B2740" s="254"/>
      <c r="C2740" s="250" t="s">
        <v>1609</v>
      </c>
      <c r="D2740" s="203">
        <f>'02 项目基础信息（输入）'!$C$78</f>
        <v>0</v>
      </c>
      <c r="E2740" s="204" t="s">
        <v>93</v>
      </c>
      <c r="F2740" s="202"/>
      <c r="G2740" s="261"/>
      <c r="H2740" s="255"/>
      <c r="I2740" s="264"/>
      <c r="J2740" s="255"/>
      <c r="K2740" s="264"/>
      <c r="L2740" s="205"/>
      <c r="M2740" s="198">
        <f>ROUND(SUM(M2741:M2742),6)</f>
        <v>0</v>
      </c>
      <c r="N2740" s="212">
        <f>'02 项目基础信息（输入）'!$C$78</f>
        <v>0</v>
      </c>
      <c r="O2740" s="203">
        <f t="shared" si="314"/>
        <v>0</v>
      </c>
      <c r="P2740" s="203">
        <f t="shared" si="316"/>
        <v>0</v>
      </c>
      <c r="Q2740" s="271">
        <f t="shared" si="315"/>
        <v>0</v>
      </c>
      <c r="R2740" s="188"/>
      <c r="S2740" s="280"/>
      <c r="T2740" s="222"/>
      <c r="U2740" s="299" t="s">
        <v>4832</v>
      </c>
    </row>
    <row r="2741" spans="1:21" s="181" customFormat="1" ht="0" hidden="1" customHeight="1" outlineLevel="5">
      <c r="A2741" s="253" t="s">
        <v>4446</v>
      </c>
      <c r="B2741" s="254"/>
      <c r="C2741" s="250" t="s">
        <v>1609</v>
      </c>
      <c r="D2741" s="203">
        <f>'02 项目基础信息（输入）'!$C$78</f>
        <v>0</v>
      </c>
      <c r="E2741" s="204" t="s">
        <v>93</v>
      </c>
      <c r="F2741" s="202" t="s">
        <v>1682</v>
      </c>
      <c r="G2741" s="261">
        <f>IFERROR(I2741/D2741,0)</f>
        <v>0</v>
      </c>
      <c r="H2741" s="204" t="s">
        <v>298</v>
      </c>
      <c r="I2741" s="270"/>
      <c r="J2741" s="204" t="s">
        <v>93</v>
      </c>
      <c r="K2741" s="270"/>
      <c r="L2741" s="210" t="s">
        <v>675</v>
      </c>
      <c r="M2741" s="198">
        <f>ROUND(K2741*I2741/10000,6)</f>
        <v>0</v>
      </c>
      <c r="N2741" s="212">
        <f>'02 项目基础信息（输入）'!$C$78</f>
        <v>0</v>
      </c>
      <c r="O2741" s="203">
        <f t="shared" si="314"/>
        <v>0</v>
      </c>
      <c r="P2741" s="203">
        <f t="shared" si="316"/>
        <v>0</v>
      </c>
      <c r="Q2741" s="271">
        <f t="shared" si="315"/>
        <v>0</v>
      </c>
      <c r="R2741" s="188"/>
      <c r="S2741" s="280"/>
      <c r="T2741" s="222"/>
      <c r="U2741" s="299" t="s">
        <v>4833</v>
      </c>
    </row>
    <row r="2742" spans="1:21" s="181" customFormat="1" ht="0" hidden="1" customHeight="1" outlineLevel="5">
      <c r="A2742" s="253" t="s">
        <v>4448</v>
      </c>
      <c r="B2742" s="254"/>
      <c r="C2742" s="250" t="s">
        <v>1609</v>
      </c>
      <c r="D2742" s="203">
        <f>'02 项目基础信息（输入）'!$C$78</f>
        <v>0</v>
      </c>
      <c r="E2742" s="204" t="s">
        <v>93</v>
      </c>
      <c r="F2742" s="202" t="s">
        <v>1682</v>
      </c>
      <c r="G2742" s="261">
        <f>IFERROR(I2742/D2742,0)</f>
        <v>0</v>
      </c>
      <c r="H2742" s="204" t="s">
        <v>298</v>
      </c>
      <c r="I2742" s="268">
        <f>I2741</f>
        <v>0</v>
      </c>
      <c r="J2742" s="204" t="s">
        <v>93</v>
      </c>
      <c r="K2742" s="270"/>
      <c r="L2742" s="210" t="s">
        <v>675</v>
      </c>
      <c r="M2742" s="198">
        <f>ROUND(K2742*I2742/10000,6)</f>
        <v>0</v>
      </c>
      <c r="N2742" s="212">
        <f>'02 项目基础信息（输入）'!$C$78</f>
        <v>0</v>
      </c>
      <c r="O2742" s="203">
        <f t="shared" si="314"/>
        <v>0</v>
      </c>
      <c r="P2742" s="203">
        <f t="shared" si="316"/>
        <v>0</v>
      </c>
      <c r="Q2742" s="271">
        <f t="shared" si="315"/>
        <v>0</v>
      </c>
      <c r="R2742" s="188"/>
      <c r="S2742" s="280"/>
      <c r="T2742" s="222"/>
      <c r="U2742" s="299" t="s">
        <v>4834</v>
      </c>
    </row>
    <row r="2743" spans="1:21" s="181" customFormat="1" ht="0" hidden="1" customHeight="1" outlineLevel="4">
      <c r="A2743" s="253" t="s">
        <v>4450</v>
      </c>
      <c r="B2743" s="254"/>
      <c r="C2743" s="250" t="s">
        <v>1609</v>
      </c>
      <c r="D2743" s="203">
        <f>'02 项目基础信息（输入）'!$C$78</f>
        <v>0</v>
      </c>
      <c r="E2743" s="204" t="s">
        <v>93</v>
      </c>
      <c r="F2743" s="202"/>
      <c r="G2743" s="261"/>
      <c r="H2743" s="255"/>
      <c r="I2743" s="264"/>
      <c r="J2743" s="255"/>
      <c r="K2743" s="264"/>
      <c r="L2743" s="205"/>
      <c r="M2743" s="198">
        <f>ROUND(SUM(M2744:M2745),6)</f>
        <v>0</v>
      </c>
      <c r="N2743" s="212">
        <f>'02 项目基础信息（输入）'!$C$78</f>
        <v>0</v>
      </c>
      <c r="O2743" s="203">
        <f t="shared" si="314"/>
        <v>0</v>
      </c>
      <c r="P2743" s="203">
        <f t="shared" si="316"/>
        <v>0</v>
      </c>
      <c r="Q2743" s="271">
        <f t="shared" si="315"/>
        <v>0</v>
      </c>
      <c r="R2743" s="188"/>
      <c r="S2743" s="280"/>
      <c r="T2743" s="222"/>
      <c r="U2743" s="299" t="s">
        <v>4835</v>
      </c>
    </row>
    <row r="2744" spans="1:21" s="181" customFormat="1" ht="0" hidden="1" customHeight="1" outlineLevel="5">
      <c r="A2744" s="253" t="s">
        <v>4452</v>
      </c>
      <c r="B2744" s="254"/>
      <c r="C2744" s="250" t="s">
        <v>1609</v>
      </c>
      <c r="D2744" s="203">
        <f>'02 项目基础信息（输入）'!$C$78</f>
        <v>0</v>
      </c>
      <c r="E2744" s="204" t="s">
        <v>93</v>
      </c>
      <c r="F2744" s="202" t="s">
        <v>1682</v>
      </c>
      <c r="G2744" s="261">
        <f>IFERROR(I2744/D2744,0)</f>
        <v>0</v>
      </c>
      <c r="H2744" s="204" t="s">
        <v>298</v>
      </c>
      <c r="I2744" s="270"/>
      <c r="J2744" s="204" t="s">
        <v>93</v>
      </c>
      <c r="K2744" s="270"/>
      <c r="L2744" s="210" t="s">
        <v>675</v>
      </c>
      <c r="M2744" s="198">
        <f>ROUND(K2744*I2744/10000,6)</f>
        <v>0</v>
      </c>
      <c r="N2744" s="212">
        <f>'02 项目基础信息（输入）'!$C$78</f>
        <v>0</v>
      </c>
      <c r="O2744" s="203">
        <f t="shared" si="314"/>
        <v>0</v>
      </c>
      <c r="P2744" s="203">
        <f t="shared" si="316"/>
        <v>0</v>
      </c>
      <c r="Q2744" s="271">
        <f t="shared" si="315"/>
        <v>0</v>
      </c>
      <c r="R2744" s="188"/>
      <c r="S2744" s="280"/>
      <c r="T2744" s="222"/>
      <c r="U2744" s="299" t="s">
        <v>4836</v>
      </c>
    </row>
    <row r="2745" spans="1:21" s="181" customFormat="1" ht="0" hidden="1" customHeight="1" outlineLevel="5">
      <c r="A2745" s="253" t="s">
        <v>4454</v>
      </c>
      <c r="B2745" s="254"/>
      <c r="C2745" s="250" t="s">
        <v>1609</v>
      </c>
      <c r="D2745" s="203">
        <f>'02 项目基础信息（输入）'!$C$78</f>
        <v>0</v>
      </c>
      <c r="E2745" s="204" t="s">
        <v>93</v>
      </c>
      <c r="F2745" s="202" t="s">
        <v>1682</v>
      </c>
      <c r="G2745" s="261">
        <f>IFERROR(I2745/D2745,0)</f>
        <v>0</v>
      </c>
      <c r="H2745" s="204" t="s">
        <v>298</v>
      </c>
      <c r="I2745" s="268">
        <f>I2744</f>
        <v>0</v>
      </c>
      <c r="J2745" s="204" t="s">
        <v>93</v>
      </c>
      <c r="K2745" s="270"/>
      <c r="L2745" s="210" t="s">
        <v>675</v>
      </c>
      <c r="M2745" s="198">
        <f>ROUND(K2745*I2745/10000,6)</f>
        <v>0</v>
      </c>
      <c r="N2745" s="212">
        <f>'02 项目基础信息（输入）'!$C$78</f>
        <v>0</v>
      </c>
      <c r="O2745" s="203">
        <f t="shared" si="314"/>
        <v>0</v>
      </c>
      <c r="P2745" s="203">
        <f t="shared" si="316"/>
        <v>0</v>
      </c>
      <c r="Q2745" s="271">
        <f t="shared" si="315"/>
        <v>0</v>
      </c>
      <c r="R2745" s="188"/>
      <c r="S2745" s="280"/>
      <c r="T2745" s="222"/>
      <c r="U2745" s="299" t="s">
        <v>4837</v>
      </c>
    </row>
    <row r="2746" spans="1:21" s="181" customFormat="1" ht="0" hidden="1" customHeight="1" outlineLevel="4">
      <c r="A2746" s="253" t="s">
        <v>4456</v>
      </c>
      <c r="B2746" s="254"/>
      <c r="C2746" s="250" t="s">
        <v>1609</v>
      </c>
      <c r="D2746" s="203">
        <f>'02 项目基础信息（输入）'!$C$78</f>
        <v>0</v>
      </c>
      <c r="E2746" s="204" t="s">
        <v>93</v>
      </c>
      <c r="F2746" s="202"/>
      <c r="G2746" s="261"/>
      <c r="H2746" s="255"/>
      <c r="I2746" s="264"/>
      <c r="J2746" s="255"/>
      <c r="K2746" s="264"/>
      <c r="L2746" s="205"/>
      <c r="M2746" s="198">
        <f>ROUND(SUM(M2747:M2748),6)</f>
        <v>0</v>
      </c>
      <c r="N2746" s="212">
        <f>'02 项目基础信息（输入）'!$C$78</f>
        <v>0</v>
      </c>
      <c r="O2746" s="203">
        <f t="shared" si="314"/>
        <v>0</v>
      </c>
      <c r="P2746" s="203">
        <f t="shared" si="316"/>
        <v>0</v>
      </c>
      <c r="Q2746" s="271">
        <f t="shared" si="315"/>
        <v>0</v>
      </c>
      <c r="R2746" s="188"/>
      <c r="S2746" s="280"/>
      <c r="T2746" s="222"/>
      <c r="U2746" s="299" t="s">
        <v>4838</v>
      </c>
    </row>
    <row r="2747" spans="1:21" s="181" customFormat="1" ht="0" hidden="1" customHeight="1" outlineLevel="5">
      <c r="A2747" s="253" t="s">
        <v>4458</v>
      </c>
      <c r="B2747" s="254"/>
      <c r="C2747" s="250" t="s">
        <v>1609</v>
      </c>
      <c r="D2747" s="203">
        <f>'02 项目基础信息（输入）'!$C$78</f>
        <v>0</v>
      </c>
      <c r="E2747" s="204" t="s">
        <v>93</v>
      </c>
      <c r="F2747" s="202" t="s">
        <v>1682</v>
      </c>
      <c r="G2747" s="261">
        <f>IFERROR(I2747/D2747,0)</f>
        <v>0</v>
      </c>
      <c r="H2747" s="204" t="s">
        <v>298</v>
      </c>
      <c r="I2747" s="270"/>
      <c r="J2747" s="204" t="s">
        <v>93</v>
      </c>
      <c r="K2747" s="270"/>
      <c r="L2747" s="210" t="s">
        <v>675</v>
      </c>
      <c r="M2747" s="198">
        <f>ROUND(K2747*I2747/10000,6)</f>
        <v>0</v>
      </c>
      <c r="N2747" s="212">
        <f>'02 项目基础信息（输入）'!$C$78</f>
        <v>0</v>
      </c>
      <c r="O2747" s="203">
        <f t="shared" si="314"/>
        <v>0</v>
      </c>
      <c r="P2747" s="203">
        <f t="shared" si="316"/>
        <v>0</v>
      </c>
      <c r="Q2747" s="271">
        <f t="shared" si="315"/>
        <v>0</v>
      </c>
      <c r="R2747" s="188"/>
      <c r="S2747" s="280"/>
      <c r="T2747" s="222"/>
      <c r="U2747" s="299" t="s">
        <v>4839</v>
      </c>
    </row>
    <row r="2748" spans="1:21" s="181" customFormat="1" ht="0" hidden="1" customHeight="1" outlineLevel="5">
      <c r="A2748" s="253" t="s">
        <v>4460</v>
      </c>
      <c r="B2748" s="254"/>
      <c r="C2748" s="250" t="s">
        <v>1609</v>
      </c>
      <c r="D2748" s="203">
        <f>'02 项目基础信息（输入）'!$C$78</f>
        <v>0</v>
      </c>
      <c r="E2748" s="204" t="s">
        <v>93</v>
      </c>
      <c r="F2748" s="202" t="s">
        <v>1682</v>
      </c>
      <c r="G2748" s="261">
        <f>IFERROR(I2748/D2748,0)</f>
        <v>0</v>
      </c>
      <c r="H2748" s="204" t="s">
        <v>298</v>
      </c>
      <c r="I2748" s="268">
        <f>I2747</f>
        <v>0</v>
      </c>
      <c r="J2748" s="204" t="s">
        <v>93</v>
      </c>
      <c r="K2748" s="270"/>
      <c r="L2748" s="210" t="s">
        <v>675</v>
      </c>
      <c r="M2748" s="198">
        <f>ROUND(K2748*I2748/10000,6)</f>
        <v>0</v>
      </c>
      <c r="N2748" s="212">
        <f>'02 项目基础信息（输入）'!$C$78</f>
        <v>0</v>
      </c>
      <c r="O2748" s="203">
        <f t="shared" si="314"/>
        <v>0</v>
      </c>
      <c r="P2748" s="203">
        <f t="shared" si="316"/>
        <v>0</v>
      </c>
      <c r="Q2748" s="271">
        <f t="shared" si="315"/>
        <v>0</v>
      </c>
      <c r="R2748" s="188"/>
      <c r="S2748" s="280"/>
      <c r="T2748" s="222"/>
      <c r="U2748" s="299" t="s">
        <v>4840</v>
      </c>
    </row>
    <row r="2749" spans="1:21" s="181" customFormat="1" ht="0" hidden="1" customHeight="1" outlineLevel="4">
      <c r="A2749" s="253" t="s">
        <v>4231</v>
      </c>
      <c r="B2749" s="254"/>
      <c r="C2749" s="250" t="s">
        <v>1609</v>
      </c>
      <c r="D2749" s="203">
        <f>'02 项目基础信息（输入）'!$C$78</f>
        <v>0</v>
      </c>
      <c r="E2749" s="204" t="s">
        <v>93</v>
      </c>
      <c r="F2749" s="202"/>
      <c r="G2749" s="261"/>
      <c r="H2749" s="255"/>
      <c r="I2749" s="264"/>
      <c r="J2749" s="255"/>
      <c r="K2749" s="264"/>
      <c r="L2749" s="205"/>
      <c r="M2749" s="198">
        <f>ROUND(SUM(M2750:M2751),6)</f>
        <v>0</v>
      </c>
      <c r="N2749" s="212">
        <f>'02 项目基础信息（输入）'!$C$78</f>
        <v>0</v>
      </c>
      <c r="O2749" s="203">
        <f t="shared" si="314"/>
        <v>0</v>
      </c>
      <c r="P2749" s="203">
        <f t="shared" si="316"/>
        <v>0</v>
      </c>
      <c r="Q2749" s="271">
        <f t="shared" si="315"/>
        <v>0</v>
      </c>
      <c r="R2749" s="188"/>
      <c r="S2749" s="280"/>
      <c r="T2749" s="222"/>
      <c r="U2749" s="299" t="s">
        <v>4841</v>
      </c>
    </row>
    <row r="2750" spans="1:21" s="181" customFormat="1" ht="0" hidden="1" customHeight="1" outlineLevel="5">
      <c r="A2750" s="253" t="s">
        <v>4233</v>
      </c>
      <c r="B2750" s="254"/>
      <c r="C2750" s="250" t="s">
        <v>1609</v>
      </c>
      <c r="D2750" s="203">
        <f>'02 项目基础信息（输入）'!$C$78</f>
        <v>0</v>
      </c>
      <c r="E2750" s="204" t="s">
        <v>93</v>
      </c>
      <c r="F2750" s="202" t="s">
        <v>1682</v>
      </c>
      <c r="G2750" s="261">
        <f>IFERROR(I2750/D2750,0)</f>
        <v>0</v>
      </c>
      <c r="H2750" s="204" t="s">
        <v>298</v>
      </c>
      <c r="I2750" s="270"/>
      <c r="J2750" s="204" t="s">
        <v>93</v>
      </c>
      <c r="K2750" s="270"/>
      <c r="L2750" s="210" t="s">
        <v>675</v>
      </c>
      <c r="M2750" s="198">
        <f>ROUND(K2750*I2750/10000,6)</f>
        <v>0</v>
      </c>
      <c r="N2750" s="212">
        <f>'02 项目基础信息（输入）'!$C$78</f>
        <v>0</v>
      </c>
      <c r="O2750" s="203">
        <f t="shared" si="314"/>
        <v>0</v>
      </c>
      <c r="P2750" s="203">
        <f t="shared" si="316"/>
        <v>0</v>
      </c>
      <c r="Q2750" s="271">
        <f t="shared" si="315"/>
        <v>0</v>
      </c>
      <c r="R2750" s="188"/>
      <c r="S2750" s="280"/>
      <c r="T2750" s="222"/>
      <c r="U2750" s="299" t="s">
        <v>4842</v>
      </c>
    </row>
    <row r="2751" spans="1:21" s="181" customFormat="1" ht="0" hidden="1" customHeight="1" outlineLevel="5">
      <c r="A2751" s="253" t="s">
        <v>4235</v>
      </c>
      <c r="B2751" s="254"/>
      <c r="C2751" s="250" t="s">
        <v>1609</v>
      </c>
      <c r="D2751" s="203">
        <f>'02 项目基础信息（输入）'!$C$78</f>
        <v>0</v>
      </c>
      <c r="E2751" s="204" t="s">
        <v>93</v>
      </c>
      <c r="F2751" s="202" t="s">
        <v>1682</v>
      </c>
      <c r="G2751" s="261">
        <f>IFERROR(I2751/D2751,0)</f>
        <v>0</v>
      </c>
      <c r="H2751" s="204" t="s">
        <v>298</v>
      </c>
      <c r="I2751" s="268">
        <f>I2750</f>
        <v>0</v>
      </c>
      <c r="J2751" s="204" t="s">
        <v>93</v>
      </c>
      <c r="K2751" s="270"/>
      <c r="L2751" s="210" t="s">
        <v>675</v>
      </c>
      <c r="M2751" s="198">
        <f>ROUND(K2751*I2751/10000,6)</f>
        <v>0</v>
      </c>
      <c r="N2751" s="212">
        <f>'02 项目基础信息（输入）'!$C$78</f>
        <v>0</v>
      </c>
      <c r="O2751" s="203">
        <f t="shared" si="314"/>
        <v>0</v>
      </c>
      <c r="P2751" s="203">
        <f t="shared" si="316"/>
        <v>0</v>
      </c>
      <c r="Q2751" s="271">
        <f t="shared" si="315"/>
        <v>0</v>
      </c>
      <c r="R2751" s="188"/>
      <c r="S2751" s="280"/>
      <c r="T2751" s="222"/>
      <c r="U2751" s="299" t="s">
        <v>4843</v>
      </c>
    </row>
    <row r="2752" spans="1:21" s="181" customFormat="1" ht="0" hidden="1" customHeight="1" outlineLevel="3">
      <c r="A2752" s="253" t="s">
        <v>4237</v>
      </c>
      <c r="B2752" s="254"/>
      <c r="C2752" s="250" t="s">
        <v>1609</v>
      </c>
      <c r="D2752" s="203">
        <f>'02 项目基础信息（输入）'!$C$78</f>
        <v>0</v>
      </c>
      <c r="E2752" s="204" t="s">
        <v>93</v>
      </c>
      <c r="F2752" s="202"/>
      <c r="G2752" s="255"/>
      <c r="H2752" s="204"/>
      <c r="I2752" s="265"/>
      <c r="J2752" s="204"/>
      <c r="K2752" s="203"/>
      <c r="L2752" s="210"/>
      <c r="M2752" s="198">
        <f>ROUND(SUM(M2753:M2755),6)</f>
        <v>0</v>
      </c>
      <c r="N2752" s="212">
        <f>'02 项目基础信息（输入）'!$C$78</f>
        <v>0</v>
      </c>
      <c r="O2752" s="203">
        <f t="shared" si="314"/>
        <v>0</v>
      </c>
      <c r="P2752" s="203">
        <f t="shared" si="316"/>
        <v>0</v>
      </c>
      <c r="Q2752" s="271">
        <f t="shared" si="315"/>
        <v>0</v>
      </c>
      <c r="R2752" s="188"/>
      <c r="S2752" s="280"/>
      <c r="T2752" s="222"/>
      <c r="U2752" s="299" t="s">
        <v>4844</v>
      </c>
    </row>
    <row r="2753" spans="1:21" s="181" customFormat="1" ht="0" hidden="1" customHeight="1" outlineLevel="4">
      <c r="A2753" s="253" t="s">
        <v>4239</v>
      </c>
      <c r="B2753" s="254"/>
      <c r="C2753" s="250" t="s">
        <v>1609</v>
      </c>
      <c r="D2753" s="203">
        <f>'02 项目基础信息（输入）'!$C$78</f>
        <v>0</v>
      </c>
      <c r="E2753" s="204" t="s">
        <v>93</v>
      </c>
      <c r="F2753" s="202" t="s">
        <v>1701</v>
      </c>
      <c r="G2753" s="261">
        <f>IFERROR(I2753/D2753,0)</f>
        <v>0</v>
      </c>
      <c r="H2753" s="204" t="s">
        <v>298</v>
      </c>
      <c r="I2753" s="270"/>
      <c r="J2753" s="204" t="s">
        <v>93</v>
      </c>
      <c r="K2753" s="270"/>
      <c r="L2753" s="210" t="s">
        <v>675</v>
      </c>
      <c r="M2753" s="198">
        <f>ROUND(K2753*I2753/10000,6)</f>
        <v>0</v>
      </c>
      <c r="N2753" s="212">
        <f>'02 项目基础信息（输入）'!$C$78</f>
        <v>0</v>
      </c>
      <c r="O2753" s="203">
        <f t="shared" si="314"/>
        <v>0</v>
      </c>
      <c r="P2753" s="203">
        <f t="shared" si="316"/>
        <v>0</v>
      </c>
      <c r="Q2753" s="271">
        <f t="shared" si="315"/>
        <v>0</v>
      </c>
      <c r="R2753" s="188"/>
      <c r="S2753" s="280"/>
      <c r="T2753" s="222"/>
      <c r="U2753" s="299" t="s">
        <v>4845</v>
      </c>
    </row>
    <row r="2754" spans="1:21" s="181" customFormat="1" ht="0" hidden="1" customHeight="1" outlineLevel="4">
      <c r="A2754" s="253" t="s">
        <v>4241</v>
      </c>
      <c r="B2754" s="254"/>
      <c r="C2754" s="250" t="s">
        <v>1609</v>
      </c>
      <c r="D2754" s="203">
        <f>'02 项目基础信息（输入）'!$C$78</f>
        <v>0</v>
      </c>
      <c r="E2754" s="204" t="s">
        <v>93</v>
      </c>
      <c r="F2754" s="202" t="s">
        <v>1704</v>
      </c>
      <c r="G2754" s="261">
        <f>IFERROR(I2754/D2754,0)</f>
        <v>0</v>
      </c>
      <c r="H2754" s="204" t="s">
        <v>298</v>
      </c>
      <c r="I2754" s="270"/>
      <c r="J2754" s="204" t="s">
        <v>93</v>
      </c>
      <c r="K2754" s="270"/>
      <c r="L2754" s="210" t="s">
        <v>675</v>
      </c>
      <c r="M2754" s="198">
        <f>ROUND(K2754*I2754/10000,6)</f>
        <v>0</v>
      </c>
      <c r="N2754" s="212">
        <f>'02 项目基础信息（输入）'!$C$78</f>
        <v>0</v>
      </c>
      <c r="O2754" s="203">
        <f t="shared" si="314"/>
        <v>0</v>
      </c>
      <c r="P2754" s="203">
        <f t="shared" si="316"/>
        <v>0</v>
      </c>
      <c r="Q2754" s="271">
        <f t="shared" si="315"/>
        <v>0</v>
      </c>
      <c r="R2754" s="188"/>
      <c r="S2754" s="280"/>
      <c r="T2754" s="222"/>
      <c r="U2754" s="299" t="s">
        <v>4846</v>
      </c>
    </row>
    <row r="2755" spans="1:21" s="181" customFormat="1" ht="0" hidden="1" customHeight="1" outlineLevel="4">
      <c r="A2755" s="253" t="s">
        <v>4243</v>
      </c>
      <c r="B2755" s="254"/>
      <c r="C2755" s="250" t="s">
        <v>1609</v>
      </c>
      <c r="D2755" s="203">
        <f>'02 项目基础信息（输入）'!$C$78</f>
        <v>0</v>
      </c>
      <c r="E2755" s="204" t="s">
        <v>93</v>
      </c>
      <c r="F2755" s="202" t="s">
        <v>4244</v>
      </c>
      <c r="G2755" s="261">
        <f>IFERROR(I2755/D2755,0)</f>
        <v>0</v>
      </c>
      <c r="H2755" s="204" t="s">
        <v>1473</v>
      </c>
      <c r="I2755" s="270"/>
      <c r="J2755" s="204" t="s">
        <v>131</v>
      </c>
      <c r="K2755" s="270"/>
      <c r="L2755" s="210" t="s">
        <v>675</v>
      </c>
      <c r="M2755" s="198">
        <f>ROUND(K2755*I2755/10000,6)</f>
        <v>0</v>
      </c>
      <c r="N2755" s="212">
        <f>'02 项目基础信息（输入）'!$C$78</f>
        <v>0</v>
      </c>
      <c r="O2755" s="203">
        <f t="shared" ref="O2755:O2818" si="319">ROUND(IFERROR(M2755*10000/N2755,0),2)</f>
        <v>0</v>
      </c>
      <c r="P2755" s="203">
        <f t="shared" si="316"/>
        <v>0</v>
      </c>
      <c r="Q2755" s="271">
        <f t="shared" ref="Q2755:Q2818" si="320">ROUND(IFERROR(M2755*10000/P2755,0),2)</f>
        <v>0</v>
      </c>
      <c r="R2755" s="188"/>
      <c r="S2755" s="280"/>
      <c r="T2755" s="222"/>
      <c r="U2755" s="299" t="s">
        <v>4847</v>
      </c>
    </row>
    <row r="2756" spans="1:21" ht="0" hidden="1" customHeight="1" outlineLevel="2">
      <c r="A2756" s="201" t="s">
        <v>4252</v>
      </c>
      <c r="B2756" s="249"/>
      <c r="C2756" s="250" t="s">
        <v>1609</v>
      </c>
      <c r="D2756" s="203">
        <f>'02 项目基础信息（输入）'!$C$78</f>
        <v>0</v>
      </c>
      <c r="E2756" s="204" t="s">
        <v>93</v>
      </c>
      <c r="F2756" s="202"/>
      <c r="G2756" s="255"/>
      <c r="H2756" s="204"/>
      <c r="I2756" s="203"/>
      <c r="J2756" s="204"/>
      <c r="K2756" s="264"/>
      <c r="L2756" s="210"/>
      <c r="M2756" s="198">
        <f>ROUND(M2757+M2760+M2761+M2762+M2763+M2764+M2765+M2766+M2767,6)</f>
        <v>0</v>
      </c>
      <c r="N2756" s="212">
        <f>'02 项目基础信息（输入）'!$C$78</f>
        <v>0</v>
      </c>
      <c r="O2756" s="203">
        <f t="shared" si="319"/>
        <v>0</v>
      </c>
      <c r="P2756" s="203">
        <f t="shared" si="316"/>
        <v>0</v>
      </c>
      <c r="Q2756" s="271">
        <f t="shared" si="320"/>
        <v>0</v>
      </c>
      <c r="S2756" s="280" t="s">
        <v>1313</v>
      </c>
      <c r="T2756" s="222"/>
      <c r="U2756" s="298" t="s">
        <v>4848</v>
      </c>
    </row>
    <row r="2757" spans="1:21" s="181" customFormat="1" ht="0" hidden="1" customHeight="1" outlineLevel="4">
      <c r="A2757" s="253" t="s">
        <v>4254</v>
      </c>
      <c r="B2757" s="254"/>
      <c r="C2757" s="250" t="s">
        <v>1609</v>
      </c>
      <c r="D2757" s="203">
        <f>'02 项目基础信息（输入）'!$C$78</f>
        <v>0</v>
      </c>
      <c r="E2757" s="204" t="s">
        <v>93</v>
      </c>
      <c r="F2757" s="256"/>
      <c r="G2757" s="258"/>
      <c r="H2757" s="255"/>
      <c r="I2757" s="268"/>
      <c r="J2757" s="255"/>
      <c r="K2757" s="264"/>
      <c r="L2757" s="205"/>
      <c r="M2757" s="198">
        <f>ROUND(SUM(M2758:M2759),6)</f>
        <v>0</v>
      </c>
      <c r="N2757" s="212">
        <f>'02 项目基础信息（输入）'!$C$78</f>
        <v>0</v>
      </c>
      <c r="O2757" s="203">
        <f t="shared" si="319"/>
        <v>0</v>
      </c>
      <c r="P2757" s="203">
        <f t="shared" si="316"/>
        <v>0</v>
      </c>
      <c r="Q2757" s="271">
        <f t="shared" si="320"/>
        <v>0</v>
      </c>
      <c r="R2757" s="188"/>
      <c r="S2757" s="280"/>
      <c r="T2757" s="222"/>
      <c r="U2757" s="299" t="s">
        <v>4849</v>
      </c>
    </row>
    <row r="2758" spans="1:21" s="181" customFormat="1" ht="0" hidden="1" customHeight="1" outlineLevel="5">
      <c r="A2758" s="253" t="s">
        <v>4850</v>
      </c>
      <c r="B2758" s="254"/>
      <c r="C2758" s="250" t="s">
        <v>1609</v>
      </c>
      <c r="D2758" s="203">
        <f>'02 项目基础信息（输入）'!$C$78</f>
        <v>0</v>
      </c>
      <c r="E2758" s="204" t="s">
        <v>93</v>
      </c>
      <c r="F2758" s="202" t="s">
        <v>984</v>
      </c>
      <c r="G2758" s="300">
        <f>'03 成本测算（输入）'!D245</f>
        <v>0</v>
      </c>
      <c r="H2758" s="204" t="s">
        <v>966</v>
      </c>
      <c r="I2758" s="265">
        <f t="shared" ref="I2758:I2766" si="321">D2758*G2758</f>
        <v>0</v>
      </c>
      <c r="J2758" s="204" t="s">
        <v>1617</v>
      </c>
      <c r="K2758" s="267">
        <f>'03 成本测算（输入）'!D246</f>
        <v>0</v>
      </c>
      <c r="L2758" s="210" t="s">
        <v>664</v>
      </c>
      <c r="M2758" s="198">
        <f t="shared" ref="M2758:M2766" si="322">ROUND(K2758*I2758/10000,6)</f>
        <v>0</v>
      </c>
      <c r="N2758" s="212">
        <f>'02 项目基础信息（输入）'!$C$78</f>
        <v>0</v>
      </c>
      <c r="O2758" s="203">
        <f t="shared" si="319"/>
        <v>0</v>
      </c>
      <c r="P2758" s="203">
        <f t="shared" si="316"/>
        <v>0</v>
      </c>
      <c r="Q2758" s="271">
        <f t="shared" si="320"/>
        <v>0</v>
      </c>
      <c r="R2758" s="188"/>
      <c r="S2758" s="280"/>
      <c r="T2758" s="222"/>
      <c r="U2758" s="299" t="s">
        <v>4851</v>
      </c>
    </row>
    <row r="2759" spans="1:21" s="181" customFormat="1" ht="0" hidden="1" customHeight="1" outlineLevel="5">
      <c r="A2759" s="253" t="s">
        <v>4258</v>
      </c>
      <c r="B2759" s="254"/>
      <c r="C2759" s="250" t="s">
        <v>1609</v>
      </c>
      <c r="D2759" s="203">
        <f>'02 项目基础信息（输入）'!$C$78</f>
        <v>0</v>
      </c>
      <c r="E2759" s="204" t="s">
        <v>93</v>
      </c>
      <c r="F2759" s="202" t="s">
        <v>984</v>
      </c>
      <c r="G2759" s="258">
        <f>G2758</f>
        <v>0</v>
      </c>
      <c r="H2759" s="204" t="s">
        <v>966</v>
      </c>
      <c r="I2759" s="265">
        <f t="shared" si="321"/>
        <v>0</v>
      </c>
      <c r="J2759" s="204" t="s">
        <v>1617</v>
      </c>
      <c r="K2759" s="267">
        <f>'03 成本测算（输入）'!D247</f>
        <v>0</v>
      </c>
      <c r="L2759" s="210" t="s">
        <v>664</v>
      </c>
      <c r="M2759" s="198">
        <f t="shared" si="322"/>
        <v>0</v>
      </c>
      <c r="N2759" s="212">
        <f>'02 项目基础信息（输入）'!$C$78</f>
        <v>0</v>
      </c>
      <c r="O2759" s="203">
        <f t="shared" si="319"/>
        <v>0</v>
      </c>
      <c r="P2759" s="203">
        <f t="shared" si="316"/>
        <v>0</v>
      </c>
      <c r="Q2759" s="271">
        <f t="shared" si="320"/>
        <v>0</v>
      </c>
      <c r="R2759" s="188"/>
      <c r="S2759" s="280"/>
      <c r="T2759" s="222"/>
      <c r="U2759" s="299" t="s">
        <v>4852</v>
      </c>
    </row>
    <row r="2760" spans="1:21" s="181" customFormat="1" ht="0" hidden="1" customHeight="1" outlineLevel="4">
      <c r="A2760" s="253" t="s">
        <v>4260</v>
      </c>
      <c r="B2760" s="254"/>
      <c r="C2760" s="250" t="s">
        <v>1609</v>
      </c>
      <c r="D2760" s="203">
        <f>'02 项目基础信息（输入）'!$C$78</f>
        <v>0</v>
      </c>
      <c r="E2760" s="204" t="s">
        <v>93</v>
      </c>
      <c r="F2760" s="202" t="s">
        <v>984</v>
      </c>
      <c r="G2760" s="258">
        <f>G2759</f>
        <v>0</v>
      </c>
      <c r="H2760" s="204" t="s">
        <v>966</v>
      </c>
      <c r="I2760" s="265">
        <f t="shared" si="321"/>
        <v>0</v>
      </c>
      <c r="J2760" s="204" t="s">
        <v>1617</v>
      </c>
      <c r="K2760" s="270"/>
      <c r="L2760" s="210" t="s">
        <v>664</v>
      </c>
      <c r="M2760" s="198">
        <f t="shared" si="322"/>
        <v>0</v>
      </c>
      <c r="N2760" s="212">
        <f>'02 项目基础信息（输入）'!$C$78</f>
        <v>0</v>
      </c>
      <c r="O2760" s="203">
        <f t="shared" si="319"/>
        <v>0</v>
      </c>
      <c r="P2760" s="203">
        <f t="shared" si="316"/>
        <v>0</v>
      </c>
      <c r="Q2760" s="271">
        <f t="shared" si="320"/>
        <v>0</v>
      </c>
      <c r="R2760" s="188"/>
      <c r="S2760" s="280"/>
      <c r="T2760" s="222"/>
      <c r="U2760" s="299" t="s">
        <v>4853</v>
      </c>
    </row>
    <row r="2761" spans="1:21" s="181" customFormat="1" ht="0" hidden="1" customHeight="1" outlineLevel="3">
      <c r="A2761" s="253" t="s">
        <v>4854</v>
      </c>
      <c r="B2761" s="254"/>
      <c r="C2761" s="250" t="s">
        <v>1609</v>
      </c>
      <c r="D2761" s="203">
        <f>'02 项目基础信息（输入）'!$C$78</f>
        <v>0</v>
      </c>
      <c r="E2761" s="204" t="s">
        <v>93</v>
      </c>
      <c r="F2761" s="202" t="s">
        <v>4478</v>
      </c>
      <c r="G2761" s="286"/>
      <c r="H2761" s="204" t="s">
        <v>298</v>
      </c>
      <c r="I2761" s="265">
        <f t="shared" si="321"/>
        <v>0</v>
      </c>
      <c r="J2761" s="204" t="s">
        <v>93</v>
      </c>
      <c r="K2761" s="270"/>
      <c r="L2761" s="210" t="s">
        <v>675</v>
      </c>
      <c r="M2761" s="198">
        <f t="shared" si="322"/>
        <v>0</v>
      </c>
      <c r="N2761" s="212">
        <f>'02 项目基础信息（输入）'!$C$78</f>
        <v>0</v>
      </c>
      <c r="O2761" s="203">
        <f t="shared" si="319"/>
        <v>0</v>
      </c>
      <c r="P2761" s="203">
        <f t="shared" si="316"/>
        <v>0</v>
      </c>
      <c r="Q2761" s="271">
        <f t="shared" si="320"/>
        <v>0</v>
      </c>
      <c r="R2761" s="188"/>
      <c r="S2761" s="280"/>
      <c r="T2761" s="222"/>
      <c r="U2761" s="299" t="s">
        <v>4855</v>
      </c>
    </row>
    <row r="2762" spans="1:21" s="181" customFormat="1" ht="0" hidden="1" customHeight="1" outlineLevel="3">
      <c r="A2762" s="253" t="s">
        <v>4856</v>
      </c>
      <c r="B2762" s="254"/>
      <c r="C2762" s="250" t="s">
        <v>1609</v>
      </c>
      <c r="D2762" s="203">
        <f>'02 项目基础信息（输入）'!$C$78</f>
        <v>0</v>
      </c>
      <c r="E2762" s="204" t="s">
        <v>93</v>
      </c>
      <c r="F2762" s="202" t="s">
        <v>984</v>
      </c>
      <c r="G2762" s="286"/>
      <c r="H2762" s="204" t="s">
        <v>966</v>
      </c>
      <c r="I2762" s="265">
        <f t="shared" si="321"/>
        <v>0</v>
      </c>
      <c r="J2762" s="204" t="s">
        <v>1617</v>
      </c>
      <c r="K2762" s="270"/>
      <c r="L2762" s="210" t="s">
        <v>664</v>
      </c>
      <c r="M2762" s="198">
        <f t="shared" si="322"/>
        <v>0</v>
      </c>
      <c r="N2762" s="212">
        <f>'02 项目基础信息（输入）'!$C$78</f>
        <v>0</v>
      </c>
      <c r="O2762" s="203">
        <f t="shared" si="319"/>
        <v>0</v>
      </c>
      <c r="P2762" s="203">
        <f t="shared" ref="P2762:P2825" si="323">N2762</f>
        <v>0</v>
      </c>
      <c r="Q2762" s="271">
        <f t="shared" si="320"/>
        <v>0</v>
      </c>
      <c r="R2762" s="188"/>
      <c r="S2762" s="280"/>
      <c r="T2762" s="222"/>
      <c r="U2762" s="299" t="s">
        <v>4857</v>
      </c>
    </row>
    <row r="2763" spans="1:21" s="181" customFormat="1" ht="0" hidden="1" customHeight="1" outlineLevel="3">
      <c r="A2763" s="253" t="s">
        <v>4858</v>
      </c>
      <c r="B2763" s="254"/>
      <c r="C2763" s="250" t="s">
        <v>1609</v>
      </c>
      <c r="D2763" s="203">
        <f>'02 项目基础信息（输入）'!$C$78</f>
        <v>0</v>
      </c>
      <c r="E2763" s="204" t="s">
        <v>93</v>
      </c>
      <c r="F2763" s="202" t="s">
        <v>984</v>
      </c>
      <c r="G2763" s="286"/>
      <c r="H2763" s="204" t="s">
        <v>966</v>
      </c>
      <c r="I2763" s="265">
        <f t="shared" si="321"/>
        <v>0</v>
      </c>
      <c r="J2763" s="204" t="s">
        <v>1617</v>
      </c>
      <c r="K2763" s="270"/>
      <c r="L2763" s="210" t="s">
        <v>664</v>
      </c>
      <c r="M2763" s="198">
        <f t="shared" si="322"/>
        <v>0</v>
      </c>
      <c r="N2763" s="212">
        <f>'02 项目基础信息（输入）'!$C$78</f>
        <v>0</v>
      </c>
      <c r="O2763" s="203">
        <f t="shared" si="319"/>
        <v>0</v>
      </c>
      <c r="P2763" s="203">
        <f t="shared" si="323"/>
        <v>0</v>
      </c>
      <c r="Q2763" s="271">
        <f t="shared" si="320"/>
        <v>0</v>
      </c>
      <c r="R2763" s="188"/>
      <c r="S2763" s="280"/>
      <c r="T2763" s="222"/>
      <c r="U2763" s="299" t="s">
        <v>4859</v>
      </c>
    </row>
    <row r="2764" spans="1:21" s="181" customFormat="1" ht="0" hidden="1" customHeight="1" outlineLevel="3">
      <c r="A2764" s="253" t="s">
        <v>4860</v>
      </c>
      <c r="B2764" s="254"/>
      <c r="C2764" s="250" t="s">
        <v>1609</v>
      </c>
      <c r="D2764" s="203">
        <f>'02 项目基础信息（输入）'!$C$78</f>
        <v>0</v>
      </c>
      <c r="E2764" s="204" t="s">
        <v>93</v>
      </c>
      <c r="F2764" s="282" t="s">
        <v>1609</v>
      </c>
      <c r="G2764" s="283">
        <v>1</v>
      </c>
      <c r="H2764" s="204" t="s">
        <v>298</v>
      </c>
      <c r="I2764" s="265">
        <f t="shared" si="321"/>
        <v>0</v>
      </c>
      <c r="J2764" s="204" t="s">
        <v>93</v>
      </c>
      <c r="K2764" s="270"/>
      <c r="L2764" s="210" t="s">
        <v>675</v>
      </c>
      <c r="M2764" s="198">
        <f t="shared" si="322"/>
        <v>0</v>
      </c>
      <c r="N2764" s="212">
        <f>'02 项目基础信息（输入）'!$C$78</f>
        <v>0</v>
      </c>
      <c r="O2764" s="203">
        <f t="shared" si="319"/>
        <v>0</v>
      </c>
      <c r="P2764" s="203">
        <f t="shared" si="323"/>
        <v>0</v>
      </c>
      <c r="Q2764" s="271">
        <f t="shared" si="320"/>
        <v>0</v>
      </c>
      <c r="R2764" s="188"/>
      <c r="S2764" s="280"/>
      <c r="T2764" s="222"/>
      <c r="U2764" s="299" t="s">
        <v>4861</v>
      </c>
    </row>
    <row r="2765" spans="1:21" s="181" customFormat="1" ht="0" hidden="1" customHeight="1" outlineLevel="3">
      <c r="A2765" s="253" t="s">
        <v>4262</v>
      </c>
      <c r="B2765" s="254"/>
      <c r="C2765" s="250" t="s">
        <v>1609</v>
      </c>
      <c r="D2765" s="203">
        <f>'02 项目基础信息（输入）'!$C$78</f>
        <v>0</v>
      </c>
      <c r="E2765" s="204" t="s">
        <v>93</v>
      </c>
      <c r="F2765" s="202" t="s">
        <v>984</v>
      </c>
      <c r="G2765" s="284"/>
      <c r="H2765" s="204" t="s">
        <v>966</v>
      </c>
      <c r="I2765" s="265">
        <f t="shared" si="321"/>
        <v>0</v>
      </c>
      <c r="J2765" s="204" t="s">
        <v>1617</v>
      </c>
      <c r="K2765" s="270"/>
      <c r="L2765" s="210" t="s">
        <v>664</v>
      </c>
      <c r="M2765" s="198">
        <f t="shared" si="322"/>
        <v>0</v>
      </c>
      <c r="N2765" s="212">
        <f>'02 项目基础信息（输入）'!$C$78</f>
        <v>0</v>
      </c>
      <c r="O2765" s="203">
        <f t="shared" si="319"/>
        <v>0</v>
      </c>
      <c r="P2765" s="203">
        <f t="shared" si="323"/>
        <v>0</v>
      </c>
      <c r="Q2765" s="271">
        <f t="shared" si="320"/>
        <v>0</v>
      </c>
      <c r="R2765" s="188"/>
      <c r="S2765" s="280"/>
      <c r="T2765" s="222"/>
      <c r="U2765" s="299" t="s">
        <v>4862</v>
      </c>
    </row>
    <row r="2766" spans="1:21" s="181" customFormat="1" ht="0" hidden="1" customHeight="1" outlineLevel="3">
      <c r="A2766" s="253" t="s">
        <v>4264</v>
      </c>
      <c r="B2766" s="254"/>
      <c r="C2766" s="250" t="s">
        <v>1609</v>
      </c>
      <c r="D2766" s="203">
        <f>'02 项目基础信息（输入）'!$C$78</f>
        <v>0</v>
      </c>
      <c r="E2766" s="204" t="s">
        <v>93</v>
      </c>
      <c r="F2766" s="202" t="s">
        <v>984</v>
      </c>
      <c r="G2766" s="258">
        <f>G2758+G2761+G2762+G2763+G2765</f>
        <v>0</v>
      </c>
      <c r="H2766" s="204" t="s">
        <v>966</v>
      </c>
      <c r="I2766" s="265">
        <f t="shared" si="321"/>
        <v>0</v>
      </c>
      <c r="J2766" s="204" t="s">
        <v>1617</v>
      </c>
      <c r="K2766" s="270"/>
      <c r="L2766" s="210" t="s">
        <v>664</v>
      </c>
      <c r="M2766" s="198">
        <f t="shared" si="322"/>
        <v>0</v>
      </c>
      <c r="N2766" s="212">
        <f>'02 项目基础信息（输入）'!$C$78</f>
        <v>0</v>
      </c>
      <c r="O2766" s="203">
        <f t="shared" si="319"/>
        <v>0</v>
      </c>
      <c r="P2766" s="203">
        <f t="shared" si="323"/>
        <v>0</v>
      </c>
      <c r="Q2766" s="271">
        <f t="shared" si="320"/>
        <v>0</v>
      </c>
      <c r="R2766" s="188"/>
      <c r="S2766" s="280"/>
      <c r="T2766" s="222"/>
      <c r="U2766" s="299" t="s">
        <v>4863</v>
      </c>
    </row>
    <row r="2767" spans="1:21" s="181" customFormat="1" ht="0" hidden="1" customHeight="1" outlineLevel="3">
      <c r="A2767" s="253" t="s">
        <v>4266</v>
      </c>
      <c r="B2767" s="254"/>
      <c r="C2767" s="250" t="s">
        <v>1665</v>
      </c>
      <c r="D2767" s="203">
        <f>ROUND(M2757+M2760+M2761+M2762+M2763+M2764+M2765,6)*10000</f>
        <v>0</v>
      </c>
      <c r="E2767" s="204" t="s">
        <v>1666</v>
      </c>
      <c r="F2767" s="202" t="s">
        <v>1667</v>
      </c>
      <c r="G2767" s="258">
        <f>IFERROR(I2767*100/D2767,0)</f>
        <v>0</v>
      </c>
      <c r="H2767" s="204" t="s">
        <v>123</v>
      </c>
      <c r="I2767" s="265">
        <f>N2767*K2767</f>
        <v>0</v>
      </c>
      <c r="J2767" s="204" t="s">
        <v>1666</v>
      </c>
      <c r="K2767" s="269"/>
      <c r="L2767" s="210" t="s">
        <v>675</v>
      </c>
      <c r="M2767" s="231">
        <f>ROUND(I2767/10000,6)</f>
        <v>0</v>
      </c>
      <c r="N2767" s="212">
        <f>'02 项目基础信息（输入）'!$C$78</f>
        <v>0</v>
      </c>
      <c r="O2767" s="203">
        <f t="shared" si="319"/>
        <v>0</v>
      </c>
      <c r="P2767" s="203">
        <f t="shared" si="323"/>
        <v>0</v>
      </c>
      <c r="Q2767" s="271">
        <f t="shared" si="320"/>
        <v>0</v>
      </c>
      <c r="R2767" s="188"/>
      <c r="S2767" s="280"/>
      <c r="T2767" s="222"/>
      <c r="U2767" s="299" t="s">
        <v>4864</v>
      </c>
    </row>
    <row r="2768" spans="1:21" ht="0" hidden="1" customHeight="1" outlineLevel="2">
      <c r="A2768" s="201" t="s">
        <v>4489</v>
      </c>
      <c r="B2768" s="201"/>
      <c r="C2768" s="202" t="s">
        <v>1609</v>
      </c>
      <c r="D2768" s="203">
        <f>'02 项目基础信息（输入）'!$C$78</f>
        <v>0</v>
      </c>
      <c r="E2768" s="204" t="s">
        <v>93</v>
      </c>
      <c r="F2768" s="202"/>
      <c r="G2768" s="204"/>
      <c r="H2768" s="204"/>
      <c r="I2768" s="203"/>
      <c r="J2768" s="204"/>
      <c r="K2768" s="231"/>
      <c r="L2768" s="210"/>
      <c r="M2768" s="198">
        <f>ROUND(M2769+M2783+M2786,6)</f>
        <v>0</v>
      </c>
      <c r="N2768" s="212">
        <f>'02 项目基础信息（输入）'!$C$78</f>
        <v>0</v>
      </c>
      <c r="O2768" s="203">
        <f t="shared" si="319"/>
        <v>0</v>
      </c>
      <c r="P2768" s="203">
        <f t="shared" si="323"/>
        <v>0</v>
      </c>
      <c r="Q2768" s="271">
        <f t="shared" si="320"/>
        <v>0</v>
      </c>
      <c r="S2768" s="280" t="s">
        <v>1314</v>
      </c>
      <c r="T2768" s="222"/>
      <c r="U2768" s="298" t="s">
        <v>4865</v>
      </c>
    </row>
    <row r="2769" spans="1:21" s="181" customFormat="1" ht="0" hidden="1" customHeight="1" outlineLevel="3">
      <c r="A2769" s="253" t="s">
        <v>4491</v>
      </c>
      <c r="B2769" s="254"/>
      <c r="C2769" s="250" t="s">
        <v>1609</v>
      </c>
      <c r="D2769" s="203">
        <f>'02 项目基础信息（输入）'!$C$78</f>
        <v>0</v>
      </c>
      <c r="E2769" s="204" t="s">
        <v>93</v>
      </c>
      <c r="F2769" s="202"/>
      <c r="G2769" s="204"/>
      <c r="H2769" s="204"/>
      <c r="I2769" s="265"/>
      <c r="J2769" s="204"/>
      <c r="K2769" s="203"/>
      <c r="L2769" s="210"/>
      <c r="M2769" s="198">
        <f>ROUND(M2770+M2773+M2774+M2775+M2776+M2779+M2780+M2781+M2782,6)</f>
        <v>0</v>
      </c>
      <c r="N2769" s="212">
        <f>'02 项目基础信息（输入）'!$C$78</f>
        <v>0</v>
      </c>
      <c r="O2769" s="203">
        <f t="shared" si="319"/>
        <v>0</v>
      </c>
      <c r="P2769" s="203">
        <f t="shared" si="323"/>
        <v>0</v>
      </c>
      <c r="Q2769" s="271">
        <f t="shared" si="320"/>
        <v>0</v>
      </c>
      <c r="R2769" s="188"/>
      <c r="S2769" s="280"/>
      <c r="T2769" s="222"/>
      <c r="U2769" s="299" t="s">
        <v>4866</v>
      </c>
    </row>
    <row r="2770" spans="1:21" s="181" customFormat="1" ht="0" hidden="1" customHeight="1" outlineLevel="4">
      <c r="A2770" s="253" t="s">
        <v>4493</v>
      </c>
      <c r="B2770" s="254"/>
      <c r="C2770" s="250" t="s">
        <v>1609</v>
      </c>
      <c r="D2770" s="203">
        <f>'02 项目基础信息（输入）'!$C$78</f>
        <v>0</v>
      </c>
      <c r="E2770" s="204" t="s">
        <v>93</v>
      </c>
      <c r="F2770" s="202"/>
      <c r="G2770" s="221"/>
      <c r="H2770" s="204"/>
      <c r="I2770" s="265"/>
      <c r="J2770" s="204"/>
      <c r="K2770" s="266"/>
      <c r="L2770" s="210"/>
      <c r="M2770" s="198">
        <f>ROUND(SUM(M2771:M2772),6)</f>
        <v>0</v>
      </c>
      <c r="N2770" s="212">
        <f>'02 项目基础信息（输入）'!$C$78</f>
        <v>0</v>
      </c>
      <c r="O2770" s="203">
        <f t="shared" si="319"/>
        <v>0</v>
      </c>
      <c r="P2770" s="203">
        <f t="shared" si="323"/>
        <v>0</v>
      </c>
      <c r="Q2770" s="271">
        <f t="shared" si="320"/>
        <v>0</v>
      </c>
      <c r="R2770" s="188"/>
      <c r="S2770" s="280"/>
      <c r="T2770" s="222"/>
      <c r="U2770" s="299" t="s">
        <v>4867</v>
      </c>
    </row>
    <row r="2771" spans="1:21" s="181" customFormat="1" ht="0" hidden="1" customHeight="1" outlineLevel="5">
      <c r="A2771" s="253" t="s">
        <v>4868</v>
      </c>
      <c r="B2771" s="254"/>
      <c r="C2771" s="250" t="s">
        <v>1609</v>
      </c>
      <c r="D2771" s="203">
        <f>'02 项目基础信息（输入）'!$C$78</f>
        <v>0</v>
      </c>
      <c r="E2771" s="204" t="s">
        <v>93</v>
      </c>
      <c r="F2771" s="202" t="s">
        <v>4496</v>
      </c>
      <c r="G2771" s="281">
        <f>'03 成本测算（输入）'!D252</f>
        <v>0</v>
      </c>
      <c r="H2771" s="204" t="s">
        <v>298</v>
      </c>
      <c r="I2771" s="265">
        <f>D2771*G2771</f>
        <v>0</v>
      </c>
      <c r="J2771" s="204" t="s">
        <v>93</v>
      </c>
      <c r="K2771" s="267">
        <f>'03 成本测算（输入）'!D253</f>
        <v>0</v>
      </c>
      <c r="L2771" s="210" t="s">
        <v>675</v>
      </c>
      <c r="M2771" s="198">
        <f>ROUND(K2771*I2771/10000,6)</f>
        <v>0</v>
      </c>
      <c r="N2771" s="212">
        <f>'02 项目基础信息（输入）'!$C$78</f>
        <v>0</v>
      </c>
      <c r="O2771" s="203">
        <f t="shared" si="319"/>
        <v>0</v>
      </c>
      <c r="P2771" s="203">
        <f t="shared" si="323"/>
        <v>0</v>
      </c>
      <c r="Q2771" s="271">
        <f t="shared" si="320"/>
        <v>0</v>
      </c>
      <c r="R2771" s="188"/>
      <c r="S2771" s="280"/>
      <c r="T2771" s="222"/>
      <c r="U2771" s="299" t="s">
        <v>4869</v>
      </c>
    </row>
    <row r="2772" spans="1:21" s="181" customFormat="1" ht="0" hidden="1" customHeight="1" outlineLevel="5">
      <c r="A2772" s="253" t="s">
        <v>4870</v>
      </c>
      <c r="B2772" s="254"/>
      <c r="C2772" s="250" t="s">
        <v>1609</v>
      </c>
      <c r="D2772" s="203">
        <f>'02 项目基础信息（输入）'!$C$78</f>
        <v>0</v>
      </c>
      <c r="E2772" s="204" t="s">
        <v>93</v>
      </c>
      <c r="F2772" s="202" t="s">
        <v>4496</v>
      </c>
      <c r="G2772" s="221">
        <f>G2771</f>
        <v>0</v>
      </c>
      <c r="H2772" s="204" t="s">
        <v>298</v>
      </c>
      <c r="I2772" s="265">
        <f>D2772*G2772</f>
        <v>0</v>
      </c>
      <c r="J2772" s="204" t="s">
        <v>93</v>
      </c>
      <c r="K2772" s="267">
        <f>'03 成本测算（输入）'!D254</f>
        <v>0</v>
      </c>
      <c r="L2772" s="210" t="s">
        <v>675</v>
      </c>
      <c r="M2772" s="198">
        <f>ROUND(K2772*I2772/10000,6)</f>
        <v>0</v>
      </c>
      <c r="N2772" s="212">
        <f>'02 项目基础信息（输入）'!$C$78</f>
        <v>0</v>
      </c>
      <c r="O2772" s="203">
        <f t="shared" si="319"/>
        <v>0</v>
      </c>
      <c r="P2772" s="203">
        <f t="shared" si="323"/>
        <v>0</v>
      </c>
      <c r="Q2772" s="271">
        <f t="shared" si="320"/>
        <v>0</v>
      </c>
      <c r="R2772" s="188"/>
      <c r="S2772" s="280"/>
      <c r="T2772" s="222"/>
      <c r="U2772" s="299" t="s">
        <v>4871</v>
      </c>
    </row>
    <row r="2773" spans="1:21" s="181" customFormat="1" ht="0" hidden="1" customHeight="1" outlineLevel="4">
      <c r="A2773" s="253" t="s">
        <v>4872</v>
      </c>
      <c r="B2773" s="254"/>
      <c r="C2773" s="250" t="s">
        <v>1609</v>
      </c>
      <c r="D2773" s="203">
        <f>'02 项目基础信息（输入）'!$C$78</f>
        <v>0</v>
      </c>
      <c r="E2773" s="204" t="s">
        <v>93</v>
      </c>
      <c r="F2773" s="202" t="s">
        <v>4501</v>
      </c>
      <c r="G2773" s="281">
        <f>'03 成本测算（输入）'!D250</f>
        <v>0</v>
      </c>
      <c r="H2773" s="204" t="s">
        <v>298</v>
      </c>
      <c r="I2773" s="265">
        <f>D2773*G2773</f>
        <v>0</v>
      </c>
      <c r="J2773" s="204" t="s">
        <v>93</v>
      </c>
      <c r="K2773" s="267">
        <f>'03 成本测算（输入）'!D251</f>
        <v>0</v>
      </c>
      <c r="L2773" s="210" t="s">
        <v>675</v>
      </c>
      <c r="M2773" s="198">
        <f>ROUND(K2773*I2773/10000,6)</f>
        <v>0</v>
      </c>
      <c r="N2773" s="212">
        <f>'02 项目基础信息（输入）'!$C$78</f>
        <v>0</v>
      </c>
      <c r="O2773" s="203">
        <f t="shared" si="319"/>
        <v>0</v>
      </c>
      <c r="P2773" s="203">
        <f t="shared" si="323"/>
        <v>0</v>
      </c>
      <c r="Q2773" s="271">
        <f t="shared" si="320"/>
        <v>0</v>
      </c>
      <c r="R2773" s="188"/>
      <c r="S2773" s="280"/>
      <c r="T2773" s="222"/>
      <c r="U2773" s="299" t="s">
        <v>4873</v>
      </c>
    </row>
    <row r="2774" spans="1:21" s="181" customFormat="1" ht="0" hidden="1" customHeight="1" outlineLevel="4">
      <c r="A2774" s="253" t="s">
        <v>4874</v>
      </c>
      <c r="B2774" s="254"/>
      <c r="C2774" s="250" t="s">
        <v>1609</v>
      </c>
      <c r="D2774" s="203">
        <f>'02 项目基础信息（输入）'!$C$78</f>
        <v>0</v>
      </c>
      <c r="E2774" s="204" t="s">
        <v>93</v>
      </c>
      <c r="F2774" s="202" t="s">
        <v>4504</v>
      </c>
      <c r="G2774" s="281">
        <f>'03 成本测算（输入）'!D255</f>
        <v>0</v>
      </c>
      <c r="H2774" s="204" t="s">
        <v>298</v>
      </c>
      <c r="I2774" s="265">
        <f>D2774*G2774</f>
        <v>0</v>
      </c>
      <c r="J2774" s="204" t="s">
        <v>93</v>
      </c>
      <c r="K2774" s="267">
        <f>'03 成本测算（输入）'!D256</f>
        <v>0</v>
      </c>
      <c r="L2774" s="210" t="s">
        <v>675</v>
      </c>
      <c r="M2774" s="198">
        <f>ROUND(K2774*I2774/10000,6)</f>
        <v>0</v>
      </c>
      <c r="N2774" s="212">
        <f>'02 项目基础信息（输入）'!$C$78</f>
        <v>0</v>
      </c>
      <c r="O2774" s="203">
        <f t="shared" si="319"/>
        <v>0</v>
      </c>
      <c r="P2774" s="203">
        <f t="shared" si="323"/>
        <v>0</v>
      </c>
      <c r="Q2774" s="271">
        <f t="shared" si="320"/>
        <v>0</v>
      </c>
      <c r="R2774" s="188"/>
      <c r="S2774" s="280"/>
      <c r="T2774" s="222"/>
      <c r="U2774" s="299" t="s">
        <v>4875</v>
      </c>
    </row>
    <row r="2775" spans="1:21" s="181" customFormat="1" ht="0" hidden="1" customHeight="1" outlineLevel="4">
      <c r="A2775" s="253" t="s">
        <v>4876</v>
      </c>
      <c r="B2775" s="254"/>
      <c r="C2775" s="250" t="s">
        <v>1609</v>
      </c>
      <c r="D2775" s="203">
        <f>'02 项目基础信息（输入）'!$C$78</f>
        <v>0</v>
      </c>
      <c r="E2775" s="204" t="s">
        <v>93</v>
      </c>
      <c r="F2775" s="202" t="s">
        <v>475</v>
      </c>
      <c r="G2775" s="281">
        <f>IFERROR('02 项目基础信息（输入）'!BZ78/'02 项目基础信息（输入）'!C78,0)</f>
        <v>0</v>
      </c>
      <c r="H2775" s="204" t="s">
        <v>298</v>
      </c>
      <c r="I2775" s="265">
        <f>D2775*G2775</f>
        <v>0</v>
      </c>
      <c r="J2775" s="204" t="s">
        <v>93</v>
      </c>
      <c r="K2775" s="270"/>
      <c r="L2775" s="210" t="s">
        <v>675</v>
      </c>
      <c r="M2775" s="198">
        <f>ROUND(K2775*I2775/10000,6)</f>
        <v>0</v>
      </c>
      <c r="N2775" s="212">
        <f>'02 项目基础信息（输入）'!$C$78</f>
        <v>0</v>
      </c>
      <c r="O2775" s="203">
        <f t="shared" si="319"/>
        <v>0</v>
      </c>
      <c r="P2775" s="203">
        <f t="shared" si="323"/>
        <v>0</v>
      </c>
      <c r="Q2775" s="271">
        <f t="shared" si="320"/>
        <v>0</v>
      </c>
      <c r="R2775" s="188"/>
      <c r="S2775" s="280"/>
      <c r="T2775" s="222"/>
      <c r="U2775" s="299" t="s">
        <v>4877</v>
      </c>
    </row>
    <row r="2776" spans="1:21" s="181" customFormat="1" ht="0" hidden="1" customHeight="1" outlineLevel="4">
      <c r="A2776" s="253" t="s">
        <v>4508</v>
      </c>
      <c r="B2776" s="254"/>
      <c r="C2776" s="250" t="s">
        <v>1609</v>
      </c>
      <c r="D2776" s="203">
        <f>'02 项目基础信息（输入）'!$C$78</f>
        <v>0</v>
      </c>
      <c r="E2776" s="204" t="s">
        <v>93</v>
      </c>
      <c r="F2776" s="202"/>
      <c r="G2776" s="210"/>
      <c r="H2776" s="204"/>
      <c r="I2776" s="265"/>
      <c r="J2776" s="204"/>
      <c r="K2776" s="266"/>
      <c r="L2776" s="210"/>
      <c r="M2776" s="198">
        <f>ROUND(SUM(M2777:M2778),6)</f>
        <v>0</v>
      </c>
      <c r="N2776" s="212">
        <f>'02 项目基础信息（输入）'!$C$78</f>
        <v>0</v>
      </c>
      <c r="O2776" s="203">
        <f t="shared" si="319"/>
        <v>0</v>
      </c>
      <c r="P2776" s="203">
        <f t="shared" si="323"/>
        <v>0</v>
      </c>
      <c r="Q2776" s="271">
        <f t="shared" si="320"/>
        <v>0</v>
      </c>
      <c r="R2776" s="188"/>
      <c r="S2776" s="280"/>
      <c r="T2776" s="222"/>
      <c r="U2776" s="299" t="s">
        <v>4878</v>
      </c>
    </row>
    <row r="2777" spans="1:21" s="181" customFormat="1" ht="0" hidden="1" customHeight="1" outlineLevel="5">
      <c r="A2777" s="253" t="s">
        <v>4879</v>
      </c>
      <c r="B2777" s="254"/>
      <c r="C2777" s="250" t="s">
        <v>1609</v>
      </c>
      <c r="D2777" s="203">
        <f>'02 项目基础信息（输入）'!$C$78</f>
        <v>0</v>
      </c>
      <c r="E2777" s="204" t="s">
        <v>93</v>
      </c>
      <c r="F2777" s="202" t="s">
        <v>4511</v>
      </c>
      <c r="G2777" s="281">
        <f>'03 成本测算（输入）'!D257</f>
        <v>0</v>
      </c>
      <c r="H2777" s="204" t="s">
        <v>298</v>
      </c>
      <c r="I2777" s="265">
        <f>D2777*G2777</f>
        <v>0</v>
      </c>
      <c r="J2777" s="204" t="s">
        <v>93</v>
      </c>
      <c r="K2777" s="267">
        <f>'03 成本测算（输入）'!D258</f>
        <v>0</v>
      </c>
      <c r="L2777" s="210" t="s">
        <v>675</v>
      </c>
      <c r="M2777" s="198">
        <f>ROUND(K2777*I2777/10000,6)</f>
        <v>0</v>
      </c>
      <c r="N2777" s="212">
        <f>'02 项目基础信息（输入）'!$C$78</f>
        <v>0</v>
      </c>
      <c r="O2777" s="203">
        <f t="shared" si="319"/>
        <v>0</v>
      </c>
      <c r="P2777" s="203">
        <f t="shared" si="323"/>
        <v>0</v>
      </c>
      <c r="Q2777" s="271">
        <f t="shared" si="320"/>
        <v>0</v>
      </c>
      <c r="R2777" s="188"/>
      <c r="S2777" s="280"/>
      <c r="T2777" s="222"/>
      <c r="U2777" s="299" t="s">
        <v>4880</v>
      </c>
    </row>
    <row r="2778" spans="1:21" s="181" customFormat="1" ht="0" hidden="1" customHeight="1" outlineLevel="5">
      <c r="A2778" s="253" t="s">
        <v>4881</v>
      </c>
      <c r="B2778" s="254"/>
      <c r="C2778" s="250" t="s">
        <v>1609</v>
      </c>
      <c r="D2778" s="203">
        <f>'02 项目基础信息（输入）'!$C$78</f>
        <v>0</v>
      </c>
      <c r="E2778" s="204" t="s">
        <v>93</v>
      </c>
      <c r="F2778" s="202" t="s">
        <v>4511</v>
      </c>
      <c r="G2778" s="221">
        <f>G2777</f>
        <v>0</v>
      </c>
      <c r="H2778" s="204" t="s">
        <v>298</v>
      </c>
      <c r="I2778" s="265">
        <f>D2778*G2778</f>
        <v>0</v>
      </c>
      <c r="J2778" s="204" t="s">
        <v>93</v>
      </c>
      <c r="K2778" s="270"/>
      <c r="L2778" s="210" t="s">
        <v>675</v>
      </c>
      <c r="M2778" s="198">
        <f>ROUND(K2778*I2778/10000,6)</f>
        <v>0</v>
      </c>
      <c r="N2778" s="212">
        <f>'02 项目基础信息（输入）'!$C$78</f>
        <v>0</v>
      </c>
      <c r="O2778" s="203">
        <f t="shared" si="319"/>
        <v>0</v>
      </c>
      <c r="P2778" s="203">
        <f t="shared" si="323"/>
        <v>0</v>
      </c>
      <c r="Q2778" s="271">
        <f t="shared" si="320"/>
        <v>0</v>
      </c>
      <c r="R2778" s="188"/>
      <c r="S2778" s="280"/>
      <c r="T2778" s="222"/>
      <c r="U2778" s="299" t="s">
        <v>4882</v>
      </c>
    </row>
    <row r="2779" spans="1:21" s="181" customFormat="1" ht="0" hidden="1" customHeight="1" outlineLevel="4">
      <c r="A2779" s="253" t="s">
        <v>4883</v>
      </c>
      <c r="B2779" s="254"/>
      <c r="C2779" s="250" t="s">
        <v>1609</v>
      </c>
      <c r="D2779" s="203">
        <f>'02 项目基础信息（输入）'!$C$78</f>
        <v>0</v>
      </c>
      <c r="E2779" s="204" t="s">
        <v>93</v>
      </c>
      <c r="F2779" s="202" t="s">
        <v>4884</v>
      </c>
      <c r="G2779" s="261">
        <f>IFERROR(I2779/D2779,0)</f>
        <v>0</v>
      </c>
      <c r="H2779" s="204" t="s">
        <v>298</v>
      </c>
      <c r="I2779" s="270"/>
      <c r="J2779" s="204" t="s">
        <v>93</v>
      </c>
      <c r="K2779" s="270"/>
      <c r="L2779" s="210" t="s">
        <v>675</v>
      </c>
      <c r="M2779" s="198">
        <f>ROUND(K2779*I2779/10000,6)</f>
        <v>0</v>
      </c>
      <c r="N2779" s="212">
        <f>'02 项目基础信息（输入）'!$C$78</f>
        <v>0</v>
      </c>
      <c r="O2779" s="203">
        <f t="shared" si="319"/>
        <v>0</v>
      </c>
      <c r="P2779" s="203">
        <f t="shared" si="323"/>
        <v>0</v>
      </c>
      <c r="Q2779" s="271">
        <f t="shared" si="320"/>
        <v>0</v>
      </c>
      <c r="R2779" s="188"/>
      <c r="S2779" s="280"/>
      <c r="T2779" s="222"/>
      <c r="U2779" s="299" t="s">
        <v>4885</v>
      </c>
    </row>
    <row r="2780" spans="1:21" s="181" customFormat="1" ht="0" hidden="1" customHeight="1" outlineLevel="4">
      <c r="A2780" s="253" t="s">
        <v>4886</v>
      </c>
      <c r="B2780" s="254"/>
      <c r="C2780" s="250" t="s">
        <v>1609</v>
      </c>
      <c r="D2780" s="203">
        <f>'02 项目基础信息（输入）'!$C$78</f>
        <v>0</v>
      </c>
      <c r="E2780" s="204" t="s">
        <v>93</v>
      </c>
      <c r="F2780" s="202" t="s">
        <v>4884</v>
      </c>
      <c r="G2780" s="261">
        <f>IFERROR(I2780/D2780,0)</f>
        <v>0</v>
      </c>
      <c r="H2780" s="204" t="s">
        <v>298</v>
      </c>
      <c r="I2780" s="270"/>
      <c r="J2780" s="204" t="s">
        <v>93</v>
      </c>
      <c r="K2780" s="270"/>
      <c r="L2780" s="210" t="s">
        <v>675</v>
      </c>
      <c r="M2780" s="198">
        <f>ROUND(K2780*I2780/10000,6)</f>
        <v>0</v>
      </c>
      <c r="N2780" s="212">
        <f>'02 项目基础信息（输入）'!$C$78</f>
        <v>0</v>
      </c>
      <c r="O2780" s="203">
        <f t="shared" si="319"/>
        <v>0</v>
      </c>
      <c r="P2780" s="203">
        <f t="shared" si="323"/>
        <v>0</v>
      </c>
      <c r="Q2780" s="271">
        <f t="shared" si="320"/>
        <v>0</v>
      </c>
      <c r="R2780" s="188"/>
      <c r="S2780" s="280"/>
      <c r="T2780" s="222"/>
      <c r="U2780" s="299" t="s">
        <v>4887</v>
      </c>
    </row>
    <row r="2781" spans="1:21" s="181" customFormat="1" ht="0" hidden="1" customHeight="1" outlineLevel="4">
      <c r="A2781" s="253" t="s">
        <v>4888</v>
      </c>
      <c r="B2781" s="254"/>
      <c r="C2781" s="250" t="s">
        <v>1609</v>
      </c>
      <c r="D2781" s="203">
        <f>'02 项目基础信息（输入）'!$C$78</f>
        <v>0</v>
      </c>
      <c r="E2781" s="204" t="s">
        <v>93</v>
      </c>
      <c r="F2781" s="202" t="s">
        <v>4525</v>
      </c>
      <c r="G2781" s="286"/>
      <c r="H2781" s="204" t="s">
        <v>298</v>
      </c>
      <c r="I2781" s="265">
        <f>D2781*G2781</f>
        <v>0</v>
      </c>
      <c r="J2781" s="204" t="s">
        <v>93</v>
      </c>
      <c r="K2781" s="270"/>
      <c r="L2781" s="210" t="s">
        <v>675</v>
      </c>
      <c r="M2781" s="198">
        <f>ROUND(K2781*I2781/10000,6)</f>
        <v>0</v>
      </c>
      <c r="N2781" s="212">
        <f>'02 项目基础信息（输入）'!$C$78</f>
        <v>0</v>
      </c>
      <c r="O2781" s="203">
        <f t="shared" si="319"/>
        <v>0</v>
      </c>
      <c r="P2781" s="203">
        <f t="shared" si="323"/>
        <v>0</v>
      </c>
      <c r="Q2781" s="271">
        <f t="shared" si="320"/>
        <v>0</v>
      </c>
      <c r="R2781" s="188"/>
      <c r="S2781" s="280"/>
      <c r="T2781" s="222"/>
      <c r="U2781" s="299" t="s">
        <v>4889</v>
      </c>
    </row>
    <row r="2782" spans="1:21" s="181" customFormat="1" ht="0" hidden="1" customHeight="1" outlineLevel="4">
      <c r="A2782" s="253" t="s">
        <v>4527</v>
      </c>
      <c r="B2782" s="254"/>
      <c r="C2782" s="250" t="s">
        <v>1665</v>
      </c>
      <c r="D2782" s="203">
        <f>ROUND(M2770+M2773+M2774+M2775+M2776+M2779+M2780+M2781,6)*10000</f>
        <v>0</v>
      </c>
      <c r="E2782" s="204" t="s">
        <v>1666</v>
      </c>
      <c r="F2782" s="202" t="s">
        <v>1667</v>
      </c>
      <c r="G2782" s="258">
        <f>IFERROR(I2782*100/D2782,0)</f>
        <v>0</v>
      </c>
      <c r="H2782" s="204" t="s">
        <v>123</v>
      </c>
      <c r="I2782" s="265">
        <f>N2782*K2782</f>
        <v>0</v>
      </c>
      <c r="J2782" s="204" t="s">
        <v>1666</v>
      </c>
      <c r="K2782" s="269"/>
      <c r="L2782" s="210" t="s">
        <v>675</v>
      </c>
      <c r="M2782" s="231">
        <f>ROUND(I2782/10000,6)</f>
        <v>0</v>
      </c>
      <c r="N2782" s="212">
        <f>'02 项目基础信息（输入）'!$C$78</f>
        <v>0</v>
      </c>
      <c r="O2782" s="203">
        <f t="shared" si="319"/>
        <v>0</v>
      </c>
      <c r="P2782" s="203">
        <f t="shared" si="323"/>
        <v>0</v>
      </c>
      <c r="Q2782" s="271">
        <f t="shared" si="320"/>
        <v>0</v>
      </c>
      <c r="R2782" s="188"/>
      <c r="S2782" s="280"/>
      <c r="T2782" s="222"/>
      <c r="U2782" s="299" t="s">
        <v>4890</v>
      </c>
    </row>
    <row r="2783" spans="1:21" s="181" customFormat="1" ht="0" hidden="1" customHeight="1" outlineLevel="3">
      <c r="A2783" s="253" t="s">
        <v>4529</v>
      </c>
      <c r="B2783" s="254"/>
      <c r="C2783" s="250" t="s">
        <v>1609</v>
      </c>
      <c r="D2783" s="203">
        <f>'02 项目基础信息（输入）'!$C$78</f>
        <v>0</v>
      </c>
      <c r="E2783" s="204" t="s">
        <v>93</v>
      </c>
      <c r="F2783" s="202"/>
      <c r="G2783" s="204"/>
      <c r="H2783" s="204"/>
      <c r="I2783" s="265"/>
      <c r="J2783" s="204"/>
      <c r="K2783" s="203"/>
      <c r="L2783" s="210"/>
      <c r="M2783" s="198">
        <f>ROUND(SUM(M2784:M2785),6)</f>
        <v>0</v>
      </c>
      <c r="N2783" s="212">
        <f>'02 项目基础信息（输入）'!$C$78</f>
        <v>0</v>
      </c>
      <c r="O2783" s="203">
        <f t="shared" si="319"/>
        <v>0</v>
      </c>
      <c r="P2783" s="203">
        <f t="shared" si="323"/>
        <v>0</v>
      </c>
      <c r="Q2783" s="271">
        <f t="shared" si="320"/>
        <v>0</v>
      </c>
      <c r="R2783" s="188"/>
      <c r="S2783" s="280"/>
      <c r="T2783" s="222"/>
      <c r="U2783" s="299" t="s">
        <v>4891</v>
      </c>
    </row>
    <row r="2784" spans="1:21" s="181" customFormat="1" ht="0" hidden="1" customHeight="1" outlineLevel="4">
      <c r="A2784" s="253" t="s">
        <v>4892</v>
      </c>
      <c r="B2784" s="254"/>
      <c r="C2784" s="250" t="s">
        <v>1609</v>
      </c>
      <c r="D2784" s="203">
        <f>'02 项目基础信息（输入）'!$C$78</f>
        <v>0</v>
      </c>
      <c r="E2784" s="204" t="s">
        <v>93</v>
      </c>
      <c r="F2784" s="202" t="s">
        <v>4532</v>
      </c>
      <c r="G2784" s="286"/>
      <c r="H2784" s="204" t="s">
        <v>298</v>
      </c>
      <c r="I2784" s="265">
        <f>D2784*G2784</f>
        <v>0</v>
      </c>
      <c r="J2784" s="204" t="s">
        <v>93</v>
      </c>
      <c r="K2784" s="270"/>
      <c r="L2784" s="210" t="s">
        <v>675</v>
      </c>
      <c r="M2784" s="198">
        <f>ROUND(K2784*I2784/10000,6)</f>
        <v>0</v>
      </c>
      <c r="N2784" s="212">
        <f>'02 项目基础信息（输入）'!$C$78</f>
        <v>0</v>
      </c>
      <c r="O2784" s="203">
        <f t="shared" si="319"/>
        <v>0</v>
      </c>
      <c r="P2784" s="203">
        <f t="shared" si="323"/>
        <v>0</v>
      </c>
      <c r="Q2784" s="271">
        <f t="shared" si="320"/>
        <v>0</v>
      </c>
      <c r="R2784" s="188"/>
      <c r="S2784" s="280"/>
      <c r="T2784" s="222"/>
      <c r="U2784" s="299" t="s">
        <v>4893</v>
      </c>
    </row>
    <row r="2785" spans="1:21" s="181" customFormat="1" ht="0" hidden="1" customHeight="1" outlineLevel="4">
      <c r="A2785" s="253" t="s">
        <v>4894</v>
      </c>
      <c r="B2785" s="254"/>
      <c r="C2785" s="250" t="s">
        <v>1609</v>
      </c>
      <c r="D2785" s="203">
        <f>'02 项目基础信息（输入）'!$C$78</f>
        <v>0</v>
      </c>
      <c r="E2785" s="204" t="s">
        <v>93</v>
      </c>
      <c r="F2785" s="250" t="s">
        <v>4535</v>
      </c>
      <c r="G2785" s="204">
        <v>1</v>
      </c>
      <c r="H2785" s="204" t="s">
        <v>298</v>
      </c>
      <c r="I2785" s="265">
        <f>D2785*G2785</f>
        <v>0</v>
      </c>
      <c r="J2785" s="204" t="s">
        <v>93</v>
      </c>
      <c r="K2785" s="270"/>
      <c r="L2785" s="210" t="s">
        <v>675</v>
      </c>
      <c r="M2785" s="198">
        <f>ROUND(K2785*I2785/10000,6)</f>
        <v>0</v>
      </c>
      <c r="N2785" s="212">
        <f>'02 项目基础信息（输入）'!$C$78</f>
        <v>0</v>
      </c>
      <c r="O2785" s="203">
        <f t="shared" si="319"/>
        <v>0</v>
      </c>
      <c r="P2785" s="203">
        <f t="shared" si="323"/>
        <v>0</v>
      </c>
      <c r="Q2785" s="271">
        <f t="shared" si="320"/>
        <v>0</v>
      </c>
      <c r="R2785" s="188"/>
      <c r="S2785" s="280"/>
      <c r="T2785" s="222"/>
      <c r="U2785" s="299" t="s">
        <v>4895</v>
      </c>
    </row>
    <row r="2786" spans="1:21" s="181" customFormat="1" ht="0" hidden="1" customHeight="1" outlineLevel="3">
      <c r="A2786" s="253" t="s">
        <v>4537</v>
      </c>
      <c r="B2786" s="254"/>
      <c r="C2786" s="250" t="s">
        <v>1609</v>
      </c>
      <c r="D2786" s="203">
        <f>'02 项目基础信息（输入）'!$C$78</f>
        <v>0</v>
      </c>
      <c r="E2786" s="204" t="s">
        <v>93</v>
      </c>
      <c r="F2786" s="202"/>
      <c r="G2786" s="204"/>
      <c r="H2786" s="204"/>
      <c r="I2786" s="265"/>
      <c r="J2786" s="204"/>
      <c r="K2786" s="203"/>
      <c r="L2786" s="210"/>
      <c r="M2786" s="198">
        <f>ROUND(SUM(M2787),6)</f>
        <v>0</v>
      </c>
      <c r="N2786" s="212">
        <f>'02 项目基础信息（输入）'!$C$78</f>
        <v>0</v>
      </c>
      <c r="O2786" s="203">
        <f t="shared" si="319"/>
        <v>0</v>
      </c>
      <c r="P2786" s="203">
        <f t="shared" si="323"/>
        <v>0</v>
      </c>
      <c r="Q2786" s="271">
        <f t="shared" si="320"/>
        <v>0</v>
      </c>
      <c r="R2786" s="188"/>
      <c r="S2786" s="280"/>
      <c r="T2786" s="222"/>
      <c r="U2786" s="299" t="s">
        <v>4896</v>
      </c>
    </row>
    <row r="2787" spans="1:21" s="181" customFormat="1" ht="0" hidden="1" customHeight="1" outlineLevel="4">
      <c r="A2787" s="253" t="s">
        <v>4897</v>
      </c>
      <c r="B2787" s="254"/>
      <c r="C2787" s="250" t="s">
        <v>1609</v>
      </c>
      <c r="D2787" s="203">
        <f>'02 项目基础信息（输入）'!$C$78</f>
        <v>0</v>
      </c>
      <c r="E2787" s="204" t="s">
        <v>93</v>
      </c>
      <c r="F2787" s="202" t="s">
        <v>4540</v>
      </c>
      <c r="G2787" s="286"/>
      <c r="H2787" s="204" t="s">
        <v>298</v>
      </c>
      <c r="I2787" s="265">
        <f>D2787*G2787</f>
        <v>0</v>
      </c>
      <c r="J2787" s="204" t="s">
        <v>93</v>
      </c>
      <c r="K2787" s="270"/>
      <c r="L2787" s="210" t="s">
        <v>675</v>
      </c>
      <c r="M2787" s="198">
        <f>ROUND(K2787*I2787/10000,6)</f>
        <v>0</v>
      </c>
      <c r="N2787" s="212">
        <f>'02 项目基础信息（输入）'!$C$78</f>
        <v>0</v>
      </c>
      <c r="O2787" s="203">
        <f t="shared" si="319"/>
        <v>0</v>
      </c>
      <c r="P2787" s="203">
        <f t="shared" si="323"/>
        <v>0</v>
      </c>
      <c r="Q2787" s="271">
        <f t="shared" si="320"/>
        <v>0</v>
      </c>
      <c r="R2787" s="188"/>
      <c r="S2787" s="280"/>
      <c r="T2787" s="222"/>
      <c r="U2787" s="299" t="s">
        <v>4898</v>
      </c>
    </row>
    <row r="2788" spans="1:21" ht="0" hidden="1" customHeight="1" outlineLevel="2">
      <c r="A2788" s="201" t="s">
        <v>4542</v>
      </c>
      <c r="B2788" s="201"/>
      <c r="C2788" s="202" t="s">
        <v>1609</v>
      </c>
      <c r="D2788" s="203">
        <f>'02 项目基础信息（输入）'!$C$78</f>
        <v>0</v>
      </c>
      <c r="E2788" s="204" t="s">
        <v>93</v>
      </c>
      <c r="F2788" s="202"/>
      <c r="G2788" s="204"/>
      <c r="H2788" s="204"/>
      <c r="I2788" s="203"/>
      <c r="J2788" s="255"/>
      <c r="K2788" s="231"/>
      <c r="L2788" s="205"/>
      <c r="M2788" s="198">
        <f>ROUND(M2789+M2793+M2797+M2801+M2805+M2809+M2812+M2816+M2819+M2820+M2821+M2822,6)</f>
        <v>0</v>
      </c>
      <c r="N2788" s="212">
        <f>'02 项目基础信息（输入）'!$C$78</f>
        <v>0</v>
      </c>
      <c r="O2788" s="203">
        <f t="shared" si="319"/>
        <v>0</v>
      </c>
      <c r="P2788" s="203">
        <f t="shared" si="323"/>
        <v>0</v>
      </c>
      <c r="Q2788" s="271">
        <f t="shared" si="320"/>
        <v>0</v>
      </c>
      <c r="S2788" s="280" t="s">
        <v>1314</v>
      </c>
      <c r="T2788" s="222"/>
      <c r="U2788" s="298" t="s">
        <v>4899</v>
      </c>
    </row>
    <row r="2789" spans="1:21" s="181" customFormat="1" ht="0" hidden="1" customHeight="1" outlineLevel="3">
      <c r="A2789" s="253" t="s">
        <v>4900</v>
      </c>
      <c r="B2789" s="254"/>
      <c r="C2789" s="250" t="s">
        <v>1609</v>
      </c>
      <c r="D2789" s="203">
        <f>'02 项目基础信息（输入）'!$C$78</f>
        <v>0</v>
      </c>
      <c r="E2789" s="204" t="s">
        <v>93</v>
      </c>
      <c r="F2789" s="288"/>
      <c r="G2789" s="277"/>
      <c r="H2789" s="255"/>
      <c r="I2789" s="268"/>
      <c r="J2789" s="255"/>
      <c r="K2789" s="264"/>
      <c r="L2789" s="205"/>
      <c r="M2789" s="198">
        <f>ROUND(SUM(M2790:M2792),6)</f>
        <v>0</v>
      </c>
      <c r="N2789" s="212">
        <f>'02 项目基础信息（输入）'!$C$78</f>
        <v>0</v>
      </c>
      <c r="O2789" s="203">
        <f t="shared" si="319"/>
        <v>0</v>
      </c>
      <c r="P2789" s="203">
        <f t="shared" si="323"/>
        <v>0</v>
      </c>
      <c r="Q2789" s="271">
        <f t="shared" si="320"/>
        <v>0</v>
      </c>
      <c r="R2789" s="188"/>
      <c r="S2789" s="280"/>
      <c r="T2789" s="222"/>
      <c r="U2789" s="299" t="s">
        <v>4901</v>
      </c>
    </row>
    <row r="2790" spans="1:21" s="181" customFormat="1" ht="0" hidden="1" customHeight="1" outlineLevel="4">
      <c r="A2790" s="253" t="s">
        <v>4902</v>
      </c>
      <c r="B2790" s="253"/>
      <c r="C2790" s="202" t="s">
        <v>4903</v>
      </c>
      <c r="D2790" s="301">
        <f>'02 项目基础信息（输入）'!AB78</f>
        <v>0</v>
      </c>
      <c r="E2790" s="204" t="s">
        <v>400</v>
      </c>
      <c r="F2790" s="250" t="s">
        <v>4904</v>
      </c>
      <c r="G2790" s="302">
        <f>IFERROR(N2790*'03 成本测算（输入）'!D262/D2790,0)</f>
        <v>0</v>
      </c>
      <c r="H2790" s="204" t="s">
        <v>411</v>
      </c>
      <c r="I2790" s="265">
        <f>D2790*G2790</f>
        <v>0</v>
      </c>
      <c r="J2790" s="204" t="s">
        <v>93</v>
      </c>
      <c r="K2790" s="267">
        <f>'03 成本测算（输入）'!D263</f>
        <v>0</v>
      </c>
      <c r="L2790" s="210" t="s">
        <v>675</v>
      </c>
      <c r="M2790" s="198">
        <f>ROUND(K2790*I2790/10000,6)</f>
        <v>0</v>
      </c>
      <c r="N2790" s="212">
        <f>'02 项目基础信息（输入）'!$C$78</f>
        <v>0</v>
      </c>
      <c r="O2790" s="203">
        <f t="shared" si="319"/>
        <v>0</v>
      </c>
      <c r="P2790" s="203">
        <f t="shared" si="323"/>
        <v>0</v>
      </c>
      <c r="Q2790" s="271">
        <f t="shared" si="320"/>
        <v>0</v>
      </c>
      <c r="R2790" s="188"/>
      <c r="S2790" s="280"/>
      <c r="T2790" s="222"/>
      <c r="U2790" s="299" t="s">
        <v>4905</v>
      </c>
    </row>
    <row r="2791" spans="1:21" s="181" customFormat="1" ht="0" hidden="1" customHeight="1" outlineLevel="4">
      <c r="A2791" s="253" t="s">
        <v>4906</v>
      </c>
      <c r="B2791" s="253"/>
      <c r="C2791" s="202" t="s">
        <v>4903</v>
      </c>
      <c r="D2791" s="288">
        <f>D2790</f>
        <v>0</v>
      </c>
      <c r="E2791" s="204" t="s">
        <v>400</v>
      </c>
      <c r="F2791" s="250" t="s">
        <v>4904</v>
      </c>
      <c r="G2791" s="303">
        <f>G2790</f>
        <v>0</v>
      </c>
      <c r="H2791" s="204" t="s">
        <v>411</v>
      </c>
      <c r="I2791" s="265">
        <f>D2791*G2791</f>
        <v>0</v>
      </c>
      <c r="J2791" s="204" t="s">
        <v>93</v>
      </c>
      <c r="K2791" s="270"/>
      <c r="L2791" s="210" t="s">
        <v>675</v>
      </c>
      <c r="M2791" s="198">
        <f>ROUND(K2791*I2791/10000,6)</f>
        <v>0</v>
      </c>
      <c r="N2791" s="212">
        <f>'02 项目基础信息（输入）'!$C$78</f>
        <v>0</v>
      </c>
      <c r="O2791" s="203">
        <f t="shared" si="319"/>
        <v>0</v>
      </c>
      <c r="P2791" s="203">
        <f t="shared" si="323"/>
        <v>0</v>
      </c>
      <c r="Q2791" s="271">
        <f t="shared" si="320"/>
        <v>0</v>
      </c>
      <c r="R2791" s="188"/>
      <c r="S2791" s="280"/>
      <c r="T2791" s="222"/>
      <c r="U2791" s="299" t="s">
        <v>4907</v>
      </c>
    </row>
    <row r="2792" spans="1:21" s="181" customFormat="1" ht="0" hidden="1" customHeight="1" outlineLevel="4">
      <c r="A2792" s="253" t="s">
        <v>4908</v>
      </c>
      <c r="B2792" s="253"/>
      <c r="C2792" s="202" t="s">
        <v>4903</v>
      </c>
      <c r="D2792" s="288">
        <f>D2791</f>
        <v>0</v>
      </c>
      <c r="E2792" s="204" t="s">
        <v>400</v>
      </c>
      <c r="F2792" s="250" t="s">
        <v>4904</v>
      </c>
      <c r="G2792" s="303">
        <f>G2791</f>
        <v>0</v>
      </c>
      <c r="H2792" s="204" t="s">
        <v>411</v>
      </c>
      <c r="I2792" s="265">
        <f>D2792*G2792</f>
        <v>0</v>
      </c>
      <c r="J2792" s="204" t="s">
        <v>93</v>
      </c>
      <c r="K2792" s="270"/>
      <c r="L2792" s="210" t="s">
        <v>675</v>
      </c>
      <c r="M2792" s="198">
        <f>ROUND(K2792*I2792/10000,6)</f>
        <v>0</v>
      </c>
      <c r="N2792" s="212">
        <f>'02 项目基础信息（输入）'!$C$78</f>
        <v>0</v>
      </c>
      <c r="O2792" s="203">
        <f t="shared" si="319"/>
        <v>0</v>
      </c>
      <c r="P2792" s="203">
        <f t="shared" si="323"/>
        <v>0</v>
      </c>
      <c r="Q2792" s="271">
        <f t="shared" si="320"/>
        <v>0</v>
      </c>
      <c r="R2792" s="188"/>
      <c r="S2792" s="280"/>
      <c r="T2792" s="222"/>
      <c r="U2792" s="299" t="s">
        <v>4909</v>
      </c>
    </row>
    <row r="2793" spans="1:21" s="181" customFormat="1" ht="0" hidden="1" customHeight="1" outlineLevel="3">
      <c r="A2793" s="253" t="s">
        <v>4910</v>
      </c>
      <c r="B2793" s="254"/>
      <c r="C2793" s="250" t="s">
        <v>1609</v>
      </c>
      <c r="D2793" s="203">
        <f>'02 项目基础信息（输入）'!$C$78</f>
        <v>0</v>
      </c>
      <c r="E2793" s="204" t="s">
        <v>93</v>
      </c>
      <c r="F2793" s="288"/>
      <c r="G2793" s="277"/>
      <c r="H2793" s="255"/>
      <c r="I2793" s="268"/>
      <c r="J2793" s="255"/>
      <c r="K2793" s="264"/>
      <c r="L2793" s="205"/>
      <c r="M2793" s="198">
        <f>ROUND(SUM(M2794:M2796),6)</f>
        <v>0</v>
      </c>
      <c r="N2793" s="212">
        <f>'02 项目基础信息（输入）'!$C$78</f>
        <v>0</v>
      </c>
      <c r="O2793" s="203">
        <f t="shared" si="319"/>
        <v>0</v>
      </c>
      <c r="P2793" s="203">
        <f t="shared" si="323"/>
        <v>0</v>
      </c>
      <c r="Q2793" s="271">
        <f t="shared" si="320"/>
        <v>0</v>
      </c>
      <c r="R2793" s="188"/>
      <c r="S2793" s="280"/>
      <c r="T2793" s="222"/>
      <c r="U2793" s="299" t="s">
        <v>4911</v>
      </c>
    </row>
    <row r="2794" spans="1:21" s="181" customFormat="1" ht="0" hidden="1" customHeight="1" outlineLevel="4">
      <c r="A2794" s="253" t="s">
        <v>4912</v>
      </c>
      <c r="B2794" s="253"/>
      <c r="C2794" s="202" t="s">
        <v>4913</v>
      </c>
      <c r="D2794" s="304">
        <f>'02 项目基础信息（输入）'!T78</f>
        <v>0</v>
      </c>
      <c r="E2794" s="204" t="s">
        <v>1838</v>
      </c>
      <c r="F2794" s="250" t="s">
        <v>4914</v>
      </c>
      <c r="G2794" s="302">
        <f>IFERROR(N2794/D2794*'03 成本测算（输入）'!D264,0)</f>
        <v>0</v>
      </c>
      <c r="H2794" s="204" t="s">
        <v>4915</v>
      </c>
      <c r="I2794" s="265">
        <f>D2794*G2794</f>
        <v>0</v>
      </c>
      <c r="J2794" s="204" t="s">
        <v>93</v>
      </c>
      <c r="K2794" s="267">
        <f>'03 成本测算（输入）'!D265</f>
        <v>0</v>
      </c>
      <c r="L2794" s="210" t="s">
        <v>675</v>
      </c>
      <c r="M2794" s="198">
        <f>ROUND(K2794*I2794/10000,6)</f>
        <v>0</v>
      </c>
      <c r="N2794" s="212">
        <f>'02 项目基础信息（输入）'!$C$78</f>
        <v>0</v>
      </c>
      <c r="O2794" s="203">
        <f t="shared" si="319"/>
        <v>0</v>
      </c>
      <c r="P2794" s="203">
        <f t="shared" si="323"/>
        <v>0</v>
      </c>
      <c r="Q2794" s="271">
        <f t="shared" si="320"/>
        <v>0</v>
      </c>
      <c r="R2794" s="188"/>
      <c r="S2794" s="280"/>
      <c r="T2794" s="222"/>
      <c r="U2794" s="299" t="s">
        <v>4916</v>
      </c>
    </row>
    <row r="2795" spans="1:21" s="181" customFormat="1" ht="0" hidden="1" customHeight="1" outlineLevel="4">
      <c r="A2795" s="253" t="s">
        <v>4917</v>
      </c>
      <c r="B2795" s="253"/>
      <c r="C2795" s="202" t="s">
        <v>4913</v>
      </c>
      <c r="D2795" s="305">
        <f>D2794</f>
        <v>0</v>
      </c>
      <c r="E2795" s="204" t="s">
        <v>1838</v>
      </c>
      <c r="F2795" s="250" t="s">
        <v>4914</v>
      </c>
      <c r="G2795" s="258">
        <f>G2794</f>
        <v>0</v>
      </c>
      <c r="H2795" s="204" t="s">
        <v>4915</v>
      </c>
      <c r="I2795" s="265">
        <f>D2795*G2795</f>
        <v>0</v>
      </c>
      <c r="J2795" s="204" t="s">
        <v>93</v>
      </c>
      <c r="K2795" s="270"/>
      <c r="L2795" s="210" t="s">
        <v>675</v>
      </c>
      <c r="M2795" s="198">
        <f>ROUND(K2795*I2795/10000,6)</f>
        <v>0</v>
      </c>
      <c r="N2795" s="212">
        <f>'02 项目基础信息（输入）'!$C$78</f>
        <v>0</v>
      </c>
      <c r="O2795" s="203">
        <f t="shared" si="319"/>
        <v>0</v>
      </c>
      <c r="P2795" s="203">
        <f t="shared" si="323"/>
        <v>0</v>
      </c>
      <c r="Q2795" s="271">
        <f t="shared" si="320"/>
        <v>0</v>
      </c>
      <c r="R2795" s="188"/>
      <c r="S2795" s="280"/>
      <c r="T2795" s="222"/>
      <c r="U2795" s="299" t="s">
        <v>4918</v>
      </c>
    </row>
    <row r="2796" spans="1:21" s="181" customFormat="1" ht="0" hidden="1" customHeight="1" outlineLevel="4">
      <c r="A2796" s="253" t="s">
        <v>4919</v>
      </c>
      <c r="B2796" s="253"/>
      <c r="C2796" s="202" t="s">
        <v>4913</v>
      </c>
      <c r="D2796" s="305">
        <f>D2795</f>
        <v>0</v>
      </c>
      <c r="E2796" s="204" t="s">
        <v>1838</v>
      </c>
      <c r="F2796" s="250" t="s">
        <v>4914</v>
      </c>
      <c r="G2796" s="258">
        <f>G2795</f>
        <v>0</v>
      </c>
      <c r="H2796" s="204" t="s">
        <v>4915</v>
      </c>
      <c r="I2796" s="265">
        <f>D2796*G2796</f>
        <v>0</v>
      </c>
      <c r="J2796" s="204" t="s">
        <v>93</v>
      </c>
      <c r="K2796" s="270"/>
      <c r="L2796" s="210" t="s">
        <v>675</v>
      </c>
      <c r="M2796" s="198">
        <f>ROUND(K2796*I2796/10000,6)</f>
        <v>0</v>
      </c>
      <c r="N2796" s="212">
        <f>'02 项目基础信息（输入）'!$C$78</f>
        <v>0</v>
      </c>
      <c r="O2796" s="203">
        <f t="shared" si="319"/>
        <v>0</v>
      </c>
      <c r="P2796" s="203">
        <f t="shared" si="323"/>
        <v>0</v>
      </c>
      <c r="Q2796" s="271">
        <f t="shared" si="320"/>
        <v>0</v>
      </c>
      <c r="R2796" s="188"/>
      <c r="S2796" s="280"/>
      <c r="T2796" s="222"/>
      <c r="U2796" s="299" t="s">
        <v>4920</v>
      </c>
    </row>
    <row r="2797" spans="1:21" s="181" customFormat="1" ht="0" hidden="1" customHeight="1" outlineLevel="3">
      <c r="A2797" s="253" t="s">
        <v>4921</v>
      </c>
      <c r="B2797" s="254"/>
      <c r="C2797" s="250" t="s">
        <v>1609</v>
      </c>
      <c r="D2797" s="306">
        <f>'02 项目基础信息（输入）'!$C$78</f>
        <v>0</v>
      </c>
      <c r="E2797" s="204" t="s">
        <v>93</v>
      </c>
      <c r="F2797" s="288"/>
      <c r="G2797" s="277"/>
      <c r="H2797" s="255"/>
      <c r="I2797" s="268"/>
      <c r="J2797" s="255"/>
      <c r="K2797" s="264"/>
      <c r="L2797" s="205"/>
      <c r="M2797" s="198">
        <f>ROUND(SUM(M2798:M2800),6)</f>
        <v>0</v>
      </c>
      <c r="N2797" s="212">
        <f>'02 项目基础信息（输入）'!$C$78</f>
        <v>0</v>
      </c>
      <c r="O2797" s="203">
        <f t="shared" si="319"/>
        <v>0</v>
      </c>
      <c r="P2797" s="203">
        <f t="shared" si="323"/>
        <v>0</v>
      </c>
      <c r="Q2797" s="271">
        <f t="shared" si="320"/>
        <v>0</v>
      </c>
      <c r="R2797" s="188"/>
      <c r="S2797" s="280"/>
      <c r="T2797" s="222"/>
      <c r="U2797" s="299" t="s">
        <v>4922</v>
      </c>
    </row>
    <row r="2798" spans="1:21" s="181" customFormat="1" ht="0" hidden="1" customHeight="1" outlineLevel="4">
      <c r="A2798" s="253" t="s">
        <v>4923</v>
      </c>
      <c r="B2798" s="253"/>
      <c r="C2798" s="202" t="s">
        <v>4913</v>
      </c>
      <c r="D2798" s="305">
        <f>D2794</f>
        <v>0</v>
      </c>
      <c r="E2798" s="204" t="s">
        <v>1838</v>
      </c>
      <c r="F2798" s="250" t="s">
        <v>4924</v>
      </c>
      <c r="G2798" s="302">
        <f>IFERROR(N2798*'03 成本测算（输入）'!D266/D2798,0)</f>
        <v>0</v>
      </c>
      <c r="H2798" s="204" t="s">
        <v>4915</v>
      </c>
      <c r="I2798" s="265">
        <f>D2798*G2798</f>
        <v>0</v>
      </c>
      <c r="J2798" s="204" t="s">
        <v>93</v>
      </c>
      <c r="K2798" s="267">
        <f>'03 成本测算（输入）'!D267</f>
        <v>0</v>
      </c>
      <c r="L2798" s="210" t="s">
        <v>675</v>
      </c>
      <c r="M2798" s="198">
        <f>ROUND(K2798*I2798/10000,6)</f>
        <v>0</v>
      </c>
      <c r="N2798" s="212">
        <f>'02 项目基础信息（输入）'!$C$78</f>
        <v>0</v>
      </c>
      <c r="O2798" s="203">
        <f t="shared" si="319"/>
        <v>0</v>
      </c>
      <c r="P2798" s="203">
        <f t="shared" si="323"/>
        <v>0</v>
      </c>
      <c r="Q2798" s="271">
        <f t="shared" si="320"/>
        <v>0</v>
      </c>
      <c r="R2798" s="188"/>
      <c r="S2798" s="280"/>
      <c r="T2798" s="222"/>
      <c r="U2798" s="299" t="s">
        <v>4925</v>
      </c>
    </row>
    <row r="2799" spans="1:21" s="181" customFormat="1" ht="0" hidden="1" customHeight="1" outlineLevel="4">
      <c r="A2799" s="253" t="s">
        <v>4926</v>
      </c>
      <c r="B2799" s="253"/>
      <c r="C2799" s="202" t="s">
        <v>4913</v>
      </c>
      <c r="D2799" s="305">
        <f>D2798</f>
        <v>0</v>
      </c>
      <c r="E2799" s="204" t="s">
        <v>1838</v>
      </c>
      <c r="F2799" s="250" t="s">
        <v>4924</v>
      </c>
      <c r="G2799" s="258">
        <f>G2798</f>
        <v>0</v>
      </c>
      <c r="H2799" s="204" t="s">
        <v>4915</v>
      </c>
      <c r="I2799" s="265">
        <f>D2799*G2799</f>
        <v>0</v>
      </c>
      <c r="J2799" s="204" t="s">
        <v>93</v>
      </c>
      <c r="K2799" s="270"/>
      <c r="L2799" s="210" t="s">
        <v>675</v>
      </c>
      <c r="M2799" s="198">
        <f>ROUND(K2799*I2799/10000,6)</f>
        <v>0</v>
      </c>
      <c r="N2799" s="212">
        <f>'02 项目基础信息（输入）'!$C$78</f>
        <v>0</v>
      </c>
      <c r="O2799" s="203">
        <f t="shared" si="319"/>
        <v>0</v>
      </c>
      <c r="P2799" s="203">
        <f t="shared" si="323"/>
        <v>0</v>
      </c>
      <c r="Q2799" s="271">
        <f t="shared" si="320"/>
        <v>0</v>
      </c>
      <c r="R2799" s="188"/>
      <c r="S2799" s="280"/>
      <c r="T2799" s="222"/>
      <c r="U2799" s="299" t="s">
        <v>4927</v>
      </c>
    </row>
    <row r="2800" spans="1:21" s="181" customFormat="1" ht="0" hidden="1" customHeight="1" outlineLevel="4">
      <c r="A2800" s="253" t="s">
        <v>4928</v>
      </c>
      <c r="B2800" s="253"/>
      <c r="C2800" s="202" t="s">
        <v>4913</v>
      </c>
      <c r="D2800" s="305">
        <f>D2799</f>
        <v>0</v>
      </c>
      <c r="E2800" s="204" t="s">
        <v>1838</v>
      </c>
      <c r="F2800" s="250" t="s">
        <v>4924</v>
      </c>
      <c r="G2800" s="258">
        <f>G2799</f>
        <v>0</v>
      </c>
      <c r="H2800" s="204" t="s">
        <v>4915</v>
      </c>
      <c r="I2800" s="265">
        <f>D2800*G2800</f>
        <v>0</v>
      </c>
      <c r="J2800" s="204" t="s">
        <v>93</v>
      </c>
      <c r="K2800" s="270"/>
      <c r="L2800" s="210" t="s">
        <v>675</v>
      </c>
      <c r="M2800" s="198">
        <f>ROUND(K2800*I2800/10000,6)</f>
        <v>0</v>
      </c>
      <c r="N2800" s="212">
        <f>'02 项目基础信息（输入）'!$C$78</f>
        <v>0</v>
      </c>
      <c r="O2800" s="203">
        <f t="shared" si="319"/>
        <v>0</v>
      </c>
      <c r="P2800" s="203">
        <f t="shared" si="323"/>
        <v>0</v>
      </c>
      <c r="Q2800" s="271">
        <f t="shared" si="320"/>
        <v>0</v>
      </c>
      <c r="R2800" s="188"/>
      <c r="S2800" s="280"/>
      <c r="T2800" s="222"/>
      <c r="U2800" s="299" t="s">
        <v>4929</v>
      </c>
    </row>
    <row r="2801" spans="1:21" s="181" customFormat="1" ht="0" hidden="1" customHeight="1" outlineLevel="3">
      <c r="A2801" s="253" t="s">
        <v>4930</v>
      </c>
      <c r="B2801" s="254"/>
      <c r="C2801" s="250" t="s">
        <v>1609</v>
      </c>
      <c r="D2801" s="306">
        <f>'02 项目基础信息（输入）'!$C$78</f>
        <v>0</v>
      </c>
      <c r="E2801" s="204" t="s">
        <v>93</v>
      </c>
      <c r="F2801" s="288"/>
      <c r="G2801" s="277"/>
      <c r="H2801" s="255"/>
      <c r="I2801" s="268"/>
      <c r="J2801" s="255"/>
      <c r="K2801" s="264"/>
      <c r="L2801" s="205"/>
      <c r="M2801" s="198">
        <f>ROUND(SUM(M2802:M2804),6)</f>
        <v>0</v>
      </c>
      <c r="N2801" s="212">
        <f>'02 项目基础信息（输入）'!$C$78</f>
        <v>0</v>
      </c>
      <c r="O2801" s="203">
        <f t="shared" si="319"/>
        <v>0</v>
      </c>
      <c r="P2801" s="203">
        <f t="shared" si="323"/>
        <v>0</v>
      </c>
      <c r="Q2801" s="271">
        <f t="shared" si="320"/>
        <v>0</v>
      </c>
      <c r="R2801" s="188"/>
      <c r="S2801" s="280"/>
      <c r="T2801" s="222"/>
      <c r="U2801" s="299" t="s">
        <v>4931</v>
      </c>
    </row>
    <row r="2802" spans="1:21" s="181" customFormat="1" ht="0" hidden="1" customHeight="1" outlineLevel="4">
      <c r="A2802" s="253" t="s">
        <v>4932</v>
      </c>
      <c r="B2802" s="253"/>
      <c r="C2802" s="202" t="s">
        <v>4913</v>
      </c>
      <c r="D2802" s="305">
        <f>D2798</f>
        <v>0</v>
      </c>
      <c r="E2802" s="204" t="s">
        <v>1838</v>
      </c>
      <c r="F2802" s="250" t="s">
        <v>4933</v>
      </c>
      <c r="G2802" s="302">
        <f>IFERROR(N2802*'03 成本测算（输入）'!D268/D2802,0)</f>
        <v>0</v>
      </c>
      <c r="H2802" s="204" t="s">
        <v>4915</v>
      </c>
      <c r="I2802" s="265">
        <f>D2802*G2802</f>
        <v>0</v>
      </c>
      <c r="J2802" s="204" t="s">
        <v>93</v>
      </c>
      <c r="K2802" s="267">
        <f>'03 成本测算（输入）'!D269</f>
        <v>0</v>
      </c>
      <c r="L2802" s="210" t="s">
        <v>675</v>
      </c>
      <c r="M2802" s="198">
        <f>ROUND(K2802*I2802/10000,6)</f>
        <v>0</v>
      </c>
      <c r="N2802" s="212">
        <f>'02 项目基础信息（输入）'!$C$78</f>
        <v>0</v>
      </c>
      <c r="O2802" s="203">
        <f t="shared" si="319"/>
        <v>0</v>
      </c>
      <c r="P2802" s="203">
        <f t="shared" si="323"/>
        <v>0</v>
      </c>
      <c r="Q2802" s="271">
        <f t="shared" si="320"/>
        <v>0</v>
      </c>
      <c r="R2802" s="188"/>
      <c r="S2802" s="280"/>
      <c r="T2802" s="222"/>
      <c r="U2802" s="299" t="s">
        <v>4934</v>
      </c>
    </row>
    <row r="2803" spans="1:21" s="181" customFormat="1" ht="0" hidden="1" customHeight="1" outlineLevel="4">
      <c r="A2803" s="253" t="s">
        <v>4935</v>
      </c>
      <c r="B2803" s="253"/>
      <c r="C2803" s="202" t="s">
        <v>4913</v>
      </c>
      <c r="D2803" s="305">
        <f>D2802</f>
        <v>0</v>
      </c>
      <c r="E2803" s="204" t="s">
        <v>1838</v>
      </c>
      <c r="F2803" s="250" t="s">
        <v>4933</v>
      </c>
      <c r="G2803" s="258">
        <f>G2802</f>
        <v>0</v>
      </c>
      <c r="H2803" s="204" t="s">
        <v>4915</v>
      </c>
      <c r="I2803" s="265">
        <f>D2803*G2803</f>
        <v>0</v>
      </c>
      <c r="J2803" s="204" t="s">
        <v>93</v>
      </c>
      <c r="K2803" s="270"/>
      <c r="L2803" s="210" t="s">
        <v>675</v>
      </c>
      <c r="M2803" s="198">
        <f>ROUND(K2803*I2803/10000,6)</f>
        <v>0</v>
      </c>
      <c r="N2803" s="212">
        <f>'02 项目基础信息（输入）'!$C$78</f>
        <v>0</v>
      </c>
      <c r="O2803" s="203">
        <f t="shared" si="319"/>
        <v>0</v>
      </c>
      <c r="P2803" s="203">
        <f t="shared" si="323"/>
        <v>0</v>
      </c>
      <c r="Q2803" s="271">
        <f t="shared" si="320"/>
        <v>0</v>
      </c>
      <c r="R2803" s="188"/>
      <c r="S2803" s="280"/>
      <c r="T2803" s="222"/>
      <c r="U2803" s="299" t="s">
        <v>4936</v>
      </c>
    </row>
    <row r="2804" spans="1:21" s="181" customFormat="1" ht="0" hidden="1" customHeight="1" outlineLevel="4">
      <c r="A2804" s="253" t="s">
        <v>4937</v>
      </c>
      <c r="B2804" s="253"/>
      <c r="C2804" s="202" t="s">
        <v>4913</v>
      </c>
      <c r="D2804" s="305">
        <f>D2803</f>
        <v>0</v>
      </c>
      <c r="E2804" s="204" t="s">
        <v>1838</v>
      </c>
      <c r="F2804" s="250" t="s">
        <v>4933</v>
      </c>
      <c r="G2804" s="258">
        <f>G2803</f>
        <v>0</v>
      </c>
      <c r="H2804" s="204" t="s">
        <v>4915</v>
      </c>
      <c r="I2804" s="265">
        <f>D2804*G2804</f>
        <v>0</v>
      </c>
      <c r="J2804" s="204" t="s">
        <v>93</v>
      </c>
      <c r="K2804" s="270"/>
      <c r="L2804" s="210" t="s">
        <v>675</v>
      </c>
      <c r="M2804" s="198">
        <f>ROUND(K2804*I2804/10000,6)</f>
        <v>0</v>
      </c>
      <c r="N2804" s="212">
        <f>'02 项目基础信息（输入）'!$C$78</f>
        <v>0</v>
      </c>
      <c r="O2804" s="203">
        <f t="shared" si="319"/>
        <v>0</v>
      </c>
      <c r="P2804" s="203">
        <f t="shared" si="323"/>
        <v>0</v>
      </c>
      <c r="Q2804" s="271">
        <f t="shared" si="320"/>
        <v>0</v>
      </c>
      <c r="R2804" s="188"/>
      <c r="S2804" s="280"/>
      <c r="T2804" s="222"/>
      <c r="U2804" s="299" t="s">
        <v>4938</v>
      </c>
    </row>
    <row r="2805" spans="1:21" s="181" customFormat="1" ht="0" hidden="1" customHeight="1" outlineLevel="3">
      <c r="A2805" s="253" t="s">
        <v>4939</v>
      </c>
      <c r="B2805" s="254"/>
      <c r="C2805" s="250" t="s">
        <v>1609</v>
      </c>
      <c r="D2805" s="306">
        <f>'02 项目基础信息（输入）'!$C$78</f>
        <v>0</v>
      </c>
      <c r="E2805" s="204" t="s">
        <v>93</v>
      </c>
      <c r="F2805" s="288"/>
      <c r="G2805" s="277"/>
      <c r="H2805" s="255"/>
      <c r="I2805" s="268"/>
      <c r="J2805" s="255"/>
      <c r="K2805" s="264"/>
      <c r="L2805" s="205"/>
      <c r="M2805" s="198">
        <f>ROUND(SUM(M2806:M2808),6)</f>
        <v>0</v>
      </c>
      <c r="N2805" s="212">
        <f>'02 项目基础信息（输入）'!$C$78</f>
        <v>0</v>
      </c>
      <c r="O2805" s="203">
        <f t="shared" si="319"/>
        <v>0</v>
      </c>
      <c r="P2805" s="203">
        <f t="shared" si="323"/>
        <v>0</v>
      </c>
      <c r="Q2805" s="271">
        <f t="shared" si="320"/>
        <v>0</v>
      </c>
      <c r="R2805" s="188"/>
      <c r="S2805" s="280"/>
      <c r="T2805" s="222"/>
      <c r="U2805" s="299" t="s">
        <v>4940</v>
      </c>
    </row>
    <row r="2806" spans="1:21" s="181" customFormat="1" ht="0" hidden="1" customHeight="1" outlineLevel="4">
      <c r="A2806" s="253" t="s">
        <v>4941</v>
      </c>
      <c r="B2806" s="253"/>
      <c r="C2806" s="202" t="s">
        <v>4913</v>
      </c>
      <c r="D2806" s="305">
        <f>D2798</f>
        <v>0</v>
      </c>
      <c r="E2806" s="204" t="s">
        <v>1838</v>
      </c>
      <c r="F2806" s="250" t="s">
        <v>4942</v>
      </c>
      <c r="G2806" s="302">
        <f>IFERROR(N2806*'03 成本测算（输入）'!D270/D2806,0)</f>
        <v>0</v>
      </c>
      <c r="H2806" s="204" t="s">
        <v>4915</v>
      </c>
      <c r="I2806" s="265">
        <f>D2806*G2806</f>
        <v>0</v>
      </c>
      <c r="J2806" s="204" t="s">
        <v>93</v>
      </c>
      <c r="K2806" s="267">
        <f>'03 成本测算（输入）'!D271</f>
        <v>0</v>
      </c>
      <c r="L2806" s="210" t="s">
        <v>675</v>
      </c>
      <c r="M2806" s="198">
        <f>ROUND(K2806*I2806/10000,6)</f>
        <v>0</v>
      </c>
      <c r="N2806" s="212">
        <f>'02 项目基础信息（输入）'!$C$78</f>
        <v>0</v>
      </c>
      <c r="O2806" s="203">
        <f t="shared" si="319"/>
        <v>0</v>
      </c>
      <c r="P2806" s="203">
        <f t="shared" si="323"/>
        <v>0</v>
      </c>
      <c r="Q2806" s="271">
        <f t="shared" si="320"/>
        <v>0</v>
      </c>
      <c r="R2806" s="188"/>
      <c r="S2806" s="280"/>
      <c r="T2806" s="222"/>
      <c r="U2806" s="299" t="s">
        <v>4943</v>
      </c>
    </row>
    <row r="2807" spans="1:21" s="181" customFormat="1" ht="0" hidden="1" customHeight="1" outlineLevel="4">
      <c r="A2807" s="253" t="s">
        <v>4944</v>
      </c>
      <c r="B2807" s="253"/>
      <c r="C2807" s="202" t="s">
        <v>4913</v>
      </c>
      <c r="D2807" s="305">
        <f>D2806</f>
        <v>0</v>
      </c>
      <c r="E2807" s="204" t="s">
        <v>1838</v>
      </c>
      <c r="F2807" s="250" t="s">
        <v>4942</v>
      </c>
      <c r="G2807" s="258">
        <f>G2806</f>
        <v>0</v>
      </c>
      <c r="H2807" s="204" t="s">
        <v>4915</v>
      </c>
      <c r="I2807" s="265">
        <f>D2807*G2807</f>
        <v>0</v>
      </c>
      <c r="J2807" s="204" t="s">
        <v>93</v>
      </c>
      <c r="K2807" s="270"/>
      <c r="L2807" s="210" t="s">
        <v>675</v>
      </c>
      <c r="M2807" s="198">
        <f>ROUND(K2807*I2807/10000,6)</f>
        <v>0</v>
      </c>
      <c r="N2807" s="212">
        <f>'02 项目基础信息（输入）'!$C$78</f>
        <v>0</v>
      </c>
      <c r="O2807" s="203">
        <f t="shared" si="319"/>
        <v>0</v>
      </c>
      <c r="P2807" s="203">
        <f t="shared" si="323"/>
        <v>0</v>
      </c>
      <c r="Q2807" s="271">
        <f t="shared" si="320"/>
        <v>0</v>
      </c>
      <c r="R2807" s="188"/>
      <c r="S2807" s="280"/>
      <c r="T2807" s="222"/>
      <c r="U2807" s="299" t="s">
        <v>4945</v>
      </c>
    </row>
    <row r="2808" spans="1:21" s="181" customFormat="1" ht="0" hidden="1" customHeight="1" outlineLevel="4">
      <c r="A2808" s="253" t="s">
        <v>4946</v>
      </c>
      <c r="B2808" s="253"/>
      <c r="C2808" s="202" t="s">
        <v>4913</v>
      </c>
      <c r="D2808" s="305">
        <f>D2807</f>
        <v>0</v>
      </c>
      <c r="E2808" s="204" t="s">
        <v>1838</v>
      </c>
      <c r="F2808" s="250" t="s">
        <v>4942</v>
      </c>
      <c r="G2808" s="258">
        <f>G2807</f>
        <v>0</v>
      </c>
      <c r="H2808" s="204" t="s">
        <v>4915</v>
      </c>
      <c r="I2808" s="265">
        <f>D2808*G2808</f>
        <v>0</v>
      </c>
      <c r="J2808" s="204" t="s">
        <v>93</v>
      </c>
      <c r="K2808" s="270"/>
      <c r="L2808" s="210" t="s">
        <v>675</v>
      </c>
      <c r="M2808" s="198">
        <f>ROUND(K2808*I2808/10000,6)</f>
        <v>0</v>
      </c>
      <c r="N2808" s="212">
        <f>'02 项目基础信息（输入）'!$C$78</f>
        <v>0</v>
      </c>
      <c r="O2808" s="203">
        <f t="shared" si="319"/>
        <v>0</v>
      </c>
      <c r="P2808" s="203">
        <f t="shared" si="323"/>
        <v>0</v>
      </c>
      <c r="Q2808" s="271">
        <f t="shared" si="320"/>
        <v>0</v>
      </c>
      <c r="R2808" s="188"/>
      <c r="S2808" s="280"/>
      <c r="T2808" s="222"/>
      <c r="U2808" s="299" t="s">
        <v>4947</v>
      </c>
    </row>
    <row r="2809" spans="1:21" s="181" customFormat="1" ht="0" hidden="1" customHeight="1" outlineLevel="3">
      <c r="A2809" s="253" t="s">
        <v>4948</v>
      </c>
      <c r="B2809" s="254"/>
      <c r="C2809" s="250" t="s">
        <v>1609</v>
      </c>
      <c r="D2809" s="306">
        <f>'02 项目基础信息（输入）'!$C$78</f>
        <v>0</v>
      </c>
      <c r="E2809" s="204" t="s">
        <v>93</v>
      </c>
      <c r="F2809" s="288"/>
      <c r="G2809" s="277"/>
      <c r="H2809" s="255"/>
      <c r="I2809" s="268"/>
      <c r="J2809" s="255"/>
      <c r="K2809" s="264"/>
      <c r="L2809" s="205"/>
      <c r="M2809" s="198">
        <f>ROUND(SUM(M2810:M2811),6)</f>
        <v>0</v>
      </c>
      <c r="N2809" s="212">
        <f>'02 项目基础信息（输入）'!$C$78</f>
        <v>0</v>
      </c>
      <c r="O2809" s="203">
        <f t="shared" si="319"/>
        <v>0</v>
      </c>
      <c r="P2809" s="203">
        <f t="shared" si="323"/>
        <v>0</v>
      </c>
      <c r="Q2809" s="271">
        <f t="shared" si="320"/>
        <v>0</v>
      </c>
      <c r="R2809" s="188"/>
      <c r="S2809" s="280"/>
      <c r="T2809" s="222"/>
      <c r="U2809" s="299" t="s">
        <v>4949</v>
      </c>
    </row>
    <row r="2810" spans="1:21" s="181" customFormat="1" ht="0" hidden="1" customHeight="1" outlineLevel="4">
      <c r="A2810" s="253" t="s">
        <v>4950</v>
      </c>
      <c r="B2810" s="253"/>
      <c r="C2810" s="202" t="s">
        <v>4913</v>
      </c>
      <c r="D2810" s="305">
        <f>D2798</f>
        <v>0</v>
      </c>
      <c r="E2810" s="204" t="s">
        <v>1838</v>
      </c>
      <c r="F2810" s="250" t="s">
        <v>4951</v>
      </c>
      <c r="G2810" s="302">
        <f>IFERROR(N2810*'03 成本测算（输入）'!D272/D2810,0)</f>
        <v>0</v>
      </c>
      <c r="H2810" s="204" t="s">
        <v>4915</v>
      </c>
      <c r="I2810" s="265">
        <f>D2810*G2810</f>
        <v>0</v>
      </c>
      <c r="J2810" s="204" t="s">
        <v>93</v>
      </c>
      <c r="K2810" s="267">
        <f>'03 成本测算（输入）'!D273</f>
        <v>0</v>
      </c>
      <c r="L2810" s="210" t="s">
        <v>675</v>
      </c>
      <c r="M2810" s="198">
        <f>ROUND(K2810*I2810/10000,6)</f>
        <v>0</v>
      </c>
      <c r="N2810" s="212">
        <f>'02 项目基础信息（输入）'!$C$78</f>
        <v>0</v>
      </c>
      <c r="O2810" s="203">
        <f t="shared" si="319"/>
        <v>0</v>
      </c>
      <c r="P2810" s="203">
        <f t="shared" si="323"/>
        <v>0</v>
      </c>
      <c r="Q2810" s="271">
        <f t="shared" si="320"/>
        <v>0</v>
      </c>
      <c r="R2810" s="188"/>
      <c r="S2810" s="280"/>
      <c r="T2810" s="222"/>
      <c r="U2810" s="299" t="s">
        <v>4952</v>
      </c>
    </row>
    <row r="2811" spans="1:21" s="181" customFormat="1" ht="0" hidden="1" customHeight="1" outlineLevel="4">
      <c r="A2811" s="253" t="s">
        <v>4953</v>
      </c>
      <c r="B2811" s="253"/>
      <c r="C2811" s="202" t="s">
        <v>4913</v>
      </c>
      <c r="D2811" s="305">
        <f>D2810</f>
        <v>0</v>
      </c>
      <c r="E2811" s="204" t="s">
        <v>1838</v>
      </c>
      <c r="F2811" s="250" t="s">
        <v>4951</v>
      </c>
      <c r="G2811" s="258">
        <f>G2810</f>
        <v>0</v>
      </c>
      <c r="H2811" s="204" t="s">
        <v>4915</v>
      </c>
      <c r="I2811" s="265">
        <f>D2811*G2811</f>
        <v>0</v>
      </c>
      <c r="J2811" s="204" t="s">
        <v>93</v>
      </c>
      <c r="K2811" s="270"/>
      <c r="L2811" s="210" t="s">
        <v>675</v>
      </c>
      <c r="M2811" s="198">
        <f>ROUND(K2811*I2811/10000,6)</f>
        <v>0</v>
      </c>
      <c r="N2811" s="212">
        <f>'02 项目基础信息（输入）'!$C$78</f>
        <v>0</v>
      </c>
      <c r="O2811" s="203">
        <f t="shared" si="319"/>
        <v>0</v>
      </c>
      <c r="P2811" s="203">
        <f t="shared" si="323"/>
        <v>0</v>
      </c>
      <c r="Q2811" s="271">
        <f t="shared" si="320"/>
        <v>0</v>
      </c>
      <c r="R2811" s="188"/>
      <c r="S2811" s="280"/>
      <c r="T2811" s="222"/>
      <c r="U2811" s="299" t="s">
        <v>4954</v>
      </c>
    </row>
    <row r="2812" spans="1:21" s="181" customFormat="1" ht="0" hidden="1" customHeight="1" outlineLevel="3">
      <c r="A2812" s="253" t="s">
        <v>4955</v>
      </c>
      <c r="B2812" s="254"/>
      <c r="C2812" s="250" t="s">
        <v>1609</v>
      </c>
      <c r="D2812" s="306">
        <f>'02 项目基础信息（输入）'!$C$78</f>
        <v>0</v>
      </c>
      <c r="E2812" s="204" t="s">
        <v>93</v>
      </c>
      <c r="F2812" s="288"/>
      <c r="G2812" s="277"/>
      <c r="H2812" s="255"/>
      <c r="I2812" s="268"/>
      <c r="J2812" s="255"/>
      <c r="K2812" s="264"/>
      <c r="L2812" s="205"/>
      <c r="M2812" s="198">
        <f>ROUND(SUM(M2813:M2815),6)</f>
        <v>0</v>
      </c>
      <c r="N2812" s="212">
        <f>'02 项目基础信息（输入）'!$C$78</f>
        <v>0</v>
      </c>
      <c r="O2812" s="203">
        <f t="shared" si="319"/>
        <v>0</v>
      </c>
      <c r="P2812" s="203">
        <f t="shared" si="323"/>
        <v>0</v>
      </c>
      <c r="Q2812" s="271">
        <f t="shared" si="320"/>
        <v>0</v>
      </c>
      <c r="R2812" s="188"/>
      <c r="S2812" s="280"/>
      <c r="T2812" s="222"/>
      <c r="U2812" s="299" t="s">
        <v>4956</v>
      </c>
    </row>
    <row r="2813" spans="1:21" s="181" customFormat="1" ht="0" hidden="1" customHeight="1" outlineLevel="4">
      <c r="A2813" s="253" t="s">
        <v>4957</v>
      </c>
      <c r="B2813" s="254"/>
      <c r="C2813" s="250" t="s">
        <v>1609</v>
      </c>
      <c r="D2813" s="306">
        <f>'02 项目基础信息（输入）'!$C$78</f>
        <v>0</v>
      </c>
      <c r="E2813" s="204" t="s">
        <v>93</v>
      </c>
      <c r="F2813" s="250" t="s">
        <v>4958</v>
      </c>
      <c r="G2813" s="210">
        <f>IFERROR(I2813/D2813,0)</f>
        <v>0</v>
      </c>
      <c r="H2813" s="204" t="s">
        <v>298</v>
      </c>
      <c r="I2813" s="307"/>
      <c r="J2813" s="204" t="s">
        <v>93</v>
      </c>
      <c r="K2813" s="270"/>
      <c r="L2813" s="210" t="s">
        <v>675</v>
      </c>
      <c r="M2813" s="198">
        <f>ROUND(K2813*I2813/10000,6)</f>
        <v>0</v>
      </c>
      <c r="N2813" s="212">
        <f>'02 项目基础信息（输入）'!$C$78</f>
        <v>0</v>
      </c>
      <c r="O2813" s="203">
        <f t="shared" si="319"/>
        <v>0</v>
      </c>
      <c r="P2813" s="203">
        <f t="shared" si="323"/>
        <v>0</v>
      </c>
      <c r="Q2813" s="271">
        <f t="shared" si="320"/>
        <v>0</v>
      </c>
      <c r="R2813" s="188"/>
      <c r="S2813" s="280"/>
      <c r="T2813" s="222"/>
      <c r="U2813" s="299" t="s">
        <v>4959</v>
      </c>
    </row>
    <row r="2814" spans="1:21" s="181" customFormat="1" ht="0" hidden="1" customHeight="1" outlineLevel="4">
      <c r="A2814" s="253" t="s">
        <v>4960</v>
      </c>
      <c r="B2814" s="254"/>
      <c r="C2814" s="250" t="s">
        <v>1609</v>
      </c>
      <c r="D2814" s="306">
        <f>'02 项目基础信息（输入）'!$C$78</f>
        <v>0</v>
      </c>
      <c r="E2814" s="204" t="s">
        <v>93</v>
      </c>
      <c r="F2814" s="250" t="s">
        <v>4958</v>
      </c>
      <c r="G2814" s="210">
        <f>IFERROR(I2814/D2814,0)</f>
        <v>0</v>
      </c>
      <c r="H2814" s="204" t="s">
        <v>298</v>
      </c>
      <c r="I2814" s="212">
        <f>I2813</f>
        <v>0</v>
      </c>
      <c r="J2814" s="204" t="s">
        <v>93</v>
      </c>
      <c r="K2814" s="270"/>
      <c r="L2814" s="210" t="s">
        <v>675</v>
      </c>
      <c r="M2814" s="198">
        <f>ROUND(K2814*I2814/10000,6)</f>
        <v>0</v>
      </c>
      <c r="N2814" s="212">
        <f>'02 项目基础信息（输入）'!$C$78</f>
        <v>0</v>
      </c>
      <c r="O2814" s="203">
        <f t="shared" si="319"/>
        <v>0</v>
      </c>
      <c r="P2814" s="203">
        <f t="shared" si="323"/>
        <v>0</v>
      </c>
      <c r="Q2814" s="271">
        <f t="shared" si="320"/>
        <v>0</v>
      </c>
      <c r="R2814" s="188"/>
      <c r="S2814" s="280"/>
      <c r="T2814" s="222"/>
      <c r="U2814" s="299" t="s">
        <v>4961</v>
      </c>
    </row>
    <row r="2815" spans="1:21" s="181" customFormat="1" ht="0" hidden="1" customHeight="1" outlineLevel="4">
      <c r="A2815" s="253" t="s">
        <v>4962</v>
      </c>
      <c r="B2815" s="254"/>
      <c r="C2815" s="250" t="s">
        <v>1609</v>
      </c>
      <c r="D2815" s="306">
        <f>'02 项目基础信息（输入）'!$C$78</f>
        <v>0</v>
      </c>
      <c r="E2815" s="204" t="s">
        <v>93</v>
      </c>
      <c r="F2815" s="250" t="s">
        <v>4958</v>
      </c>
      <c r="G2815" s="210">
        <f>IFERROR(I2815/D2815,0)</f>
        <v>0</v>
      </c>
      <c r="H2815" s="204" t="s">
        <v>298</v>
      </c>
      <c r="I2815" s="212">
        <f>I2814</f>
        <v>0</v>
      </c>
      <c r="J2815" s="204" t="s">
        <v>93</v>
      </c>
      <c r="K2815" s="270"/>
      <c r="L2815" s="210" t="s">
        <v>675</v>
      </c>
      <c r="M2815" s="198">
        <f>ROUND(K2815*I2815/10000,6)</f>
        <v>0</v>
      </c>
      <c r="N2815" s="212">
        <f>'02 项目基础信息（输入）'!$C$78</f>
        <v>0</v>
      </c>
      <c r="O2815" s="203">
        <f t="shared" si="319"/>
        <v>0</v>
      </c>
      <c r="P2815" s="203">
        <f t="shared" si="323"/>
        <v>0</v>
      </c>
      <c r="Q2815" s="271">
        <f t="shared" si="320"/>
        <v>0</v>
      </c>
      <c r="R2815" s="188"/>
      <c r="S2815" s="280"/>
      <c r="T2815" s="222"/>
      <c r="U2815" s="299" t="s">
        <v>4963</v>
      </c>
    </row>
    <row r="2816" spans="1:21" s="181" customFormat="1" ht="0" hidden="1" customHeight="1" outlineLevel="3">
      <c r="A2816" s="253" t="s">
        <v>4572</v>
      </c>
      <c r="B2816" s="254"/>
      <c r="C2816" s="250" t="s">
        <v>1609</v>
      </c>
      <c r="D2816" s="203">
        <f>'02 项目基础信息（输入）'!$C$78</f>
        <v>0</v>
      </c>
      <c r="E2816" s="204" t="s">
        <v>93</v>
      </c>
      <c r="F2816" s="288"/>
      <c r="G2816" s="277"/>
      <c r="H2816" s="255"/>
      <c r="I2816" s="268"/>
      <c r="J2816" s="255"/>
      <c r="K2816" s="264"/>
      <c r="L2816" s="205"/>
      <c r="M2816" s="198">
        <f>ROUND(SUM(M2817:M2818),6)</f>
        <v>0</v>
      </c>
      <c r="N2816" s="212">
        <f>'02 项目基础信息（输入）'!$C$78</f>
        <v>0</v>
      </c>
      <c r="O2816" s="203">
        <f t="shared" si="319"/>
        <v>0</v>
      </c>
      <c r="P2816" s="203">
        <f t="shared" si="323"/>
        <v>0</v>
      </c>
      <c r="Q2816" s="271">
        <f t="shared" si="320"/>
        <v>0</v>
      </c>
      <c r="R2816" s="188"/>
      <c r="S2816" s="280"/>
      <c r="T2816" s="222"/>
      <c r="U2816" s="299" t="s">
        <v>4964</v>
      </c>
    </row>
    <row r="2817" spans="1:21" s="181" customFormat="1" ht="0" hidden="1" customHeight="1" outlineLevel="4">
      <c r="A2817" s="253" t="s">
        <v>4574</v>
      </c>
      <c r="B2817" s="254"/>
      <c r="C2817" s="250" t="s">
        <v>4575</v>
      </c>
      <c r="D2817" s="273">
        <f>'02 项目基础信息（输入）'!AQ78</f>
        <v>0</v>
      </c>
      <c r="E2817" s="204" t="s">
        <v>93</v>
      </c>
      <c r="F2817" s="202" t="s">
        <v>4576</v>
      </c>
      <c r="G2817" s="204">
        <v>1</v>
      </c>
      <c r="H2817" s="204" t="s">
        <v>298</v>
      </c>
      <c r="I2817" s="265">
        <f>D2817*G2817</f>
        <v>0</v>
      </c>
      <c r="J2817" s="204" t="s">
        <v>93</v>
      </c>
      <c r="K2817" s="270"/>
      <c r="L2817" s="210" t="s">
        <v>1749</v>
      </c>
      <c r="M2817" s="198">
        <f>ROUND(K2817*I2817/10000,6)</f>
        <v>0</v>
      </c>
      <c r="N2817" s="212">
        <f>'02 项目基础信息（输入）'!$C$78</f>
        <v>0</v>
      </c>
      <c r="O2817" s="203">
        <f t="shared" si="319"/>
        <v>0</v>
      </c>
      <c r="P2817" s="203">
        <f t="shared" si="323"/>
        <v>0</v>
      </c>
      <c r="Q2817" s="271">
        <f t="shared" si="320"/>
        <v>0</v>
      </c>
      <c r="R2817" s="188"/>
      <c r="S2817" s="280"/>
      <c r="T2817" s="222"/>
      <c r="U2817" s="299" t="s">
        <v>4965</v>
      </c>
    </row>
    <row r="2818" spans="1:21" s="181" customFormat="1" ht="0" hidden="1" customHeight="1" outlineLevel="4">
      <c r="A2818" s="253" t="s">
        <v>4578</v>
      </c>
      <c r="B2818" s="254"/>
      <c r="C2818" s="250" t="s">
        <v>4575</v>
      </c>
      <c r="D2818" s="212">
        <f>D2817</f>
        <v>0</v>
      </c>
      <c r="E2818" s="204" t="s">
        <v>93</v>
      </c>
      <c r="F2818" s="202" t="s">
        <v>4576</v>
      </c>
      <c r="G2818" s="204">
        <v>1</v>
      </c>
      <c r="H2818" s="204" t="s">
        <v>298</v>
      </c>
      <c r="I2818" s="265">
        <f>D2818*G2818</f>
        <v>0</v>
      </c>
      <c r="J2818" s="204" t="s">
        <v>93</v>
      </c>
      <c r="K2818" s="270"/>
      <c r="L2818" s="210" t="s">
        <v>1749</v>
      </c>
      <c r="M2818" s="198">
        <f>ROUND(K2818*I2818/10000,6)</f>
        <v>0</v>
      </c>
      <c r="N2818" s="212">
        <f>'02 项目基础信息（输入）'!$C$78</f>
        <v>0</v>
      </c>
      <c r="O2818" s="203">
        <f t="shared" si="319"/>
        <v>0</v>
      </c>
      <c r="P2818" s="203">
        <f t="shared" si="323"/>
        <v>0</v>
      </c>
      <c r="Q2818" s="271">
        <f t="shared" si="320"/>
        <v>0</v>
      </c>
      <c r="R2818" s="188"/>
      <c r="S2818" s="280"/>
      <c r="T2818" s="222"/>
      <c r="U2818" s="299" t="s">
        <v>4966</v>
      </c>
    </row>
    <row r="2819" spans="1:21" s="181" customFormat="1" ht="0" hidden="1" customHeight="1" outlineLevel="3">
      <c r="A2819" s="253" t="s">
        <v>4580</v>
      </c>
      <c r="B2819" s="254"/>
      <c r="C2819" s="250" t="s">
        <v>4581</v>
      </c>
      <c r="D2819" s="289">
        <f>'02 项目基础信息（输入）'!BA78</f>
        <v>0</v>
      </c>
      <c r="E2819" s="204" t="s">
        <v>1082</v>
      </c>
      <c r="F2819" s="250" t="s">
        <v>4581</v>
      </c>
      <c r="G2819" s="204">
        <v>1</v>
      </c>
      <c r="H2819" s="204" t="s">
        <v>1918</v>
      </c>
      <c r="I2819" s="265">
        <f>D2819*G2819</f>
        <v>0</v>
      </c>
      <c r="J2819" s="204" t="s">
        <v>400</v>
      </c>
      <c r="K2819" s="270"/>
      <c r="L2819" s="210" t="s">
        <v>1087</v>
      </c>
      <c r="M2819" s="198">
        <f>ROUND(K2819*I2819/10000,6)</f>
        <v>0</v>
      </c>
      <c r="N2819" s="212">
        <f>'02 项目基础信息（输入）'!$C$78</f>
        <v>0</v>
      </c>
      <c r="O2819" s="203">
        <f t="shared" ref="O2819:O2882" si="324">ROUND(IFERROR(M2819*10000/N2819,0),2)</f>
        <v>0</v>
      </c>
      <c r="P2819" s="203">
        <f t="shared" si="323"/>
        <v>0</v>
      </c>
      <c r="Q2819" s="271">
        <f t="shared" ref="Q2819:Q2882" si="325">ROUND(IFERROR(M2819*10000/P2819,0),2)</f>
        <v>0</v>
      </c>
      <c r="R2819" s="188"/>
      <c r="S2819" s="280"/>
      <c r="T2819" s="222"/>
      <c r="U2819" s="299" t="s">
        <v>4967</v>
      </c>
    </row>
    <row r="2820" spans="1:21" s="181" customFormat="1" ht="0" hidden="1" customHeight="1" outlineLevel="3">
      <c r="A2820" s="253" t="s">
        <v>4583</v>
      </c>
      <c r="B2820" s="254"/>
      <c r="C2820" s="250" t="s">
        <v>1609</v>
      </c>
      <c r="D2820" s="203">
        <f>'02 项目基础信息（输入）'!$C$78</f>
        <v>0</v>
      </c>
      <c r="E2820" s="204" t="s">
        <v>93</v>
      </c>
      <c r="F2820" s="250" t="s">
        <v>4584</v>
      </c>
      <c r="G2820" s="210">
        <f>IFERROR(I2820/D2820,0)</f>
        <v>0</v>
      </c>
      <c r="H2820" s="204" t="s">
        <v>298</v>
      </c>
      <c r="I2820" s="285"/>
      <c r="J2820" s="204" t="s">
        <v>93</v>
      </c>
      <c r="K2820" s="270"/>
      <c r="L2820" s="210" t="s">
        <v>675</v>
      </c>
      <c r="M2820" s="198">
        <f>ROUND(K2820*I2820/10000,6)</f>
        <v>0</v>
      </c>
      <c r="N2820" s="212">
        <f>'02 项目基础信息（输入）'!$C$78</f>
        <v>0</v>
      </c>
      <c r="O2820" s="203">
        <f t="shared" si="324"/>
        <v>0</v>
      </c>
      <c r="P2820" s="203">
        <f t="shared" si="323"/>
        <v>0</v>
      </c>
      <c r="Q2820" s="271">
        <f t="shared" si="325"/>
        <v>0</v>
      </c>
      <c r="R2820" s="188"/>
      <c r="S2820" s="280"/>
      <c r="T2820" s="222"/>
      <c r="U2820" s="299" t="s">
        <v>4968</v>
      </c>
    </row>
    <row r="2821" spans="1:21" s="181" customFormat="1" ht="0" hidden="1" customHeight="1" outlineLevel="3">
      <c r="A2821" s="253" t="s">
        <v>4586</v>
      </c>
      <c r="B2821" s="254"/>
      <c r="C2821" s="250" t="s">
        <v>1609</v>
      </c>
      <c r="D2821" s="203">
        <f>'02 项目基础信息（输入）'!$C$78</f>
        <v>0</v>
      </c>
      <c r="E2821" s="204" t="s">
        <v>93</v>
      </c>
      <c r="F2821" s="250" t="s">
        <v>1960</v>
      </c>
      <c r="G2821" s="237"/>
      <c r="H2821" s="278" t="s">
        <v>123</v>
      </c>
      <c r="I2821" s="268">
        <f>G2821*D2821/100</f>
        <v>0</v>
      </c>
      <c r="J2821" s="204" t="s">
        <v>93</v>
      </c>
      <c r="K2821" s="270"/>
      <c r="L2821" s="210" t="s">
        <v>675</v>
      </c>
      <c r="M2821" s="198">
        <f>ROUND(K2821*I2821/10000,6)</f>
        <v>0</v>
      </c>
      <c r="N2821" s="212">
        <f>'02 项目基础信息（输入）'!$C$78</f>
        <v>0</v>
      </c>
      <c r="O2821" s="203">
        <f t="shared" si="324"/>
        <v>0</v>
      </c>
      <c r="P2821" s="203">
        <f t="shared" si="323"/>
        <v>0</v>
      </c>
      <c r="Q2821" s="271">
        <f t="shared" si="325"/>
        <v>0</v>
      </c>
      <c r="R2821" s="188"/>
      <c r="S2821" s="280"/>
      <c r="T2821" s="222"/>
      <c r="U2821" s="299" t="s">
        <v>4969</v>
      </c>
    </row>
    <row r="2822" spans="1:21" s="181" customFormat="1" ht="0" hidden="1" customHeight="1" outlineLevel="3">
      <c r="A2822" s="253" t="s">
        <v>4588</v>
      </c>
      <c r="B2822" s="254"/>
      <c r="C2822" s="250" t="s">
        <v>1665</v>
      </c>
      <c r="D2822" s="203">
        <f>ROUND(M2789+M2793+M2797+M2801+M2805+M2809+M2812+M2816+M2819+M2820+M2821,6)*10000</f>
        <v>0</v>
      </c>
      <c r="E2822" s="204" t="s">
        <v>1666</v>
      </c>
      <c r="F2822" s="202" t="s">
        <v>1667</v>
      </c>
      <c r="G2822" s="258">
        <f>IFERROR(I2822*100/D2822,0)</f>
        <v>0</v>
      </c>
      <c r="H2822" s="204" t="s">
        <v>123</v>
      </c>
      <c r="I2822" s="265">
        <f>N2822*K2822</f>
        <v>0</v>
      </c>
      <c r="J2822" s="204" t="s">
        <v>1666</v>
      </c>
      <c r="K2822" s="269"/>
      <c r="L2822" s="210" t="s">
        <v>675</v>
      </c>
      <c r="M2822" s="231">
        <f>ROUND(I2822/10000,6)</f>
        <v>0</v>
      </c>
      <c r="N2822" s="212">
        <f>'02 项目基础信息（输入）'!$C$78</f>
        <v>0</v>
      </c>
      <c r="O2822" s="203">
        <f t="shared" si="324"/>
        <v>0</v>
      </c>
      <c r="P2822" s="203">
        <f t="shared" si="323"/>
        <v>0</v>
      </c>
      <c r="Q2822" s="271">
        <f t="shared" si="325"/>
        <v>0</v>
      </c>
      <c r="R2822" s="188"/>
      <c r="S2822" s="280"/>
      <c r="T2822" s="222"/>
      <c r="U2822" s="299" t="s">
        <v>4970</v>
      </c>
    </row>
    <row r="2823" spans="1:21" ht="0" hidden="1" customHeight="1" outlineLevel="2">
      <c r="A2823" s="201" t="s">
        <v>4590</v>
      </c>
      <c r="B2823" s="201"/>
      <c r="C2823" s="202" t="s">
        <v>1609</v>
      </c>
      <c r="D2823" s="203">
        <f>'02 项目基础信息（输入）'!$C$78</f>
        <v>0</v>
      </c>
      <c r="E2823" s="204" t="s">
        <v>93</v>
      </c>
      <c r="F2823" s="256"/>
      <c r="G2823" s="255"/>
      <c r="H2823" s="255"/>
      <c r="I2823" s="212"/>
      <c r="J2823" s="255"/>
      <c r="K2823" s="264"/>
      <c r="L2823" s="205"/>
      <c r="M2823" s="198">
        <f>M2824+M2832</f>
        <v>0</v>
      </c>
      <c r="N2823" s="212">
        <f>'02 项目基础信息（输入）'!$C$78</f>
        <v>0</v>
      </c>
      <c r="O2823" s="203">
        <f t="shared" si="324"/>
        <v>0</v>
      </c>
      <c r="P2823" s="203">
        <f t="shared" si="323"/>
        <v>0</v>
      </c>
      <c r="Q2823" s="271">
        <f t="shared" si="325"/>
        <v>0</v>
      </c>
      <c r="S2823" s="280" t="s">
        <v>1314</v>
      </c>
      <c r="T2823" s="222"/>
      <c r="U2823" s="298" t="s">
        <v>4971</v>
      </c>
    </row>
    <row r="2824" spans="1:21" ht="0" hidden="1" customHeight="1" outlineLevel="3">
      <c r="A2824" s="201" t="s">
        <v>4592</v>
      </c>
      <c r="B2824" s="201"/>
      <c r="C2824" s="202" t="s">
        <v>1609</v>
      </c>
      <c r="D2824" s="203">
        <f>'02 项目基础信息（输入）'!$C$78</f>
        <v>0</v>
      </c>
      <c r="E2824" s="204" t="s">
        <v>93</v>
      </c>
      <c r="F2824" s="202"/>
      <c r="G2824" s="204"/>
      <c r="H2824" s="204"/>
      <c r="I2824" s="203"/>
      <c r="J2824" s="255"/>
      <c r="K2824" s="264"/>
      <c r="L2824" s="205"/>
      <c r="M2824" s="198">
        <f>ROUND(M2825+M2828+M2831,6)</f>
        <v>0</v>
      </c>
      <c r="N2824" s="212">
        <f>'02 项目基础信息（输入）'!$C$78</f>
        <v>0</v>
      </c>
      <c r="O2824" s="203">
        <f t="shared" si="324"/>
        <v>0</v>
      </c>
      <c r="P2824" s="203">
        <f t="shared" si="323"/>
        <v>0</v>
      </c>
      <c r="Q2824" s="271">
        <f t="shared" si="325"/>
        <v>0</v>
      </c>
      <c r="S2824" s="280"/>
      <c r="T2824" s="222"/>
      <c r="U2824" s="298" t="s">
        <v>4972</v>
      </c>
    </row>
    <row r="2825" spans="1:21" s="181" customFormat="1" ht="0" hidden="1" customHeight="1" outlineLevel="4">
      <c r="A2825" s="253" t="s">
        <v>4594</v>
      </c>
      <c r="B2825" s="254"/>
      <c r="C2825" s="250" t="s">
        <v>1609</v>
      </c>
      <c r="D2825" s="203">
        <f>'02 项目基础信息（输入）'!$C$78</f>
        <v>0</v>
      </c>
      <c r="E2825" s="204" t="s">
        <v>93</v>
      </c>
      <c r="F2825" s="202"/>
      <c r="G2825" s="280"/>
      <c r="H2825" s="204"/>
      <c r="I2825" s="268"/>
      <c r="J2825" s="204"/>
      <c r="K2825" s="203"/>
      <c r="L2825" s="210"/>
      <c r="M2825" s="198">
        <f>ROUND(SUM(M2826:M2827),6)</f>
        <v>0</v>
      </c>
      <c r="N2825" s="212">
        <f>'02 项目基础信息（输入）'!$C$78</f>
        <v>0</v>
      </c>
      <c r="O2825" s="203">
        <f t="shared" si="324"/>
        <v>0</v>
      </c>
      <c r="P2825" s="203">
        <f t="shared" si="323"/>
        <v>0</v>
      </c>
      <c r="Q2825" s="271">
        <f t="shared" si="325"/>
        <v>0</v>
      </c>
      <c r="R2825" s="188"/>
      <c r="S2825" s="280"/>
      <c r="T2825" s="222"/>
      <c r="U2825" s="299" t="s">
        <v>4973</v>
      </c>
    </row>
    <row r="2826" spans="1:21" s="181" customFormat="1" ht="0" hidden="1" customHeight="1" outlineLevel="5">
      <c r="A2826" s="253" t="s">
        <v>4596</v>
      </c>
      <c r="B2826" s="254"/>
      <c r="C2826" s="250" t="s">
        <v>1609</v>
      </c>
      <c r="D2826" s="203">
        <f>'02 项目基础信息（输入）'!$C$78</f>
        <v>0</v>
      </c>
      <c r="E2826" s="204" t="s">
        <v>93</v>
      </c>
      <c r="F2826" s="202" t="s">
        <v>4597</v>
      </c>
      <c r="G2826" s="210">
        <f>IFERROR(I2826/D2826,0)</f>
        <v>0</v>
      </c>
      <c r="H2826" s="204" t="s">
        <v>4598</v>
      </c>
      <c r="I2826" s="292"/>
      <c r="J2826" s="204" t="s">
        <v>1052</v>
      </c>
      <c r="K2826" s="270"/>
      <c r="L2826" s="210" t="s">
        <v>746</v>
      </c>
      <c r="M2826" s="198">
        <f>ROUND(K2826*I2826/10000,6)</f>
        <v>0</v>
      </c>
      <c r="N2826" s="212">
        <f>'02 项目基础信息（输入）'!$C$78</f>
        <v>0</v>
      </c>
      <c r="O2826" s="203">
        <f t="shared" si="324"/>
        <v>0</v>
      </c>
      <c r="P2826" s="203">
        <f t="shared" ref="P2826:P2889" si="326">N2826</f>
        <v>0</v>
      </c>
      <c r="Q2826" s="271">
        <f t="shared" si="325"/>
        <v>0</v>
      </c>
      <c r="R2826" s="188"/>
      <c r="S2826" s="280"/>
      <c r="T2826" s="222"/>
      <c r="U2826" s="299" t="s">
        <v>4974</v>
      </c>
    </row>
    <row r="2827" spans="1:21" s="181" customFormat="1" ht="0" hidden="1" customHeight="1" outlineLevel="5">
      <c r="A2827" s="253" t="s">
        <v>4600</v>
      </c>
      <c r="B2827" s="254"/>
      <c r="C2827" s="250" t="s">
        <v>1609</v>
      </c>
      <c r="D2827" s="203">
        <f>'02 项目基础信息（输入）'!$C$78</f>
        <v>0</v>
      </c>
      <c r="E2827" s="204" t="s">
        <v>93</v>
      </c>
      <c r="F2827" s="202" t="s">
        <v>4597</v>
      </c>
      <c r="G2827" s="210">
        <f>IFERROR(I2827/D2827,0)</f>
        <v>0</v>
      </c>
      <c r="H2827" s="204" t="s">
        <v>4598</v>
      </c>
      <c r="I2827" s="212">
        <f>I2826</f>
        <v>0</v>
      </c>
      <c r="J2827" s="204" t="s">
        <v>1052</v>
      </c>
      <c r="K2827" s="270"/>
      <c r="L2827" s="210" t="s">
        <v>746</v>
      </c>
      <c r="M2827" s="198">
        <f>ROUND(K2827*I2827/10000,6)</f>
        <v>0</v>
      </c>
      <c r="N2827" s="212">
        <f>'02 项目基础信息（输入）'!$C$78</f>
        <v>0</v>
      </c>
      <c r="O2827" s="203">
        <f t="shared" si="324"/>
        <v>0</v>
      </c>
      <c r="P2827" s="203">
        <f t="shared" si="326"/>
        <v>0</v>
      </c>
      <c r="Q2827" s="271">
        <f t="shared" si="325"/>
        <v>0</v>
      </c>
      <c r="R2827" s="188"/>
      <c r="S2827" s="280"/>
      <c r="T2827" s="222"/>
      <c r="U2827" s="299" t="s">
        <v>4975</v>
      </c>
    </row>
    <row r="2828" spans="1:21" s="181" customFormat="1" ht="0" hidden="1" customHeight="1" outlineLevel="4">
      <c r="A2828" s="253" t="s">
        <v>4602</v>
      </c>
      <c r="B2828" s="254"/>
      <c r="C2828" s="250" t="s">
        <v>1609</v>
      </c>
      <c r="D2828" s="203">
        <f>'02 项目基础信息（输入）'!$C$78</f>
        <v>0</v>
      </c>
      <c r="E2828" s="204" t="s">
        <v>93</v>
      </c>
      <c r="F2828" s="202"/>
      <c r="G2828" s="280"/>
      <c r="H2828" s="204"/>
      <c r="I2828" s="268"/>
      <c r="J2828" s="204"/>
      <c r="K2828" s="203"/>
      <c r="L2828" s="210"/>
      <c r="M2828" s="198">
        <f>ROUND(SUM(M2829:M2830),6)</f>
        <v>0</v>
      </c>
      <c r="N2828" s="212">
        <f>'02 项目基础信息（输入）'!$C$78</f>
        <v>0</v>
      </c>
      <c r="O2828" s="203">
        <f t="shared" si="324"/>
        <v>0</v>
      </c>
      <c r="P2828" s="203">
        <f t="shared" si="326"/>
        <v>0</v>
      </c>
      <c r="Q2828" s="271">
        <f t="shared" si="325"/>
        <v>0</v>
      </c>
      <c r="R2828" s="188"/>
      <c r="S2828" s="280"/>
      <c r="T2828" s="222"/>
      <c r="U2828" s="299" t="s">
        <v>4976</v>
      </c>
    </row>
    <row r="2829" spans="1:21" s="181" customFormat="1" ht="0" hidden="1" customHeight="1" outlineLevel="5">
      <c r="A2829" s="253" t="s">
        <v>4604</v>
      </c>
      <c r="B2829" s="254"/>
      <c r="C2829" s="250" t="s">
        <v>1609</v>
      </c>
      <c r="D2829" s="203">
        <f>'02 项目基础信息（输入）'!$C$78</f>
        <v>0</v>
      </c>
      <c r="E2829" s="204" t="s">
        <v>93</v>
      </c>
      <c r="F2829" s="202" t="s">
        <v>4605</v>
      </c>
      <c r="G2829" s="210">
        <f>IFERROR(I2829/D2829,0)</f>
        <v>0</v>
      </c>
      <c r="H2829" s="204" t="s">
        <v>4606</v>
      </c>
      <c r="I2829" s="292"/>
      <c r="J2829" s="204" t="s">
        <v>1946</v>
      </c>
      <c r="K2829" s="270"/>
      <c r="L2829" s="210" t="s">
        <v>1948</v>
      </c>
      <c r="M2829" s="198">
        <f>ROUND(K2829*I2829/10000,6)</f>
        <v>0</v>
      </c>
      <c r="N2829" s="212">
        <f>'02 项目基础信息（输入）'!$C$78</f>
        <v>0</v>
      </c>
      <c r="O2829" s="203">
        <f t="shared" si="324"/>
        <v>0</v>
      </c>
      <c r="P2829" s="203">
        <f t="shared" si="326"/>
        <v>0</v>
      </c>
      <c r="Q2829" s="271">
        <f t="shared" si="325"/>
        <v>0</v>
      </c>
      <c r="R2829" s="188"/>
      <c r="S2829" s="280"/>
      <c r="T2829" s="222"/>
      <c r="U2829" s="299" t="s">
        <v>4977</v>
      </c>
    </row>
    <row r="2830" spans="1:21" s="181" customFormat="1" ht="0" hidden="1" customHeight="1" outlineLevel="5">
      <c r="A2830" s="253" t="s">
        <v>4608</v>
      </c>
      <c r="B2830" s="254"/>
      <c r="C2830" s="250" t="s">
        <v>1609</v>
      </c>
      <c r="D2830" s="203">
        <f>'02 项目基础信息（输入）'!$C$78</f>
        <v>0</v>
      </c>
      <c r="E2830" s="204" t="s">
        <v>93</v>
      </c>
      <c r="F2830" s="202" t="s">
        <v>4605</v>
      </c>
      <c r="G2830" s="210">
        <f>IFERROR(I2830/D2830,0)</f>
        <v>0</v>
      </c>
      <c r="H2830" s="204" t="s">
        <v>4606</v>
      </c>
      <c r="I2830" s="212">
        <f>I2829</f>
        <v>0</v>
      </c>
      <c r="J2830" s="204" t="s">
        <v>1946</v>
      </c>
      <c r="K2830" s="270"/>
      <c r="L2830" s="210" t="s">
        <v>1948</v>
      </c>
      <c r="M2830" s="198">
        <f>ROUND(K2830*I2830/10000,6)</f>
        <v>0</v>
      </c>
      <c r="N2830" s="212">
        <f>'02 项目基础信息（输入）'!$C$78</f>
        <v>0</v>
      </c>
      <c r="O2830" s="203">
        <f t="shared" si="324"/>
        <v>0</v>
      </c>
      <c r="P2830" s="203">
        <f t="shared" si="326"/>
        <v>0</v>
      </c>
      <c r="Q2830" s="271">
        <f t="shared" si="325"/>
        <v>0</v>
      </c>
      <c r="R2830" s="188"/>
      <c r="S2830" s="280"/>
      <c r="T2830" s="222"/>
      <c r="U2830" s="299" t="s">
        <v>4978</v>
      </c>
    </row>
    <row r="2831" spans="1:21" s="181" customFormat="1" ht="0" hidden="1" customHeight="1" outlineLevel="4">
      <c r="A2831" s="253" t="s">
        <v>4610</v>
      </c>
      <c r="B2831" s="254"/>
      <c r="C2831" s="250" t="s">
        <v>1609</v>
      </c>
      <c r="D2831" s="203">
        <f>'02 项目基础信息（输入）'!$C$78</f>
        <v>0</v>
      </c>
      <c r="E2831" s="204" t="s">
        <v>93</v>
      </c>
      <c r="F2831" s="202" t="s">
        <v>1648</v>
      </c>
      <c r="G2831" s="290">
        <v>1</v>
      </c>
      <c r="H2831" s="204" t="s">
        <v>298</v>
      </c>
      <c r="I2831" s="265">
        <f>D2831*G2831</f>
        <v>0</v>
      </c>
      <c r="J2831" s="204" t="s">
        <v>93</v>
      </c>
      <c r="K2831" s="270"/>
      <c r="L2831" s="210" t="s">
        <v>675</v>
      </c>
      <c r="M2831" s="198">
        <f>ROUND(K2831*I2831/10000,6)</f>
        <v>0</v>
      </c>
      <c r="N2831" s="212">
        <f>'02 项目基础信息（输入）'!$C$78</f>
        <v>0</v>
      </c>
      <c r="O2831" s="203">
        <f t="shared" si="324"/>
        <v>0</v>
      </c>
      <c r="P2831" s="203">
        <f t="shared" si="326"/>
        <v>0</v>
      </c>
      <c r="Q2831" s="271">
        <f t="shared" si="325"/>
        <v>0</v>
      </c>
      <c r="R2831" s="188"/>
      <c r="S2831" s="280"/>
      <c r="T2831" s="222"/>
      <c r="U2831" s="299" t="s">
        <v>4979</v>
      </c>
    </row>
    <row r="2832" spans="1:21" ht="0" hidden="1" customHeight="1" outlineLevel="3">
      <c r="A2832" s="201" t="s">
        <v>4612</v>
      </c>
      <c r="B2832" s="201"/>
      <c r="C2832" s="202" t="s">
        <v>1609</v>
      </c>
      <c r="D2832" s="203">
        <f>'02 项目基础信息（输入）'!$C$78</f>
        <v>0</v>
      </c>
      <c r="E2832" s="204" t="s">
        <v>93</v>
      </c>
      <c r="F2832" s="202"/>
      <c r="G2832" s="204"/>
      <c r="H2832" s="204"/>
      <c r="I2832" s="212"/>
      <c r="J2832" s="255"/>
      <c r="K2832" s="264"/>
      <c r="L2832" s="205"/>
      <c r="M2832" s="198">
        <f>ROUND(SUM(M2833:M2835),6)</f>
        <v>0</v>
      </c>
      <c r="N2832" s="212">
        <f>'02 项目基础信息（输入）'!$C$78</f>
        <v>0</v>
      </c>
      <c r="O2832" s="203">
        <f t="shared" si="324"/>
        <v>0</v>
      </c>
      <c r="P2832" s="203">
        <f t="shared" si="326"/>
        <v>0</v>
      </c>
      <c r="Q2832" s="271">
        <f t="shared" si="325"/>
        <v>0</v>
      </c>
      <c r="S2832" s="280"/>
      <c r="T2832" s="222"/>
      <c r="U2832" s="298" t="s">
        <v>4980</v>
      </c>
    </row>
    <row r="2833" spans="1:21" s="181" customFormat="1" ht="0" hidden="1" customHeight="1" outlineLevel="5">
      <c r="A2833" s="253" t="s">
        <v>4614</v>
      </c>
      <c r="B2833" s="253"/>
      <c r="C2833" s="202" t="s">
        <v>1609</v>
      </c>
      <c r="D2833" s="203">
        <f>'02 项目基础信息（输入）'!$C$78</f>
        <v>0</v>
      </c>
      <c r="E2833" s="204" t="s">
        <v>93</v>
      </c>
      <c r="F2833" s="202" t="s">
        <v>4615</v>
      </c>
      <c r="G2833" s="210">
        <f>IFERROR(I2833/D2833,0)</f>
        <v>0</v>
      </c>
      <c r="H2833" s="204" t="s">
        <v>4598</v>
      </c>
      <c r="I2833" s="281">
        <f>'03 成本测算（输入）'!D259</f>
        <v>0</v>
      </c>
      <c r="J2833" s="204" t="s">
        <v>1052</v>
      </c>
      <c r="K2833" s="267">
        <f>'03 成本测算（输入）'!D260</f>
        <v>0</v>
      </c>
      <c r="L2833" s="210" t="s">
        <v>746</v>
      </c>
      <c r="M2833" s="198">
        <f>ROUND(K2833*I2833/10000,6)</f>
        <v>0</v>
      </c>
      <c r="N2833" s="212">
        <f>'02 项目基础信息（输入）'!$C$78</f>
        <v>0</v>
      </c>
      <c r="O2833" s="203">
        <f t="shared" si="324"/>
        <v>0</v>
      </c>
      <c r="P2833" s="203">
        <f t="shared" si="326"/>
        <v>0</v>
      </c>
      <c r="Q2833" s="271">
        <f t="shared" si="325"/>
        <v>0</v>
      </c>
      <c r="R2833" s="188"/>
      <c r="S2833" s="280"/>
      <c r="T2833" s="222"/>
      <c r="U2833" s="299" t="s">
        <v>4981</v>
      </c>
    </row>
    <row r="2834" spans="1:21" s="181" customFormat="1" ht="0" hidden="1" customHeight="1" outlineLevel="5">
      <c r="A2834" s="253" t="s">
        <v>4617</v>
      </c>
      <c r="B2834" s="253"/>
      <c r="C2834" s="202" t="s">
        <v>1609</v>
      </c>
      <c r="D2834" s="203">
        <f>'02 项目基础信息（输入）'!$C$78</f>
        <v>0</v>
      </c>
      <c r="E2834" s="204" t="s">
        <v>93</v>
      </c>
      <c r="F2834" s="202" t="s">
        <v>4618</v>
      </c>
      <c r="G2834" s="210">
        <f>IFERROR(I2834/D2834,0)</f>
        <v>0</v>
      </c>
      <c r="H2834" s="204" t="s">
        <v>4598</v>
      </c>
      <c r="I2834" s="292"/>
      <c r="J2834" s="204" t="s">
        <v>1052</v>
      </c>
      <c r="K2834" s="270"/>
      <c r="L2834" s="210" t="s">
        <v>746</v>
      </c>
      <c r="M2834" s="198">
        <f>ROUND(K2834*I2834/10000,6)</f>
        <v>0</v>
      </c>
      <c r="N2834" s="212">
        <f>'02 项目基础信息（输入）'!$C$78</f>
        <v>0</v>
      </c>
      <c r="O2834" s="203">
        <f t="shared" si="324"/>
        <v>0</v>
      </c>
      <c r="P2834" s="203">
        <f t="shared" si="326"/>
        <v>0</v>
      </c>
      <c r="Q2834" s="271">
        <f t="shared" si="325"/>
        <v>0</v>
      </c>
      <c r="R2834" s="188"/>
      <c r="S2834" s="280"/>
      <c r="T2834" s="222"/>
      <c r="U2834" s="299" t="s">
        <v>4982</v>
      </c>
    </row>
    <row r="2835" spans="1:21" s="181" customFormat="1" ht="0" hidden="1" customHeight="1" outlineLevel="5">
      <c r="A2835" s="253" t="s">
        <v>4620</v>
      </c>
      <c r="B2835" s="253"/>
      <c r="C2835" s="202" t="s">
        <v>1609</v>
      </c>
      <c r="D2835" s="203">
        <f>'02 项目基础信息（输入）'!$C$78</f>
        <v>0</v>
      </c>
      <c r="E2835" s="204" t="s">
        <v>93</v>
      </c>
      <c r="F2835" s="202" t="s">
        <v>4621</v>
      </c>
      <c r="G2835" s="210">
        <f>IFERROR(I2835/D2835,0)</f>
        <v>0</v>
      </c>
      <c r="H2835" s="204" t="s">
        <v>4598</v>
      </c>
      <c r="I2835" s="292"/>
      <c r="J2835" s="204" t="s">
        <v>1052</v>
      </c>
      <c r="K2835" s="270"/>
      <c r="L2835" s="210" t="s">
        <v>746</v>
      </c>
      <c r="M2835" s="198">
        <f>ROUND(K2835*I2835/10000,6)</f>
        <v>0</v>
      </c>
      <c r="N2835" s="212">
        <f>'02 项目基础信息（输入）'!$C$78</f>
        <v>0</v>
      </c>
      <c r="O2835" s="203">
        <f t="shared" si="324"/>
        <v>0</v>
      </c>
      <c r="P2835" s="203">
        <f t="shared" si="326"/>
        <v>0</v>
      </c>
      <c r="Q2835" s="271">
        <f t="shared" si="325"/>
        <v>0</v>
      </c>
      <c r="R2835" s="188"/>
      <c r="S2835" s="280"/>
      <c r="T2835" s="222"/>
      <c r="U2835" s="299" t="s">
        <v>4983</v>
      </c>
    </row>
    <row r="2836" spans="1:21" ht="0" hidden="1" customHeight="1" outlineLevel="2">
      <c r="A2836" s="201" t="s">
        <v>4623</v>
      </c>
      <c r="B2836" s="201"/>
      <c r="C2836" s="202" t="s">
        <v>1609</v>
      </c>
      <c r="D2836" s="203">
        <f>'02 项目基础信息（输入）'!$C$78</f>
        <v>0</v>
      </c>
      <c r="E2836" s="204" t="s">
        <v>93</v>
      </c>
      <c r="F2836" s="256"/>
      <c r="G2836" s="255"/>
      <c r="H2836" s="255"/>
      <c r="I2836" s="212"/>
      <c r="J2836" s="255"/>
      <c r="K2836" s="264"/>
      <c r="L2836" s="205"/>
      <c r="M2836" s="198">
        <f>ROUND(SUM(M2837:M2839),6)</f>
        <v>0</v>
      </c>
      <c r="N2836" s="212">
        <f>'02 项目基础信息（输入）'!$C$78</f>
        <v>0</v>
      </c>
      <c r="O2836" s="203">
        <f t="shared" si="324"/>
        <v>0</v>
      </c>
      <c r="P2836" s="203">
        <f t="shared" si="326"/>
        <v>0</v>
      </c>
      <c r="Q2836" s="271">
        <f t="shared" si="325"/>
        <v>0</v>
      </c>
      <c r="S2836" s="280" t="s">
        <v>1314</v>
      </c>
      <c r="T2836" s="222"/>
      <c r="U2836" s="298" t="s">
        <v>4984</v>
      </c>
    </row>
    <row r="2837" spans="1:21" s="181" customFormat="1" ht="0" hidden="1" customHeight="1" outlineLevel="3">
      <c r="A2837" s="253" t="s">
        <v>4625</v>
      </c>
      <c r="B2837" s="254"/>
      <c r="C2837" s="250" t="s">
        <v>1609</v>
      </c>
      <c r="D2837" s="203">
        <f>'02 项目基础信息（输入）'!$C$78</f>
        <v>0</v>
      </c>
      <c r="E2837" s="204" t="s">
        <v>93</v>
      </c>
      <c r="F2837" s="202" t="s">
        <v>694</v>
      </c>
      <c r="G2837" s="261">
        <f>IFERROR(I2837/D2837,0)</f>
        <v>0</v>
      </c>
      <c r="H2837" s="204" t="s">
        <v>1473</v>
      </c>
      <c r="I2837" s="270"/>
      <c r="J2837" s="204" t="s">
        <v>131</v>
      </c>
      <c r="K2837" s="270"/>
      <c r="L2837" s="210" t="s">
        <v>792</v>
      </c>
      <c r="M2837" s="198">
        <f>ROUND(K2837*I2837/10000,6)</f>
        <v>0</v>
      </c>
      <c r="N2837" s="212">
        <f>'02 项目基础信息（输入）'!$C$78</f>
        <v>0</v>
      </c>
      <c r="O2837" s="203">
        <f t="shared" si="324"/>
        <v>0</v>
      </c>
      <c r="P2837" s="203">
        <f t="shared" si="326"/>
        <v>0</v>
      </c>
      <c r="Q2837" s="271">
        <f t="shared" si="325"/>
        <v>0</v>
      </c>
      <c r="R2837" s="188"/>
      <c r="S2837" s="280"/>
      <c r="T2837" s="222"/>
      <c r="U2837" s="299" t="s">
        <v>4985</v>
      </c>
    </row>
    <row r="2838" spans="1:21" s="181" customFormat="1" ht="0" hidden="1" customHeight="1" outlineLevel="3">
      <c r="A2838" s="253" t="s">
        <v>4627</v>
      </c>
      <c r="B2838" s="254"/>
      <c r="C2838" s="250" t="s">
        <v>1609</v>
      </c>
      <c r="D2838" s="203">
        <f>'02 项目基础信息（输入）'!$C$78</f>
        <v>0</v>
      </c>
      <c r="E2838" s="204" t="s">
        <v>93</v>
      </c>
      <c r="F2838" s="202" t="s">
        <v>694</v>
      </c>
      <c r="G2838" s="261">
        <f>IFERROR(I2838/D2838,0)</f>
        <v>0</v>
      </c>
      <c r="H2838" s="204" t="s">
        <v>1473</v>
      </c>
      <c r="I2838" s="270"/>
      <c r="J2838" s="204" t="s">
        <v>131</v>
      </c>
      <c r="K2838" s="270"/>
      <c r="L2838" s="210" t="s">
        <v>792</v>
      </c>
      <c r="M2838" s="198">
        <f>ROUND(K2838*I2838/10000,6)</f>
        <v>0</v>
      </c>
      <c r="N2838" s="212">
        <f>'02 项目基础信息（输入）'!$C$78</f>
        <v>0</v>
      </c>
      <c r="O2838" s="203">
        <f t="shared" si="324"/>
        <v>0</v>
      </c>
      <c r="P2838" s="203">
        <f t="shared" si="326"/>
        <v>0</v>
      </c>
      <c r="Q2838" s="271">
        <f t="shared" si="325"/>
        <v>0</v>
      </c>
      <c r="R2838" s="188"/>
      <c r="S2838" s="280"/>
      <c r="T2838" s="222"/>
      <c r="U2838" s="299" t="s">
        <v>4986</v>
      </c>
    </row>
    <row r="2839" spans="1:21" s="181" customFormat="1" ht="0" hidden="1" customHeight="1" outlineLevel="3">
      <c r="A2839" s="253" t="s">
        <v>4629</v>
      </c>
      <c r="B2839" s="254"/>
      <c r="C2839" s="250" t="s">
        <v>1609</v>
      </c>
      <c r="D2839" s="203">
        <f>'02 项目基础信息（输入）'!$C$78</f>
        <v>0</v>
      </c>
      <c r="E2839" s="204" t="s">
        <v>131</v>
      </c>
      <c r="F2839" s="202" t="s">
        <v>694</v>
      </c>
      <c r="G2839" s="261">
        <f>IFERROR(I2839/D2839,0)</f>
        <v>0</v>
      </c>
      <c r="H2839" s="204" t="s">
        <v>1473</v>
      </c>
      <c r="I2839" s="270"/>
      <c r="J2839" s="204" t="s">
        <v>131</v>
      </c>
      <c r="K2839" s="270"/>
      <c r="L2839" s="210" t="s">
        <v>792</v>
      </c>
      <c r="M2839" s="198">
        <f>ROUND(K2839*I2839/10000,6)</f>
        <v>0</v>
      </c>
      <c r="N2839" s="212">
        <f>'02 项目基础信息（输入）'!$C$78</f>
        <v>0</v>
      </c>
      <c r="O2839" s="203">
        <f t="shared" si="324"/>
        <v>0</v>
      </c>
      <c r="P2839" s="203">
        <f t="shared" si="326"/>
        <v>0</v>
      </c>
      <c r="Q2839" s="271">
        <f t="shared" si="325"/>
        <v>0</v>
      </c>
      <c r="R2839" s="188"/>
      <c r="S2839" s="280"/>
      <c r="T2839" s="222"/>
      <c r="U2839" s="299" t="s">
        <v>4987</v>
      </c>
    </row>
    <row r="2840" spans="1:21" ht="0" hidden="1" customHeight="1" outlineLevel="2">
      <c r="A2840" s="201" t="s">
        <v>4631</v>
      </c>
      <c r="B2840" s="201"/>
      <c r="C2840" s="202" t="s">
        <v>1609</v>
      </c>
      <c r="D2840" s="203">
        <f>'02 项目基础信息（输入）'!$C$78</f>
        <v>0</v>
      </c>
      <c r="E2840" s="204" t="s">
        <v>93</v>
      </c>
      <c r="F2840" s="202"/>
      <c r="G2840" s="204"/>
      <c r="H2840" s="204"/>
      <c r="I2840" s="203"/>
      <c r="J2840" s="204"/>
      <c r="K2840" s="264"/>
      <c r="L2840" s="205"/>
      <c r="M2840" s="198">
        <f>ROUND(SUM(M2841:M2842),6)</f>
        <v>0</v>
      </c>
      <c r="N2840" s="212">
        <f>'02 项目基础信息（输入）'!$C$78</f>
        <v>0</v>
      </c>
      <c r="O2840" s="203">
        <f t="shared" si="324"/>
        <v>0</v>
      </c>
      <c r="P2840" s="203">
        <f t="shared" si="326"/>
        <v>0</v>
      </c>
      <c r="Q2840" s="271">
        <f t="shared" si="325"/>
        <v>0</v>
      </c>
      <c r="S2840" s="280" t="s">
        <v>1314</v>
      </c>
      <c r="T2840" s="222"/>
      <c r="U2840" s="298" t="s">
        <v>4988</v>
      </c>
    </row>
    <row r="2841" spans="1:21" ht="0" hidden="1" customHeight="1" outlineLevel="3">
      <c r="A2841" s="253" t="s">
        <v>4633</v>
      </c>
      <c r="B2841" s="253"/>
      <c r="C2841" s="202" t="s">
        <v>1081</v>
      </c>
      <c r="D2841" s="289">
        <f>'02 项目基础信息（输入）'!AX78</f>
        <v>0</v>
      </c>
      <c r="E2841" s="204" t="s">
        <v>1082</v>
      </c>
      <c r="F2841" s="202" t="s">
        <v>1081</v>
      </c>
      <c r="G2841" s="204">
        <v>1</v>
      </c>
      <c r="H2841" s="204" t="s">
        <v>1918</v>
      </c>
      <c r="I2841" s="293">
        <f>D2841*G2841</f>
        <v>0</v>
      </c>
      <c r="J2841" s="204" t="s">
        <v>1082</v>
      </c>
      <c r="K2841" s="267">
        <f>'03 成本测算（输入）'!D278</f>
        <v>0</v>
      </c>
      <c r="L2841" s="210" t="s">
        <v>1087</v>
      </c>
      <c r="M2841" s="198">
        <f>ROUND(K2841*I2841/10000,6)</f>
        <v>0</v>
      </c>
      <c r="N2841" s="212">
        <f>'02 项目基础信息（输入）'!$C$78</f>
        <v>0</v>
      </c>
      <c r="O2841" s="203">
        <f t="shared" si="324"/>
        <v>0</v>
      </c>
      <c r="P2841" s="203">
        <f t="shared" si="326"/>
        <v>0</v>
      </c>
      <c r="Q2841" s="271">
        <f t="shared" si="325"/>
        <v>0</v>
      </c>
      <c r="S2841" s="280"/>
      <c r="T2841" s="222"/>
      <c r="U2841" s="299" t="s">
        <v>4989</v>
      </c>
    </row>
    <row r="2842" spans="1:21" ht="0" hidden="1" customHeight="1" outlineLevel="3">
      <c r="A2842" s="253" t="s">
        <v>4635</v>
      </c>
      <c r="B2842" s="253"/>
      <c r="C2842" s="202" t="s">
        <v>1081</v>
      </c>
      <c r="D2842" s="291">
        <f>D2841</f>
        <v>0</v>
      </c>
      <c r="E2842" s="204" t="s">
        <v>1082</v>
      </c>
      <c r="F2842" s="202" t="s">
        <v>1081</v>
      </c>
      <c r="G2842" s="204">
        <v>1</v>
      </c>
      <c r="H2842" s="204" t="s">
        <v>1918</v>
      </c>
      <c r="I2842" s="293">
        <f>D2842*G2842</f>
        <v>0</v>
      </c>
      <c r="J2842" s="204" t="s">
        <v>1082</v>
      </c>
      <c r="K2842" s="267">
        <f>'03 成本测算（输入）'!D279</f>
        <v>0</v>
      </c>
      <c r="L2842" s="210" t="s">
        <v>1087</v>
      </c>
      <c r="M2842" s="198">
        <f>ROUND(K2842*I2842/10000,6)</f>
        <v>0</v>
      </c>
      <c r="N2842" s="212">
        <f>'02 项目基础信息（输入）'!$C$78</f>
        <v>0</v>
      </c>
      <c r="O2842" s="203">
        <f t="shared" si="324"/>
        <v>0</v>
      </c>
      <c r="P2842" s="203">
        <f t="shared" si="326"/>
        <v>0</v>
      </c>
      <c r="Q2842" s="271">
        <f t="shared" si="325"/>
        <v>0</v>
      </c>
      <c r="S2842" s="280"/>
      <c r="T2842" s="222"/>
      <c r="U2842" s="299" t="s">
        <v>4990</v>
      </c>
    </row>
    <row r="2843" spans="1:21" ht="0" hidden="1" customHeight="1" outlineLevel="2">
      <c r="A2843" s="201" t="s">
        <v>4268</v>
      </c>
      <c r="B2843" s="201"/>
      <c r="C2843" s="202" t="s">
        <v>1609</v>
      </c>
      <c r="D2843" s="203">
        <f>'02 项目基础信息（输入）'!$C$78</f>
        <v>0</v>
      </c>
      <c r="E2843" s="204" t="s">
        <v>93</v>
      </c>
      <c r="F2843" s="202"/>
      <c r="G2843" s="204"/>
      <c r="H2843" s="255"/>
      <c r="I2843" s="212"/>
      <c r="J2843" s="255"/>
      <c r="K2843" s="264"/>
      <c r="L2843" s="205"/>
      <c r="M2843" s="198">
        <f>ROUND(M2844+M2851+M2861+M2862+M2863+M2864,6)</f>
        <v>0</v>
      </c>
      <c r="N2843" s="212">
        <f>'02 项目基础信息（输入）'!$C$78</f>
        <v>0</v>
      </c>
      <c r="O2843" s="203">
        <f t="shared" si="324"/>
        <v>0</v>
      </c>
      <c r="P2843" s="203">
        <f t="shared" si="326"/>
        <v>0</v>
      </c>
      <c r="Q2843" s="271">
        <f t="shared" si="325"/>
        <v>0</v>
      </c>
      <c r="S2843" s="280" t="s">
        <v>1313</v>
      </c>
      <c r="T2843" s="222"/>
      <c r="U2843" s="298" t="s">
        <v>4991</v>
      </c>
    </row>
    <row r="2844" spans="1:21" ht="0" hidden="1" customHeight="1" outlineLevel="3">
      <c r="A2844" s="253" t="s">
        <v>4270</v>
      </c>
      <c r="B2844" s="253"/>
      <c r="C2844" s="202" t="s">
        <v>1609</v>
      </c>
      <c r="D2844" s="203">
        <f>'02 项目基础信息（输入）'!$C$78</f>
        <v>0</v>
      </c>
      <c r="E2844" s="204" t="s">
        <v>93</v>
      </c>
      <c r="F2844" s="202"/>
      <c r="G2844" s="204"/>
      <c r="H2844" s="255"/>
      <c r="I2844" s="212"/>
      <c r="J2844" s="255"/>
      <c r="K2844" s="264"/>
      <c r="L2844" s="205"/>
      <c r="M2844" s="198">
        <f>ROUND(SUM(M2845:M2850),6)</f>
        <v>0</v>
      </c>
      <c r="N2844" s="212">
        <f>'02 项目基础信息（输入）'!$C$78</f>
        <v>0</v>
      </c>
      <c r="O2844" s="203">
        <f t="shared" si="324"/>
        <v>0</v>
      </c>
      <c r="P2844" s="203">
        <f t="shared" si="326"/>
        <v>0</v>
      </c>
      <c r="Q2844" s="271">
        <f t="shared" si="325"/>
        <v>0</v>
      </c>
      <c r="S2844" s="280"/>
      <c r="T2844" s="222"/>
      <c r="U2844" s="299" t="s">
        <v>4992</v>
      </c>
    </row>
    <row r="2845" spans="1:21" ht="0" hidden="1" customHeight="1" outlineLevel="4">
      <c r="A2845" s="253" t="s">
        <v>4272</v>
      </c>
      <c r="B2845" s="253"/>
      <c r="C2845" s="202" t="s">
        <v>1609</v>
      </c>
      <c r="D2845" s="203">
        <f>'02 项目基础信息（输入）'!$C$78</f>
        <v>0</v>
      </c>
      <c r="E2845" s="204" t="s">
        <v>93</v>
      </c>
      <c r="F2845" s="202" t="s">
        <v>1609</v>
      </c>
      <c r="G2845" s="204">
        <v>1</v>
      </c>
      <c r="H2845" s="204" t="s">
        <v>298</v>
      </c>
      <c r="I2845" s="265">
        <f t="shared" ref="I2845:I2850" si="327">D2845*G2845</f>
        <v>0</v>
      </c>
      <c r="J2845" s="204" t="s">
        <v>93</v>
      </c>
      <c r="K2845" s="270"/>
      <c r="L2845" s="210" t="s">
        <v>675</v>
      </c>
      <c r="M2845" s="198">
        <f t="shared" ref="M2845:M2850" si="328">ROUND(K2845*I2845/10000,6)</f>
        <v>0</v>
      </c>
      <c r="N2845" s="212">
        <f>'02 项目基础信息（输入）'!$C$78</f>
        <v>0</v>
      </c>
      <c r="O2845" s="203">
        <f t="shared" si="324"/>
        <v>0</v>
      </c>
      <c r="P2845" s="203">
        <f t="shared" si="326"/>
        <v>0</v>
      </c>
      <c r="Q2845" s="271">
        <f t="shared" si="325"/>
        <v>0</v>
      </c>
      <c r="S2845" s="280"/>
      <c r="T2845" s="222"/>
      <c r="U2845" s="299" t="s">
        <v>4993</v>
      </c>
    </row>
    <row r="2846" spans="1:21" ht="0" hidden="1" customHeight="1" outlineLevel="4">
      <c r="A2846" s="253" t="s">
        <v>4274</v>
      </c>
      <c r="B2846" s="253"/>
      <c r="C2846" s="202" t="s">
        <v>1609</v>
      </c>
      <c r="D2846" s="203">
        <f>'02 项目基础信息（输入）'!$C$78</f>
        <v>0</v>
      </c>
      <c r="E2846" s="204" t="s">
        <v>93</v>
      </c>
      <c r="F2846" s="202" t="s">
        <v>1609</v>
      </c>
      <c r="G2846" s="204">
        <v>1</v>
      </c>
      <c r="H2846" s="204" t="s">
        <v>298</v>
      </c>
      <c r="I2846" s="265">
        <f t="shared" si="327"/>
        <v>0</v>
      </c>
      <c r="J2846" s="204" t="s">
        <v>93</v>
      </c>
      <c r="K2846" s="270"/>
      <c r="L2846" s="210" t="s">
        <v>675</v>
      </c>
      <c r="M2846" s="198">
        <f t="shared" si="328"/>
        <v>0</v>
      </c>
      <c r="N2846" s="212">
        <f>'02 项目基础信息（输入）'!$C$78</f>
        <v>0</v>
      </c>
      <c r="O2846" s="203">
        <f t="shared" si="324"/>
        <v>0</v>
      </c>
      <c r="P2846" s="203">
        <f t="shared" si="326"/>
        <v>0</v>
      </c>
      <c r="Q2846" s="271">
        <f t="shared" si="325"/>
        <v>0</v>
      </c>
      <c r="S2846" s="280"/>
      <c r="T2846" s="222"/>
      <c r="U2846" s="299" t="s">
        <v>4994</v>
      </c>
    </row>
    <row r="2847" spans="1:21" ht="0" hidden="1" customHeight="1" outlineLevel="4">
      <c r="A2847" s="253" t="s">
        <v>4276</v>
      </c>
      <c r="B2847" s="253"/>
      <c r="C2847" s="202" t="s">
        <v>1609</v>
      </c>
      <c r="D2847" s="203">
        <f>'02 项目基础信息（输入）'!$C$78</f>
        <v>0</v>
      </c>
      <c r="E2847" s="204" t="s">
        <v>93</v>
      </c>
      <c r="F2847" s="202" t="s">
        <v>1609</v>
      </c>
      <c r="G2847" s="204">
        <v>1</v>
      </c>
      <c r="H2847" s="204" t="s">
        <v>298</v>
      </c>
      <c r="I2847" s="265">
        <f t="shared" si="327"/>
        <v>0</v>
      </c>
      <c r="J2847" s="204" t="s">
        <v>93</v>
      </c>
      <c r="K2847" s="270"/>
      <c r="L2847" s="210" t="s">
        <v>675</v>
      </c>
      <c r="M2847" s="198">
        <f t="shared" si="328"/>
        <v>0</v>
      </c>
      <c r="N2847" s="212">
        <f>'02 项目基础信息（输入）'!$C$78</f>
        <v>0</v>
      </c>
      <c r="O2847" s="203">
        <f t="shared" si="324"/>
        <v>0</v>
      </c>
      <c r="P2847" s="203">
        <f t="shared" si="326"/>
        <v>0</v>
      </c>
      <c r="Q2847" s="271">
        <f t="shared" si="325"/>
        <v>0</v>
      </c>
      <c r="S2847" s="280"/>
      <c r="T2847" s="222"/>
      <c r="U2847" s="299" t="s">
        <v>4995</v>
      </c>
    </row>
    <row r="2848" spans="1:21" ht="0" hidden="1" customHeight="1" outlineLevel="4">
      <c r="A2848" s="253" t="s">
        <v>4278</v>
      </c>
      <c r="B2848" s="253"/>
      <c r="C2848" s="202" t="s">
        <v>1609</v>
      </c>
      <c r="D2848" s="203">
        <f>'02 项目基础信息（输入）'!$C$78</f>
        <v>0</v>
      </c>
      <c r="E2848" s="204" t="s">
        <v>93</v>
      </c>
      <c r="F2848" s="202" t="s">
        <v>1609</v>
      </c>
      <c r="G2848" s="204">
        <v>1</v>
      </c>
      <c r="H2848" s="204" t="s">
        <v>298</v>
      </c>
      <c r="I2848" s="265">
        <f t="shared" si="327"/>
        <v>0</v>
      </c>
      <c r="J2848" s="204" t="s">
        <v>93</v>
      </c>
      <c r="K2848" s="270"/>
      <c r="L2848" s="210" t="s">
        <v>675</v>
      </c>
      <c r="M2848" s="198">
        <f t="shared" si="328"/>
        <v>0</v>
      </c>
      <c r="N2848" s="212">
        <f>'02 项目基础信息（输入）'!$C$78</f>
        <v>0</v>
      </c>
      <c r="O2848" s="203">
        <f t="shared" si="324"/>
        <v>0</v>
      </c>
      <c r="P2848" s="203">
        <f t="shared" si="326"/>
        <v>0</v>
      </c>
      <c r="Q2848" s="271">
        <f t="shared" si="325"/>
        <v>0</v>
      </c>
      <c r="S2848" s="280"/>
      <c r="T2848" s="222"/>
      <c r="U2848" s="299" t="s">
        <v>4996</v>
      </c>
    </row>
    <row r="2849" spans="1:21" ht="0" hidden="1" customHeight="1" outlineLevel="4">
      <c r="A2849" s="253" t="s">
        <v>4280</v>
      </c>
      <c r="B2849" s="253"/>
      <c r="C2849" s="202" t="s">
        <v>1609</v>
      </c>
      <c r="D2849" s="203">
        <f>'02 项目基础信息（输入）'!$C$78</f>
        <v>0</v>
      </c>
      <c r="E2849" s="204" t="s">
        <v>93</v>
      </c>
      <c r="F2849" s="202" t="s">
        <v>1609</v>
      </c>
      <c r="G2849" s="204">
        <v>1</v>
      </c>
      <c r="H2849" s="204" t="s">
        <v>298</v>
      </c>
      <c r="I2849" s="265">
        <f t="shared" si="327"/>
        <v>0</v>
      </c>
      <c r="J2849" s="204" t="s">
        <v>93</v>
      </c>
      <c r="K2849" s="270"/>
      <c r="L2849" s="210" t="s">
        <v>675</v>
      </c>
      <c r="M2849" s="198">
        <f t="shared" si="328"/>
        <v>0</v>
      </c>
      <c r="N2849" s="212">
        <f>'02 项目基础信息（输入）'!$C$78</f>
        <v>0</v>
      </c>
      <c r="O2849" s="203">
        <f t="shared" si="324"/>
        <v>0</v>
      </c>
      <c r="P2849" s="203">
        <f t="shared" si="326"/>
        <v>0</v>
      </c>
      <c r="Q2849" s="271">
        <f t="shared" si="325"/>
        <v>0</v>
      </c>
      <c r="S2849" s="280"/>
      <c r="T2849" s="222"/>
      <c r="U2849" s="299" t="s">
        <v>4997</v>
      </c>
    </row>
    <row r="2850" spans="1:21" ht="0" hidden="1" customHeight="1" outlineLevel="4">
      <c r="A2850" s="253" t="s">
        <v>4282</v>
      </c>
      <c r="B2850" s="253"/>
      <c r="C2850" s="202" t="s">
        <v>1609</v>
      </c>
      <c r="D2850" s="203">
        <f>'02 项目基础信息（输入）'!$C$78</f>
        <v>0</v>
      </c>
      <c r="E2850" s="204" t="s">
        <v>93</v>
      </c>
      <c r="F2850" s="202" t="s">
        <v>1609</v>
      </c>
      <c r="G2850" s="204">
        <v>1</v>
      </c>
      <c r="H2850" s="204" t="s">
        <v>298</v>
      </c>
      <c r="I2850" s="265">
        <f t="shared" si="327"/>
        <v>0</v>
      </c>
      <c r="J2850" s="204" t="s">
        <v>93</v>
      </c>
      <c r="K2850" s="270"/>
      <c r="L2850" s="210" t="s">
        <v>675</v>
      </c>
      <c r="M2850" s="198">
        <f t="shared" si="328"/>
        <v>0</v>
      </c>
      <c r="N2850" s="212">
        <f>'02 项目基础信息（输入）'!$C$78</f>
        <v>0</v>
      </c>
      <c r="O2850" s="203">
        <f t="shared" si="324"/>
        <v>0</v>
      </c>
      <c r="P2850" s="203">
        <f t="shared" si="326"/>
        <v>0</v>
      </c>
      <c r="Q2850" s="271">
        <f t="shared" si="325"/>
        <v>0</v>
      </c>
      <c r="S2850" s="280"/>
      <c r="T2850" s="222"/>
      <c r="U2850" s="299" t="s">
        <v>4998</v>
      </c>
    </row>
    <row r="2851" spans="1:21" ht="0" hidden="1" customHeight="1" outlineLevel="3">
      <c r="A2851" s="253" t="s">
        <v>4284</v>
      </c>
      <c r="B2851" s="253"/>
      <c r="C2851" s="202" t="s">
        <v>1609</v>
      </c>
      <c r="D2851" s="203">
        <f>'02 项目基础信息（输入）'!$C$78</f>
        <v>0</v>
      </c>
      <c r="E2851" s="204" t="s">
        <v>93</v>
      </c>
      <c r="F2851" s="202"/>
      <c r="G2851" s="204"/>
      <c r="H2851" s="204"/>
      <c r="I2851" s="203"/>
      <c r="J2851" s="255"/>
      <c r="K2851" s="231"/>
      <c r="L2851" s="205"/>
      <c r="M2851" s="198">
        <f>ROUND(SUM(M2852:M2860),6)</f>
        <v>0</v>
      </c>
      <c r="N2851" s="212">
        <f>'02 项目基础信息（输入）'!$C$78</f>
        <v>0</v>
      </c>
      <c r="O2851" s="203">
        <f t="shared" si="324"/>
        <v>0</v>
      </c>
      <c r="P2851" s="203">
        <f t="shared" si="326"/>
        <v>0</v>
      </c>
      <c r="Q2851" s="271">
        <f t="shared" si="325"/>
        <v>0</v>
      </c>
      <c r="S2851" s="280"/>
      <c r="T2851" s="222"/>
      <c r="U2851" s="299" t="s">
        <v>4999</v>
      </c>
    </row>
    <row r="2852" spans="1:21" ht="0" hidden="1" customHeight="1" outlineLevel="4">
      <c r="A2852" s="253" t="s">
        <v>4286</v>
      </c>
      <c r="B2852" s="253"/>
      <c r="C2852" s="202" t="s">
        <v>1609</v>
      </c>
      <c r="D2852" s="203">
        <f>'02 项目基础信息（输入）'!$C$78</f>
        <v>0</v>
      </c>
      <c r="E2852" s="204" t="s">
        <v>93</v>
      </c>
      <c r="F2852" s="202" t="s">
        <v>1609</v>
      </c>
      <c r="G2852" s="204">
        <v>1</v>
      </c>
      <c r="H2852" s="204" t="s">
        <v>298</v>
      </c>
      <c r="I2852" s="265">
        <f t="shared" ref="I2852:I2863" si="329">D2852*G2852</f>
        <v>0</v>
      </c>
      <c r="J2852" s="204" t="s">
        <v>93</v>
      </c>
      <c r="K2852" s="270"/>
      <c r="L2852" s="210" t="s">
        <v>675</v>
      </c>
      <c r="M2852" s="198">
        <f t="shared" ref="M2852:M2863" si="330">ROUND(K2852*I2852/10000,6)</f>
        <v>0</v>
      </c>
      <c r="N2852" s="212">
        <f>'02 项目基础信息（输入）'!$C$78</f>
        <v>0</v>
      </c>
      <c r="O2852" s="203">
        <f t="shared" si="324"/>
        <v>0</v>
      </c>
      <c r="P2852" s="203">
        <f t="shared" si="326"/>
        <v>0</v>
      </c>
      <c r="Q2852" s="271">
        <f t="shared" si="325"/>
        <v>0</v>
      </c>
      <c r="S2852" s="280"/>
      <c r="T2852" s="222"/>
      <c r="U2852" s="299" t="s">
        <v>5000</v>
      </c>
    </row>
    <row r="2853" spans="1:21" ht="0" hidden="1" customHeight="1" outlineLevel="4">
      <c r="A2853" s="253" t="s">
        <v>4288</v>
      </c>
      <c r="B2853" s="253"/>
      <c r="C2853" s="202" t="s">
        <v>1609</v>
      </c>
      <c r="D2853" s="203">
        <f>'02 项目基础信息（输入）'!$C$78</f>
        <v>0</v>
      </c>
      <c r="E2853" s="204" t="s">
        <v>93</v>
      </c>
      <c r="F2853" s="202" t="s">
        <v>1609</v>
      </c>
      <c r="G2853" s="204">
        <v>1</v>
      </c>
      <c r="H2853" s="204" t="s">
        <v>298</v>
      </c>
      <c r="I2853" s="265">
        <f t="shared" si="329"/>
        <v>0</v>
      </c>
      <c r="J2853" s="204" t="s">
        <v>93</v>
      </c>
      <c r="K2853" s="270"/>
      <c r="L2853" s="210" t="s">
        <v>675</v>
      </c>
      <c r="M2853" s="198">
        <f t="shared" si="330"/>
        <v>0</v>
      </c>
      <c r="N2853" s="212">
        <f>'02 项目基础信息（输入）'!$C$78</f>
        <v>0</v>
      </c>
      <c r="O2853" s="203">
        <f t="shared" si="324"/>
        <v>0</v>
      </c>
      <c r="P2853" s="203">
        <f t="shared" si="326"/>
        <v>0</v>
      </c>
      <c r="Q2853" s="271">
        <f t="shared" si="325"/>
        <v>0</v>
      </c>
      <c r="S2853" s="280"/>
      <c r="T2853" s="222"/>
      <c r="U2853" s="299" t="s">
        <v>5001</v>
      </c>
    </row>
    <row r="2854" spans="1:21" ht="0" hidden="1" customHeight="1" outlineLevel="4">
      <c r="A2854" s="253" t="s">
        <v>4290</v>
      </c>
      <c r="B2854" s="253"/>
      <c r="C2854" s="202" t="s">
        <v>1609</v>
      </c>
      <c r="D2854" s="203">
        <f>'02 项目基础信息（输入）'!$C$78</f>
        <v>0</v>
      </c>
      <c r="E2854" s="204" t="s">
        <v>93</v>
      </c>
      <c r="F2854" s="202" t="s">
        <v>1609</v>
      </c>
      <c r="G2854" s="204">
        <v>1</v>
      </c>
      <c r="H2854" s="204" t="s">
        <v>298</v>
      </c>
      <c r="I2854" s="265">
        <f t="shared" si="329"/>
        <v>0</v>
      </c>
      <c r="J2854" s="204" t="s">
        <v>93</v>
      </c>
      <c r="K2854" s="270"/>
      <c r="L2854" s="210" t="s">
        <v>675</v>
      </c>
      <c r="M2854" s="198">
        <f t="shared" si="330"/>
        <v>0</v>
      </c>
      <c r="N2854" s="212">
        <f>'02 项目基础信息（输入）'!$C$78</f>
        <v>0</v>
      </c>
      <c r="O2854" s="203">
        <f t="shared" si="324"/>
        <v>0</v>
      </c>
      <c r="P2854" s="203">
        <f t="shared" si="326"/>
        <v>0</v>
      </c>
      <c r="Q2854" s="271">
        <f t="shared" si="325"/>
        <v>0</v>
      </c>
      <c r="S2854" s="280"/>
      <c r="T2854" s="222"/>
      <c r="U2854" s="299" t="s">
        <v>5002</v>
      </c>
    </row>
    <row r="2855" spans="1:21" ht="0" hidden="1" customHeight="1" outlineLevel="4">
      <c r="A2855" s="253" t="s">
        <v>4657</v>
      </c>
      <c r="B2855" s="253"/>
      <c r="C2855" s="202" t="s">
        <v>1609</v>
      </c>
      <c r="D2855" s="203">
        <f>'02 项目基础信息（输入）'!$C$78</f>
        <v>0</v>
      </c>
      <c r="E2855" s="204" t="s">
        <v>93</v>
      </c>
      <c r="F2855" s="202" t="s">
        <v>1609</v>
      </c>
      <c r="G2855" s="204">
        <v>1</v>
      </c>
      <c r="H2855" s="204" t="s">
        <v>298</v>
      </c>
      <c r="I2855" s="265">
        <f t="shared" si="329"/>
        <v>0</v>
      </c>
      <c r="J2855" s="204" t="s">
        <v>93</v>
      </c>
      <c r="K2855" s="270"/>
      <c r="L2855" s="210" t="s">
        <v>675</v>
      </c>
      <c r="M2855" s="198">
        <f t="shared" si="330"/>
        <v>0</v>
      </c>
      <c r="N2855" s="212">
        <f>'02 项目基础信息（输入）'!$C$78</f>
        <v>0</v>
      </c>
      <c r="O2855" s="203">
        <f t="shared" si="324"/>
        <v>0</v>
      </c>
      <c r="P2855" s="203">
        <f t="shared" si="326"/>
        <v>0</v>
      </c>
      <c r="Q2855" s="271">
        <f t="shared" si="325"/>
        <v>0</v>
      </c>
      <c r="S2855" s="280"/>
      <c r="T2855" s="222"/>
      <c r="U2855" s="299" t="s">
        <v>5003</v>
      </c>
    </row>
    <row r="2856" spans="1:21" ht="0" hidden="1" customHeight="1" outlineLevel="4">
      <c r="A2856" s="253" t="s">
        <v>4292</v>
      </c>
      <c r="B2856" s="253"/>
      <c r="C2856" s="202" t="s">
        <v>1609</v>
      </c>
      <c r="D2856" s="203">
        <f>'02 项目基础信息（输入）'!$C$78</f>
        <v>0</v>
      </c>
      <c r="E2856" s="204" t="s">
        <v>93</v>
      </c>
      <c r="F2856" s="202" t="s">
        <v>1609</v>
      </c>
      <c r="G2856" s="204">
        <v>1</v>
      </c>
      <c r="H2856" s="204" t="s">
        <v>298</v>
      </c>
      <c r="I2856" s="265">
        <f t="shared" si="329"/>
        <v>0</v>
      </c>
      <c r="J2856" s="204" t="s">
        <v>93</v>
      </c>
      <c r="K2856" s="270"/>
      <c r="L2856" s="210" t="s">
        <v>675</v>
      </c>
      <c r="M2856" s="198">
        <f t="shared" si="330"/>
        <v>0</v>
      </c>
      <c r="N2856" s="212">
        <f>'02 项目基础信息（输入）'!$C$78</f>
        <v>0</v>
      </c>
      <c r="O2856" s="203">
        <f t="shared" si="324"/>
        <v>0</v>
      </c>
      <c r="P2856" s="203">
        <f t="shared" si="326"/>
        <v>0</v>
      </c>
      <c r="Q2856" s="271">
        <f t="shared" si="325"/>
        <v>0</v>
      </c>
      <c r="S2856" s="280"/>
      <c r="T2856" s="222"/>
      <c r="U2856" s="299" t="s">
        <v>5004</v>
      </c>
    </row>
    <row r="2857" spans="1:21" ht="0" hidden="1" customHeight="1" outlineLevel="4">
      <c r="A2857" s="253" t="s">
        <v>4294</v>
      </c>
      <c r="B2857" s="253"/>
      <c r="C2857" s="202" t="s">
        <v>1609</v>
      </c>
      <c r="D2857" s="203">
        <f>'02 项目基础信息（输入）'!$C$78</f>
        <v>0</v>
      </c>
      <c r="E2857" s="204" t="s">
        <v>93</v>
      </c>
      <c r="F2857" s="202" t="s">
        <v>1609</v>
      </c>
      <c r="G2857" s="204">
        <v>1</v>
      </c>
      <c r="H2857" s="204" t="s">
        <v>298</v>
      </c>
      <c r="I2857" s="265">
        <f t="shared" si="329"/>
        <v>0</v>
      </c>
      <c r="J2857" s="204" t="s">
        <v>93</v>
      </c>
      <c r="K2857" s="270"/>
      <c r="L2857" s="210" t="s">
        <v>675</v>
      </c>
      <c r="M2857" s="198">
        <f t="shared" si="330"/>
        <v>0</v>
      </c>
      <c r="N2857" s="212">
        <f>'02 项目基础信息（输入）'!$C$78</f>
        <v>0</v>
      </c>
      <c r="O2857" s="203">
        <f t="shared" si="324"/>
        <v>0</v>
      </c>
      <c r="P2857" s="203">
        <f t="shared" si="326"/>
        <v>0</v>
      </c>
      <c r="Q2857" s="271">
        <f t="shared" si="325"/>
        <v>0</v>
      </c>
      <c r="S2857" s="280"/>
      <c r="T2857" s="222"/>
      <c r="U2857" s="299" t="s">
        <v>5005</v>
      </c>
    </row>
    <row r="2858" spans="1:21" ht="0" hidden="1" customHeight="1" outlineLevel="4">
      <c r="A2858" s="253" t="s">
        <v>4296</v>
      </c>
      <c r="B2858" s="253"/>
      <c r="C2858" s="202" t="s">
        <v>1609</v>
      </c>
      <c r="D2858" s="203">
        <f>'02 项目基础信息（输入）'!$C$78</f>
        <v>0</v>
      </c>
      <c r="E2858" s="204" t="s">
        <v>93</v>
      </c>
      <c r="F2858" s="202" t="s">
        <v>1609</v>
      </c>
      <c r="G2858" s="204">
        <v>1</v>
      </c>
      <c r="H2858" s="204" t="s">
        <v>298</v>
      </c>
      <c r="I2858" s="265">
        <f t="shared" si="329"/>
        <v>0</v>
      </c>
      <c r="J2858" s="204" t="s">
        <v>93</v>
      </c>
      <c r="K2858" s="270"/>
      <c r="L2858" s="210" t="s">
        <v>675</v>
      </c>
      <c r="M2858" s="198">
        <f t="shared" si="330"/>
        <v>0</v>
      </c>
      <c r="N2858" s="212">
        <f>'02 项目基础信息（输入）'!$C$78</f>
        <v>0</v>
      </c>
      <c r="O2858" s="203">
        <f t="shared" si="324"/>
        <v>0</v>
      </c>
      <c r="P2858" s="203">
        <f t="shared" si="326"/>
        <v>0</v>
      </c>
      <c r="Q2858" s="271">
        <f t="shared" si="325"/>
        <v>0</v>
      </c>
      <c r="S2858" s="280"/>
      <c r="T2858" s="222"/>
      <c r="U2858" s="299" t="s">
        <v>5006</v>
      </c>
    </row>
    <row r="2859" spans="1:21" ht="0" hidden="1" customHeight="1" outlineLevel="4">
      <c r="A2859" s="253" t="s">
        <v>4298</v>
      </c>
      <c r="B2859" s="253"/>
      <c r="C2859" s="202" t="s">
        <v>1609</v>
      </c>
      <c r="D2859" s="203">
        <f>'02 项目基础信息（输入）'!$C$78</f>
        <v>0</v>
      </c>
      <c r="E2859" s="204" t="s">
        <v>93</v>
      </c>
      <c r="F2859" s="202" t="s">
        <v>1609</v>
      </c>
      <c r="G2859" s="204">
        <v>1</v>
      </c>
      <c r="H2859" s="204" t="s">
        <v>298</v>
      </c>
      <c r="I2859" s="265">
        <f t="shared" si="329"/>
        <v>0</v>
      </c>
      <c r="J2859" s="204" t="s">
        <v>93</v>
      </c>
      <c r="K2859" s="270"/>
      <c r="L2859" s="210" t="s">
        <v>675</v>
      </c>
      <c r="M2859" s="198">
        <f t="shared" si="330"/>
        <v>0</v>
      </c>
      <c r="N2859" s="212">
        <f>'02 项目基础信息（输入）'!$C$78</f>
        <v>0</v>
      </c>
      <c r="O2859" s="203">
        <f t="shared" si="324"/>
        <v>0</v>
      </c>
      <c r="P2859" s="203">
        <f t="shared" si="326"/>
        <v>0</v>
      </c>
      <c r="Q2859" s="271">
        <f t="shared" si="325"/>
        <v>0</v>
      </c>
      <c r="S2859" s="280"/>
      <c r="T2859" s="222"/>
      <c r="U2859" s="299" t="s">
        <v>5007</v>
      </c>
    </row>
    <row r="2860" spans="1:21" ht="0" hidden="1" customHeight="1" outlineLevel="4">
      <c r="A2860" s="253" t="s">
        <v>4300</v>
      </c>
      <c r="B2860" s="253"/>
      <c r="C2860" s="202" t="s">
        <v>1609</v>
      </c>
      <c r="D2860" s="203">
        <f>'02 项目基础信息（输入）'!$C$78</f>
        <v>0</v>
      </c>
      <c r="E2860" s="204" t="s">
        <v>93</v>
      </c>
      <c r="F2860" s="202" t="s">
        <v>1609</v>
      </c>
      <c r="G2860" s="204">
        <v>1</v>
      </c>
      <c r="H2860" s="204" t="s">
        <v>298</v>
      </c>
      <c r="I2860" s="265">
        <f t="shared" si="329"/>
        <v>0</v>
      </c>
      <c r="J2860" s="204" t="s">
        <v>93</v>
      </c>
      <c r="K2860" s="270"/>
      <c r="L2860" s="210" t="s">
        <v>675</v>
      </c>
      <c r="M2860" s="198">
        <f t="shared" si="330"/>
        <v>0</v>
      </c>
      <c r="N2860" s="212">
        <f>'02 项目基础信息（输入）'!$C$78</f>
        <v>0</v>
      </c>
      <c r="O2860" s="203">
        <f t="shared" si="324"/>
        <v>0</v>
      </c>
      <c r="P2860" s="203">
        <f t="shared" si="326"/>
        <v>0</v>
      </c>
      <c r="Q2860" s="271">
        <f t="shared" si="325"/>
        <v>0</v>
      </c>
      <c r="S2860" s="280"/>
      <c r="T2860" s="222"/>
      <c r="U2860" s="299" t="s">
        <v>5008</v>
      </c>
    </row>
    <row r="2861" spans="1:21" ht="0" hidden="1" customHeight="1" outlineLevel="3">
      <c r="A2861" s="253" t="s">
        <v>4302</v>
      </c>
      <c r="B2861" s="253"/>
      <c r="C2861" s="202" t="s">
        <v>1609</v>
      </c>
      <c r="D2861" s="203">
        <f>'02 项目基础信息（输入）'!$C$78</f>
        <v>0</v>
      </c>
      <c r="E2861" s="204" t="s">
        <v>93</v>
      </c>
      <c r="F2861" s="202" t="s">
        <v>1609</v>
      </c>
      <c r="G2861" s="204">
        <v>1</v>
      </c>
      <c r="H2861" s="204" t="s">
        <v>298</v>
      </c>
      <c r="I2861" s="265">
        <f t="shared" si="329"/>
        <v>0</v>
      </c>
      <c r="J2861" s="204" t="s">
        <v>93</v>
      </c>
      <c r="K2861" s="270"/>
      <c r="L2861" s="210" t="s">
        <v>675</v>
      </c>
      <c r="M2861" s="198">
        <f t="shared" si="330"/>
        <v>0</v>
      </c>
      <c r="N2861" s="212">
        <f>'02 项目基础信息（输入）'!$C$78</f>
        <v>0</v>
      </c>
      <c r="O2861" s="203">
        <f t="shared" si="324"/>
        <v>0</v>
      </c>
      <c r="P2861" s="203">
        <f t="shared" si="326"/>
        <v>0</v>
      </c>
      <c r="Q2861" s="271">
        <f t="shared" si="325"/>
        <v>0</v>
      </c>
      <c r="S2861" s="280"/>
      <c r="T2861" s="222"/>
      <c r="U2861" s="299" t="s">
        <v>5009</v>
      </c>
    </row>
    <row r="2862" spans="1:21" ht="0" hidden="1" customHeight="1" outlineLevel="3">
      <c r="A2862" s="253" t="s">
        <v>4306</v>
      </c>
      <c r="B2862" s="253"/>
      <c r="C2862" s="202" t="s">
        <v>1609</v>
      </c>
      <c r="D2862" s="203">
        <f>'02 项目基础信息（输入）'!$C$78</f>
        <v>0</v>
      </c>
      <c r="E2862" s="204" t="s">
        <v>93</v>
      </c>
      <c r="F2862" s="202" t="s">
        <v>1609</v>
      </c>
      <c r="G2862" s="255">
        <v>1</v>
      </c>
      <c r="H2862" s="204" t="s">
        <v>298</v>
      </c>
      <c r="I2862" s="265">
        <f t="shared" si="329"/>
        <v>0</v>
      </c>
      <c r="J2862" s="204" t="s">
        <v>93</v>
      </c>
      <c r="K2862" s="270"/>
      <c r="L2862" s="210" t="s">
        <v>675</v>
      </c>
      <c r="M2862" s="198">
        <f t="shared" si="330"/>
        <v>0</v>
      </c>
      <c r="N2862" s="212">
        <f>'02 项目基础信息（输入）'!$C$78</f>
        <v>0</v>
      </c>
      <c r="O2862" s="203">
        <f t="shared" si="324"/>
        <v>0</v>
      </c>
      <c r="P2862" s="203">
        <f t="shared" si="326"/>
        <v>0</v>
      </c>
      <c r="Q2862" s="271">
        <f t="shared" si="325"/>
        <v>0</v>
      </c>
      <c r="S2862" s="280"/>
      <c r="T2862" s="222"/>
      <c r="U2862" s="299" t="s">
        <v>5010</v>
      </c>
    </row>
    <row r="2863" spans="1:21" ht="0" hidden="1" customHeight="1" outlineLevel="3">
      <c r="A2863" s="253" t="s">
        <v>4308</v>
      </c>
      <c r="B2863" s="253"/>
      <c r="C2863" s="202" t="s">
        <v>1609</v>
      </c>
      <c r="D2863" s="203">
        <f>'02 项目基础信息（输入）'!$C$78</f>
        <v>0</v>
      </c>
      <c r="E2863" s="204" t="s">
        <v>93</v>
      </c>
      <c r="F2863" s="202" t="s">
        <v>1609</v>
      </c>
      <c r="G2863" s="255">
        <v>1</v>
      </c>
      <c r="H2863" s="204" t="s">
        <v>298</v>
      </c>
      <c r="I2863" s="265">
        <f t="shared" si="329"/>
        <v>0</v>
      </c>
      <c r="J2863" s="204" t="s">
        <v>93</v>
      </c>
      <c r="K2863" s="270"/>
      <c r="L2863" s="210" t="s">
        <v>675</v>
      </c>
      <c r="M2863" s="198">
        <f t="shared" si="330"/>
        <v>0</v>
      </c>
      <c r="N2863" s="212">
        <f>'02 项目基础信息（输入）'!$C$78</f>
        <v>0</v>
      </c>
      <c r="O2863" s="203">
        <f t="shared" si="324"/>
        <v>0</v>
      </c>
      <c r="P2863" s="203">
        <f t="shared" si="326"/>
        <v>0</v>
      </c>
      <c r="Q2863" s="271">
        <f t="shared" si="325"/>
        <v>0</v>
      </c>
      <c r="S2863" s="280"/>
      <c r="T2863" s="222"/>
      <c r="U2863" s="299" t="s">
        <v>5011</v>
      </c>
    </row>
    <row r="2864" spans="1:21" ht="0" hidden="1" customHeight="1" outlineLevel="3">
      <c r="A2864" s="253" t="s">
        <v>4310</v>
      </c>
      <c r="B2864" s="253"/>
      <c r="C2864" s="202" t="s">
        <v>1665</v>
      </c>
      <c r="D2864" s="203">
        <f>ROUND(M2844+M2851+M2861+M2862+M2863,6)*10000</f>
        <v>0</v>
      </c>
      <c r="E2864" s="204" t="s">
        <v>1666</v>
      </c>
      <c r="F2864" s="202" t="s">
        <v>1667</v>
      </c>
      <c r="G2864" s="258">
        <f>IFERROR(I2864*100/D2864,0)</f>
        <v>0</v>
      </c>
      <c r="H2864" s="204" t="s">
        <v>123</v>
      </c>
      <c r="I2864" s="265">
        <f>N2864*K2864</f>
        <v>0</v>
      </c>
      <c r="J2864" s="204" t="s">
        <v>1666</v>
      </c>
      <c r="K2864" s="269"/>
      <c r="L2864" s="210" t="s">
        <v>675</v>
      </c>
      <c r="M2864" s="231">
        <f>ROUND(I2864/10000,6)</f>
        <v>0</v>
      </c>
      <c r="N2864" s="212">
        <f>'02 项目基础信息（输入）'!$C$78</f>
        <v>0</v>
      </c>
      <c r="O2864" s="203">
        <f t="shared" si="324"/>
        <v>0</v>
      </c>
      <c r="P2864" s="203">
        <f t="shared" si="326"/>
        <v>0</v>
      </c>
      <c r="Q2864" s="271">
        <f t="shared" si="325"/>
        <v>0</v>
      </c>
      <c r="S2864" s="280"/>
      <c r="T2864" s="222"/>
      <c r="U2864" s="299" t="s">
        <v>5012</v>
      </c>
    </row>
    <row r="2865" spans="1:21" ht="0" hidden="1" customHeight="1" outlineLevel="2">
      <c r="A2865" s="201" t="s">
        <v>4312</v>
      </c>
      <c r="B2865" s="201"/>
      <c r="C2865" s="202" t="s">
        <v>1609</v>
      </c>
      <c r="D2865" s="203">
        <f>'02 项目基础信息（输入）'!$C$78</f>
        <v>0</v>
      </c>
      <c r="E2865" s="204" t="s">
        <v>93</v>
      </c>
      <c r="F2865" s="202"/>
      <c r="G2865" s="221"/>
      <c r="H2865" s="204"/>
      <c r="I2865" s="203"/>
      <c r="J2865" s="204"/>
      <c r="K2865" s="266"/>
      <c r="L2865" s="210"/>
      <c r="M2865" s="198">
        <f>ROUND(M2866+M2867+M2868+M2869+M2879+M2880+M2881,6)</f>
        <v>0</v>
      </c>
      <c r="N2865" s="212">
        <f>'02 项目基础信息（输入）'!$C$78</f>
        <v>0</v>
      </c>
      <c r="O2865" s="203">
        <f t="shared" si="324"/>
        <v>0</v>
      </c>
      <c r="P2865" s="203">
        <f t="shared" si="326"/>
        <v>0</v>
      </c>
      <c r="Q2865" s="271">
        <f t="shared" si="325"/>
        <v>0</v>
      </c>
      <c r="S2865" s="280" t="s">
        <v>1314</v>
      </c>
      <c r="T2865" s="222"/>
      <c r="U2865" s="298" t="s">
        <v>5013</v>
      </c>
    </row>
    <row r="2866" spans="1:21" ht="0" hidden="1" customHeight="1" outlineLevel="3">
      <c r="A2866" s="253" t="s">
        <v>4314</v>
      </c>
      <c r="B2866" s="253"/>
      <c r="C2866" s="202" t="s">
        <v>1609</v>
      </c>
      <c r="D2866" s="203">
        <f>'02 项目基础信息（输入）'!$C$78</f>
        <v>0</v>
      </c>
      <c r="E2866" s="204" t="s">
        <v>93</v>
      </c>
      <c r="F2866" s="202" t="s">
        <v>4315</v>
      </c>
      <c r="G2866" s="258">
        <f>IFERROR(I2866/D2866,0)</f>
        <v>0</v>
      </c>
      <c r="H2866" s="204" t="s">
        <v>298</v>
      </c>
      <c r="I2866" s="270"/>
      <c r="J2866" s="204" t="s">
        <v>93</v>
      </c>
      <c r="K2866" s="308"/>
      <c r="L2866" s="210" t="s">
        <v>675</v>
      </c>
      <c r="M2866" s="198">
        <f>ROUND(K2866*I2866/10000,6)</f>
        <v>0</v>
      </c>
      <c r="N2866" s="212">
        <f>'02 项目基础信息（输入）'!$C$78</f>
        <v>0</v>
      </c>
      <c r="O2866" s="203">
        <f t="shared" si="324"/>
        <v>0</v>
      </c>
      <c r="P2866" s="203">
        <f t="shared" si="326"/>
        <v>0</v>
      </c>
      <c r="Q2866" s="271">
        <f t="shared" si="325"/>
        <v>0</v>
      </c>
      <c r="S2866" s="280"/>
      <c r="T2866" s="222"/>
      <c r="U2866" s="299" t="s">
        <v>5014</v>
      </c>
    </row>
    <row r="2867" spans="1:21" ht="0" hidden="1" customHeight="1" outlineLevel="3">
      <c r="A2867" s="253" t="s">
        <v>4317</v>
      </c>
      <c r="B2867" s="253"/>
      <c r="C2867" s="202" t="s">
        <v>1609</v>
      </c>
      <c r="D2867" s="203">
        <f>'02 项目基础信息（输入）'!$C$78</f>
        <v>0</v>
      </c>
      <c r="E2867" s="204" t="s">
        <v>93</v>
      </c>
      <c r="F2867" s="202" t="s">
        <v>1609</v>
      </c>
      <c r="G2867" s="255">
        <v>1</v>
      </c>
      <c r="H2867" s="204" t="s">
        <v>298</v>
      </c>
      <c r="I2867" s="265">
        <f>D2867*G2867</f>
        <v>0</v>
      </c>
      <c r="J2867" s="204" t="s">
        <v>93</v>
      </c>
      <c r="K2867" s="270"/>
      <c r="L2867" s="210" t="s">
        <v>675</v>
      </c>
      <c r="M2867" s="198">
        <f>ROUND(K2867*I2867/10000,6)</f>
        <v>0</v>
      </c>
      <c r="N2867" s="212">
        <f>'02 项目基础信息（输入）'!$C$78</f>
        <v>0</v>
      </c>
      <c r="O2867" s="203">
        <f t="shared" si="324"/>
        <v>0</v>
      </c>
      <c r="P2867" s="203">
        <f t="shared" si="326"/>
        <v>0</v>
      </c>
      <c r="Q2867" s="271">
        <f t="shared" si="325"/>
        <v>0</v>
      </c>
      <c r="S2867" s="280"/>
      <c r="T2867" s="222"/>
      <c r="U2867" s="299" t="s">
        <v>5015</v>
      </c>
    </row>
    <row r="2868" spans="1:21" ht="0" hidden="1" customHeight="1" outlineLevel="3">
      <c r="A2868" s="253" t="s">
        <v>4319</v>
      </c>
      <c r="B2868" s="253"/>
      <c r="C2868" s="202" t="s">
        <v>1609</v>
      </c>
      <c r="D2868" s="203">
        <f>'02 项目基础信息（输入）'!$C$78</f>
        <v>0</v>
      </c>
      <c r="E2868" s="204" t="s">
        <v>93</v>
      </c>
      <c r="F2868" s="202" t="s">
        <v>1609</v>
      </c>
      <c r="G2868" s="255">
        <v>1</v>
      </c>
      <c r="H2868" s="204" t="s">
        <v>298</v>
      </c>
      <c r="I2868" s="265">
        <f>D2868*G2868</f>
        <v>0</v>
      </c>
      <c r="J2868" s="204" t="s">
        <v>93</v>
      </c>
      <c r="K2868" s="270"/>
      <c r="L2868" s="210" t="s">
        <v>675</v>
      </c>
      <c r="M2868" s="198">
        <f>ROUND(K2868*I2868/10000,6)</f>
        <v>0</v>
      </c>
      <c r="N2868" s="212">
        <f>'02 项目基础信息（输入）'!$C$78</f>
        <v>0</v>
      </c>
      <c r="O2868" s="203">
        <f t="shared" si="324"/>
        <v>0</v>
      </c>
      <c r="P2868" s="203">
        <f t="shared" si="326"/>
        <v>0</v>
      </c>
      <c r="Q2868" s="271">
        <f t="shared" si="325"/>
        <v>0</v>
      </c>
      <c r="S2868" s="280"/>
      <c r="T2868" s="222"/>
      <c r="U2868" s="299" t="s">
        <v>5016</v>
      </c>
    </row>
    <row r="2869" spans="1:21" ht="0" hidden="1" customHeight="1" outlineLevel="3">
      <c r="A2869" s="253" t="s">
        <v>4321</v>
      </c>
      <c r="B2869" s="253"/>
      <c r="C2869" s="202" t="s">
        <v>1609</v>
      </c>
      <c r="D2869" s="203">
        <f>'02 项目基础信息（输入）'!$C$78</f>
        <v>0</v>
      </c>
      <c r="E2869" s="204" t="s">
        <v>93</v>
      </c>
      <c r="F2869" s="202"/>
      <c r="G2869" s="255"/>
      <c r="H2869" s="204"/>
      <c r="I2869" s="212"/>
      <c r="J2869" s="255"/>
      <c r="K2869" s="264"/>
      <c r="L2869" s="205"/>
      <c r="M2869" s="198">
        <f>ROUND(SUM(M2870:M2878),6)</f>
        <v>0</v>
      </c>
      <c r="N2869" s="212">
        <f>'02 项目基础信息（输入）'!$C$78</f>
        <v>0</v>
      </c>
      <c r="O2869" s="203">
        <f t="shared" si="324"/>
        <v>0</v>
      </c>
      <c r="P2869" s="203">
        <f t="shared" si="326"/>
        <v>0</v>
      </c>
      <c r="Q2869" s="271">
        <f t="shared" si="325"/>
        <v>0</v>
      </c>
      <c r="S2869" s="280"/>
      <c r="T2869" s="222"/>
      <c r="U2869" s="299" t="s">
        <v>5017</v>
      </c>
    </row>
    <row r="2870" spans="1:21" ht="0" hidden="1" customHeight="1" outlineLevel="4">
      <c r="A2870" s="253" t="s">
        <v>4673</v>
      </c>
      <c r="B2870" s="253"/>
      <c r="C2870" s="202" t="s">
        <v>1609</v>
      </c>
      <c r="D2870" s="203">
        <f>'02 项目基础信息（输入）'!$C$78</f>
        <v>0</v>
      </c>
      <c r="E2870" s="204" t="s">
        <v>93</v>
      </c>
      <c r="F2870" s="202" t="s">
        <v>4324</v>
      </c>
      <c r="G2870" s="258">
        <f t="shared" ref="G2870:G2878" si="331">IFERROR(I2870/D2870,0)</f>
        <v>0</v>
      </c>
      <c r="H2870" s="204" t="s">
        <v>298</v>
      </c>
      <c r="I2870" s="294">
        <f>'03 成本测算（输入）'!D280+'03 成本测算（输入）'!D282+'03 成本测算（输入）'!D284</f>
        <v>0</v>
      </c>
      <c r="J2870" s="204" t="s">
        <v>93</v>
      </c>
      <c r="K2870" s="267">
        <f>IFERROR(('03 成本测算（输入）'!D280*'03 成本测算（输入）'!D281+'03 成本测算（输入）'!D282*'03 成本测算（输入）'!D283+'03 成本测算（输入）'!D284*'03 成本测算（输入）'!D285)/('03 成本测算（输入）'!D280+'03 成本测算（输入）'!D282+'03 成本测算（输入）'!D284),0)</f>
        <v>0</v>
      </c>
      <c r="L2870" s="210" t="s">
        <v>675</v>
      </c>
      <c r="M2870" s="198">
        <f t="shared" ref="M2870:M2880" si="332">ROUND(K2870*I2870/10000,6)</f>
        <v>0</v>
      </c>
      <c r="N2870" s="212">
        <f>'02 项目基础信息（输入）'!$C$78</f>
        <v>0</v>
      </c>
      <c r="O2870" s="203">
        <f t="shared" si="324"/>
        <v>0</v>
      </c>
      <c r="P2870" s="203">
        <f t="shared" si="326"/>
        <v>0</v>
      </c>
      <c r="Q2870" s="271">
        <f t="shared" si="325"/>
        <v>0</v>
      </c>
      <c r="S2870" s="280"/>
      <c r="T2870" s="222"/>
      <c r="U2870" s="299" t="s">
        <v>5018</v>
      </c>
    </row>
    <row r="2871" spans="1:21" ht="0" hidden="1" customHeight="1" outlineLevel="4">
      <c r="A2871" s="253" t="s">
        <v>4675</v>
      </c>
      <c r="B2871" s="253"/>
      <c r="C2871" s="202" t="s">
        <v>1609</v>
      </c>
      <c r="D2871" s="203">
        <f>'02 项目基础信息（输入）'!$C$78</f>
        <v>0</v>
      </c>
      <c r="E2871" s="204" t="s">
        <v>93</v>
      </c>
      <c r="F2871" s="202" t="s">
        <v>4324</v>
      </c>
      <c r="G2871" s="258">
        <f t="shared" si="331"/>
        <v>0</v>
      </c>
      <c r="H2871" s="204" t="s">
        <v>298</v>
      </c>
      <c r="I2871" s="265">
        <f t="shared" ref="I2871:I2878" si="333">I2870</f>
        <v>0</v>
      </c>
      <c r="J2871" s="204" t="s">
        <v>93</v>
      </c>
      <c r="K2871" s="270"/>
      <c r="L2871" s="210" t="s">
        <v>675</v>
      </c>
      <c r="M2871" s="198">
        <f t="shared" si="332"/>
        <v>0</v>
      </c>
      <c r="N2871" s="212">
        <f>'02 项目基础信息（输入）'!$C$78</f>
        <v>0</v>
      </c>
      <c r="O2871" s="203">
        <f t="shared" si="324"/>
        <v>0</v>
      </c>
      <c r="P2871" s="203">
        <f t="shared" si="326"/>
        <v>0</v>
      </c>
      <c r="Q2871" s="271">
        <f t="shared" si="325"/>
        <v>0</v>
      </c>
      <c r="S2871" s="280"/>
      <c r="T2871" s="222"/>
      <c r="U2871" s="299" t="s">
        <v>5019</v>
      </c>
    </row>
    <row r="2872" spans="1:21" ht="0" hidden="1" customHeight="1" outlineLevel="4">
      <c r="A2872" s="253" t="s">
        <v>4677</v>
      </c>
      <c r="B2872" s="253"/>
      <c r="C2872" s="202" t="s">
        <v>1609</v>
      </c>
      <c r="D2872" s="203">
        <f>'02 项目基础信息（输入）'!$C$78</f>
        <v>0</v>
      </c>
      <c r="E2872" s="204" t="s">
        <v>93</v>
      </c>
      <c r="F2872" s="202" t="s">
        <v>4324</v>
      </c>
      <c r="G2872" s="258">
        <f t="shared" si="331"/>
        <v>0</v>
      </c>
      <c r="H2872" s="204" t="s">
        <v>298</v>
      </c>
      <c r="I2872" s="265">
        <f t="shared" si="333"/>
        <v>0</v>
      </c>
      <c r="J2872" s="204" t="s">
        <v>93</v>
      </c>
      <c r="K2872" s="270"/>
      <c r="L2872" s="210" t="s">
        <v>675</v>
      </c>
      <c r="M2872" s="198">
        <f t="shared" si="332"/>
        <v>0</v>
      </c>
      <c r="N2872" s="212">
        <f>'02 项目基础信息（输入）'!$C$78</f>
        <v>0</v>
      </c>
      <c r="O2872" s="203">
        <f t="shared" si="324"/>
        <v>0</v>
      </c>
      <c r="P2872" s="203">
        <f t="shared" si="326"/>
        <v>0</v>
      </c>
      <c r="Q2872" s="271">
        <f t="shared" si="325"/>
        <v>0</v>
      </c>
      <c r="S2872" s="280"/>
      <c r="T2872" s="222"/>
      <c r="U2872" s="299" t="s">
        <v>5020</v>
      </c>
    </row>
    <row r="2873" spans="1:21" ht="0" hidden="1" customHeight="1" outlineLevel="4">
      <c r="A2873" s="253" t="s">
        <v>4679</v>
      </c>
      <c r="B2873" s="253"/>
      <c r="C2873" s="202" t="s">
        <v>1609</v>
      </c>
      <c r="D2873" s="203">
        <f>'02 项目基础信息（输入）'!$C$78</f>
        <v>0</v>
      </c>
      <c r="E2873" s="204" t="s">
        <v>93</v>
      </c>
      <c r="F2873" s="202" t="s">
        <v>4324</v>
      </c>
      <c r="G2873" s="258">
        <f t="shared" si="331"/>
        <v>0</v>
      </c>
      <c r="H2873" s="204" t="s">
        <v>298</v>
      </c>
      <c r="I2873" s="265">
        <f t="shared" si="333"/>
        <v>0</v>
      </c>
      <c r="J2873" s="204" t="s">
        <v>93</v>
      </c>
      <c r="K2873" s="270"/>
      <c r="L2873" s="210" t="s">
        <v>675</v>
      </c>
      <c r="M2873" s="198">
        <f t="shared" si="332"/>
        <v>0</v>
      </c>
      <c r="N2873" s="212">
        <f>'02 项目基础信息（输入）'!$C$78</f>
        <v>0</v>
      </c>
      <c r="O2873" s="203">
        <f t="shared" si="324"/>
        <v>0</v>
      </c>
      <c r="P2873" s="203">
        <f t="shared" si="326"/>
        <v>0</v>
      </c>
      <c r="Q2873" s="271">
        <f t="shared" si="325"/>
        <v>0</v>
      </c>
      <c r="S2873" s="280"/>
      <c r="T2873" s="222"/>
      <c r="U2873" s="299" t="s">
        <v>5021</v>
      </c>
    </row>
    <row r="2874" spans="1:21" ht="0" hidden="1" customHeight="1" outlineLevel="4">
      <c r="A2874" s="253" t="s">
        <v>4681</v>
      </c>
      <c r="B2874" s="253"/>
      <c r="C2874" s="202" t="s">
        <v>1609</v>
      </c>
      <c r="D2874" s="203">
        <f>'02 项目基础信息（输入）'!$C$78</f>
        <v>0</v>
      </c>
      <c r="E2874" s="204" t="s">
        <v>93</v>
      </c>
      <c r="F2874" s="202" t="s">
        <v>4324</v>
      </c>
      <c r="G2874" s="258">
        <f t="shared" si="331"/>
        <v>0</v>
      </c>
      <c r="H2874" s="204" t="s">
        <v>298</v>
      </c>
      <c r="I2874" s="265">
        <f t="shared" si="333"/>
        <v>0</v>
      </c>
      <c r="J2874" s="204" t="s">
        <v>93</v>
      </c>
      <c r="K2874" s="270"/>
      <c r="L2874" s="210" t="s">
        <v>675</v>
      </c>
      <c r="M2874" s="198">
        <f t="shared" si="332"/>
        <v>0</v>
      </c>
      <c r="N2874" s="212">
        <f>'02 项目基础信息（输入）'!$C$78</f>
        <v>0</v>
      </c>
      <c r="O2874" s="203">
        <f t="shared" si="324"/>
        <v>0</v>
      </c>
      <c r="P2874" s="203">
        <f t="shared" si="326"/>
        <v>0</v>
      </c>
      <c r="Q2874" s="271">
        <f t="shared" si="325"/>
        <v>0</v>
      </c>
      <c r="S2874" s="280"/>
      <c r="T2874" s="222"/>
      <c r="U2874" s="299" t="s">
        <v>5022</v>
      </c>
    </row>
    <row r="2875" spans="1:21" ht="0" hidden="1" customHeight="1" outlineLevel="4">
      <c r="A2875" s="253" t="s">
        <v>4683</v>
      </c>
      <c r="B2875" s="253"/>
      <c r="C2875" s="202" t="s">
        <v>1609</v>
      </c>
      <c r="D2875" s="203">
        <f>'02 项目基础信息（输入）'!$C$78</f>
        <v>0</v>
      </c>
      <c r="E2875" s="204" t="s">
        <v>93</v>
      </c>
      <c r="F2875" s="202" t="s">
        <v>4324</v>
      </c>
      <c r="G2875" s="258">
        <f t="shared" si="331"/>
        <v>0</v>
      </c>
      <c r="H2875" s="204" t="s">
        <v>298</v>
      </c>
      <c r="I2875" s="265">
        <f t="shared" si="333"/>
        <v>0</v>
      </c>
      <c r="J2875" s="204" t="s">
        <v>93</v>
      </c>
      <c r="K2875" s="270"/>
      <c r="L2875" s="210" t="s">
        <v>675</v>
      </c>
      <c r="M2875" s="198">
        <f t="shared" si="332"/>
        <v>0</v>
      </c>
      <c r="N2875" s="212">
        <f>'02 项目基础信息（输入）'!$C$78</f>
        <v>0</v>
      </c>
      <c r="O2875" s="203">
        <f t="shared" si="324"/>
        <v>0</v>
      </c>
      <c r="P2875" s="203">
        <f t="shared" si="326"/>
        <v>0</v>
      </c>
      <c r="Q2875" s="271">
        <f t="shared" si="325"/>
        <v>0</v>
      </c>
      <c r="S2875" s="280"/>
      <c r="T2875" s="222"/>
      <c r="U2875" s="299" t="s">
        <v>5023</v>
      </c>
    </row>
    <row r="2876" spans="1:21" ht="0" hidden="1" customHeight="1" outlineLevel="4">
      <c r="A2876" s="253" t="s">
        <v>4323</v>
      </c>
      <c r="B2876" s="253"/>
      <c r="C2876" s="202" t="s">
        <v>1609</v>
      </c>
      <c r="D2876" s="203">
        <f>'02 项目基础信息（输入）'!$C$78</f>
        <v>0</v>
      </c>
      <c r="E2876" s="204" t="s">
        <v>93</v>
      </c>
      <c r="F2876" s="202" t="s">
        <v>4324</v>
      </c>
      <c r="G2876" s="258">
        <f t="shared" si="331"/>
        <v>0</v>
      </c>
      <c r="H2876" s="204" t="s">
        <v>298</v>
      </c>
      <c r="I2876" s="265">
        <f t="shared" si="333"/>
        <v>0</v>
      </c>
      <c r="J2876" s="204" t="s">
        <v>93</v>
      </c>
      <c r="K2876" s="270"/>
      <c r="L2876" s="210" t="s">
        <v>675</v>
      </c>
      <c r="M2876" s="198">
        <f t="shared" si="332"/>
        <v>0</v>
      </c>
      <c r="N2876" s="212">
        <f>'02 项目基础信息（输入）'!$C$78</f>
        <v>0</v>
      </c>
      <c r="O2876" s="203">
        <f t="shared" si="324"/>
        <v>0</v>
      </c>
      <c r="P2876" s="203">
        <f t="shared" si="326"/>
        <v>0</v>
      </c>
      <c r="Q2876" s="271">
        <f t="shared" si="325"/>
        <v>0</v>
      </c>
      <c r="S2876" s="280"/>
      <c r="T2876" s="222"/>
      <c r="U2876" s="299" t="s">
        <v>5024</v>
      </c>
    </row>
    <row r="2877" spans="1:21" ht="0" hidden="1" customHeight="1" outlineLevel="4">
      <c r="A2877" s="253" t="s">
        <v>4326</v>
      </c>
      <c r="B2877" s="253"/>
      <c r="C2877" s="202" t="s">
        <v>1609</v>
      </c>
      <c r="D2877" s="203">
        <f>'02 项目基础信息（输入）'!$C$78</f>
        <v>0</v>
      </c>
      <c r="E2877" s="204" t="s">
        <v>93</v>
      </c>
      <c r="F2877" s="202" t="s">
        <v>4324</v>
      </c>
      <c r="G2877" s="258">
        <f t="shared" si="331"/>
        <v>0</v>
      </c>
      <c r="H2877" s="204" t="s">
        <v>298</v>
      </c>
      <c r="I2877" s="265">
        <f t="shared" si="333"/>
        <v>0</v>
      </c>
      <c r="J2877" s="204" t="s">
        <v>93</v>
      </c>
      <c r="K2877" s="270"/>
      <c r="L2877" s="210" t="s">
        <v>675</v>
      </c>
      <c r="M2877" s="198">
        <f t="shared" si="332"/>
        <v>0</v>
      </c>
      <c r="N2877" s="212">
        <f>'02 项目基础信息（输入）'!$C$78</f>
        <v>0</v>
      </c>
      <c r="O2877" s="203">
        <f t="shared" si="324"/>
        <v>0</v>
      </c>
      <c r="P2877" s="203">
        <f t="shared" si="326"/>
        <v>0</v>
      </c>
      <c r="Q2877" s="271">
        <f t="shared" si="325"/>
        <v>0</v>
      </c>
      <c r="S2877" s="280"/>
      <c r="T2877" s="222"/>
      <c r="U2877" s="299" t="s">
        <v>5025</v>
      </c>
    </row>
    <row r="2878" spans="1:21" ht="0" hidden="1" customHeight="1" outlineLevel="4">
      <c r="A2878" s="253" t="s">
        <v>4328</v>
      </c>
      <c r="B2878" s="253"/>
      <c r="C2878" s="202" t="s">
        <v>1609</v>
      </c>
      <c r="D2878" s="203">
        <f>'02 项目基础信息（输入）'!$C$78</f>
        <v>0</v>
      </c>
      <c r="E2878" s="204" t="s">
        <v>93</v>
      </c>
      <c r="F2878" s="202" t="s">
        <v>4324</v>
      </c>
      <c r="G2878" s="258">
        <f t="shared" si="331"/>
        <v>0</v>
      </c>
      <c r="H2878" s="204" t="s">
        <v>298</v>
      </c>
      <c r="I2878" s="265">
        <f t="shared" si="333"/>
        <v>0</v>
      </c>
      <c r="J2878" s="204" t="s">
        <v>93</v>
      </c>
      <c r="K2878" s="270"/>
      <c r="L2878" s="210" t="s">
        <v>675</v>
      </c>
      <c r="M2878" s="198">
        <f t="shared" si="332"/>
        <v>0</v>
      </c>
      <c r="N2878" s="212">
        <f>'02 项目基础信息（输入）'!$C$78</f>
        <v>0</v>
      </c>
      <c r="O2878" s="203">
        <f t="shared" si="324"/>
        <v>0</v>
      </c>
      <c r="P2878" s="203">
        <f t="shared" si="326"/>
        <v>0</v>
      </c>
      <c r="Q2878" s="271">
        <f t="shared" si="325"/>
        <v>0</v>
      </c>
      <c r="S2878" s="280"/>
      <c r="T2878" s="222"/>
      <c r="U2878" s="299" t="s">
        <v>5026</v>
      </c>
    </row>
    <row r="2879" spans="1:21" ht="0" hidden="1" customHeight="1" outlineLevel="3">
      <c r="A2879" s="253" t="s">
        <v>4330</v>
      </c>
      <c r="B2879" s="253"/>
      <c r="C2879" s="202" t="s">
        <v>1609</v>
      </c>
      <c r="D2879" s="203">
        <f>'02 项目基础信息（输入）'!$C$78</f>
        <v>0</v>
      </c>
      <c r="E2879" s="204" t="s">
        <v>93</v>
      </c>
      <c r="F2879" s="202" t="s">
        <v>1609</v>
      </c>
      <c r="G2879" s="255">
        <v>1</v>
      </c>
      <c r="H2879" s="204" t="s">
        <v>298</v>
      </c>
      <c r="I2879" s="265">
        <f>D2879*G2879</f>
        <v>0</v>
      </c>
      <c r="J2879" s="204" t="s">
        <v>93</v>
      </c>
      <c r="K2879" s="270"/>
      <c r="L2879" s="210" t="s">
        <v>675</v>
      </c>
      <c r="M2879" s="198">
        <f t="shared" si="332"/>
        <v>0</v>
      </c>
      <c r="N2879" s="212">
        <f>'02 项目基础信息（输入）'!$C$78</f>
        <v>0</v>
      </c>
      <c r="O2879" s="203">
        <f t="shared" si="324"/>
        <v>0</v>
      </c>
      <c r="P2879" s="203">
        <f t="shared" si="326"/>
        <v>0</v>
      </c>
      <c r="Q2879" s="271">
        <f t="shared" si="325"/>
        <v>0</v>
      </c>
      <c r="S2879" s="280"/>
      <c r="T2879" s="222"/>
      <c r="U2879" s="299" t="s">
        <v>5027</v>
      </c>
    </row>
    <row r="2880" spans="1:21" ht="0" hidden="1" customHeight="1" outlineLevel="3">
      <c r="A2880" s="253" t="s">
        <v>4332</v>
      </c>
      <c r="B2880" s="253"/>
      <c r="C2880" s="202" t="s">
        <v>1609</v>
      </c>
      <c r="D2880" s="203">
        <f>'02 项目基础信息（输入）'!$C$78</f>
        <v>0</v>
      </c>
      <c r="E2880" s="204" t="s">
        <v>93</v>
      </c>
      <c r="F2880" s="202" t="s">
        <v>1609</v>
      </c>
      <c r="G2880" s="255">
        <v>1</v>
      </c>
      <c r="H2880" s="204" t="s">
        <v>298</v>
      </c>
      <c r="I2880" s="265">
        <f>D2880*G2880</f>
        <v>0</v>
      </c>
      <c r="J2880" s="204" t="s">
        <v>93</v>
      </c>
      <c r="K2880" s="270"/>
      <c r="L2880" s="210" t="s">
        <v>675</v>
      </c>
      <c r="M2880" s="198">
        <f t="shared" si="332"/>
        <v>0</v>
      </c>
      <c r="N2880" s="212">
        <f>'02 项目基础信息（输入）'!$C$78</f>
        <v>0</v>
      </c>
      <c r="O2880" s="203">
        <f t="shared" si="324"/>
        <v>0</v>
      </c>
      <c r="P2880" s="203">
        <f t="shared" si="326"/>
        <v>0</v>
      </c>
      <c r="Q2880" s="271">
        <f t="shared" si="325"/>
        <v>0</v>
      </c>
      <c r="S2880" s="280"/>
      <c r="T2880" s="222"/>
      <c r="U2880" s="299" t="s">
        <v>5028</v>
      </c>
    </row>
    <row r="2881" spans="1:21" ht="0" hidden="1" customHeight="1" outlineLevel="3">
      <c r="A2881" s="253" t="s">
        <v>4334</v>
      </c>
      <c r="B2881" s="253"/>
      <c r="C2881" s="202" t="s">
        <v>1665</v>
      </c>
      <c r="D2881" s="203">
        <f>ROUND(M2866+M2867+M2868+M2869+M2880,6)*10000</f>
        <v>0</v>
      </c>
      <c r="E2881" s="204" t="s">
        <v>1666</v>
      </c>
      <c r="F2881" s="202" t="s">
        <v>1667</v>
      </c>
      <c r="G2881" s="258">
        <f>IFERROR(I2881*100/D2881,0)</f>
        <v>0</v>
      </c>
      <c r="H2881" s="204" t="s">
        <v>123</v>
      </c>
      <c r="I2881" s="265">
        <f>N2881*K2881</f>
        <v>0</v>
      </c>
      <c r="J2881" s="204" t="s">
        <v>1666</v>
      </c>
      <c r="K2881" s="269"/>
      <c r="L2881" s="210" t="s">
        <v>675</v>
      </c>
      <c r="M2881" s="231">
        <f>ROUND(I2881/10000,6)</f>
        <v>0</v>
      </c>
      <c r="N2881" s="212">
        <f>'02 项目基础信息（输入）'!$C$78</f>
        <v>0</v>
      </c>
      <c r="O2881" s="203">
        <f t="shared" si="324"/>
        <v>0</v>
      </c>
      <c r="P2881" s="203">
        <f t="shared" si="326"/>
        <v>0</v>
      </c>
      <c r="Q2881" s="271">
        <f t="shared" si="325"/>
        <v>0</v>
      </c>
      <c r="S2881" s="280"/>
      <c r="T2881" s="222"/>
      <c r="U2881" s="299" t="s">
        <v>5029</v>
      </c>
    </row>
    <row r="2882" spans="1:21" ht="0" hidden="1" customHeight="1" outlineLevel="2">
      <c r="A2882" s="201" t="s">
        <v>4336</v>
      </c>
      <c r="B2882" s="201"/>
      <c r="C2882" s="202" t="s">
        <v>1609</v>
      </c>
      <c r="D2882" s="203">
        <f>'02 项目基础信息（输入）'!$C$78</f>
        <v>0</v>
      </c>
      <c r="E2882" s="204" t="s">
        <v>93</v>
      </c>
      <c r="F2882" s="202"/>
      <c r="G2882" s="255"/>
      <c r="H2882" s="204"/>
      <c r="I2882" s="203"/>
      <c r="J2882" s="204"/>
      <c r="K2882" s="264"/>
      <c r="L2882" s="210"/>
      <c r="M2882" s="198">
        <f>ROUND(M2883+M2886+M2891+M2892+M2893+M2894,6)</f>
        <v>0</v>
      </c>
      <c r="N2882" s="212">
        <f>'02 项目基础信息（输入）'!$C$78</f>
        <v>0</v>
      </c>
      <c r="O2882" s="203">
        <f t="shared" si="324"/>
        <v>0</v>
      </c>
      <c r="P2882" s="203">
        <f t="shared" si="326"/>
        <v>0</v>
      </c>
      <c r="Q2882" s="271">
        <f t="shared" si="325"/>
        <v>0</v>
      </c>
      <c r="S2882" s="280" t="s">
        <v>1313</v>
      </c>
      <c r="T2882" s="222"/>
      <c r="U2882" s="298" t="s">
        <v>5030</v>
      </c>
    </row>
    <row r="2883" spans="1:21" ht="0" hidden="1" customHeight="1" outlineLevel="3">
      <c r="A2883" s="253" t="s">
        <v>4338</v>
      </c>
      <c r="B2883" s="253"/>
      <c r="C2883" s="202" t="s">
        <v>1609</v>
      </c>
      <c r="D2883" s="203">
        <f>'02 项目基础信息（输入）'!$C$78</f>
        <v>0</v>
      </c>
      <c r="E2883" s="204" t="s">
        <v>93</v>
      </c>
      <c r="F2883" s="202"/>
      <c r="G2883" s="204"/>
      <c r="H2883" s="204"/>
      <c r="I2883" s="203"/>
      <c r="J2883" s="204"/>
      <c r="K2883" s="264"/>
      <c r="L2883" s="210"/>
      <c r="M2883" s="198">
        <f>ROUND(SUM(M2884:M2885),6)</f>
        <v>0</v>
      </c>
      <c r="N2883" s="212">
        <f>'02 项目基础信息（输入）'!$C$78</f>
        <v>0</v>
      </c>
      <c r="O2883" s="203">
        <f t="shared" ref="O2883:O2946" si="334">ROUND(IFERROR(M2883*10000/N2883,0),2)</f>
        <v>0</v>
      </c>
      <c r="P2883" s="203">
        <f t="shared" si="326"/>
        <v>0</v>
      </c>
      <c r="Q2883" s="271">
        <f t="shared" ref="Q2883:Q2946" si="335">ROUND(IFERROR(M2883*10000/P2883,0),2)</f>
        <v>0</v>
      </c>
      <c r="S2883" s="280"/>
      <c r="T2883" s="222"/>
      <c r="U2883" s="299" t="s">
        <v>5031</v>
      </c>
    </row>
    <row r="2884" spans="1:21" ht="0" hidden="1" customHeight="1" outlineLevel="4">
      <c r="A2884" s="253" t="s">
        <v>4340</v>
      </c>
      <c r="B2884" s="253"/>
      <c r="C2884" s="202" t="s">
        <v>1609</v>
      </c>
      <c r="D2884" s="203">
        <f>'02 项目基础信息（输入）'!$C$78</f>
        <v>0</v>
      </c>
      <c r="E2884" s="204" t="s">
        <v>93</v>
      </c>
      <c r="F2884" s="202" t="s">
        <v>1609</v>
      </c>
      <c r="G2884" s="204">
        <v>1</v>
      </c>
      <c r="H2884" s="204" t="s">
        <v>298</v>
      </c>
      <c r="I2884" s="265">
        <f>D2884*G2884</f>
        <v>0</v>
      </c>
      <c r="J2884" s="204" t="s">
        <v>93</v>
      </c>
      <c r="K2884" s="270"/>
      <c r="L2884" s="210" t="s">
        <v>675</v>
      </c>
      <c r="M2884" s="198">
        <f>ROUND(K2884*I2884/10000,6)</f>
        <v>0</v>
      </c>
      <c r="N2884" s="212">
        <f>'02 项目基础信息（输入）'!$C$78</f>
        <v>0</v>
      </c>
      <c r="O2884" s="203">
        <f t="shared" si="334"/>
        <v>0</v>
      </c>
      <c r="P2884" s="203">
        <f t="shared" si="326"/>
        <v>0</v>
      </c>
      <c r="Q2884" s="271">
        <f t="shared" si="335"/>
        <v>0</v>
      </c>
      <c r="S2884" s="280"/>
      <c r="T2884" s="222"/>
      <c r="U2884" s="299" t="s">
        <v>5032</v>
      </c>
    </row>
    <row r="2885" spans="1:21" ht="0" hidden="1" customHeight="1" outlineLevel="4">
      <c r="A2885" s="253" t="s">
        <v>4342</v>
      </c>
      <c r="B2885" s="253"/>
      <c r="C2885" s="202" t="s">
        <v>1609</v>
      </c>
      <c r="D2885" s="203">
        <f>'02 项目基础信息（输入）'!$C$78</f>
        <v>0</v>
      </c>
      <c r="E2885" s="204" t="s">
        <v>93</v>
      </c>
      <c r="F2885" s="202" t="s">
        <v>1609</v>
      </c>
      <c r="G2885" s="204">
        <v>1</v>
      </c>
      <c r="H2885" s="204" t="s">
        <v>298</v>
      </c>
      <c r="I2885" s="265">
        <f>D2885*G2885</f>
        <v>0</v>
      </c>
      <c r="J2885" s="204" t="s">
        <v>93</v>
      </c>
      <c r="K2885" s="270"/>
      <c r="L2885" s="210" t="s">
        <v>675</v>
      </c>
      <c r="M2885" s="198">
        <f>ROUND(K2885*I2885/10000,6)</f>
        <v>0</v>
      </c>
      <c r="N2885" s="212">
        <f>'02 项目基础信息（输入）'!$C$78</f>
        <v>0</v>
      </c>
      <c r="O2885" s="203">
        <f t="shared" si="334"/>
        <v>0</v>
      </c>
      <c r="P2885" s="203">
        <f t="shared" si="326"/>
        <v>0</v>
      </c>
      <c r="Q2885" s="271">
        <f t="shared" si="335"/>
        <v>0</v>
      </c>
      <c r="S2885" s="280"/>
      <c r="T2885" s="222"/>
      <c r="U2885" s="299" t="s">
        <v>5033</v>
      </c>
    </row>
    <row r="2886" spans="1:21" ht="0" hidden="1" customHeight="1" outlineLevel="3">
      <c r="A2886" s="253" t="s">
        <v>4344</v>
      </c>
      <c r="B2886" s="253"/>
      <c r="C2886" s="202" t="s">
        <v>1609</v>
      </c>
      <c r="D2886" s="203">
        <f>'02 项目基础信息（输入）'!$C$78</f>
        <v>0</v>
      </c>
      <c r="E2886" s="204" t="s">
        <v>93</v>
      </c>
      <c r="F2886" s="202"/>
      <c r="G2886" s="204"/>
      <c r="H2886" s="204"/>
      <c r="I2886" s="203"/>
      <c r="J2886" s="204"/>
      <c r="K2886" s="264"/>
      <c r="L2886" s="210"/>
      <c r="M2886" s="198">
        <f>ROUND(SUM(M2887:M2890),6)</f>
        <v>0</v>
      </c>
      <c r="N2886" s="212">
        <f>'02 项目基础信息（输入）'!$C$78</f>
        <v>0</v>
      </c>
      <c r="O2886" s="203">
        <f t="shared" si="334"/>
        <v>0</v>
      </c>
      <c r="P2886" s="203">
        <f t="shared" si="326"/>
        <v>0</v>
      </c>
      <c r="Q2886" s="271">
        <f t="shared" si="335"/>
        <v>0</v>
      </c>
      <c r="S2886" s="280"/>
      <c r="T2886" s="222"/>
      <c r="U2886" s="299" t="s">
        <v>5034</v>
      </c>
    </row>
    <row r="2887" spans="1:21" ht="0" hidden="1" customHeight="1" outlineLevel="4">
      <c r="A2887" s="253" t="s">
        <v>4346</v>
      </c>
      <c r="B2887" s="253"/>
      <c r="C2887" s="202" t="s">
        <v>1609</v>
      </c>
      <c r="D2887" s="203">
        <f>'02 项目基础信息（输入）'!$C$78</f>
        <v>0</v>
      </c>
      <c r="E2887" s="204" t="s">
        <v>93</v>
      </c>
      <c r="F2887" s="202" t="s">
        <v>1609</v>
      </c>
      <c r="G2887" s="204">
        <v>1</v>
      </c>
      <c r="H2887" s="204" t="s">
        <v>298</v>
      </c>
      <c r="I2887" s="265">
        <f t="shared" ref="I2887:I2893" si="336">D2887*G2887</f>
        <v>0</v>
      </c>
      <c r="J2887" s="204" t="s">
        <v>93</v>
      </c>
      <c r="K2887" s="270"/>
      <c r="L2887" s="210" t="s">
        <v>675</v>
      </c>
      <c r="M2887" s="198">
        <f t="shared" ref="M2887:M2893" si="337">ROUND(K2887*I2887/10000,6)</f>
        <v>0</v>
      </c>
      <c r="N2887" s="212">
        <f>'02 项目基础信息（输入）'!$C$78</f>
        <v>0</v>
      </c>
      <c r="O2887" s="203">
        <f t="shared" si="334"/>
        <v>0</v>
      </c>
      <c r="P2887" s="203">
        <f t="shared" si="326"/>
        <v>0</v>
      </c>
      <c r="Q2887" s="271">
        <f t="shared" si="335"/>
        <v>0</v>
      </c>
      <c r="S2887" s="280"/>
      <c r="T2887" s="222"/>
      <c r="U2887" s="299" t="s">
        <v>5035</v>
      </c>
    </row>
    <row r="2888" spans="1:21" ht="0" hidden="1" customHeight="1" outlineLevel="4">
      <c r="A2888" s="253" t="s">
        <v>4348</v>
      </c>
      <c r="B2888" s="253"/>
      <c r="C2888" s="202" t="s">
        <v>1609</v>
      </c>
      <c r="D2888" s="203">
        <f>'02 项目基础信息（输入）'!$C$78</f>
        <v>0</v>
      </c>
      <c r="E2888" s="204" t="s">
        <v>93</v>
      </c>
      <c r="F2888" s="202" t="s">
        <v>1609</v>
      </c>
      <c r="G2888" s="204">
        <v>1</v>
      </c>
      <c r="H2888" s="204" t="s">
        <v>298</v>
      </c>
      <c r="I2888" s="265">
        <f t="shared" si="336"/>
        <v>0</v>
      </c>
      <c r="J2888" s="204" t="s">
        <v>93</v>
      </c>
      <c r="K2888" s="270"/>
      <c r="L2888" s="210" t="s">
        <v>675</v>
      </c>
      <c r="M2888" s="198">
        <f t="shared" si="337"/>
        <v>0</v>
      </c>
      <c r="N2888" s="212">
        <f>'02 项目基础信息（输入）'!$C$78</f>
        <v>0</v>
      </c>
      <c r="O2888" s="203">
        <f t="shared" si="334"/>
        <v>0</v>
      </c>
      <c r="P2888" s="203">
        <f t="shared" si="326"/>
        <v>0</v>
      </c>
      <c r="Q2888" s="271">
        <f t="shared" si="335"/>
        <v>0</v>
      </c>
      <c r="S2888" s="280"/>
      <c r="T2888" s="222"/>
      <c r="U2888" s="299" t="s">
        <v>5036</v>
      </c>
    </row>
    <row r="2889" spans="1:21" ht="0" hidden="1" customHeight="1" outlineLevel="4">
      <c r="A2889" s="253" t="s">
        <v>4350</v>
      </c>
      <c r="B2889" s="253"/>
      <c r="C2889" s="202" t="s">
        <v>1609</v>
      </c>
      <c r="D2889" s="203">
        <f>'02 项目基础信息（输入）'!$C$78</f>
        <v>0</v>
      </c>
      <c r="E2889" s="204" t="s">
        <v>93</v>
      </c>
      <c r="F2889" s="202" t="s">
        <v>1609</v>
      </c>
      <c r="G2889" s="204">
        <v>1</v>
      </c>
      <c r="H2889" s="204" t="s">
        <v>298</v>
      </c>
      <c r="I2889" s="265">
        <f t="shared" si="336"/>
        <v>0</v>
      </c>
      <c r="J2889" s="204" t="s">
        <v>93</v>
      </c>
      <c r="K2889" s="270"/>
      <c r="L2889" s="210" t="s">
        <v>675</v>
      </c>
      <c r="M2889" s="198">
        <f t="shared" si="337"/>
        <v>0</v>
      </c>
      <c r="N2889" s="212">
        <f>'02 项目基础信息（输入）'!$C$78</f>
        <v>0</v>
      </c>
      <c r="O2889" s="203">
        <f t="shared" si="334"/>
        <v>0</v>
      </c>
      <c r="P2889" s="203">
        <f t="shared" si="326"/>
        <v>0</v>
      </c>
      <c r="Q2889" s="271">
        <f t="shared" si="335"/>
        <v>0</v>
      </c>
      <c r="S2889" s="280"/>
      <c r="T2889" s="222"/>
      <c r="U2889" s="299" t="s">
        <v>5037</v>
      </c>
    </row>
    <row r="2890" spans="1:21" ht="0" hidden="1" customHeight="1" outlineLevel="4">
      <c r="A2890" s="253" t="s">
        <v>4352</v>
      </c>
      <c r="B2890" s="253"/>
      <c r="C2890" s="202" t="s">
        <v>1609</v>
      </c>
      <c r="D2890" s="203">
        <f>'02 项目基础信息（输入）'!$C$78</f>
        <v>0</v>
      </c>
      <c r="E2890" s="204" t="s">
        <v>93</v>
      </c>
      <c r="F2890" s="202" t="s">
        <v>1609</v>
      </c>
      <c r="G2890" s="204">
        <v>1</v>
      </c>
      <c r="H2890" s="204" t="s">
        <v>298</v>
      </c>
      <c r="I2890" s="265">
        <f t="shared" si="336"/>
        <v>0</v>
      </c>
      <c r="J2890" s="204" t="s">
        <v>93</v>
      </c>
      <c r="K2890" s="270"/>
      <c r="L2890" s="210" t="s">
        <v>675</v>
      </c>
      <c r="M2890" s="198">
        <f t="shared" si="337"/>
        <v>0</v>
      </c>
      <c r="N2890" s="212">
        <f>'02 项目基础信息（输入）'!$C$78</f>
        <v>0</v>
      </c>
      <c r="O2890" s="203">
        <f t="shared" si="334"/>
        <v>0</v>
      </c>
      <c r="P2890" s="203">
        <f t="shared" ref="P2890:P2953" si="338">N2890</f>
        <v>0</v>
      </c>
      <c r="Q2890" s="271">
        <f t="shared" si="335"/>
        <v>0</v>
      </c>
      <c r="S2890" s="280"/>
      <c r="T2890" s="222"/>
      <c r="U2890" s="299" t="s">
        <v>5038</v>
      </c>
    </row>
    <row r="2891" spans="1:21" ht="0" hidden="1" customHeight="1" outlineLevel="3">
      <c r="A2891" s="253" t="s">
        <v>4354</v>
      </c>
      <c r="B2891" s="253"/>
      <c r="C2891" s="202" t="s">
        <v>1609</v>
      </c>
      <c r="D2891" s="203">
        <f>'02 项目基础信息（输入）'!$C$78</f>
        <v>0</v>
      </c>
      <c r="E2891" s="204" t="s">
        <v>93</v>
      </c>
      <c r="F2891" s="202" t="s">
        <v>1609</v>
      </c>
      <c r="G2891" s="204">
        <v>1</v>
      </c>
      <c r="H2891" s="204" t="s">
        <v>298</v>
      </c>
      <c r="I2891" s="265">
        <f t="shared" si="336"/>
        <v>0</v>
      </c>
      <c r="J2891" s="204" t="s">
        <v>93</v>
      </c>
      <c r="K2891" s="270"/>
      <c r="L2891" s="210" t="s">
        <v>675</v>
      </c>
      <c r="M2891" s="198">
        <f t="shared" si="337"/>
        <v>0</v>
      </c>
      <c r="N2891" s="212">
        <f>'02 项目基础信息（输入）'!$C$78</f>
        <v>0</v>
      </c>
      <c r="O2891" s="203">
        <f t="shared" si="334"/>
        <v>0</v>
      </c>
      <c r="P2891" s="203">
        <f t="shared" si="338"/>
        <v>0</v>
      </c>
      <c r="Q2891" s="271">
        <f t="shared" si="335"/>
        <v>0</v>
      </c>
      <c r="S2891" s="280"/>
      <c r="T2891" s="222"/>
      <c r="U2891" s="299" t="s">
        <v>5039</v>
      </c>
    </row>
    <row r="2892" spans="1:21" ht="0" hidden="1" customHeight="1" outlineLevel="3">
      <c r="A2892" s="253" t="s">
        <v>4356</v>
      </c>
      <c r="B2892" s="253"/>
      <c r="C2892" s="202" t="s">
        <v>1609</v>
      </c>
      <c r="D2892" s="203">
        <f>'02 项目基础信息（输入）'!$C$78</f>
        <v>0</v>
      </c>
      <c r="E2892" s="204" t="s">
        <v>93</v>
      </c>
      <c r="F2892" s="202" t="s">
        <v>1609</v>
      </c>
      <c r="G2892" s="255">
        <v>1</v>
      </c>
      <c r="H2892" s="204" t="s">
        <v>298</v>
      </c>
      <c r="I2892" s="265">
        <f t="shared" si="336"/>
        <v>0</v>
      </c>
      <c r="J2892" s="204" t="s">
        <v>93</v>
      </c>
      <c r="K2892" s="270"/>
      <c r="L2892" s="210" t="s">
        <v>675</v>
      </c>
      <c r="M2892" s="198">
        <f t="shared" si="337"/>
        <v>0</v>
      </c>
      <c r="N2892" s="212">
        <f>'02 项目基础信息（输入）'!$C$78</f>
        <v>0</v>
      </c>
      <c r="O2892" s="203">
        <f t="shared" si="334"/>
        <v>0</v>
      </c>
      <c r="P2892" s="203">
        <f t="shared" si="338"/>
        <v>0</v>
      </c>
      <c r="Q2892" s="271">
        <f t="shared" si="335"/>
        <v>0</v>
      </c>
      <c r="S2892" s="280"/>
      <c r="T2892" s="222"/>
      <c r="U2892" s="299" t="s">
        <v>5040</v>
      </c>
    </row>
    <row r="2893" spans="1:21" ht="0" hidden="1" customHeight="1" outlineLevel="3">
      <c r="A2893" s="253" t="s">
        <v>4358</v>
      </c>
      <c r="B2893" s="253"/>
      <c r="C2893" s="202" t="s">
        <v>1609</v>
      </c>
      <c r="D2893" s="203">
        <f>'02 项目基础信息（输入）'!$C$78</f>
        <v>0</v>
      </c>
      <c r="E2893" s="204" t="s">
        <v>93</v>
      </c>
      <c r="F2893" s="202" t="s">
        <v>1609</v>
      </c>
      <c r="G2893" s="255">
        <v>1</v>
      </c>
      <c r="H2893" s="204" t="s">
        <v>298</v>
      </c>
      <c r="I2893" s="265">
        <f t="shared" si="336"/>
        <v>0</v>
      </c>
      <c r="J2893" s="204" t="s">
        <v>93</v>
      </c>
      <c r="K2893" s="270"/>
      <c r="L2893" s="210" t="s">
        <v>675</v>
      </c>
      <c r="M2893" s="198">
        <f t="shared" si="337"/>
        <v>0</v>
      </c>
      <c r="N2893" s="212">
        <f>'02 项目基础信息（输入）'!$C$78</f>
        <v>0</v>
      </c>
      <c r="O2893" s="203">
        <f t="shared" si="334"/>
        <v>0</v>
      </c>
      <c r="P2893" s="203">
        <f t="shared" si="338"/>
        <v>0</v>
      </c>
      <c r="Q2893" s="271">
        <f t="shared" si="335"/>
        <v>0</v>
      </c>
      <c r="S2893" s="280"/>
      <c r="T2893" s="222"/>
      <c r="U2893" s="299" t="s">
        <v>5041</v>
      </c>
    </row>
    <row r="2894" spans="1:21" ht="0" hidden="1" customHeight="1" outlineLevel="3">
      <c r="A2894" s="253" t="s">
        <v>4360</v>
      </c>
      <c r="B2894" s="253"/>
      <c r="C2894" s="202" t="s">
        <v>1665</v>
      </c>
      <c r="D2894" s="203">
        <f>ROUND(M2883+M2886+M2891+M2892+M2893,6)*10000</f>
        <v>0</v>
      </c>
      <c r="E2894" s="204" t="s">
        <v>1666</v>
      </c>
      <c r="F2894" s="202" t="s">
        <v>1667</v>
      </c>
      <c r="G2894" s="258">
        <f>IFERROR(I2894*100/D2894,0)</f>
        <v>0</v>
      </c>
      <c r="H2894" s="204" t="s">
        <v>123</v>
      </c>
      <c r="I2894" s="265">
        <f>N2894*K2894</f>
        <v>0</v>
      </c>
      <c r="J2894" s="204" t="s">
        <v>1666</v>
      </c>
      <c r="K2894" s="269"/>
      <c r="L2894" s="210" t="s">
        <v>675</v>
      </c>
      <c r="M2894" s="231">
        <f>ROUND(I2894/10000,6)</f>
        <v>0</v>
      </c>
      <c r="N2894" s="212">
        <f>'02 项目基础信息（输入）'!$C$78</f>
        <v>0</v>
      </c>
      <c r="O2894" s="203">
        <f t="shared" si="334"/>
        <v>0</v>
      </c>
      <c r="P2894" s="203">
        <f t="shared" si="338"/>
        <v>0</v>
      </c>
      <c r="Q2894" s="271">
        <f t="shared" si="335"/>
        <v>0</v>
      </c>
      <c r="S2894" s="280"/>
      <c r="T2894" s="222"/>
      <c r="U2894" s="299" t="s">
        <v>5042</v>
      </c>
    </row>
    <row r="2895" spans="1:21" ht="0" hidden="1" customHeight="1" outlineLevel="2">
      <c r="A2895" s="201" t="s">
        <v>4362</v>
      </c>
      <c r="B2895" s="201"/>
      <c r="C2895" s="202" t="s">
        <v>1609</v>
      </c>
      <c r="D2895" s="203">
        <f>'02 项目基础信息（输入）'!$C$78</f>
        <v>0</v>
      </c>
      <c r="E2895" s="204" t="s">
        <v>93</v>
      </c>
      <c r="F2895" s="202"/>
      <c r="G2895" s="255"/>
      <c r="H2895" s="204"/>
      <c r="I2895" s="203"/>
      <c r="J2895" s="204"/>
      <c r="K2895" s="264"/>
      <c r="L2895" s="210"/>
      <c r="M2895" s="198">
        <f>M2896+M2899+M2905+M2912+M2913+M2916+M2917+M2918+M2919+M2920+M2921+M2922+M2926+M2927</f>
        <v>0</v>
      </c>
      <c r="N2895" s="212">
        <f>'02 项目基础信息（输入）'!$C$78</f>
        <v>0</v>
      </c>
      <c r="O2895" s="203">
        <f t="shared" si="334"/>
        <v>0</v>
      </c>
      <c r="P2895" s="203">
        <f t="shared" si="338"/>
        <v>0</v>
      </c>
      <c r="Q2895" s="271">
        <f t="shared" si="335"/>
        <v>0</v>
      </c>
      <c r="S2895" s="280" t="s">
        <v>1314</v>
      </c>
      <c r="T2895" s="222"/>
      <c r="U2895" s="298" t="s">
        <v>5043</v>
      </c>
    </row>
    <row r="2896" spans="1:21" ht="0" hidden="1" customHeight="1" outlineLevel="3">
      <c r="A2896" s="253" t="s">
        <v>4705</v>
      </c>
      <c r="B2896" s="253"/>
      <c r="C2896" s="202" t="s">
        <v>1609</v>
      </c>
      <c r="D2896" s="203">
        <f>'02 项目基础信息（输入）'!$C$78</f>
        <v>0</v>
      </c>
      <c r="E2896" s="204" t="s">
        <v>93</v>
      </c>
      <c r="F2896" s="202"/>
      <c r="G2896" s="204"/>
      <c r="H2896" s="204"/>
      <c r="I2896" s="265"/>
      <c r="J2896" s="204"/>
      <c r="K2896" s="264"/>
      <c r="L2896" s="210"/>
      <c r="M2896" s="198">
        <f>ROUND(SUM(M2897:M2898),6)</f>
        <v>0</v>
      </c>
      <c r="N2896" s="212">
        <f>'02 项目基础信息（输入）'!$C$78</f>
        <v>0</v>
      </c>
      <c r="O2896" s="203">
        <f t="shared" si="334"/>
        <v>0</v>
      </c>
      <c r="P2896" s="203">
        <f t="shared" si="338"/>
        <v>0</v>
      </c>
      <c r="Q2896" s="271">
        <f t="shared" si="335"/>
        <v>0</v>
      </c>
      <c r="S2896" s="280"/>
      <c r="T2896" s="222"/>
      <c r="U2896" s="299" t="s">
        <v>5044</v>
      </c>
    </row>
    <row r="2897" spans="1:21" ht="0" hidden="1" customHeight="1" outlineLevel="4">
      <c r="A2897" s="253" t="s">
        <v>4707</v>
      </c>
      <c r="B2897" s="253"/>
      <c r="C2897" s="202" t="s">
        <v>1609</v>
      </c>
      <c r="D2897" s="203">
        <f>'02 项目基础信息（输入）'!$C$78</f>
        <v>0</v>
      </c>
      <c r="E2897" s="204" t="s">
        <v>93</v>
      </c>
      <c r="F2897" s="202" t="s">
        <v>1609</v>
      </c>
      <c r="G2897" s="204">
        <v>1</v>
      </c>
      <c r="H2897" s="204" t="s">
        <v>298</v>
      </c>
      <c r="I2897" s="265">
        <f>D2897*G2897</f>
        <v>0</v>
      </c>
      <c r="J2897" s="204" t="s">
        <v>93</v>
      </c>
      <c r="K2897" s="270"/>
      <c r="L2897" s="210" t="s">
        <v>675</v>
      </c>
      <c r="M2897" s="198">
        <f>ROUND(K2897*I2897/10000,6)</f>
        <v>0</v>
      </c>
      <c r="N2897" s="212">
        <f>'02 项目基础信息（输入）'!$C$78</f>
        <v>0</v>
      </c>
      <c r="O2897" s="203">
        <f t="shared" si="334"/>
        <v>0</v>
      </c>
      <c r="P2897" s="203">
        <f t="shared" si="338"/>
        <v>0</v>
      </c>
      <c r="Q2897" s="271">
        <f t="shared" si="335"/>
        <v>0</v>
      </c>
      <c r="S2897" s="280"/>
      <c r="T2897" s="222"/>
      <c r="U2897" s="299" t="s">
        <v>5045</v>
      </c>
    </row>
    <row r="2898" spans="1:21" ht="0" hidden="1" customHeight="1" outlineLevel="4">
      <c r="A2898" s="253" t="s">
        <v>4709</v>
      </c>
      <c r="B2898" s="253"/>
      <c r="C2898" s="202" t="s">
        <v>1609</v>
      </c>
      <c r="D2898" s="203">
        <f>'02 项目基础信息（输入）'!$C$78</f>
        <v>0</v>
      </c>
      <c r="E2898" s="204" t="s">
        <v>93</v>
      </c>
      <c r="F2898" s="202" t="s">
        <v>1609</v>
      </c>
      <c r="G2898" s="204">
        <v>1</v>
      </c>
      <c r="H2898" s="204" t="s">
        <v>298</v>
      </c>
      <c r="I2898" s="265">
        <f>D2898*G2898</f>
        <v>0</v>
      </c>
      <c r="J2898" s="204" t="s">
        <v>93</v>
      </c>
      <c r="K2898" s="270"/>
      <c r="L2898" s="210" t="s">
        <v>675</v>
      </c>
      <c r="M2898" s="198">
        <f>ROUND(K2898*I2898/10000,6)</f>
        <v>0</v>
      </c>
      <c r="N2898" s="212">
        <f>'02 项目基础信息（输入）'!$C$78</f>
        <v>0</v>
      </c>
      <c r="O2898" s="203">
        <f t="shared" si="334"/>
        <v>0</v>
      </c>
      <c r="P2898" s="203">
        <f t="shared" si="338"/>
        <v>0</v>
      </c>
      <c r="Q2898" s="271">
        <f t="shared" si="335"/>
        <v>0</v>
      </c>
      <c r="S2898" s="280"/>
      <c r="T2898" s="222"/>
      <c r="U2898" s="299" t="s">
        <v>5046</v>
      </c>
    </row>
    <row r="2899" spans="1:21" ht="0" hidden="1" customHeight="1" outlineLevel="3">
      <c r="A2899" s="253" t="s">
        <v>4711</v>
      </c>
      <c r="B2899" s="253"/>
      <c r="C2899" s="202" t="s">
        <v>1609</v>
      </c>
      <c r="D2899" s="203">
        <f>'02 项目基础信息（输入）'!$C$78</f>
        <v>0</v>
      </c>
      <c r="E2899" s="204" t="s">
        <v>93</v>
      </c>
      <c r="F2899" s="202"/>
      <c r="G2899" s="204"/>
      <c r="H2899" s="204"/>
      <c r="I2899" s="203"/>
      <c r="J2899" s="204"/>
      <c r="K2899" s="231"/>
      <c r="L2899" s="210"/>
      <c r="M2899" s="198">
        <f>ROUND(SUM(M2900:M2904),6)</f>
        <v>0</v>
      </c>
      <c r="N2899" s="212">
        <f>'02 项目基础信息（输入）'!$C$78</f>
        <v>0</v>
      </c>
      <c r="O2899" s="203">
        <f t="shared" si="334"/>
        <v>0</v>
      </c>
      <c r="P2899" s="203">
        <f t="shared" si="338"/>
        <v>0</v>
      </c>
      <c r="Q2899" s="271">
        <f t="shared" si="335"/>
        <v>0</v>
      </c>
      <c r="S2899" s="280"/>
      <c r="T2899" s="222"/>
      <c r="U2899" s="299" t="s">
        <v>5047</v>
      </c>
    </row>
    <row r="2900" spans="1:21" ht="0" hidden="1" customHeight="1" outlineLevel="4">
      <c r="A2900" s="253" t="s">
        <v>4713</v>
      </c>
      <c r="B2900" s="253"/>
      <c r="C2900" s="202" t="s">
        <v>1609</v>
      </c>
      <c r="D2900" s="203">
        <f>'02 项目基础信息（输入）'!$C$78</f>
        <v>0</v>
      </c>
      <c r="E2900" s="204" t="s">
        <v>93</v>
      </c>
      <c r="F2900" s="202" t="s">
        <v>1609</v>
      </c>
      <c r="G2900" s="204">
        <v>1</v>
      </c>
      <c r="H2900" s="204" t="s">
        <v>298</v>
      </c>
      <c r="I2900" s="265">
        <f>D2900*G2900</f>
        <v>0</v>
      </c>
      <c r="J2900" s="204" t="s">
        <v>93</v>
      </c>
      <c r="K2900" s="270"/>
      <c r="L2900" s="210" t="s">
        <v>675</v>
      </c>
      <c r="M2900" s="198">
        <f>ROUND(K2900*I2900/10000,6)</f>
        <v>0</v>
      </c>
      <c r="N2900" s="212">
        <f>'02 项目基础信息（输入）'!$C$78</f>
        <v>0</v>
      </c>
      <c r="O2900" s="203">
        <f t="shared" si="334"/>
        <v>0</v>
      </c>
      <c r="P2900" s="203">
        <f t="shared" si="338"/>
        <v>0</v>
      </c>
      <c r="Q2900" s="271">
        <f t="shared" si="335"/>
        <v>0</v>
      </c>
      <c r="S2900" s="280"/>
      <c r="T2900" s="222"/>
      <c r="U2900" s="299" t="s">
        <v>5048</v>
      </c>
    </row>
    <row r="2901" spans="1:21" ht="0" hidden="1" customHeight="1" outlineLevel="4">
      <c r="A2901" s="253" t="s">
        <v>4715</v>
      </c>
      <c r="B2901" s="253"/>
      <c r="C2901" s="202" t="s">
        <v>1609</v>
      </c>
      <c r="D2901" s="203">
        <f>'02 项目基础信息（输入）'!$C$78</f>
        <v>0</v>
      </c>
      <c r="E2901" s="204" t="s">
        <v>93</v>
      </c>
      <c r="F2901" s="202" t="s">
        <v>1609</v>
      </c>
      <c r="G2901" s="204">
        <v>1</v>
      </c>
      <c r="H2901" s="204" t="s">
        <v>298</v>
      </c>
      <c r="I2901" s="265">
        <f>D2901*G2901</f>
        <v>0</v>
      </c>
      <c r="J2901" s="204" t="s">
        <v>93</v>
      </c>
      <c r="K2901" s="270"/>
      <c r="L2901" s="210" t="s">
        <v>675</v>
      </c>
      <c r="M2901" s="198">
        <f>ROUND(K2901*I2901/10000,6)</f>
        <v>0</v>
      </c>
      <c r="N2901" s="212">
        <f>'02 项目基础信息（输入）'!$C$78</f>
        <v>0</v>
      </c>
      <c r="O2901" s="203">
        <f t="shared" si="334"/>
        <v>0</v>
      </c>
      <c r="P2901" s="203">
        <f t="shared" si="338"/>
        <v>0</v>
      </c>
      <c r="Q2901" s="271">
        <f t="shared" si="335"/>
        <v>0</v>
      </c>
      <c r="S2901" s="280"/>
      <c r="T2901" s="222"/>
      <c r="U2901" s="299" t="s">
        <v>5049</v>
      </c>
    </row>
    <row r="2902" spans="1:21" ht="0" hidden="1" customHeight="1" outlineLevel="4">
      <c r="A2902" s="253" t="s">
        <v>4717</v>
      </c>
      <c r="B2902" s="253"/>
      <c r="C2902" s="202" t="s">
        <v>1609</v>
      </c>
      <c r="D2902" s="203">
        <f>'02 项目基础信息（输入）'!$C$78</f>
        <v>0</v>
      </c>
      <c r="E2902" s="204" t="s">
        <v>93</v>
      </c>
      <c r="F2902" s="202" t="s">
        <v>1609</v>
      </c>
      <c r="G2902" s="204">
        <v>1</v>
      </c>
      <c r="H2902" s="204" t="s">
        <v>298</v>
      </c>
      <c r="I2902" s="265">
        <f>D2902*G2902</f>
        <v>0</v>
      </c>
      <c r="J2902" s="204" t="s">
        <v>93</v>
      </c>
      <c r="K2902" s="270"/>
      <c r="L2902" s="210" t="s">
        <v>675</v>
      </c>
      <c r="M2902" s="198">
        <f>ROUND(K2902*I2902/10000,6)</f>
        <v>0</v>
      </c>
      <c r="N2902" s="212">
        <f>'02 项目基础信息（输入）'!$C$78</f>
        <v>0</v>
      </c>
      <c r="O2902" s="203">
        <f t="shared" si="334"/>
        <v>0</v>
      </c>
      <c r="P2902" s="203">
        <f t="shared" si="338"/>
        <v>0</v>
      </c>
      <c r="Q2902" s="271">
        <f t="shared" si="335"/>
        <v>0</v>
      </c>
      <c r="S2902" s="280"/>
      <c r="T2902" s="222"/>
      <c r="U2902" s="299" t="s">
        <v>5050</v>
      </c>
    </row>
    <row r="2903" spans="1:21" ht="0" hidden="1" customHeight="1" outlineLevel="4">
      <c r="A2903" s="253" t="s">
        <v>4719</v>
      </c>
      <c r="B2903" s="253"/>
      <c r="C2903" s="202" t="s">
        <v>1609</v>
      </c>
      <c r="D2903" s="203">
        <f>'02 项目基础信息（输入）'!$C$78</f>
        <v>0</v>
      </c>
      <c r="E2903" s="204" t="s">
        <v>93</v>
      </c>
      <c r="F2903" s="202" t="s">
        <v>1609</v>
      </c>
      <c r="G2903" s="204">
        <v>1</v>
      </c>
      <c r="H2903" s="204" t="s">
        <v>298</v>
      </c>
      <c r="I2903" s="265">
        <f>D2903*G2903</f>
        <v>0</v>
      </c>
      <c r="J2903" s="204" t="s">
        <v>93</v>
      </c>
      <c r="K2903" s="270"/>
      <c r="L2903" s="210" t="s">
        <v>675</v>
      </c>
      <c r="M2903" s="198">
        <f>ROUND(K2903*I2903/10000,6)</f>
        <v>0</v>
      </c>
      <c r="N2903" s="212">
        <f>'02 项目基础信息（输入）'!$C$78</f>
        <v>0</v>
      </c>
      <c r="O2903" s="203">
        <f t="shared" si="334"/>
        <v>0</v>
      </c>
      <c r="P2903" s="203">
        <f t="shared" si="338"/>
        <v>0</v>
      </c>
      <c r="Q2903" s="271">
        <f t="shared" si="335"/>
        <v>0</v>
      </c>
      <c r="S2903" s="280"/>
      <c r="T2903" s="222"/>
      <c r="U2903" s="299" t="s">
        <v>5051</v>
      </c>
    </row>
    <row r="2904" spans="1:21" ht="0" hidden="1" customHeight="1" outlineLevel="4">
      <c r="A2904" s="253" t="s">
        <v>5052</v>
      </c>
      <c r="B2904" s="253"/>
      <c r="C2904" s="202" t="s">
        <v>1609</v>
      </c>
      <c r="D2904" s="203">
        <f>'02 项目基础信息（输入）'!$C$78</f>
        <v>0</v>
      </c>
      <c r="E2904" s="204" t="s">
        <v>93</v>
      </c>
      <c r="F2904" s="202" t="s">
        <v>1609</v>
      </c>
      <c r="G2904" s="204">
        <v>1</v>
      </c>
      <c r="H2904" s="204" t="s">
        <v>298</v>
      </c>
      <c r="I2904" s="265">
        <f>D2904*G2904</f>
        <v>0</v>
      </c>
      <c r="J2904" s="204" t="s">
        <v>93</v>
      </c>
      <c r="K2904" s="270"/>
      <c r="L2904" s="210" t="s">
        <v>675</v>
      </c>
      <c r="M2904" s="198">
        <f>ROUND(K2904*I2904/10000,6)</f>
        <v>0</v>
      </c>
      <c r="N2904" s="212">
        <f>'02 项目基础信息（输入）'!$C$78</f>
        <v>0</v>
      </c>
      <c r="O2904" s="203">
        <f t="shared" si="334"/>
        <v>0</v>
      </c>
      <c r="P2904" s="203">
        <f t="shared" si="338"/>
        <v>0</v>
      </c>
      <c r="Q2904" s="271">
        <f t="shared" si="335"/>
        <v>0</v>
      </c>
      <c r="S2904" s="280"/>
      <c r="T2904" s="222"/>
      <c r="U2904" s="299" t="s">
        <v>5053</v>
      </c>
    </row>
    <row r="2905" spans="1:21" ht="0" hidden="1" customHeight="1" outlineLevel="3">
      <c r="A2905" s="253" t="s">
        <v>4721</v>
      </c>
      <c r="B2905" s="253"/>
      <c r="C2905" s="202" t="s">
        <v>1609</v>
      </c>
      <c r="D2905" s="203">
        <f>'02 项目基础信息（输入）'!$C$78</f>
        <v>0</v>
      </c>
      <c r="E2905" s="204" t="s">
        <v>93</v>
      </c>
      <c r="F2905" s="202"/>
      <c r="G2905" s="204"/>
      <c r="H2905" s="204"/>
      <c r="I2905" s="203"/>
      <c r="J2905" s="204"/>
      <c r="K2905" s="231"/>
      <c r="L2905" s="210"/>
      <c r="M2905" s="198">
        <f>ROUND(SUM(M2906:M2911),6)</f>
        <v>0</v>
      </c>
      <c r="N2905" s="212">
        <f>'02 项目基础信息（输入）'!$C$78</f>
        <v>0</v>
      </c>
      <c r="O2905" s="203">
        <f t="shared" si="334"/>
        <v>0</v>
      </c>
      <c r="P2905" s="203">
        <f t="shared" si="338"/>
        <v>0</v>
      </c>
      <c r="Q2905" s="271">
        <f t="shared" si="335"/>
        <v>0</v>
      </c>
      <c r="S2905" s="280"/>
      <c r="T2905" s="222"/>
      <c r="U2905" s="299" t="s">
        <v>5054</v>
      </c>
    </row>
    <row r="2906" spans="1:21" ht="0" hidden="1" customHeight="1" outlineLevel="4">
      <c r="A2906" s="253" t="s">
        <v>4723</v>
      </c>
      <c r="B2906" s="253"/>
      <c r="C2906" s="202" t="s">
        <v>1609</v>
      </c>
      <c r="D2906" s="203">
        <f>'02 项目基础信息（输入）'!$C$78</f>
        <v>0</v>
      </c>
      <c r="E2906" s="204" t="s">
        <v>93</v>
      </c>
      <c r="F2906" s="202" t="s">
        <v>1609</v>
      </c>
      <c r="G2906" s="204">
        <v>1</v>
      </c>
      <c r="H2906" s="204" t="s">
        <v>298</v>
      </c>
      <c r="I2906" s="265">
        <f t="shared" ref="I2906:I2912" si="339">D2906*G2906</f>
        <v>0</v>
      </c>
      <c r="J2906" s="204" t="s">
        <v>93</v>
      </c>
      <c r="K2906" s="270"/>
      <c r="L2906" s="210" t="s">
        <v>675</v>
      </c>
      <c r="M2906" s="198">
        <f t="shared" ref="M2906:M2912" si="340">ROUND(K2906*I2906/10000,6)</f>
        <v>0</v>
      </c>
      <c r="N2906" s="212">
        <f>'02 项目基础信息（输入）'!$C$78</f>
        <v>0</v>
      </c>
      <c r="O2906" s="203">
        <f t="shared" si="334"/>
        <v>0</v>
      </c>
      <c r="P2906" s="203">
        <f t="shared" si="338"/>
        <v>0</v>
      </c>
      <c r="Q2906" s="271">
        <f t="shared" si="335"/>
        <v>0</v>
      </c>
      <c r="S2906" s="280"/>
      <c r="T2906" s="222"/>
      <c r="U2906" s="299" t="s">
        <v>5055</v>
      </c>
    </row>
    <row r="2907" spans="1:21" ht="0" hidden="1" customHeight="1" outlineLevel="4">
      <c r="A2907" s="253" t="s">
        <v>4725</v>
      </c>
      <c r="B2907" s="253"/>
      <c r="C2907" s="202" t="s">
        <v>1609</v>
      </c>
      <c r="D2907" s="203">
        <f>'02 项目基础信息（输入）'!$C$78</f>
        <v>0</v>
      </c>
      <c r="E2907" s="204" t="s">
        <v>93</v>
      </c>
      <c r="F2907" s="202" t="s">
        <v>1609</v>
      </c>
      <c r="G2907" s="204">
        <v>1</v>
      </c>
      <c r="H2907" s="204" t="s">
        <v>298</v>
      </c>
      <c r="I2907" s="265">
        <f t="shared" si="339"/>
        <v>0</v>
      </c>
      <c r="J2907" s="204" t="s">
        <v>93</v>
      </c>
      <c r="K2907" s="270"/>
      <c r="L2907" s="210" t="s">
        <v>675</v>
      </c>
      <c r="M2907" s="198">
        <f t="shared" si="340"/>
        <v>0</v>
      </c>
      <c r="N2907" s="212">
        <f>'02 项目基础信息（输入）'!$C$78</f>
        <v>0</v>
      </c>
      <c r="O2907" s="203">
        <f t="shared" si="334"/>
        <v>0</v>
      </c>
      <c r="P2907" s="203">
        <f t="shared" si="338"/>
        <v>0</v>
      </c>
      <c r="Q2907" s="271">
        <f t="shared" si="335"/>
        <v>0</v>
      </c>
      <c r="S2907" s="280"/>
      <c r="T2907" s="222"/>
      <c r="U2907" s="299" t="s">
        <v>5056</v>
      </c>
    </row>
    <row r="2908" spans="1:21" ht="0" hidden="1" customHeight="1" outlineLevel="4">
      <c r="A2908" s="253" t="s">
        <v>4727</v>
      </c>
      <c r="B2908" s="253"/>
      <c r="C2908" s="202" t="s">
        <v>1609</v>
      </c>
      <c r="D2908" s="203">
        <f>'02 项目基础信息（输入）'!$C$78</f>
        <v>0</v>
      </c>
      <c r="E2908" s="204" t="s">
        <v>93</v>
      </c>
      <c r="F2908" s="202" t="s">
        <v>1609</v>
      </c>
      <c r="G2908" s="204">
        <v>1</v>
      </c>
      <c r="H2908" s="204" t="s">
        <v>298</v>
      </c>
      <c r="I2908" s="265">
        <f t="shared" si="339"/>
        <v>0</v>
      </c>
      <c r="J2908" s="204" t="s">
        <v>93</v>
      </c>
      <c r="K2908" s="270"/>
      <c r="L2908" s="210" t="s">
        <v>675</v>
      </c>
      <c r="M2908" s="198">
        <f t="shared" si="340"/>
        <v>0</v>
      </c>
      <c r="N2908" s="212">
        <f>'02 项目基础信息（输入）'!$C$78</f>
        <v>0</v>
      </c>
      <c r="O2908" s="203">
        <f t="shared" si="334"/>
        <v>0</v>
      </c>
      <c r="P2908" s="203">
        <f t="shared" si="338"/>
        <v>0</v>
      </c>
      <c r="Q2908" s="271">
        <f t="shared" si="335"/>
        <v>0</v>
      </c>
      <c r="S2908" s="280"/>
      <c r="T2908" s="222"/>
      <c r="U2908" s="299" t="s">
        <v>5057</v>
      </c>
    </row>
    <row r="2909" spans="1:21" ht="0" hidden="1" customHeight="1" outlineLevel="4">
      <c r="A2909" s="253" t="s">
        <v>4729</v>
      </c>
      <c r="B2909" s="253"/>
      <c r="C2909" s="202" t="s">
        <v>1609</v>
      </c>
      <c r="D2909" s="203">
        <f>'02 项目基础信息（输入）'!$C$78</f>
        <v>0</v>
      </c>
      <c r="E2909" s="204" t="s">
        <v>93</v>
      </c>
      <c r="F2909" s="202" t="s">
        <v>1609</v>
      </c>
      <c r="G2909" s="204">
        <v>1</v>
      </c>
      <c r="H2909" s="204" t="s">
        <v>298</v>
      </c>
      <c r="I2909" s="265">
        <f t="shared" si="339"/>
        <v>0</v>
      </c>
      <c r="J2909" s="204" t="s">
        <v>93</v>
      </c>
      <c r="K2909" s="270"/>
      <c r="L2909" s="210" t="s">
        <v>675</v>
      </c>
      <c r="M2909" s="198">
        <f t="shared" si="340"/>
        <v>0</v>
      </c>
      <c r="N2909" s="212">
        <f>'02 项目基础信息（输入）'!$C$78</f>
        <v>0</v>
      </c>
      <c r="O2909" s="203">
        <f t="shared" si="334"/>
        <v>0</v>
      </c>
      <c r="P2909" s="203">
        <f t="shared" si="338"/>
        <v>0</v>
      </c>
      <c r="Q2909" s="271">
        <f t="shared" si="335"/>
        <v>0</v>
      </c>
      <c r="S2909" s="280"/>
      <c r="T2909" s="222"/>
      <c r="U2909" s="299" t="s">
        <v>5058</v>
      </c>
    </row>
    <row r="2910" spans="1:21" ht="0" hidden="1" customHeight="1" outlineLevel="4">
      <c r="A2910" s="253" t="s">
        <v>4731</v>
      </c>
      <c r="B2910" s="253"/>
      <c r="C2910" s="202" t="s">
        <v>1609</v>
      </c>
      <c r="D2910" s="203">
        <f>'02 项目基础信息（输入）'!$C$78</f>
        <v>0</v>
      </c>
      <c r="E2910" s="204" t="s">
        <v>93</v>
      </c>
      <c r="F2910" s="202" t="s">
        <v>1609</v>
      </c>
      <c r="G2910" s="204">
        <v>1</v>
      </c>
      <c r="H2910" s="204" t="s">
        <v>298</v>
      </c>
      <c r="I2910" s="265">
        <f t="shared" si="339"/>
        <v>0</v>
      </c>
      <c r="J2910" s="204" t="s">
        <v>93</v>
      </c>
      <c r="K2910" s="270"/>
      <c r="L2910" s="210" t="s">
        <v>675</v>
      </c>
      <c r="M2910" s="198">
        <f t="shared" si="340"/>
        <v>0</v>
      </c>
      <c r="N2910" s="212">
        <f>'02 项目基础信息（输入）'!$C$78</f>
        <v>0</v>
      </c>
      <c r="O2910" s="203">
        <f t="shared" si="334"/>
        <v>0</v>
      </c>
      <c r="P2910" s="203">
        <f t="shared" si="338"/>
        <v>0</v>
      </c>
      <c r="Q2910" s="271">
        <f t="shared" si="335"/>
        <v>0</v>
      </c>
      <c r="S2910" s="280"/>
      <c r="T2910" s="222"/>
      <c r="U2910" s="299" t="s">
        <v>5059</v>
      </c>
    </row>
    <row r="2911" spans="1:21" ht="0" hidden="1" customHeight="1" outlineLevel="4">
      <c r="A2911" s="253" t="s">
        <v>4733</v>
      </c>
      <c r="B2911" s="253"/>
      <c r="C2911" s="202" t="s">
        <v>1609</v>
      </c>
      <c r="D2911" s="203">
        <f>'02 项目基础信息（输入）'!$C$78</f>
        <v>0</v>
      </c>
      <c r="E2911" s="204" t="s">
        <v>93</v>
      </c>
      <c r="F2911" s="202" t="s">
        <v>1609</v>
      </c>
      <c r="G2911" s="204">
        <v>1</v>
      </c>
      <c r="H2911" s="204" t="s">
        <v>298</v>
      </c>
      <c r="I2911" s="265">
        <f t="shared" si="339"/>
        <v>0</v>
      </c>
      <c r="J2911" s="204" t="s">
        <v>93</v>
      </c>
      <c r="K2911" s="270"/>
      <c r="L2911" s="210" t="s">
        <v>675</v>
      </c>
      <c r="M2911" s="198">
        <f t="shared" si="340"/>
        <v>0</v>
      </c>
      <c r="N2911" s="212">
        <f>'02 项目基础信息（输入）'!$C$78</f>
        <v>0</v>
      </c>
      <c r="O2911" s="203">
        <f t="shared" si="334"/>
        <v>0</v>
      </c>
      <c r="P2911" s="203">
        <f t="shared" si="338"/>
        <v>0</v>
      </c>
      <c r="Q2911" s="271">
        <f t="shared" si="335"/>
        <v>0</v>
      </c>
      <c r="S2911" s="280"/>
      <c r="T2911" s="222"/>
      <c r="U2911" s="299" t="s">
        <v>5060</v>
      </c>
    </row>
    <row r="2912" spans="1:21" ht="0" hidden="1" customHeight="1" outlineLevel="3">
      <c r="A2912" s="253" t="s">
        <v>4735</v>
      </c>
      <c r="B2912" s="253"/>
      <c r="C2912" s="202" t="s">
        <v>1609</v>
      </c>
      <c r="D2912" s="203">
        <f>'02 项目基础信息（输入）'!$C$78</f>
        <v>0</v>
      </c>
      <c r="E2912" s="204" t="s">
        <v>93</v>
      </c>
      <c r="F2912" s="202" t="s">
        <v>1609</v>
      </c>
      <c r="G2912" s="204">
        <v>1</v>
      </c>
      <c r="H2912" s="204" t="s">
        <v>298</v>
      </c>
      <c r="I2912" s="265">
        <f t="shared" si="339"/>
        <v>0</v>
      </c>
      <c r="J2912" s="204" t="s">
        <v>93</v>
      </c>
      <c r="K2912" s="270"/>
      <c r="L2912" s="210" t="s">
        <v>675</v>
      </c>
      <c r="M2912" s="198">
        <f t="shared" si="340"/>
        <v>0</v>
      </c>
      <c r="N2912" s="212">
        <f>'02 项目基础信息（输入）'!$C$78</f>
        <v>0</v>
      </c>
      <c r="O2912" s="203">
        <f t="shared" si="334"/>
        <v>0</v>
      </c>
      <c r="P2912" s="203">
        <f t="shared" si="338"/>
        <v>0</v>
      </c>
      <c r="Q2912" s="271">
        <f t="shared" si="335"/>
        <v>0</v>
      </c>
      <c r="S2912" s="280"/>
      <c r="T2912" s="222"/>
      <c r="U2912" s="299" t="s">
        <v>5061</v>
      </c>
    </row>
    <row r="2913" spans="1:21" ht="0" hidden="1" customHeight="1" outlineLevel="3">
      <c r="A2913" s="253" t="s">
        <v>4737</v>
      </c>
      <c r="B2913" s="253"/>
      <c r="C2913" s="202" t="s">
        <v>1609</v>
      </c>
      <c r="D2913" s="203">
        <f>'02 项目基础信息（输入）'!$C$78</f>
        <v>0</v>
      </c>
      <c r="E2913" s="204" t="s">
        <v>93</v>
      </c>
      <c r="F2913" s="256"/>
      <c r="G2913" s="255"/>
      <c r="H2913" s="255"/>
      <c r="I2913" s="212"/>
      <c r="J2913" s="255"/>
      <c r="K2913" s="264"/>
      <c r="L2913" s="205"/>
      <c r="M2913" s="198">
        <f>SUM(M2914:M2915)</f>
        <v>0</v>
      </c>
      <c r="N2913" s="212">
        <f>'02 项目基础信息（输入）'!$C$78</f>
        <v>0</v>
      </c>
      <c r="O2913" s="203">
        <f t="shared" si="334"/>
        <v>0</v>
      </c>
      <c r="P2913" s="203">
        <f t="shared" si="338"/>
        <v>0</v>
      </c>
      <c r="Q2913" s="271">
        <f t="shared" si="335"/>
        <v>0</v>
      </c>
      <c r="S2913" s="280"/>
      <c r="T2913" s="222"/>
      <c r="U2913" s="299" t="s">
        <v>5062</v>
      </c>
    </row>
    <row r="2914" spans="1:21" ht="0" hidden="1" customHeight="1" outlineLevel="4">
      <c r="A2914" s="253" t="s">
        <v>4739</v>
      </c>
      <c r="B2914" s="253"/>
      <c r="C2914" s="202" t="s">
        <v>1609</v>
      </c>
      <c r="D2914" s="203">
        <f>'02 项目基础信息（输入）'!$C$78</f>
        <v>0</v>
      </c>
      <c r="E2914" s="255" t="s">
        <v>93</v>
      </c>
      <c r="F2914" s="256" t="s">
        <v>4740</v>
      </c>
      <c r="G2914" s="205">
        <f>IFERROR(I2914/D2914,0)</f>
        <v>0</v>
      </c>
      <c r="H2914" s="255" t="s">
        <v>298</v>
      </c>
      <c r="I2914" s="273">
        <f>'03 成本测算（输入）'!D287</f>
        <v>0</v>
      </c>
      <c r="J2914" s="255" t="s">
        <v>93</v>
      </c>
      <c r="K2914" s="295">
        <f>'03 成本测算（输入）'!D288</f>
        <v>0</v>
      </c>
      <c r="L2914" s="205" t="s">
        <v>675</v>
      </c>
      <c r="M2914" s="198">
        <f t="shared" ref="M2914:M2921" si="341">ROUND(K2914*I2914/10000,6)</f>
        <v>0</v>
      </c>
      <c r="N2914" s="212">
        <f>'02 项目基础信息（输入）'!$C$78</f>
        <v>0</v>
      </c>
      <c r="O2914" s="203">
        <f t="shared" si="334"/>
        <v>0</v>
      </c>
      <c r="P2914" s="203">
        <f t="shared" si="338"/>
        <v>0</v>
      </c>
      <c r="Q2914" s="271">
        <f t="shared" si="335"/>
        <v>0</v>
      </c>
      <c r="S2914" s="280"/>
      <c r="T2914" s="222"/>
      <c r="U2914" s="299" t="s">
        <v>5063</v>
      </c>
    </row>
    <row r="2915" spans="1:21" ht="0" hidden="1" customHeight="1" outlineLevel="4">
      <c r="A2915" s="253" t="s">
        <v>4742</v>
      </c>
      <c r="B2915" s="253"/>
      <c r="C2915" s="202" t="s">
        <v>1609</v>
      </c>
      <c r="D2915" s="203">
        <f>'02 项目基础信息（输入）'!$C$78</f>
        <v>0</v>
      </c>
      <c r="E2915" s="255" t="s">
        <v>93</v>
      </c>
      <c r="F2915" s="256" t="s">
        <v>4740</v>
      </c>
      <c r="G2915" s="205">
        <f>IFERROR(I2915/D2915,0)</f>
        <v>0</v>
      </c>
      <c r="H2915" s="255" t="s">
        <v>298</v>
      </c>
      <c r="I2915" s="273">
        <f>'03 成本测算（输入）'!D289</f>
        <v>0</v>
      </c>
      <c r="J2915" s="255" t="s">
        <v>93</v>
      </c>
      <c r="K2915" s="295">
        <f>'03 成本测算（输入）'!D290</f>
        <v>0</v>
      </c>
      <c r="L2915" s="205" t="s">
        <v>675</v>
      </c>
      <c r="M2915" s="198">
        <f t="shared" si="341"/>
        <v>0</v>
      </c>
      <c r="N2915" s="212">
        <f>'02 项目基础信息（输入）'!$C$78</f>
        <v>0</v>
      </c>
      <c r="O2915" s="203">
        <f t="shared" si="334"/>
        <v>0</v>
      </c>
      <c r="P2915" s="203">
        <f t="shared" si="338"/>
        <v>0</v>
      </c>
      <c r="Q2915" s="271">
        <f t="shared" si="335"/>
        <v>0</v>
      </c>
      <c r="S2915" s="280"/>
      <c r="T2915" s="222"/>
      <c r="U2915" s="299" t="s">
        <v>5064</v>
      </c>
    </row>
    <row r="2916" spans="1:21" ht="0" hidden="1" customHeight="1" outlineLevel="3">
      <c r="A2916" s="253" t="s">
        <v>4744</v>
      </c>
      <c r="B2916" s="253"/>
      <c r="C2916" s="202" t="s">
        <v>1609</v>
      </c>
      <c r="D2916" s="203">
        <f>'02 项目基础信息（输入）'!$C$78</f>
        <v>0</v>
      </c>
      <c r="E2916" s="204" t="s">
        <v>93</v>
      </c>
      <c r="F2916" s="202" t="s">
        <v>1609</v>
      </c>
      <c r="G2916" s="204">
        <v>1</v>
      </c>
      <c r="H2916" s="204" t="s">
        <v>298</v>
      </c>
      <c r="I2916" s="265">
        <f t="shared" ref="I2916:I2921" si="342">D2916*G2916</f>
        <v>0</v>
      </c>
      <c r="J2916" s="204" t="s">
        <v>93</v>
      </c>
      <c r="K2916" s="270"/>
      <c r="L2916" s="210" t="s">
        <v>675</v>
      </c>
      <c r="M2916" s="198">
        <f t="shared" si="341"/>
        <v>0</v>
      </c>
      <c r="N2916" s="212">
        <f>'02 项目基础信息（输入）'!$C$78</f>
        <v>0</v>
      </c>
      <c r="O2916" s="203">
        <f t="shared" si="334"/>
        <v>0</v>
      </c>
      <c r="P2916" s="203">
        <f t="shared" si="338"/>
        <v>0</v>
      </c>
      <c r="Q2916" s="271">
        <f t="shared" si="335"/>
        <v>0</v>
      </c>
      <c r="S2916" s="280"/>
      <c r="T2916" s="222"/>
      <c r="U2916" s="299" t="s">
        <v>5065</v>
      </c>
    </row>
    <row r="2917" spans="1:21" ht="0" hidden="1" customHeight="1" outlineLevel="3">
      <c r="A2917" s="253" t="s">
        <v>5066</v>
      </c>
      <c r="B2917" s="253"/>
      <c r="C2917" s="202" t="s">
        <v>1609</v>
      </c>
      <c r="D2917" s="203">
        <f>'02 项目基础信息（输入）'!$C$78</f>
        <v>0</v>
      </c>
      <c r="E2917" s="204" t="s">
        <v>93</v>
      </c>
      <c r="F2917" s="202" t="s">
        <v>1609</v>
      </c>
      <c r="G2917" s="204">
        <v>1</v>
      </c>
      <c r="H2917" s="204" t="s">
        <v>298</v>
      </c>
      <c r="I2917" s="265">
        <f t="shared" si="342"/>
        <v>0</v>
      </c>
      <c r="J2917" s="204" t="s">
        <v>93</v>
      </c>
      <c r="K2917" s="270"/>
      <c r="L2917" s="210" t="s">
        <v>675</v>
      </c>
      <c r="M2917" s="198">
        <f t="shared" si="341"/>
        <v>0</v>
      </c>
      <c r="N2917" s="212">
        <f>'02 项目基础信息（输入）'!$C$78</f>
        <v>0</v>
      </c>
      <c r="O2917" s="203">
        <f t="shared" si="334"/>
        <v>0</v>
      </c>
      <c r="P2917" s="203">
        <f t="shared" si="338"/>
        <v>0</v>
      </c>
      <c r="Q2917" s="271">
        <f t="shared" si="335"/>
        <v>0</v>
      </c>
      <c r="S2917" s="280"/>
      <c r="T2917" s="222"/>
      <c r="U2917" s="299" t="s">
        <v>5067</v>
      </c>
    </row>
    <row r="2918" spans="1:21" ht="0" hidden="1" customHeight="1" outlineLevel="3">
      <c r="A2918" s="253" t="s">
        <v>5068</v>
      </c>
      <c r="B2918" s="253"/>
      <c r="C2918" s="202" t="s">
        <v>1609</v>
      </c>
      <c r="D2918" s="203">
        <f>'02 项目基础信息（输入）'!$C$78</f>
        <v>0</v>
      </c>
      <c r="E2918" s="204" t="s">
        <v>93</v>
      </c>
      <c r="F2918" s="202" t="s">
        <v>1609</v>
      </c>
      <c r="G2918" s="204">
        <v>1</v>
      </c>
      <c r="H2918" s="204" t="s">
        <v>298</v>
      </c>
      <c r="I2918" s="265">
        <f t="shared" si="342"/>
        <v>0</v>
      </c>
      <c r="J2918" s="204" t="s">
        <v>93</v>
      </c>
      <c r="K2918" s="270"/>
      <c r="L2918" s="210" t="s">
        <v>675</v>
      </c>
      <c r="M2918" s="198">
        <f t="shared" si="341"/>
        <v>0</v>
      </c>
      <c r="N2918" s="212">
        <f>'02 项目基础信息（输入）'!$C$78</f>
        <v>0</v>
      </c>
      <c r="O2918" s="203">
        <f t="shared" si="334"/>
        <v>0</v>
      </c>
      <c r="P2918" s="203">
        <f t="shared" si="338"/>
        <v>0</v>
      </c>
      <c r="Q2918" s="271">
        <f t="shared" si="335"/>
        <v>0</v>
      </c>
      <c r="S2918" s="280"/>
      <c r="T2918" s="222"/>
      <c r="U2918" s="299" t="s">
        <v>5069</v>
      </c>
    </row>
    <row r="2919" spans="1:21" ht="0" hidden="1" customHeight="1" outlineLevel="3">
      <c r="A2919" s="253" t="s">
        <v>4750</v>
      </c>
      <c r="B2919" s="253"/>
      <c r="C2919" s="202" t="s">
        <v>1609</v>
      </c>
      <c r="D2919" s="203">
        <f>'02 项目基础信息（输入）'!$C$78</f>
        <v>0</v>
      </c>
      <c r="E2919" s="204" t="s">
        <v>93</v>
      </c>
      <c r="F2919" s="202" t="s">
        <v>1609</v>
      </c>
      <c r="G2919" s="204">
        <v>1</v>
      </c>
      <c r="H2919" s="204" t="s">
        <v>298</v>
      </c>
      <c r="I2919" s="265">
        <f t="shared" si="342"/>
        <v>0</v>
      </c>
      <c r="J2919" s="204" t="s">
        <v>93</v>
      </c>
      <c r="K2919" s="270"/>
      <c r="L2919" s="210" t="s">
        <v>675</v>
      </c>
      <c r="M2919" s="198">
        <f t="shared" si="341"/>
        <v>0</v>
      </c>
      <c r="N2919" s="212">
        <f>'02 项目基础信息（输入）'!$C$78</f>
        <v>0</v>
      </c>
      <c r="O2919" s="203">
        <f t="shared" si="334"/>
        <v>0</v>
      </c>
      <c r="P2919" s="203">
        <f t="shared" si="338"/>
        <v>0</v>
      </c>
      <c r="Q2919" s="271">
        <f t="shared" si="335"/>
        <v>0</v>
      </c>
      <c r="S2919" s="280"/>
      <c r="T2919" s="222"/>
      <c r="U2919" s="299" t="s">
        <v>5070</v>
      </c>
    </row>
    <row r="2920" spans="1:21" ht="0" hidden="1" customHeight="1" outlineLevel="3">
      <c r="A2920" s="253" t="s">
        <v>5071</v>
      </c>
      <c r="B2920" s="253"/>
      <c r="C2920" s="202" t="s">
        <v>1609</v>
      </c>
      <c r="D2920" s="203">
        <f>'02 项目基础信息（输入）'!$C$78</f>
        <v>0</v>
      </c>
      <c r="E2920" s="204" t="s">
        <v>93</v>
      </c>
      <c r="F2920" s="202" t="s">
        <v>1609</v>
      </c>
      <c r="G2920" s="204">
        <v>1</v>
      </c>
      <c r="H2920" s="204" t="s">
        <v>298</v>
      </c>
      <c r="I2920" s="265">
        <f t="shared" si="342"/>
        <v>0</v>
      </c>
      <c r="J2920" s="204" t="s">
        <v>93</v>
      </c>
      <c r="K2920" s="270"/>
      <c r="L2920" s="210" t="s">
        <v>675</v>
      </c>
      <c r="M2920" s="198">
        <f t="shared" si="341"/>
        <v>0</v>
      </c>
      <c r="N2920" s="212">
        <f>'02 项目基础信息（输入）'!$C$78</f>
        <v>0</v>
      </c>
      <c r="O2920" s="203">
        <f t="shared" si="334"/>
        <v>0</v>
      </c>
      <c r="P2920" s="203">
        <f t="shared" si="338"/>
        <v>0</v>
      </c>
      <c r="Q2920" s="271">
        <f t="shared" si="335"/>
        <v>0</v>
      </c>
      <c r="S2920" s="280"/>
      <c r="T2920" s="222"/>
      <c r="U2920" s="299" t="s">
        <v>5072</v>
      </c>
    </row>
    <row r="2921" spans="1:21" ht="0" hidden="1" customHeight="1" outlineLevel="3">
      <c r="A2921" s="253" t="s">
        <v>4752</v>
      </c>
      <c r="B2921" s="253"/>
      <c r="C2921" s="202" t="s">
        <v>1609</v>
      </c>
      <c r="D2921" s="203">
        <f>'02 项目基础信息（输入）'!$C$78</f>
        <v>0</v>
      </c>
      <c r="E2921" s="204" t="s">
        <v>93</v>
      </c>
      <c r="F2921" s="202" t="s">
        <v>1609</v>
      </c>
      <c r="G2921" s="204">
        <v>1</v>
      </c>
      <c r="H2921" s="204" t="s">
        <v>298</v>
      </c>
      <c r="I2921" s="265">
        <f t="shared" si="342"/>
        <v>0</v>
      </c>
      <c r="J2921" s="204" t="s">
        <v>93</v>
      </c>
      <c r="K2921" s="270"/>
      <c r="L2921" s="210" t="s">
        <v>675</v>
      </c>
      <c r="M2921" s="198">
        <f t="shared" si="341"/>
        <v>0</v>
      </c>
      <c r="N2921" s="212">
        <f>'02 项目基础信息（输入）'!$C$78</f>
        <v>0</v>
      </c>
      <c r="O2921" s="203">
        <f t="shared" si="334"/>
        <v>0</v>
      </c>
      <c r="P2921" s="203">
        <f t="shared" si="338"/>
        <v>0</v>
      </c>
      <c r="Q2921" s="271">
        <f t="shared" si="335"/>
        <v>0</v>
      </c>
      <c r="S2921" s="280"/>
      <c r="T2921" s="222"/>
      <c r="U2921" s="299" t="s">
        <v>5073</v>
      </c>
    </row>
    <row r="2922" spans="1:21" ht="0" hidden="1" customHeight="1" outlineLevel="3">
      <c r="A2922" s="253" t="s">
        <v>4754</v>
      </c>
      <c r="B2922" s="253"/>
      <c r="C2922" s="202" t="s">
        <v>1609</v>
      </c>
      <c r="D2922" s="203">
        <f>'02 项目基础信息（输入）'!$C$78</f>
        <v>0</v>
      </c>
      <c r="E2922" s="204" t="s">
        <v>93</v>
      </c>
      <c r="F2922" s="256"/>
      <c r="G2922" s="255"/>
      <c r="H2922" s="255"/>
      <c r="I2922" s="268"/>
      <c r="J2922" s="255"/>
      <c r="K2922" s="264"/>
      <c r="L2922" s="205"/>
      <c r="M2922" s="198">
        <f>SUM(M2923:M2925)</f>
        <v>0</v>
      </c>
      <c r="N2922" s="212">
        <f>'02 项目基础信息（输入）'!$C$78</f>
        <v>0</v>
      </c>
      <c r="O2922" s="203">
        <f t="shared" si="334"/>
        <v>0</v>
      </c>
      <c r="P2922" s="203">
        <f t="shared" si="338"/>
        <v>0</v>
      </c>
      <c r="Q2922" s="271">
        <f t="shared" si="335"/>
        <v>0</v>
      </c>
      <c r="S2922" s="280"/>
      <c r="T2922" s="222"/>
      <c r="U2922" s="299" t="s">
        <v>5074</v>
      </c>
    </row>
    <row r="2923" spans="1:21" ht="0" hidden="1" customHeight="1" outlineLevel="4">
      <c r="A2923" s="253" t="s">
        <v>4756</v>
      </c>
      <c r="B2923" s="253"/>
      <c r="C2923" s="202" t="s">
        <v>1609</v>
      </c>
      <c r="D2923" s="203">
        <f>'02 项目基础信息（输入）'!$C$78</f>
        <v>0</v>
      </c>
      <c r="E2923" s="204" t="s">
        <v>93</v>
      </c>
      <c r="F2923" s="202" t="s">
        <v>1609</v>
      </c>
      <c r="G2923" s="204">
        <v>1</v>
      </c>
      <c r="H2923" s="204" t="s">
        <v>298</v>
      </c>
      <c r="I2923" s="265">
        <f>D2923*G2923</f>
        <v>0</v>
      </c>
      <c r="J2923" s="204" t="s">
        <v>93</v>
      </c>
      <c r="K2923" s="270"/>
      <c r="L2923" s="210" t="s">
        <v>675</v>
      </c>
      <c r="M2923" s="198">
        <f>ROUND(K2923*I2923/10000,6)</f>
        <v>0</v>
      </c>
      <c r="N2923" s="212">
        <f>'02 项目基础信息（输入）'!$C$78</f>
        <v>0</v>
      </c>
      <c r="O2923" s="203">
        <f t="shared" si="334"/>
        <v>0</v>
      </c>
      <c r="P2923" s="203">
        <f t="shared" si="338"/>
        <v>0</v>
      </c>
      <c r="Q2923" s="271">
        <f t="shared" si="335"/>
        <v>0</v>
      </c>
      <c r="S2923" s="280"/>
      <c r="T2923" s="222"/>
      <c r="U2923" s="299" t="s">
        <v>5075</v>
      </c>
    </row>
    <row r="2924" spans="1:21" ht="0" hidden="1" customHeight="1" outlineLevel="4">
      <c r="A2924" s="253" t="s">
        <v>4758</v>
      </c>
      <c r="B2924" s="253"/>
      <c r="C2924" s="202" t="s">
        <v>1609</v>
      </c>
      <c r="D2924" s="203">
        <f>'02 项目基础信息（输入）'!$C$78</f>
        <v>0</v>
      </c>
      <c r="E2924" s="204" t="s">
        <v>93</v>
      </c>
      <c r="F2924" s="202" t="s">
        <v>1609</v>
      </c>
      <c r="G2924" s="204">
        <v>1</v>
      </c>
      <c r="H2924" s="204" t="s">
        <v>298</v>
      </c>
      <c r="I2924" s="265">
        <f>D2924*G2924</f>
        <v>0</v>
      </c>
      <c r="J2924" s="204" t="s">
        <v>93</v>
      </c>
      <c r="K2924" s="270"/>
      <c r="L2924" s="210" t="s">
        <v>675</v>
      </c>
      <c r="M2924" s="198">
        <f>ROUND(K2924*I2924/10000,6)</f>
        <v>0</v>
      </c>
      <c r="N2924" s="212">
        <f>'02 项目基础信息（输入）'!$C$78</f>
        <v>0</v>
      </c>
      <c r="O2924" s="203">
        <f t="shared" si="334"/>
        <v>0</v>
      </c>
      <c r="P2924" s="203">
        <f t="shared" si="338"/>
        <v>0</v>
      </c>
      <c r="Q2924" s="271">
        <f t="shared" si="335"/>
        <v>0</v>
      </c>
      <c r="S2924" s="280"/>
      <c r="T2924" s="222"/>
      <c r="U2924" s="299" t="s">
        <v>5076</v>
      </c>
    </row>
    <row r="2925" spans="1:21" ht="0" hidden="1" customHeight="1" outlineLevel="4">
      <c r="A2925" s="253" t="s">
        <v>4760</v>
      </c>
      <c r="B2925" s="253"/>
      <c r="C2925" s="202" t="s">
        <v>1609</v>
      </c>
      <c r="D2925" s="203">
        <f>'02 项目基础信息（输入）'!$C$78</f>
        <v>0</v>
      </c>
      <c r="E2925" s="204" t="s">
        <v>93</v>
      </c>
      <c r="F2925" s="202" t="s">
        <v>1609</v>
      </c>
      <c r="G2925" s="204">
        <v>1</v>
      </c>
      <c r="H2925" s="204" t="s">
        <v>298</v>
      </c>
      <c r="I2925" s="265">
        <f>D2925*G2925</f>
        <v>0</v>
      </c>
      <c r="J2925" s="204" t="s">
        <v>93</v>
      </c>
      <c r="K2925" s="270"/>
      <c r="L2925" s="210" t="s">
        <v>675</v>
      </c>
      <c r="M2925" s="198">
        <f>ROUND(K2925*I2925/10000,6)</f>
        <v>0</v>
      </c>
      <c r="N2925" s="212">
        <f>'02 项目基础信息（输入）'!$C$78</f>
        <v>0</v>
      </c>
      <c r="O2925" s="203">
        <f t="shared" si="334"/>
        <v>0</v>
      </c>
      <c r="P2925" s="203">
        <f t="shared" si="338"/>
        <v>0</v>
      </c>
      <c r="Q2925" s="271">
        <f t="shared" si="335"/>
        <v>0</v>
      </c>
      <c r="S2925" s="280"/>
      <c r="T2925" s="222"/>
      <c r="U2925" s="299" t="s">
        <v>5077</v>
      </c>
    </row>
    <row r="2926" spans="1:21" ht="0" hidden="1" customHeight="1" outlineLevel="3">
      <c r="A2926" s="253" t="s">
        <v>4762</v>
      </c>
      <c r="B2926" s="253"/>
      <c r="C2926" s="202" t="s">
        <v>1609</v>
      </c>
      <c r="D2926" s="203">
        <f>'02 项目基础信息（输入）'!$C$78</f>
        <v>0</v>
      </c>
      <c r="E2926" s="204" t="s">
        <v>93</v>
      </c>
      <c r="F2926" s="202" t="s">
        <v>1609</v>
      </c>
      <c r="G2926" s="204">
        <v>1</v>
      </c>
      <c r="H2926" s="204" t="s">
        <v>298</v>
      </c>
      <c r="I2926" s="265">
        <f>D2926*G2926</f>
        <v>0</v>
      </c>
      <c r="J2926" s="204" t="s">
        <v>93</v>
      </c>
      <c r="K2926" s="270"/>
      <c r="L2926" s="210" t="s">
        <v>675</v>
      </c>
      <c r="M2926" s="198">
        <f>ROUND(K2926*I2926/10000,6)</f>
        <v>0</v>
      </c>
      <c r="N2926" s="212">
        <f>'02 项目基础信息（输入）'!$C$78</f>
        <v>0</v>
      </c>
      <c r="O2926" s="203">
        <f t="shared" si="334"/>
        <v>0</v>
      </c>
      <c r="P2926" s="203">
        <f t="shared" si="338"/>
        <v>0</v>
      </c>
      <c r="Q2926" s="271">
        <f t="shared" si="335"/>
        <v>0</v>
      </c>
      <c r="S2926" s="280"/>
      <c r="T2926" s="222"/>
      <c r="U2926" s="299" t="s">
        <v>5078</v>
      </c>
    </row>
    <row r="2927" spans="1:21" ht="0" hidden="1" customHeight="1" outlineLevel="3">
      <c r="A2927" s="253" t="s">
        <v>4371</v>
      </c>
      <c r="B2927" s="253"/>
      <c r="C2927" s="202" t="s">
        <v>1609</v>
      </c>
      <c r="D2927" s="203">
        <f>'02 项目基础信息（输入）'!$C$78</f>
        <v>0</v>
      </c>
      <c r="E2927" s="204" t="s">
        <v>93</v>
      </c>
      <c r="F2927" s="202" t="s">
        <v>1609</v>
      </c>
      <c r="G2927" s="204">
        <v>1</v>
      </c>
      <c r="H2927" s="204" t="s">
        <v>298</v>
      </c>
      <c r="I2927" s="265">
        <f>D2927*G2927</f>
        <v>0</v>
      </c>
      <c r="J2927" s="204" t="s">
        <v>93</v>
      </c>
      <c r="K2927" s="270"/>
      <c r="L2927" s="210" t="s">
        <v>675</v>
      </c>
      <c r="M2927" s="198">
        <f>ROUND(K2927*I2927/10000,6)</f>
        <v>0</v>
      </c>
      <c r="N2927" s="212">
        <f>'02 项目基础信息（输入）'!$C$78</f>
        <v>0</v>
      </c>
      <c r="O2927" s="203">
        <f t="shared" si="334"/>
        <v>0</v>
      </c>
      <c r="P2927" s="203">
        <f t="shared" si="338"/>
        <v>0</v>
      </c>
      <c r="Q2927" s="271">
        <f t="shared" si="335"/>
        <v>0</v>
      </c>
      <c r="S2927" s="280"/>
      <c r="T2927" s="222"/>
      <c r="U2927" s="299" t="s">
        <v>5079</v>
      </c>
    </row>
    <row r="2928" spans="1:21" ht="0" hidden="1" customHeight="1" outlineLevel="2">
      <c r="A2928" s="201" t="s">
        <v>4765</v>
      </c>
      <c r="B2928" s="201"/>
      <c r="C2928" s="202" t="s">
        <v>1609</v>
      </c>
      <c r="D2928" s="203">
        <f>'02 项目基础信息（输入）'!$C$78</f>
        <v>0</v>
      </c>
      <c r="E2928" s="204" t="s">
        <v>93</v>
      </c>
      <c r="F2928" s="256"/>
      <c r="G2928" s="255"/>
      <c r="H2928" s="255"/>
      <c r="I2928" s="212"/>
      <c r="J2928" s="255"/>
      <c r="K2928" s="264"/>
      <c r="L2928" s="205"/>
      <c r="M2928" s="198">
        <f>ROUND(SUM(M2929:M2932),6)</f>
        <v>0</v>
      </c>
      <c r="N2928" s="212">
        <f>'02 项目基础信息（输入）'!$C$78</f>
        <v>0</v>
      </c>
      <c r="O2928" s="203">
        <f t="shared" si="334"/>
        <v>0</v>
      </c>
      <c r="P2928" s="203">
        <f t="shared" si="338"/>
        <v>0</v>
      </c>
      <c r="Q2928" s="271">
        <f t="shared" si="335"/>
        <v>0</v>
      </c>
      <c r="S2928" s="280" t="s">
        <v>1314</v>
      </c>
      <c r="T2928" s="222"/>
      <c r="U2928" s="298" t="s">
        <v>5080</v>
      </c>
    </row>
    <row r="2929" spans="1:21" ht="0" hidden="1" customHeight="1" outlineLevel="3">
      <c r="A2929" s="253" t="s">
        <v>5081</v>
      </c>
      <c r="B2929" s="253"/>
      <c r="C2929" s="202" t="s">
        <v>1609</v>
      </c>
      <c r="D2929" s="203">
        <f>'02 项目基础信息（输入）'!$C$78</f>
        <v>0</v>
      </c>
      <c r="E2929" s="255" t="s">
        <v>93</v>
      </c>
      <c r="F2929" s="288" t="s">
        <v>4768</v>
      </c>
      <c r="G2929" s="296">
        <f>'03 成本测算（输入）'!D249</f>
        <v>0</v>
      </c>
      <c r="H2929" s="255" t="s">
        <v>298</v>
      </c>
      <c r="I2929" s="268">
        <f>D2929*G2929</f>
        <v>0</v>
      </c>
      <c r="J2929" s="255" t="s">
        <v>93</v>
      </c>
      <c r="K2929" s="295">
        <f>'03 成本测算（输入）'!D291</f>
        <v>0</v>
      </c>
      <c r="L2929" s="205" t="s">
        <v>675</v>
      </c>
      <c r="M2929" s="198">
        <f>ROUND(I2929*K2929/10000,6)</f>
        <v>0</v>
      </c>
      <c r="N2929" s="212">
        <f>'02 项目基础信息（输入）'!$C$78</f>
        <v>0</v>
      </c>
      <c r="O2929" s="203">
        <f t="shared" si="334"/>
        <v>0</v>
      </c>
      <c r="P2929" s="203">
        <f t="shared" si="338"/>
        <v>0</v>
      </c>
      <c r="Q2929" s="271">
        <f t="shared" si="335"/>
        <v>0</v>
      </c>
      <c r="S2929" s="280"/>
      <c r="T2929" s="222"/>
      <c r="U2929" s="299" t="s">
        <v>5082</v>
      </c>
    </row>
    <row r="2930" spans="1:21" ht="0" hidden="1" customHeight="1" outlineLevel="3">
      <c r="A2930" s="253" t="s">
        <v>5083</v>
      </c>
      <c r="B2930" s="253"/>
      <c r="C2930" s="202" t="s">
        <v>1609</v>
      </c>
      <c r="D2930" s="203">
        <f>'02 项目基础信息（输入）'!$C$78</f>
        <v>0</v>
      </c>
      <c r="E2930" s="255" t="s">
        <v>93</v>
      </c>
      <c r="F2930" s="288" t="s">
        <v>4768</v>
      </c>
      <c r="G2930" s="205">
        <f>G2929</f>
        <v>0</v>
      </c>
      <c r="H2930" s="255" t="s">
        <v>298</v>
      </c>
      <c r="I2930" s="268">
        <f>D2930*G2930</f>
        <v>0</v>
      </c>
      <c r="J2930" s="255" t="s">
        <v>93</v>
      </c>
      <c r="K2930" s="270"/>
      <c r="L2930" s="205" t="s">
        <v>675</v>
      </c>
      <c r="M2930" s="198">
        <f>ROUND(I2930*K2930/10000,6)</f>
        <v>0</v>
      </c>
      <c r="N2930" s="212">
        <f>'02 项目基础信息（输入）'!$C$78</f>
        <v>0</v>
      </c>
      <c r="O2930" s="203">
        <f t="shared" si="334"/>
        <v>0</v>
      </c>
      <c r="P2930" s="203">
        <f t="shared" si="338"/>
        <v>0</v>
      </c>
      <c r="Q2930" s="271">
        <f t="shared" si="335"/>
        <v>0</v>
      </c>
      <c r="S2930" s="280"/>
      <c r="T2930" s="222"/>
      <c r="U2930" s="299" t="s">
        <v>5084</v>
      </c>
    </row>
    <row r="2931" spans="1:21" ht="0" hidden="1" customHeight="1" outlineLevel="3">
      <c r="A2931" s="253" t="s">
        <v>5085</v>
      </c>
      <c r="B2931" s="253"/>
      <c r="C2931" s="202" t="s">
        <v>1609</v>
      </c>
      <c r="D2931" s="203">
        <f>'02 项目基础信息（输入）'!$C$78</f>
        <v>0</v>
      </c>
      <c r="E2931" s="255" t="s">
        <v>93</v>
      </c>
      <c r="F2931" s="250" t="s">
        <v>4773</v>
      </c>
      <c r="G2931" s="205">
        <f>IFERROR(I2931/D2931,0)</f>
        <v>0</v>
      </c>
      <c r="H2931" s="255" t="s">
        <v>4385</v>
      </c>
      <c r="I2931" s="285"/>
      <c r="J2931" s="255" t="s">
        <v>400</v>
      </c>
      <c r="K2931" s="270"/>
      <c r="L2931" s="205" t="s">
        <v>1749</v>
      </c>
      <c r="M2931" s="198">
        <f>ROUND(I2931*K2931/10000,6)</f>
        <v>0</v>
      </c>
      <c r="N2931" s="212">
        <f>'02 项目基础信息（输入）'!$C$78</f>
        <v>0</v>
      </c>
      <c r="O2931" s="203">
        <f t="shared" si="334"/>
        <v>0</v>
      </c>
      <c r="P2931" s="203">
        <f t="shared" si="338"/>
        <v>0</v>
      </c>
      <c r="Q2931" s="271">
        <f t="shared" si="335"/>
        <v>0</v>
      </c>
      <c r="S2931" s="280"/>
      <c r="T2931" s="222"/>
      <c r="U2931" s="299" t="s">
        <v>5086</v>
      </c>
    </row>
    <row r="2932" spans="1:21" ht="0" hidden="1" customHeight="1" outlineLevel="3">
      <c r="A2932" s="253" t="s">
        <v>5087</v>
      </c>
      <c r="B2932" s="253"/>
      <c r="C2932" s="202" t="s">
        <v>1609</v>
      </c>
      <c r="D2932" s="203">
        <f>'02 项目基础信息（输入）'!$C$78</f>
        <v>0</v>
      </c>
      <c r="E2932" s="255" t="s">
        <v>93</v>
      </c>
      <c r="F2932" s="256" t="s">
        <v>4740</v>
      </c>
      <c r="G2932" s="205">
        <f>IFERROR(I2932/D2932,0)</f>
        <v>0</v>
      </c>
      <c r="H2932" s="255" t="s">
        <v>298</v>
      </c>
      <c r="I2932" s="285"/>
      <c r="J2932" s="255" t="s">
        <v>93</v>
      </c>
      <c r="K2932" s="270"/>
      <c r="L2932" s="205" t="s">
        <v>675</v>
      </c>
      <c r="M2932" s="198">
        <f>ROUND(I2932*K2932/10000,6)</f>
        <v>0</v>
      </c>
      <c r="N2932" s="212">
        <f>'02 项目基础信息（输入）'!$C$78</f>
        <v>0</v>
      </c>
      <c r="O2932" s="203">
        <f t="shared" si="334"/>
        <v>0</v>
      </c>
      <c r="P2932" s="203">
        <f t="shared" si="338"/>
        <v>0</v>
      </c>
      <c r="Q2932" s="271">
        <f t="shared" si="335"/>
        <v>0</v>
      </c>
      <c r="S2932" s="280"/>
      <c r="T2932" s="222"/>
      <c r="U2932" s="299" t="s">
        <v>5088</v>
      </c>
    </row>
    <row r="2933" spans="1:21" ht="0" hidden="1" customHeight="1" outlineLevel="2">
      <c r="A2933" s="201" t="s">
        <v>4377</v>
      </c>
      <c r="B2933" s="201"/>
      <c r="C2933" s="202" t="s">
        <v>1609</v>
      </c>
      <c r="D2933" s="203">
        <f>'02 项目基础信息（输入）'!$C$78</f>
        <v>0</v>
      </c>
      <c r="E2933" s="204" t="s">
        <v>93</v>
      </c>
      <c r="F2933" s="202"/>
      <c r="G2933" s="204"/>
      <c r="H2933" s="204"/>
      <c r="I2933" s="268"/>
      <c r="J2933" s="204"/>
      <c r="K2933" s="264"/>
      <c r="L2933" s="210"/>
      <c r="M2933" s="198">
        <f>ROUND(SUM(M2934),6)</f>
        <v>0</v>
      </c>
      <c r="N2933" s="212">
        <f>'02 项目基础信息（输入）'!$C$78</f>
        <v>0</v>
      </c>
      <c r="O2933" s="203">
        <f t="shared" si="334"/>
        <v>0</v>
      </c>
      <c r="P2933" s="203">
        <f t="shared" si="338"/>
        <v>0</v>
      </c>
      <c r="Q2933" s="271">
        <f t="shared" si="335"/>
        <v>0</v>
      </c>
      <c r="S2933" s="280" t="s">
        <v>1314</v>
      </c>
      <c r="T2933" s="222"/>
      <c r="U2933" s="298" t="s">
        <v>5089</v>
      </c>
    </row>
    <row r="2934" spans="1:21" ht="0" hidden="1" customHeight="1" outlineLevel="3">
      <c r="A2934" s="253" t="s">
        <v>4379</v>
      </c>
      <c r="B2934" s="253"/>
      <c r="C2934" s="202" t="s">
        <v>1609</v>
      </c>
      <c r="D2934" s="203">
        <f>'02 项目基础信息（输入）'!$C$78</f>
        <v>0</v>
      </c>
      <c r="E2934" s="204" t="s">
        <v>93</v>
      </c>
      <c r="F2934" s="202" t="s">
        <v>1609</v>
      </c>
      <c r="G2934" s="204">
        <v>1</v>
      </c>
      <c r="H2934" s="204" t="s">
        <v>298</v>
      </c>
      <c r="I2934" s="268">
        <f>G2934*D2934</f>
        <v>0</v>
      </c>
      <c r="J2934" s="204" t="s">
        <v>93</v>
      </c>
      <c r="K2934" s="270"/>
      <c r="L2934" s="210" t="s">
        <v>675</v>
      </c>
      <c r="M2934" s="198">
        <f>ROUND(K2934*I2934/10000,6)</f>
        <v>0</v>
      </c>
      <c r="N2934" s="212">
        <f>'02 项目基础信息（输入）'!$C$78</f>
        <v>0</v>
      </c>
      <c r="O2934" s="203">
        <f t="shared" si="334"/>
        <v>0</v>
      </c>
      <c r="P2934" s="203">
        <f t="shared" si="338"/>
        <v>0</v>
      </c>
      <c r="Q2934" s="271">
        <f t="shared" si="335"/>
        <v>0</v>
      </c>
      <c r="S2934" s="280"/>
      <c r="T2934" s="222"/>
      <c r="U2934" s="299" t="s">
        <v>5090</v>
      </c>
    </row>
    <row r="2935" spans="1:21" ht="0" hidden="1" customHeight="1" outlineLevel="2">
      <c r="A2935" s="201" t="s">
        <v>4381</v>
      </c>
      <c r="B2935" s="201"/>
      <c r="C2935" s="202" t="s">
        <v>1609</v>
      </c>
      <c r="D2935" s="203">
        <f>'02 项目基础信息（输入）'!$C$78</f>
        <v>0</v>
      </c>
      <c r="E2935" s="204" t="s">
        <v>93</v>
      </c>
      <c r="F2935" s="256"/>
      <c r="G2935" s="255"/>
      <c r="H2935" s="255"/>
      <c r="I2935" s="212"/>
      <c r="J2935" s="255"/>
      <c r="K2935" s="264"/>
      <c r="L2935" s="205"/>
      <c r="M2935" s="198">
        <f>ROUND(SUM(M2936:M2939),6)</f>
        <v>0</v>
      </c>
      <c r="N2935" s="212">
        <f>'02 项目基础信息（输入）'!$C$78</f>
        <v>0</v>
      </c>
      <c r="O2935" s="203">
        <f t="shared" si="334"/>
        <v>0</v>
      </c>
      <c r="P2935" s="203">
        <f t="shared" si="338"/>
        <v>0</v>
      </c>
      <c r="Q2935" s="271">
        <f t="shared" si="335"/>
        <v>0</v>
      </c>
      <c r="S2935" s="280" t="s">
        <v>1314</v>
      </c>
      <c r="T2935" s="222"/>
      <c r="U2935" s="298" t="s">
        <v>5091</v>
      </c>
    </row>
    <row r="2936" spans="1:21" ht="0" hidden="1" customHeight="1" outlineLevel="3">
      <c r="A2936" s="253" t="s">
        <v>4780</v>
      </c>
      <c r="B2936" s="253"/>
      <c r="C2936" s="202" t="s">
        <v>1609</v>
      </c>
      <c r="D2936" s="203">
        <f>'02 项目基础信息（输入）'!$C$78</f>
        <v>0</v>
      </c>
      <c r="E2936" s="204" t="s">
        <v>93</v>
      </c>
      <c r="F2936" s="250" t="s">
        <v>4781</v>
      </c>
      <c r="G2936" s="205">
        <f>IFERROR(I2936/D2936,0)</f>
        <v>0</v>
      </c>
      <c r="H2936" s="204" t="s">
        <v>4782</v>
      </c>
      <c r="I2936" s="285"/>
      <c r="J2936" s="204" t="s">
        <v>2198</v>
      </c>
      <c r="K2936" s="270"/>
      <c r="L2936" s="210" t="s">
        <v>841</v>
      </c>
      <c r="M2936" s="198">
        <f>ROUND(K2936*I2936/10000,6)</f>
        <v>0</v>
      </c>
      <c r="N2936" s="212">
        <f>'02 项目基础信息（输入）'!$C$78</f>
        <v>0</v>
      </c>
      <c r="O2936" s="203">
        <f t="shared" si="334"/>
        <v>0</v>
      </c>
      <c r="P2936" s="203">
        <f t="shared" si="338"/>
        <v>0</v>
      </c>
      <c r="Q2936" s="271">
        <f t="shared" si="335"/>
        <v>0</v>
      </c>
      <c r="S2936" s="280"/>
      <c r="T2936" s="222"/>
      <c r="U2936" s="299" t="s">
        <v>5092</v>
      </c>
    </row>
    <row r="2937" spans="1:21" ht="0" hidden="1" customHeight="1" outlineLevel="3">
      <c r="A2937" s="253" t="s">
        <v>4784</v>
      </c>
      <c r="B2937" s="253"/>
      <c r="C2937" s="202" t="s">
        <v>1609</v>
      </c>
      <c r="D2937" s="203">
        <f>'02 项目基础信息（输入）'!$C$78</f>
        <v>0</v>
      </c>
      <c r="E2937" s="204" t="s">
        <v>93</v>
      </c>
      <c r="F2937" s="250" t="s">
        <v>4781</v>
      </c>
      <c r="G2937" s="205">
        <f>IFERROR(I2937/D2937,0)</f>
        <v>0</v>
      </c>
      <c r="H2937" s="204" t="s">
        <v>4782</v>
      </c>
      <c r="I2937" s="285"/>
      <c r="J2937" s="204" t="s">
        <v>2198</v>
      </c>
      <c r="K2937" s="270"/>
      <c r="L2937" s="210" t="s">
        <v>841</v>
      </c>
      <c r="M2937" s="198">
        <f>ROUND(K2937*I2937/10000,6)</f>
        <v>0</v>
      </c>
      <c r="N2937" s="212">
        <f>'02 项目基础信息（输入）'!$C$78</f>
        <v>0</v>
      </c>
      <c r="O2937" s="203">
        <f t="shared" si="334"/>
        <v>0</v>
      </c>
      <c r="P2937" s="203">
        <f t="shared" si="338"/>
        <v>0</v>
      </c>
      <c r="Q2937" s="271">
        <f t="shared" si="335"/>
        <v>0</v>
      </c>
      <c r="S2937" s="280"/>
      <c r="T2937" s="222"/>
      <c r="U2937" s="299" t="s">
        <v>5093</v>
      </c>
    </row>
    <row r="2938" spans="1:21" ht="0" hidden="1" customHeight="1" outlineLevel="3">
      <c r="A2938" s="253" t="s">
        <v>5094</v>
      </c>
      <c r="B2938" s="253"/>
      <c r="C2938" s="202" t="s">
        <v>1609</v>
      </c>
      <c r="D2938" s="203">
        <f>'02 项目基础信息（输入）'!$C$78</f>
        <v>0</v>
      </c>
      <c r="E2938" s="204" t="s">
        <v>93</v>
      </c>
      <c r="F2938" s="202" t="s">
        <v>5095</v>
      </c>
      <c r="G2938" s="205">
        <f>IFERROR(I2938/D2938,0)</f>
        <v>0</v>
      </c>
      <c r="H2938" s="255" t="s">
        <v>298</v>
      </c>
      <c r="I2938" s="285"/>
      <c r="J2938" s="255" t="s">
        <v>93</v>
      </c>
      <c r="K2938" s="270"/>
      <c r="L2938" s="205" t="s">
        <v>675</v>
      </c>
      <c r="M2938" s="198">
        <f>ROUND(K2938*I2938/10000,6)</f>
        <v>0</v>
      </c>
      <c r="N2938" s="212">
        <f>'02 项目基础信息（输入）'!$C$78</f>
        <v>0</v>
      </c>
      <c r="O2938" s="203">
        <f t="shared" si="334"/>
        <v>0</v>
      </c>
      <c r="P2938" s="203">
        <f t="shared" si="338"/>
        <v>0</v>
      </c>
      <c r="Q2938" s="271">
        <f t="shared" si="335"/>
        <v>0</v>
      </c>
      <c r="S2938" s="280"/>
      <c r="T2938" s="222"/>
      <c r="U2938" s="299" t="s">
        <v>5096</v>
      </c>
    </row>
    <row r="2939" spans="1:21" ht="0" hidden="1" customHeight="1" outlineLevel="3">
      <c r="A2939" s="253" t="s">
        <v>4796</v>
      </c>
      <c r="B2939" s="253"/>
      <c r="C2939" s="202" t="s">
        <v>1609</v>
      </c>
      <c r="D2939" s="203">
        <f>'02 项目基础信息（输入）'!$C$78</f>
        <v>0</v>
      </c>
      <c r="E2939" s="204" t="s">
        <v>93</v>
      </c>
      <c r="F2939" s="202" t="s">
        <v>1609</v>
      </c>
      <c r="G2939" s="204">
        <v>1</v>
      </c>
      <c r="H2939" s="204" t="s">
        <v>298</v>
      </c>
      <c r="I2939" s="268">
        <f>G2939*D2939</f>
        <v>0</v>
      </c>
      <c r="J2939" s="204" t="s">
        <v>93</v>
      </c>
      <c r="K2939" s="270"/>
      <c r="L2939" s="210" t="s">
        <v>675</v>
      </c>
      <c r="M2939" s="198">
        <f>ROUND(K2939*I2939/10000,6)</f>
        <v>0</v>
      </c>
      <c r="N2939" s="212">
        <f>'02 项目基础信息（输入）'!$C$78</f>
        <v>0</v>
      </c>
      <c r="O2939" s="203">
        <f t="shared" si="334"/>
        <v>0</v>
      </c>
      <c r="P2939" s="203">
        <f t="shared" si="338"/>
        <v>0</v>
      </c>
      <c r="Q2939" s="271">
        <f t="shared" si="335"/>
        <v>0</v>
      </c>
      <c r="S2939" s="280"/>
      <c r="T2939" s="222"/>
      <c r="U2939" s="299" t="s">
        <v>5097</v>
      </c>
    </row>
    <row r="2940" spans="1:21" ht="0" hidden="1" customHeight="1" outlineLevel="1" collapsed="1">
      <c r="A2940" s="248" t="s">
        <v>629</v>
      </c>
      <c r="B2940" s="248"/>
      <c r="C2940" s="202" t="s">
        <v>1609</v>
      </c>
      <c r="D2940" s="203">
        <f>'02 项目基础信息（输入）'!$C$81</f>
        <v>0</v>
      </c>
      <c r="E2940" s="204" t="s">
        <v>93</v>
      </c>
      <c r="F2940" s="202"/>
      <c r="G2940" s="204"/>
      <c r="H2940" s="204"/>
      <c r="I2940" s="202"/>
      <c r="J2940" s="204"/>
      <c r="K2940" s="202"/>
      <c r="L2940" s="210"/>
      <c r="M2940" s="198">
        <f>ROUND(M2941+M2983+M2995+M3015+M3083+M3096+M3100+M3103+M3142+M3155+M3191+M3196+M3198+M3125,6)</f>
        <v>0</v>
      </c>
      <c r="N2940" s="212">
        <f>'02 项目基础信息（输入）'!$C$81</f>
        <v>0</v>
      </c>
      <c r="O2940" s="212">
        <f t="shared" si="334"/>
        <v>0</v>
      </c>
      <c r="P2940" s="212">
        <f t="shared" si="338"/>
        <v>0</v>
      </c>
      <c r="Q2940" s="271">
        <f t="shared" si="335"/>
        <v>0</v>
      </c>
      <c r="S2940" s="280"/>
      <c r="T2940" s="222"/>
      <c r="U2940" s="232" t="s">
        <v>5098</v>
      </c>
    </row>
    <row r="2941" spans="1:21" ht="0" hidden="1" customHeight="1" outlineLevel="2">
      <c r="A2941" s="201" t="s">
        <v>4168</v>
      </c>
      <c r="B2941" s="201"/>
      <c r="C2941" s="202" t="s">
        <v>1609</v>
      </c>
      <c r="D2941" s="203">
        <f>'02 项目基础信息（输入）'!$C$81</f>
        <v>0</v>
      </c>
      <c r="E2941" s="204" t="s">
        <v>93</v>
      </c>
      <c r="F2941" s="202"/>
      <c r="G2941" s="204"/>
      <c r="H2941" s="204"/>
      <c r="I2941" s="203"/>
      <c r="J2941" s="204"/>
      <c r="K2941" s="264"/>
      <c r="L2941" s="210"/>
      <c r="M2941" s="198">
        <f>ROUND(M2942+M2963+M2979,6)</f>
        <v>0</v>
      </c>
      <c r="N2941" s="212">
        <f>'02 项目基础信息（输入）'!$C$81</f>
        <v>0</v>
      </c>
      <c r="O2941" s="203">
        <f t="shared" si="334"/>
        <v>0</v>
      </c>
      <c r="P2941" s="203">
        <f t="shared" si="338"/>
        <v>0</v>
      </c>
      <c r="Q2941" s="271">
        <f t="shared" si="335"/>
        <v>0</v>
      </c>
      <c r="S2941" s="280" t="s">
        <v>1313</v>
      </c>
      <c r="T2941" s="222"/>
      <c r="U2941" s="298" t="s">
        <v>5099</v>
      </c>
    </row>
    <row r="2942" spans="1:21" s="181" customFormat="1" ht="0" hidden="1" customHeight="1" outlineLevel="3">
      <c r="A2942" s="201" t="s">
        <v>4170</v>
      </c>
      <c r="B2942" s="249"/>
      <c r="C2942" s="250" t="s">
        <v>1609</v>
      </c>
      <c r="D2942" s="203">
        <f>'02 项目基础信息（输入）'!$C$81</f>
        <v>0</v>
      </c>
      <c r="E2942" s="204" t="s">
        <v>93</v>
      </c>
      <c r="F2942" s="202"/>
      <c r="G2942" s="204"/>
      <c r="H2942" s="204"/>
      <c r="I2942" s="265"/>
      <c r="J2942" s="204"/>
      <c r="K2942" s="202"/>
      <c r="L2942" s="210"/>
      <c r="M2942" s="198">
        <f>ROUND(M2943+M2946+M2951+M2956+M2960+M2961+M2962,6)</f>
        <v>0</v>
      </c>
      <c r="N2942" s="212">
        <f>'02 项目基础信息（输入）'!$C$81</f>
        <v>0</v>
      </c>
      <c r="O2942" s="203">
        <f t="shared" si="334"/>
        <v>0</v>
      </c>
      <c r="P2942" s="203">
        <f t="shared" si="338"/>
        <v>0</v>
      </c>
      <c r="Q2942" s="271">
        <f t="shared" si="335"/>
        <v>0</v>
      </c>
      <c r="R2942" s="188"/>
      <c r="S2942" s="280"/>
      <c r="T2942" s="222"/>
      <c r="U2942" s="299" t="s">
        <v>5100</v>
      </c>
    </row>
    <row r="2943" spans="1:21" s="181" customFormat="1" ht="0" hidden="1" customHeight="1" outlineLevel="4">
      <c r="A2943" s="201" t="s">
        <v>4172</v>
      </c>
      <c r="B2943" s="249"/>
      <c r="C2943" s="250" t="s">
        <v>1609</v>
      </c>
      <c r="D2943" s="203">
        <f>'02 项目基础信息（输入）'!$C$81</f>
        <v>0</v>
      </c>
      <c r="E2943" s="204" t="s">
        <v>93</v>
      </c>
      <c r="F2943" s="202"/>
      <c r="G2943" s="251"/>
      <c r="H2943" s="204"/>
      <c r="I2943" s="265"/>
      <c r="J2943" s="204"/>
      <c r="K2943" s="266"/>
      <c r="L2943" s="210"/>
      <c r="M2943" s="198">
        <f>ROUND(SUM(M2944:M2945),6)</f>
        <v>0</v>
      </c>
      <c r="N2943" s="212">
        <f>'02 项目基础信息（输入）'!$C$81</f>
        <v>0</v>
      </c>
      <c r="O2943" s="203">
        <f t="shared" si="334"/>
        <v>0</v>
      </c>
      <c r="P2943" s="203">
        <f t="shared" si="338"/>
        <v>0</v>
      </c>
      <c r="Q2943" s="271">
        <f t="shared" si="335"/>
        <v>0</v>
      </c>
      <c r="R2943" s="188"/>
      <c r="S2943" s="280"/>
      <c r="T2943" s="222"/>
      <c r="U2943" s="299" t="s">
        <v>5101</v>
      </c>
    </row>
    <row r="2944" spans="1:21" s="181" customFormat="1" ht="0" hidden="1" customHeight="1" outlineLevel="5">
      <c r="A2944" s="253" t="s">
        <v>4802</v>
      </c>
      <c r="B2944" s="254"/>
      <c r="C2944" s="250" t="s">
        <v>1609</v>
      </c>
      <c r="D2944" s="203">
        <f>'02 项目基础信息（输入）'!$C$81</f>
        <v>0</v>
      </c>
      <c r="E2944" s="204" t="s">
        <v>93</v>
      </c>
      <c r="F2944" s="202" t="s">
        <v>1616</v>
      </c>
      <c r="G2944" s="252">
        <f>'03 成本测算（输入）'!D293</f>
        <v>0</v>
      </c>
      <c r="H2944" s="204" t="s">
        <v>966</v>
      </c>
      <c r="I2944" s="265">
        <f>D2944*G2944</f>
        <v>0</v>
      </c>
      <c r="J2944" s="204" t="s">
        <v>1617</v>
      </c>
      <c r="K2944" s="267">
        <f>'03 成本测算（输入）'!D294</f>
        <v>0</v>
      </c>
      <c r="L2944" s="210" t="s">
        <v>664</v>
      </c>
      <c r="M2944" s="198">
        <f>ROUND(K2944*I2944/10000,6)</f>
        <v>0</v>
      </c>
      <c r="N2944" s="212">
        <f>'02 项目基础信息（输入）'!$C$81</f>
        <v>0</v>
      </c>
      <c r="O2944" s="203">
        <f t="shared" si="334"/>
        <v>0</v>
      </c>
      <c r="P2944" s="203">
        <f t="shared" si="338"/>
        <v>0</v>
      </c>
      <c r="Q2944" s="271">
        <f t="shared" si="335"/>
        <v>0</v>
      </c>
      <c r="R2944" s="188"/>
      <c r="S2944" s="280"/>
      <c r="T2944" s="222"/>
      <c r="U2944" s="299" t="s">
        <v>5102</v>
      </c>
    </row>
    <row r="2945" spans="1:21" s="181" customFormat="1" ht="0" hidden="1" customHeight="1" outlineLevel="5">
      <c r="A2945" s="253" t="s">
        <v>4176</v>
      </c>
      <c r="B2945" s="254"/>
      <c r="C2945" s="250" t="s">
        <v>1609</v>
      </c>
      <c r="D2945" s="203">
        <f>'02 项目基础信息（输入）'!$C$81</f>
        <v>0</v>
      </c>
      <c r="E2945" s="204" t="s">
        <v>93</v>
      </c>
      <c r="F2945" s="202" t="s">
        <v>1616</v>
      </c>
      <c r="G2945" s="251">
        <f>G2944</f>
        <v>0</v>
      </c>
      <c r="H2945" s="204" t="s">
        <v>966</v>
      </c>
      <c r="I2945" s="265">
        <f>D2945*G2945</f>
        <v>0</v>
      </c>
      <c r="J2945" s="204" t="s">
        <v>1617</v>
      </c>
      <c r="K2945" s="267">
        <f>'03 成本测算（输入）'!D295</f>
        <v>0</v>
      </c>
      <c r="L2945" s="210" t="s">
        <v>664</v>
      </c>
      <c r="M2945" s="198">
        <f>ROUND(K2945*I2945/10000,6)</f>
        <v>0</v>
      </c>
      <c r="N2945" s="212">
        <f>'02 项目基础信息（输入）'!$C$81</f>
        <v>0</v>
      </c>
      <c r="O2945" s="203">
        <f t="shared" si="334"/>
        <v>0</v>
      </c>
      <c r="P2945" s="203">
        <f t="shared" si="338"/>
        <v>0</v>
      </c>
      <c r="Q2945" s="271">
        <f t="shared" si="335"/>
        <v>0</v>
      </c>
      <c r="R2945" s="188"/>
      <c r="S2945" s="280"/>
      <c r="T2945" s="222"/>
      <c r="U2945" s="299" t="s">
        <v>5103</v>
      </c>
    </row>
    <row r="2946" spans="1:21" s="181" customFormat="1" ht="0" hidden="1" customHeight="1" outlineLevel="4">
      <c r="A2946" s="253" t="s">
        <v>4178</v>
      </c>
      <c r="B2946" s="254"/>
      <c r="C2946" s="250" t="s">
        <v>1609</v>
      </c>
      <c r="D2946" s="203">
        <f>'02 项目基础信息（输入）'!$C$81</f>
        <v>0</v>
      </c>
      <c r="E2946" s="204" t="s">
        <v>93</v>
      </c>
      <c r="F2946" s="202"/>
      <c r="G2946" s="251"/>
      <c r="H2946" s="255"/>
      <c r="I2946" s="265"/>
      <c r="J2946" s="204"/>
      <c r="K2946" s="264"/>
      <c r="L2946" s="210"/>
      <c r="M2946" s="198">
        <f>ROUND(SUM(M2947:M2950),6)</f>
        <v>0</v>
      </c>
      <c r="N2946" s="212">
        <f>'02 项目基础信息（输入）'!$C$81</f>
        <v>0</v>
      </c>
      <c r="O2946" s="203">
        <f t="shared" si="334"/>
        <v>0</v>
      </c>
      <c r="P2946" s="203">
        <f t="shared" si="338"/>
        <v>0</v>
      </c>
      <c r="Q2946" s="271">
        <f t="shared" si="335"/>
        <v>0</v>
      </c>
      <c r="R2946" s="188"/>
      <c r="S2946" s="280"/>
      <c r="T2946" s="222"/>
      <c r="U2946" s="299" t="s">
        <v>5104</v>
      </c>
    </row>
    <row r="2947" spans="1:21" s="181" customFormat="1" ht="0" hidden="1" customHeight="1" outlineLevel="5">
      <c r="A2947" s="253" t="s">
        <v>4180</v>
      </c>
      <c r="B2947" s="254"/>
      <c r="C2947" s="250" t="s">
        <v>1609</v>
      </c>
      <c r="D2947" s="203">
        <f>'02 项目基础信息（输入）'!$C$81</f>
        <v>0</v>
      </c>
      <c r="E2947" s="204" t="s">
        <v>93</v>
      </c>
      <c r="F2947" s="202" t="s">
        <v>4181</v>
      </c>
      <c r="G2947" s="252">
        <f>'03 成本测算（输入）'!D296</f>
        <v>0</v>
      </c>
      <c r="H2947" s="204" t="s">
        <v>298</v>
      </c>
      <c r="I2947" s="265">
        <f>D2947*G2947</f>
        <v>0</v>
      </c>
      <c r="J2947" s="204" t="s">
        <v>93</v>
      </c>
      <c r="K2947" s="267">
        <f>'03 成本测算（输入）'!D297</f>
        <v>0</v>
      </c>
      <c r="L2947" s="210" t="s">
        <v>675</v>
      </c>
      <c r="M2947" s="198">
        <f>ROUND(K2947*I2947/10000,6)</f>
        <v>0</v>
      </c>
      <c r="N2947" s="212">
        <f>'02 项目基础信息（输入）'!$C$81</f>
        <v>0</v>
      </c>
      <c r="O2947" s="203">
        <f t="shared" ref="O2947:O3010" si="343">ROUND(IFERROR(M2947*10000/N2947,0),2)</f>
        <v>0</v>
      </c>
      <c r="P2947" s="203">
        <f t="shared" si="338"/>
        <v>0</v>
      </c>
      <c r="Q2947" s="271">
        <f t="shared" ref="Q2947:Q3010" si="344">ROUND(IFERROR(M2947*10000/P2947,0),2)</f>
        <v>0</v>
      </c>
      <c r="R2947" s="188"/>
      <c r="S2947" s="280"/>
      <c r="T2947" s="222"/>
      <c r="U2947" s="299" t="s">
        <v>5105</v>
      </c>
    </row>
    <row r="2948" spans="1:21" s="181" customFormat="1" ht="0" hidden="1" customHeight="1" outlineLevel="5">
      <c r="A2948" s="253" t="s">
        <v>4402</v>
      </c>
      <c r="B2948" s="254"/>
      <c r="C2948" s="250" t="s">
        <v>1609</v>
      </c>
      <c r="D2948" s="203">
        <f>'02 项目基础信息（输入）'!$C$81</f>
        <v>0</v>
      </c>
      <c r="E2948" s="204" t="s">
        <v>93</v>
      </c>
      <c r="F2948" s="202" t="s">
        <v>4181</v>
      </c>
      <c r="G2948" s="251">
        <f>G2947</f>
        <v>0</v>
      </c>
      <c r="H2948" s="204" t="s">
        <v>298</v>
      </c>
      <c r="I2948" s="265">
        <f>D2948*G2948</f>
        <v>0</v>
      </c>
      <c r="J2948" s="204" t="s">
        <v>93</v>
      </c>
      <c r="K2948" s="270"/>
      <c r="L2948" s="210" t="s">
        <v>675</v>
      </c>
      <c r="M2948" s="198">
        <f>ROUND(K2948*I2948/10000,6)</f>
        <v>0</v>
      </c>
      <c r="N2948" s="212">
        <f>'02 项目基础信息（输入）'!$C$81</f>
        <v>0</v>
      </c>
      <c r="O2948" s="203">
        <f t="shared" si="343"/>
        <v>0</v>
      </c>
      <c r="P2948" s="203">
        <f t="shared" si="338"/>
        <v>0</v>
      </c>
      <c r="Q2948" s="271">
        <f t="shared" si="344"/>
        <v>0</v>
      </c>
      <c r="R2948" s="188"/>
      <c r="S2948" s="280"/>
      <c r="T2948" s="222"/>
      <c r="U2948" s="299" t="s">
        <v>5106</v>
      </c>
    </row>
    <row r="2949" spans="1:21" s="181" customFormat="1" ht="0" hidden="1" customHeight="1" outlineLevel="5">
      <c r="A2949" s="253" t="s">
        <v>4404</v>
      </c>
      <c r="B2949" s="254"/>
      <c r="C2949" s="250" t="s">
        <v>1609</v>
      </c>
      <c r="D2949" s="203">
        <f>'02 项目基础信息（输入）'!$C$81</f>
        <v>0</v>
      </c>
      <c r="E2949" s="204" t="s">
        <v>93</v>
      </c>
      <c r="F2949" s="202" t="s">
        <v>4181</v>
      </c>
      <c r="G2949" s="251">
        <f>G2948</f>
        <v>0</v>
      </c>
      <c r="H2949" s="204" t="s">
        <v>298</v>
      </c>
      <c r="I2949" s="265">
        <f>D2949*G2949</f>
        <v>0</v>
      </c>
      <c r="J2949" s="204" t="s">
        <v>93</v>
      </c>
      <c r="K2949" s="270"/>
      <c r="L2949" s="210" t="s">
        <v>675</v>
      </c>
      <c r="M2949" s="198">
        <f>ROUND(K2949*I2949/10000,6)</f>
        <v>0</v>
      </c>
      <c r="N2949" s="212">
        <f>'02 项目基础信息（输入）'!$C$81</f>
        <v>0</v>
      </c>
      <c r="O2949" s="203">
        <f t="shared" si="343"/>
        <v>0</v>
      </c>
      <c r="P2949" s="203">
        <f t="shared" si="338"/>
        <v>0</v>
      </c>
      <c r="Q2949" s="271">
        <f t="shared" si="344"/>
        <v>0</v>
      </c>
      <c r="R2949" s="188"/>
      <c r="S2949" s="280"/>
      <c r="T2949" s="222"/>
      <c r="U2949" s="299" t="s">
        <v>5107</v>
      </c>
    </row>
    <row r="2950" spans="1:21" s="181" customFormat="1" ht="0" hidden="1" customHeight="1" outlineLevel="5">
      <c r="A2950" s="253" t="s">
        <v>4406</v>
      </c>
      <c r="B2950" s="254"/>
      <c r="C2950" s="250" t="s">
        <v>1609</v>
      </c>
      <c r="D2950" s="203">
        <f>'02 项目基础信息（输入）'!$C$81</f>
        <v>0</v>
      </c>
      <c r="E2950" s="204" t="s">
        <v>93</v>
      </c>
      <c r="F2950" s="202" t="s">
        <v>4181</v>
      </c>
      <c r="G2950" s="251">
        <f>G2949</f>
        <v>0</v>
      </c>
      <c r="H2950" s="204" t="s">
        <v>298</v>
      </c>
      <c r="I2950" s="265">
        <f>D2950*G2950</f>
        <v>0</v>
      </c>
      <c r="J2950" s="204" t="s">
        <v>93</v>
      </c>
      <c r="K2950" s="270"/>
      <c r="L2950" s="210" t="s">
        <v>675</v>
      </c>
      <c r="M2950" s="198">
        <f>ROUND(K2950*I2950/10000,6)</f>
        <v>0</v>
      </c>
      <c r="N2950" s="212">
        <f>'02 项目基础信息（输入）'!$C$81</f>
        <v>0</v>
      </c>
      <c r="O2950" s="203">
        <f t="shared" si="343"/>
        <v>0</v>
      </c>
      <c r="P2950" s="203">
        <f t="shared" si="338"/>
        <v>0</v>
      </c>
      <c r="Q2950" s="271">
        <f t="shared" si="344"/>
        <v>0</v>
      </c>
      <c r="R2950" s="188"/>
      <c r="S2950" s="280"/>
      <c r="T2950" s="222"/>
      <c r="U2950" s="299" t="s">
        <v>5108</v>
      </c>
    </row>
    <row r="2951" spans="1:21" s="181" customFormat="1" ht="0" hidden="1" customHeight="1" outlineLevel="4">
      <c r="A2951" s="253" t="s">
        <v>4183</v>
      </c>
      <c r="B2951" s="254"/>
      <c r="C2951" s="250" t="s">
        <v>1609</v>
      </c>
      <c r="D2951" s="203">
        <f>'02 项目基础信息（输入）'!$C$81</f>
        <v>0</v>
      </c>
      <c r="E2951" s="204" t="s">
        <v>93</v>
      </c>
      <c r="F2951" s="202"/>
      <c r="G2951" s="251"/>
      <c r="H2951" s="204"/>
      <c r="I2951" s="265"/>
      <c r="J2951" s="204"/>
      <c r="K2951" s="266"/>
      <c r="L2951" s="210"/>
      <c r="M2951" s="198">
        <f>ROUND(SUM(M2952:M2955),6)</f>
        <v>0</v>
      </c>
      <c r="N2951" s="212">
        <f>'02 项目基础信息（输入）'!$C$81</f>
        <v>0</v>
      </c>
      <c r="O2951" s="203">
        <f t="shared" si="343"/>
        <v>0</v>
      </c>
      <c r="P2951" s="203">
        <f t="shared" si="338"/>
        <v>0</v>
      </c>
      <c r="Q2951" s="271">
        <f t="shared" si="344"/>
        <v>0</v>
      </c>
      <c r="R2951" s="188"/>
      <c r="S2951" s="280"/>
      <c r="T2951" s="222"/>
      <c r="U2951" s="299" t="s">
        <v>5109</v>
      </c>
    </row>
    <row r="2952" spans="1:21" s="181" customFormat="1" ht="0" hidden="1" customHeight="1" outlineLevel="5">
      <c r="A2952" s="253" t="s">
        <v>4811</v>
      </c>
      <c r="B2952" s="254"/>
      <c r="C2952" s="250" t="s">
        <v>1609</v>
      </c>
      <c r="D2952" s="203">
        <f>'02 项目基础信息（输入）'!$C$81</f>
        <v>0</v>
      </c>
      <c r="E2952" s="204" t="s">
        <v>93</v>
      </c>
      <c r="F2952" s="202" t="s">
        <v>1627</v>
      </c>
      <c r="G2952" s="252">
        <f>'03 成本测算（输入）'!D298</f>
        <v>0</v>
      </c>
      <c r="H2952" s="204" t="s">
        <v>1524</v>
      </c>
      <c r="I2952" s="265">
        <f>D2952*G2952</f>
        <v>0</v>
      </c>
      <c r="J2952" s="204" t="s">
        <v>1525</v>
      </c>
      <c r="K2952" s="267">
        <f>'03 成本测算（输入）'!D299</f>
        <v>0</v>
      </c>
      <c r="L2952" s="210" t="s">
        <v>979</v>
      </c>
      <c r="M2952" s="198">
        <f>ROUND(K2952*I2952/10000,6)</f>
        <v>0</v>
      </c>
      <c r="N2952" s="212">
        <f>'02 项目基础信息（输入）'!$C$81</f>
        <v>0</v>
      </c>
      <c r="O2952" s="203">
        <f t="shared" si="343"/>
        <v>0</v>
      </c>
      <c r="P2952" s="203">
        <f t="shared" si="338"/>
        <v>0</v>
      </c>
      <c r="Q2952" s="271">
        <f t="shared" si="344"/>
        <v>0</v>
      </c>
      <c r="R2952" s="188"/>
      <c r="S2952" s="280"/>
      <c r="T2952" s="222"/>
      <c r="U2952" s="299" t="s">
        <v>5110</v>
      </c>
    </row>
    <row r="2953" spans="1:21" s="181" customFormat="1" ht="0" hidden="1" customHeight="1" outlineLevel="5">
      <c r="A2953" s="253" t="s">
        <v>4187</v>
      </c>
      <c r="B2953" s="254"/>
      <c r="C2953" s="250" t="s">
        <v>1609</v>
      </c>
      <c r="D2953" s="203">
        <f>'02 项目基础信息（输入）'!$C$81</f>
        <v>0</v>
      </c>
      <c r="E2953" s="204" t="s">
        <v>93</v>
      </c>
      <c r="F2953" s="202" t="s">
        <v>1627</v>
      </c>
      <c r="G2953" s="251">
        <f>G2952</f>
        <v>0</v>
      </c>
      <c r="H2953" s="204" t="s">
        <v>1524</v>
      </c>
      <c r="I2953" s="265">
        <f>D2953*G2953</f>
        <v>0</v>
      </c>
      <c r="J2953" s="204" t="s">
        <v>1525</v>
      </c>
      <c r="K2953" s="267">
        <f>'03 成本测算（输入）'!D300</f>
        <v>0</v>
      </c>
      <c r="L2953" s="210" t="s">
        <v>979</v>
      </c>
      <c r="M2953" s="198">
        <f>ROUND(K2953*I2953/10000,6)</f>
        <v>0</v>
      </c>
      <c r="N2953" s="212">
        <f>'02 项目基础信息（输入）'!$C$81</f>
        <v>0</v>
      </c>
      <c r="O2953" s="203">
        <f t="shared" si="343"/>
        <v>0</v>
      </c>
      <c r="P2953" s="203">
        <f t="shared" si="338"/>
        <v>0</v>
      </c>
      <c r="Q2953" s="271">
        <f t="shared" si="344"/>
        <v>0</v>
      </c>
      <c r="R2953" s="188"/>
      <c r="S2953" s="280"/>
      <c r="T2953" s="222"/>
      <c r="U2953" s="299" t="s">
        <v>5111</v>
      </c>
    </row>
    <row r="2954" spans="1:21" s="181" customFormat="1" ht="0" hidden="1" customHeight="1" outlineLevel="5">
      <c r="A2954" s="253" t="s">
        <v>4814</v>
      </c>
      <c r="B2954" s="254"/>
      <c r="C2954" s="250" t="s">
        <v>1609</v>
      </c>
      <c r="D2954" s="203">
        <f>'02 项目基础信息（输入）'!$C$81</f>
        <v>0</v>
      </c>
      <c r="E2954" s="204" t="s">
        <v>93</v>
      </c>
      <c r="F2954" s="202" t="s">
        <v>1632</v>
      </c>
      <c r="G2954" s="297"/>
      <c r="H2954" s="204" t="s">
        <v>1524</v>
      </c>
      <c r="I2954" s="265">
        <f>D2954*G2954</f>
        <v>0</v>
      </c>
      <c r="J2954" s="204" t="s">
        <v>1525</v>
      </c>
      <c r="K2954" s="270"/>
      <c r="L2954" s="210" t="s">
        <v>979</v>
      </c>
      <c r="M2954" s="198">
        <f>ROUND(K2954*I2954/10000,6)</f>
        <v>0</v>
      </c>
      <c r="N2954" s="212">
        <f>'02 项目基础信息（输入）'!$C$81</f>
        <v>0</v>
      </c>
      <c r="O2954" s="203">
        <f t="shared" si="343"/>
        <v>0</v>
      </c>
      <c r="P2954" s="203">
        <f t="shared" ref="P2954:P3017" si="345">N2954</f>
        <v>0</v>
      </c>
      <c r="Q2954" s="271">
        <f t="shared" si="344"/>
        <v>0</v>
      </c>
      <c r="R2954" s="188"/>
      <c r="S2954" s="280"/>
      <c r="T2954" s="222"/>
      <c r="U2954" s="299" t="s">
        <v>5112</v>
      </c>
    </row>
    <row r="2955" spans="1:21" s="181" customFormat="1" ht="0" hidden="1" customHeight="1" outlineLevel="5">
      <c r="A2955" s="253" t="s">
        <v>4816</v>
      </c>
      <c r="B2955" s="254"/>
      <c r="C2955" s="250" t="s">
        <v>1609</v>
      </c>
      <c r="D2955" s="203">
        <f>'02 项目基础信息（输入）'!$C$81</f>
        <v>0</v>
      </c>
      <c r="E2955" s="204" t="s">
        <v>93</v>
      </c>
      <c r="F2955" s="202" t="s">
        <v>1632</v>
      </c>
      <c r="G2955" s="251">
        <f>G2954</f>
        <v>0</v>
      </c>
      <c r="H2955" s="204" t="s">
        <v>1524</v>
      </c>
      <c r="I2955" s="265">
        <f>D2955*G2955</f>
        <v>0</v>
      </c>
      <c r="J2955" s="204" t="s">
        <v>1525</v>
      </c>
      <c r="K2955" s="270"/>
      <c r="L2955" s="210" t="s">
        <v>979</v>
      </c>
      <c r="M2955" s="198">
        <f>ROUND(K2955*I2955/10000,6)</f>
        <v>0</v>
      </c>
      <c r="N2955" s="212">
        <f>'02 项目基础信息（输入）'!$C$81</f>
        <v>0</v>
      </c>
      <c r="O2955" s="203">
        <f t="shared" si="343"/>
        <v>0</v>
      </c>
      <c r="P2955" s="203">
        <f t="shared" si="345"/>
        <v>0</v>
      </c>
      <c r="Q2955" s="271">
        <f t="shared" si="344"/>
        <v>0</v>
      </c>
      <c r="R2955" s="188"/>
      <c r="S2955" s="280"/>
      <c r="T2955" s="222"/>
      <c r="U2955" s="299" t="s">
        <v>5113</v>
      </c>
    </row>
    <row r="2956" spans="1:21" s="181" customFormat="1" ht="0" hidden="1" customHeight="1" outlineLevel="4">
      <c r="A2956" s="253" t="s">
        <v>4189</v>
      </c>
      <c r="B2956" s="254"/>
      <c r="C2956" s="250" t="s">
        <v>1609</v>
      </c>
      <c r="D2956" s="203">
        <f>'02 项目基础信息（输入）'!$C$81</f>
        <v>0</v>
      </c>
      <c r="E2956" s="204" t="s">
        <v>93</v>
      </c>
      <c r="F2956" s="256"/>
      <c r="G2956" s="255"/>
      <c r="H2956" s="255"/>
      <c r="I2956" s="268"/>
      <c r="J2956" s="255"/>
      <c r="K2956" s="264"/>
      <c r="L2956" s="205"/>
      <c r="M2956" s="198">
        <f>ROUND(SUM(M2957:M2959),6)</f>
        <v>0</v>
      </c>
      <c r="N2956" s="212">
        <f>'02 项目基础信息（输入）'!$C$81</f>
        <v>0</v>
      </c>
      <c r="O2956" s="203">
        <f t="shared" si="343"/>
        <v>0</v>
      </c>
      <c r="P2956" s="203">
        <f t="shared" si="345"/>
        <v>0</v>
      </c>
      <c r="Q2956" s="271">
        <f t="shared" si="344"/>
        <v>0</v>
      </c>
      <c r="R2956" s="188"/>
      <c r="S2956" s="280"/>
      <c r="T2956" s="222"/>
      <c r="U2956" s="299" t="s">
        <v>5114</v>
      </c>
    </row>
    <row r="2957" spans="1:21" s="181" customFormat="1" ht="0" hidden="1" customHeight="1" outlineLevel="5">
      <c r="A2957" s="253" t="s">
        <v>4191</v>
      </c>
      <c r="B2957" s="254"/>
      <c r="C2957" s="250" t="s">
        <v>1609</v>
      </c>
      <c r="D2957" s="203">
        <f>'02 项目基础信息（输入）'!$C$81</f>
        <v>0</v>
      </c>
      <c r="E2957" s="204" t="s">
        <v>93</v>
      </c>
      <c r="F2957" s="250" t="s">
        <v>1637</v>
      </c>
      <c r="G2957" s="257"/>
      <c r="H2957" s="204" t="s">
        <v>1524</v>
      </c>
      <c r="I2957" s="265">
        <f>D2957*G2957</f>
        <v>0</v>
      </c>
      <c r="J2957" s="204" t="s">
        <v>1525</v>
      </c>
      <c r="K2957" s="270"/>
      <c r="L2957" s="210" t="s">
        <v>979</v>
      </c>
      <c r="M2957" s="198">
        <f>ROUND(K2957*I2957/10000,6)</f>
        <v>0</v>
      </c>
      <c r="N2957" s="212">
        <f>'02 项目基础信息（输入）'!$C$81</f>
        <v>0</v>
      </c>
      <c r="O2957" s="203">
        <f t="shared" si="343"/>
        <v>0</v>
      </c>
      <c r="P2957" s="203">
        <f t="shared" si="345"/>
        <v>0</v>
      </c>
      <c r="Q2957" s="271">
        <f t="shared" si="344"/>
        <v>0</v>
      </c>
      <c r="R2957" s="188"/>
      <c r="S2957" s="280"/>
      <c r="T2957" s="222"/>
      <c r="U2957" s="299" t="s">
        <v>5115</v>
      </c>
    </row>
    <row r="2958" spans="1:21" s="181" customFormat="1" ht="0" hidden="1" customHeight="1" outlineLevel="5">
      <c r="A2958" s="253" t="s">
        <v>4820</v>
      </c>
      <c r="B2958" s="254"/>
      <c r="C2958" s="250" t="s">
        <v>1609</v>
      </c>
      <c r="D2958" s="203">
        <f>'02 项目基础信息（输入）'!$C$81</f>
        <v>0</v>
      </c>
      <c r="E2958" s="204" t="s">
        <v>93</v>
      </c>
      <c r="F2958" s="250" t="s">
        <v>1637</v>
      </c>
      <c r="G2958" s="205">
        <f>G2957</f>
        <v>0</v>
      </c>
      <c r="H2958" s="204" t="s">
        <v>1524</v>
      </c>
      <c r="I2958" s="265">
        <f>D2958*G2958</f>
        <v>0</v>
      </c>
      <c r="J2958" s="204" t="s">
        <v>1525</v>
      </c>
      <c r="K2958" s="270"/>
      <c r="L2958" s="210" t="s">
        <v>979</v>
      </c>
      <c r="M2958" s="198">
        <f>ROUND(K2958*I2958/10000,6)</f>
        <v>0</v>
      </c>
      <c r="N2958" s="212">
        <f>'02 项目基础信息（输入）'!$C$81</f>
        <v>0</v>
      </c>
      <c r="O2958" s="203">
        <f t="shared" si="343"/>
        <v>0</v>
      </c>
      <c r="P2958" s="203">
        <f t="shared" si="345"/>
        <v>0</v>
      </c>
      <c r="Q2958" s="271">
        <f t="shared" si="344"/>
        <v>0</v>
      </c>
      <c r="R2958" s="188"/>
      <c r="S2958" s="280"/>
      <c r="T2958" s="222"/>
      <c r="U2958" s="299" t="s">
        <v>5116</v>
      </c>
    </row>
    <row r="2959" spans="1:21" s="181" customFormat="1" ht="0" hidden="1" customHeight="1" outlineLevel="5">
      <c r="A2959" s="253" t="s">
        <v>4422</v>
      </c>
      <c r="B2959" s="254"/>
      <c r="C2959" s="250" t="s">
        <v>1609</v>
      </c>
      <c r="D2959" s="203">
        <f>'02 项目基础信息（输入）'!$C$81</f>
        <v>0</v>
      </c>
      <c r="E2959" s="204" t="s">
        <v>93</v>
      </c>
      <c r="F2959" s="250" t="s">
        <v>1637</v>
      </c>
      <c r="G2959" s="205">
        <f>G2958</f>
        <v>0</v>
      </c>
      <c r="H2959" s="204" t="s">
        <v>1524</v>
      </c>
      <c r="I2959" s="265">
        <f>D2959*G2959</f>
        <v>0</v>
      </c>
      <c r="J2959" s="204" t="s">
        <v>1525</v>
      </c>
      <c r="K2959" s="270"/>
      <c r="L2959" s="210" t="s">
        <v>979</v>
      </c>
      <c r="M2959" s="198">
        <f>ROUND(K2959*I2959/10000,6)</f>
        <v>0</v>
      </c>
      <c r="N2959" s="212">
        <f>'02 项目基础信息（输入）'!$C$81</f>
        <v>0</v>
      </c>
      <c r="O2959" s="203">
        <f t="shared" si="343"/>
        <v>0</v>
      </c>
      <c r="P2959" s="203">
        <f t="shared" si="345"/>
        <v>0</v>
      </c>
      <c r="Q2959" s="271">
        <f t="shared" si="344"/>
        <v>0</v>
      </c>
      <c r="R2959" s="188"/>
      <c r="S2959" s="280"/>
      <c r="T2959" s="222"/>
      <c r="U2959" s="299" t="s">
        <v>5117</v>
      </c>
    </row>
    <row r="2960" spans="1:21" s="181" customFormat="1" ht="0" hidden="1" customHeight="1" outlineLevel="4">
      <c r="A2960" s="253" t="s">
        <v>4193</v>
      </c>
      <c r="B2960" s="254"/>
      <c r="C2960" s="250" t="s">
        <v>1609</v>
      </c>
      <c r="D2960" s="203">
        <f>'02 项目基础信息（输入）'!$C$81</f>
        <v>0</v>
      </c>
      <c r="E2960" s="204" t="s">
        <v>93</v>
      </c>
      <c r="F2960" s="250" t="s">
        <v>1609</v>
      </c>
      <c r="G2960" s="255">
        <v>1</v>
      </c>
      <c r="H2960" s="204" t="s">
        <v>298</v>
      </c>
      <c r="I2960" s="265">
        <f>D2960*G2960</f>
        <v>0</v>
      </c>
      <c r="J2960" s="204" t="s">
        <v>93</v>
      </c>
      <c r="K2960" s="270"/>
      <c r="L2960" s="210" t="s">
        <v>675</v>
      </c>
      <c r="M2960" s="198">
        <f>ROUND(K2960*I2960/10000,6)</f>
        <v>0</v>
      </c>
      <c r="N2960" s="212">
        <f>'02 项目基础信息（输入）'!$C$81</f>
        <v>0</v>
      </c>
      <c r="O2960" s="203">
        <f t="shared" si="343"/>
        <v>0</v>
      </c>
      <c r="P2960" s="203">
        <f t="shared" si="345"/>
        <v>0</v>
      </c>
      <c r="Q2960" s="271">
        <f t="shared" si="344"/>
        <v>0</v>
      </c>
      <c r="R2960" s="188"/>
      <c r="S2960" s="280"/>
      <c r="T2960" s="222"/>
      <c r="U2960" s="299" t="s">
        <v>5118</v>
      </c>
    </row>
    <row r="2961" spans="1:21" s="181" customFormat="1" ht="0" hidden="1" customHeight="1" outlineLevel="4">
      <c r="A2961" s="253" t="s">
        <v>4195</v>
      </c>
      <c r="B2961" s="254"/>
      <c r="C2961" s="250" t="s">
        <v>1609</v>
      </c>
      <c r="D2961" s="203">
        <f>'02 项目基础信息（输入）'!$C$81</f>
        <v>0</v>
      </c>
      <c r="E2961" s="204" t="s">
        <v>93</v>
      </c>
      <c r="F2961" s="250" t="s">
        <v>1609</v>
      </c>
      <c r="G2961" s="255">
        <v>1</v>
      </c>
      <c r="H2961" s="204" t="s">
        <v>298</v>
      </c>
      <c r="I2961" s="265">
        <f>D2961*G2961</f>
        <v>0</v>
      </c>
      <c r="J2961" s="204" t="s">
        <v>93</v>
      </c>
      <c r="K2961" s="270"/>
      <c r="L2961" s="210" t="s">
        <v>675</v>
      </c>
      <c r="M2961" s="198">
        <f>ROUND(K2961*I2961/10000,6)</f>
        <v>0</v>
      </c>
      <c r="N2961" s="212">
        <f>'02 项目基础信息（输入）'!$C$81</f>
        <v>0</v>
      </c>
      <c r="O2961" s="203">
        <f t="shared" si="343"/>
        <v>0</v>
      </c>
      <c r="P2961" s="203">
        <f t="shared" si="345"/>
        <v>0</v>
      </c>
      <c r="Q2961" s="271">
        <f t="shared" si="344"/>
        <v>0</v>
      </c>
      <c r="R2961" s="188"/>
      <c r="S2961" s="280"/>
      <c r="T2961" s="222"/>
      <c r="U2961" s="299" t="s">
        <v>5119</v>
      </c>
    </row>
    <row r="2962" spans="1:21" s="181" customFormat="1" ht="0" hidden="1" customHeight="1" outlineLevel="4">
      <c r="A2962" s="253" t="s">
        <v>4197</v>
      </c>
      <c r="B2962" s="254"/>
      <c r="C2962" s="250" t="s">
        <v>1665</v>
      </c>
      <c r="D2962" s="203">
        <f>ROUND(M2943+M2946+M2951+M2956+M2960+M2961,6)*10000</f>
        <v>0</v>
      </c>
      <c r="E2962" s="204" t="s">
        <v>1666</v>
      </c>
      <c r="F2962" s="202" t="s">
        <v>1667</v>
      </c>
      <c r="G2962" s="258">
        <f>IFERROR(I2962*100/D2962,0)</f>
        <v>0</v>
      </c>
      <c r="H2962" s="204" t="s">
        <v>123</v>
      </c>
      <c r="I2962" s="265">
        <f>N2962*K2962</f>
        <v>0</v>
      </c>
      <c r="J2962" s="204" t="s">
        <v>1666</v>
      </c>
      <c r="K2962" s="269"/>
      <c r="L2962" s="210" t="s">
        <v>675</v>
      </c>
      <c r="M2962" s="231">
        <f>ROUND(I2962/10000,6)</f>
        <v>0</v>
      </c>
      <c r="N2962" s="212">
        <f>'02 项目基础信息（输入）'!$C$81</f>
        <v>0</v>
      </c>
      <c r="O2962" s="203">
        <f t="shared" si="343"/>
        <v>0</v>
      </c>
      <c r="P2962" s="203">
        <f t="shared" si="345"/>
        <v>0</v>
      </c>
      <c r="Q2962" s="271">
        <f t="shared" si="344"/>
        <v>0</v>
      </c>
      <c r="R2962" s="188"/>
      <c r="S2962" s="280"/>
      <c r="T2962" s="222"/>
      <c r="U2962" s="299" t="s">
        <v>5120</v>
      </c>
    </row>
    <row r="2963" spans="1:21" s="181" customFormat="1" ht="0" hidden="1" customHeight="1" outlineLevel="3">
      <c r="A2963" s="253" t="s">
        <v>4211</v>
      </c>
      <c r="B2963" s="254"/>
      <c r="C2963" s="250" t="s">
        <v>1609</v>
      </c>
      <c r="D2963" s="203">
        <f>'02 项目基础信息（输入）'!$C$81</f>
        <v>0</v>
      </c>
      <c r="E2963" s="204" t="s">
        <v>93</v>
      </c>
      <c r="F2963" s="202"/>
      <c r="G2963" s="255"/>
      <c r="H2963" s="204"/>
      <c r="I2963" s="265"/>
      <c r="J2963" s="204"/>
      <c r="K2963" s="202"/>
      <c r="L2963" s="210"/>
      <c r="M2963" s="198">
        <f>ROUND(M2964+M2967+M2970+M2973+M2976,6)</f>
        <v>0</v>
      </c>
      <c r="N2963" s="212">
        <f>'02 项目基础信息（输入）'!$C$81</f>
        <v>0</v>
      </c>
      <c r="O2963" s="203">
        <f t="shared" si="343"/>
        <v>0</v>
      </c>
      <c r="P2963" s="203">
        <f t="shared" si="345"/>
        <v>0</v>
      </c>
      <c r="Q2963" s="271">
        <f t="shared" si="344"/>
        <v>0</v>
      </c>
      <c r="R2963" s="188"/>
      <c r="S2963" s="280"/>
      <c r="T2963" s="222"/>
      <c r="U2963" s="299" t="s">
        <v>5121</v>
      </c>
    </row>
    <row r="2964" spans="1:21" s="181" customFormat="1" ht="0" hidden="1" customHeight="1" outlineLevel="4">
      <c r="A2964" s="253" t="s">
        <v>4438</v>
      </c>
      <c r="B2964" s="254"/>
      <c r="C2964" s="250" t="s">
        <v>1609</v>
      </c>
      <c r="D2964" s="203">
        <f>'02 项目基础信息（输入）'!$C$81</f>
        <v>0</v>
      </c>
      <c r="E2964" s="204" t="s">
        <v>93</v>
      </c>
      <c r="F2964" s="202"/>
      <c r="G2964" s="261"/>
      <c r="H2964" s="255"/>
      <c r="I2964" s="264"/>
      <c r="J2964" s="255"/>
      <c r="K2964" s="264"/>
      <c r="L2964" s="205"/>
      <c r="M2964" s="198">
        <f>ROUND(SUM(M2965:M2966),6)</f>
        <v>0</v>
      </c>
      <c r="N2964" s="212">
        <f>'02 项目基础信息（输入）'!$C$81</f>
        <v>0</v>
      </c>
      <c r="O2964" s="203">
        <f t="shared" si="343"/>
        <v>0</v>
      </c>
      <c r="P2964" s="203">
        <f t="shared" si="345"/>
        <v>0</v>
      </c>
      <c r="Q2964" s="271">
        <f t="shared" si="344"/>
        <v>0</v>
      </c>
      <c r="R2964" s="188"/>
      <c r="S2964" s="280"/>
      <c r="T2964" s="222"/>
      <c r="U2964" s="299" t="s">
        <v>5122</v>
      </c>
    </row>
    <row r="2965" spans="1:21" s="181" customFormat="1" ht="0" hidden="1" customHeight="1" outlineLevel="5">
      <c r="A2965" s="253" t="s">
        <v>4828</v>
      </c>
      <c r="B2965" s="254"/>
      <c r="C2965" s="250" t="s">
        <v>1609</v>
      </c>
      <c r="D2965" s="203">
        <f>'02 项目基础信息（输入）'!$C$81</f>
        <v>0</v>
      </c>
      <c r="E2965" s="204" t="s">
        <v>93</v>
      </c>
      <c r="F2965" s="202" t="s">
        <v>1682</v>
      </c>
      <c r="G2965" s="261">
        <f>IFERROR(I2965/D2965,0)</f>
        <v>0</v>
      </c>
      <c r="H2965" s="204" t="s">
        <v>298</v>
      </c>
      <c r="I2965" s="270"/>
      <c r="J2965" s="204" t="s">
        <v>93</v>
      </c>
      <c r="K2965" s="270"/>
      <c r="L2965" s="210" t="s">
        <v>675</v>
      </c>
      <c r="M2965" s="198">
        <f>ROUND(K2965*I2965/10000,6)</f>
        <v>0</v>
      </c>
      <c r="N2965" s="212">
        <f>'02 项目基础信息（输入）'!$C$81</f>
        <v>0</v>
      </c>
      <c r="O2965" s="203">
        <f t="shared" si="343"/>
        <v>0</v>
      </c>
      <c r="P2965" s="203">
        <f t="shared" si="345"/>
        <v>0</v>
      </c>
      <c r="Q2965" s="271">
        <f t="shared" si="344"/>
        <v>0</v>
      </c>
      <c r="R2965" s="188"/>
      <c r="S2965" s="280"/>
      <c r="T2965" s="222"/>
      <c r="U2965" s="299" t="s">
        <v>5123</v>
      </c>
    </row>
    <row r="2966" spans="1:21" s="181" customFormat="1" ht="0" hidden="1" customHeight="1" outlineLevel="5">
      <c r="A2966" s="253" t="s">
        <v>4830</v>
      </c>
      <c r="B2966" s="254"/>
      <c r="C2966" s="250" t="s">
        <v>1609</v>
      </c>
      <c r="D2966" s="203">
        <f>'02 项目基础信息（输入）'!$C$81</f>
        <v>0</v>
      </c>
      <c r="E2966" s="204" t="s">
        <v>93</v>
      </c>
      <c r="F2966" s="202" t="s">
        <v>1682</v>
      </c>
      <c r="G2966" s="261">
        <f>IFERROR(I2966/D2966,0)</f>
        <v>0</v>
      </c>
      <c r="H2966" s="204" t="s">
        <v>298</v>
      </c>
      <c r="I2966" s="268">
        <f>I2965</f>
        <v>0</v>
      </c>
      <c r="J2966" s="204" t="s">
        <v>93</v>
      </c>
      <c r="K2966" s="270"/>
      <c r="L2966" s="210" t="s">
        <v>675</v>
      </c>
      <c r="M2966" s="198">
        <f>ROUND(K2966*I2966/10000,6)</f>
        <v>0</v>
      </c>
      <c r="N2966" s="212">
        <f>'02 项目基础信息（输入）'!$C$81</f>
        <v>0</v>
      </c>
      <c r="O2966" s="203">
        <f t="shared" si="343"/>
        <v>0</v>
      </c>
      <c r="P2966" s="203">
        <f t="shared" si="345"/>
        <v>0</v>
      </c>
      <c r="Q2966" s="271">
        <f t="shared" si="344"/>
        <v>0</v>
      </c>
      <c r="R2966" s="188"/>
      <c r="S2966" s="280"/>
      <c r="T2966" s="222"/>
      <c r="U2966" s="299" t="s">
        <v>5124</v>
      </c>
    </row>
    <row r="2967" spans="1:21" s="181" customFormat="1" ht="0" hidden="1" customHeight="1" outlineLevel="4">
      <c r="A2967" s="253" t="s">
        <v>4444</v>
      </c>
      <c r="B2967" s="254"/>
      <c r="C2967" s="250" t="s">
        <v>1609</v>
      </c>
      <c r="D2967" s="203">
        <f>'02 项目基础信息（输入）'!$C$81</f>
        <v>0</v>
      </c>
      <c r="E2967" s="204" t="s">
        <v>93</v>
      </c>
      <c r="F2967" s="202"/>
      <c r="G2967" s="261"/>
      <c r="H2967" s="255"/>
      <c r="I2967" s="264"/>
      <c r="J2967" s="255"/>
      <c r="K2967" s="264"/>
      <c r="L2967" s="205"/>
      <c r="M2967" s="198">
        <f>ROUND(SUM(M2968:M2969),6)</f>
        <v>0</v>
      </c>
      <c r="N2967" s="212">
        <f>'02 项目基础信息（输入）'!$C$81</f>
        <v>0</v>
      </c>
      <c r="O2967" s="203">
        <f t="shared" si="343"/>
        <v>0</v>
      </c>
      <c r="P2967" s="203">
        <f t="shared" si="345"/>
        <v>0</v>
      </c>
      <c r="Q2967" s="271">
        <f t="shared" si="344"/>
        <v>0</v>
      </c>
      <c r="R2967" s="188"/>
      <c r="S2967" s="280"/>
      <c r="T2967" s="222"/>
      <c r="U2967" s="299" t="s">
        <v>5125</v>
      </c>
    </row>
    <row r="2968" spans="1:21" s="181" customFormat="1" ht="0" hidden="1" customHeight="1" outlineLevel="5">
      <c r="A2968" s="253" t="s">
        <v>4446</v>
      </c>
      <c r="B2968" s="254"/>
      <c r="C2968" s="250" t="s">
        <v>1609</v>
      </c>
      <c r="D2968" s="203">
        <f>'02 项目基础信息（输入）'!$C$81</f>
        <v>0</v>
      </c>
      <c r="E2968" s="204" t="s">
        <v>93</v>
      </c>
      <c r="F2968" s="202" t="s">
        <v>1682</v>
      </c>
      <c r="G2968" s="261">
        <f>IFERROR(I2968/D2968,0)</f>
        <v>0</v>
      </c>
      <c r="H2968" s="204" t="s">
        <v>298</v>
      </c>
      <c r="I2968" s="270"/>
      <c r="J2968" s="204" t="s">
        <v>93</v>
      </c>
      <c r="K2968" s="270"/>
      <c r="L2968" s="210" t="s">
        <v>675</v>
      </c>
      <c r="M2968" s="198">
        <f>ROUND(K2968*I2968/10000,6)</f>
        <v>0</v>
      </c>
      <c r="N2968" s="212">
        <f>'02 项目基础信息（输入）'!$C$81</f>
        <v>0</v>
      </c>
      <c r="O2968" s="203">
        <f t="shared" si="343"/>
        <v>0</v>
      </c>
      <c r="P2968" s="203">
        <f t="shared" si="345"/>
        <v>0</v>
      </c>
      <c r="Q2968" s="271">
        <f t="shared" si="344"/>
        <v>0</v>
      </c>
      <c r="R2968" s="188"/>
      <c r="S2968" s="280"/>
      <c r="T2968" s="222"/>
      <c r="U2968" s="299" t="s">
        <v>5126</v>
      </c>
    </row>
    <row r="2969" spans="1:21" s="181" customFormat="1" ht="0" hidden="1" customHeight="1" outlineLevel="5">
      <c r="A2969" s="253" t="s">
        <v>4448</v>
      </c>
      <c r="B2969" s="254"/>
      <c r="C2969" s="250" t="s">
        <v>1609</v>
      </c>
      <c r="D2969" s="203">
        <f>'02 项目基础信息（输入）'!$C$81</f>
        <v>0</v>
      </c>
      <c r="E2969" s="204" t="s">
        <v>93</v>
      </c>
      <c r="F2969" s="202" t="s">
        <v>1682</v>
      </c>
      <c r="G2969" s="261">
        <f>IFERROR(I2969/D2969,0)</f>
        <v>0</v>
      </c>
      <c r="H2969" s="204" t="s">
        <v>298</v>
      </c>
      <c r="I2969" s="268">
        <f>I2968</f>
        <v>0</v>
      </c>
      <c r="J2969" s="204" t="s">
        <v>93</v>
      </c>
      <c r="K2969" s="270"/>
      <c r="L2969" s="210" t="s">
        <v>675</v>
      </c>
      <c r="M2969" s="198">
        <f>ROUND(K2969*I2969/10000,6)</f>
        <v>0</v>
      </c>
      <c r="N2969" s="212">
        <f>'02 项目基础信息（输入）'!$C$81</f>
        <v>0</v>
      </c>
      <c r="O2969" s="203">
        <f t="shared" si="343"/>
        <v>0</v>
      </c>
      <c r="P2969" s="203">
        <f t="shared" si="345"/>
        <v>0</v>
      </c>
      <c r="Q2969" s="271">
        <f t="shared" si="344"/>
        <v>0</v>
      </c>
      <c r="R2969" s="188"/>
      <c r="S2969" s="280"/>
      <c r="T2969" s="222"/>
      <c r="U2969" s="299" t="s">
        <v>5127</v>
      </c>
    </row>
    <row r="2970" spans="1:21" s="181" customFormat="1" ht="0" hidden="1" customHeight="1" outlineLevel="4">
      <c r="A2970" s="253" t="s">
        <v>4450</v>
      </c>
      <c r="B2970" s="254"/>
      <c r="C2970" s="250" t="s">
        <v>1609</v>
      </c>
      <c r="D2970" s="203">
        <f>'02 项目基础信息（输入）'!$C$81</f>
        <v>0</v>
      </c>
      <c r="E2970" s="204" t="s">
        <v>93</v>
      </c>
      <c r="F2970" s="202"/>
      <c r="G2970" s="261"/>
      <c r="H2970" s="255"/>
      <c r="I2970" s="264"/>
      <c r="J2970" s="255"/>
      <c r="K2970" s="264"/>
      <c r="L2970" s="205"/>
      <c r="M2970" s="198">
        <f>ROUND(SUM(M2971:M2972),6)</f>
        <v>0</v>
      </c>
      <c r="N2970" s="212">
        <f>'02 项目基础信息（输入）'!$C$81</f>
        <v>0</v>
      </c>
      <c r="O2970" s="203">
        <f t="shared" si="343"/>
        <v>0</v>
      </c>
      <c r="P2970" s="203">
        <f t="shared" si="345"/>
        <v>0</v>
      </c>
      <c r="Q2970" s="271">
        <f t="shared" si="344"/>
        <v>0</v>
      </c>
      <c r="R2970" s="188"/>
      <c r="S2970" s="280"/>
      <c r="T2970" s="222"/>
      <c r="U2970" s="299" t="s">
        <v>5128</v>
      </c>
    </row>
    <row r="2971" spans="1:21" s="181" customFormat="1" ht="0" hidden="1" customHeight="1" outlineLevel="5">
      <c r="A2971" s="253" t="s">
        <v>4452</v>
      </c>
      <c r="B2971" s="254"/>
      <c r="C2971" s="250" t="s">
        <v>1609</v>
      </c>
      <c r="D2971" s="203">
        <f>'02 项目基础信息（输入）'!$C$81</f>
        <v>0</v>
      </c>
      <c r="E2971" s="204" t="s">
        <v>93</v>
      </c>
      <c r="F2971" s="202" t="s">
        <v>1682</v>
      </c>
      <c r="G2971" s="261">
        <f>IFERROR(I2971/D2971,0)</f>
        <v>0</v>
      </c>
      <c r="H2971" s="204" t="s">
        <v>298</v>
      </c>
      <c r="I2971" s="270"/>
      <c r="J2971" s="204" t="s">
        <v>93</v>
      </c>
      <c r="K2971" s="270"/>
      <c r="L2971" s="210" t="s">
        <v>675</v>
      </c>
      <c r="M2971" s="198">
        <f>ROUND(K2971*I2971/10000,6)</f>
        <v>0</v>
      </c>
      <c r="N2971" s="212">
        <f>'02 项目基础信息（输入）'!$C$81</f>
        <v>0</v>
      </c>
      <c r="O2971" s="203">
        <f t="shared" si="343"/>
        <v>0</v>
      </c>
      <c r="P2971" s="203">
        <f t="shared" si="345"/>
        <v>0</v>
      </c>
      <c r="Q2971" s="271">
        <f t="shared" si="344"/>
        <v>0</v>
      </c>
      <c r="R2971" s="188"/>
      <c r="S2971" s="280"/>
      <c r="T2971" s="222"/>
      <c r="U2971" s="299" t="s">
        <v>5129</v>
      </c>
    </row>
    <row r="2972" spans="1:21" s="181" customFormat="1" ht="0" hidden="1" customHeight="1" outlineLevel="5">
      <c r="A2972" s="253" t="s">
        <v>4454</v>
      </c>
      <c r="B2972" s="254"/>
      <c r="C2972" s="250" t="s">
        <v>1609</v>
      </c>
      <c r="D2972" s="203">
        <f>'02 项目基础信息（输入）'!$C$81</f>
        <v>0</v>
      </c>
      <c r="E2972" s="204" t="s">
        <v>93</v>
      </c>
      <c r="F2972" s="202" t="s">
        <v>1682</v>
      </c>
      <c r="G2972" s="261">
        <f>IFERROR(I2972/D2972,0)</f>
        <v>0</v>
      </c>
      <c r="H2972" s="204" t="s">
        <v>298</v>
      </c>
      <c r="I2972" s="268">
        <f>I2971</f>
        <v>0</v>
      </c>
      <c r="J2972" s="204" t="s">
        <v>93</v>
      </c>
      <c r="K2972" s="270"/>
      <c r="L2972" s="210" t="s">
        <v>675</v>
      </c>
      <c r="M2972" s="198">
        <f>ROUND(K2972*I2972/10000,6)</f>
        <v>0</v>
      </c>
      <c r="N2972" s="212">
        <f>'02 项目基础信息（输入）'!$C$81</f>
        <v>0</v>
      </c>
      <c r="O2972" s="203">
        <f t="shared" si="343"/>
        <v>0</v>
      </c>
      <c r="P2972" s="203">
        <f t="shared" si="345"/>
        <v>0</v>
      </c>
      <c r="Q2972" s="271">
        <f t="shared" si="344"/>
        <v>0</v>
      </c>
      <c r="R2972" s="188"/>
      <c r="S2972" s="280"/>
      <c r="T2972" s="222"/>
      <c r="U2972" s="299" t="s">
        <v>5130</v>
      </c>
    </row>
    <row r="2973" spans="1:21" s="181" customFormat="1" ht="0" hidden="1" customHeight="1" outlineLevel="4">
      <c r="A2973" s="253" t="s">
        <v>4456</v>
      </c>
      <c r="B2973" s="254"/>
      <c r="C2973" s="250" t="s">
        <v>1609</v>
      </c>
      <c r="D2973" s="203">
        <f>'02 项目基础信息（输入）'!$C$81</f>
        <v>0</v>
      </c>
      <c r="E2973" s="204" t="s">
        <v>93</v>
      </c>
      <c r="F2973" s="202"/>
      <c r="G2973" s="261"/>
      <c r="H2973" s="255"/>
      <c r="I2973" s="264"/>
      <c r="J2973" s="255"/>
      <c r="K2973" s="264"/>
      <c r="L2973" s="205"/>
      <c r="M2973" s="198">
        <f>ROUND(SUM(M2974:M2975),6)</f>
        <v>0</v>
      </c>
      <c r="N2973" s="212">
        <f>'02 项目基础信息（输入）'!$C$81</f>
        <v>0</v>
      </c>
      <c r="O2973" s="203">
        <f t="shared" si="343"/>
        <v>0</v>
      </c>
      <c r="P2973" s="203">
        <f t="shared" si="345"/>
        <v>0</v>
      </c>
      <c r="Q2973" s="271">
        <f t="shared" si="344"/>
        <v>0</v>
      </c>
      <c r="R2973" s="188"/>
      <c r="S2973" s="280"/>
      <c r="T2973" s="222"/>
      <c r="U2973" s="299" t="s">
        <v>5131</v>
      </c>
    </row>
    <row r="2974" spans="1:21" s="181" customFormat="1" ht="0" hidden="1" customHeight="1" outlineLevel="5">
      <c r="A2974" s="253" t="s">
        <v>4458</v>
      </c>
      <c r="B2974" s="254"/>
      <c r="C2974" s="250" t="s">
        <v>1609</v>
      </c>
      <c r="D2974" s="203">
        <f>'02 项目基础信息（输入）'!$C$81</f>
        <v>0</v>
      </c>
      <c r="E2974" s="204" t="s">
        <v>93</v>
      </c>
      <c r="F2974" s="202" t="s">
        <v>1682</v>
      </c>
      <c r="G2974" s="261">
        <f>IFERROR(I2974/D2974,0)</f>
        <v>0</v>
      </c>
      <c r="H2974" s="204" t="s">
        <v>298</v>
      </c>
      <c r="I2974" s="270"/>
      <c r="J2974" s="204" t="s">
        <v>93</v>
      </c>
      <c r="K2974" s="270"/>
      <c r="L2974" s="210" t="s">
        <v>675</v>
      </c>
      <c r="M2974" s="198">
        <f>ROUND(K2974*I2974/10000,6)</f>
        <v>0</v>
      </c>
      <c r="N2974" s="212">
        <f>'02 项目基础信息（输入）'!$C$81</f>
        <v>0</v>
      </c>
      <c r="O2974" s="203">
        <f t="shared" si="343"/>
        <v>0</v>
      </c>
      <c r="P2974" s="203">
        <f t="shared" si="345"/>
        <v>0</v>
      </c>
      <c r="Q2974" s="271">
        <f t="shared" si="344"/>
        <v>0</v>
      </c>
      <c r="R2974" s="188"/>
      <c r="S2974" s="280"/>
      <c r="T2974" s="222"/>
      <c r="U2974" s="299" t="s">
        <v>5132</v>
      </c>
    </row>
    <row r="2975" spans="1:21" s="181" customFormat="1" ht="0" hidden="1" customHeight="1" outlineLevel="5">
      <c r="A2975" s="253" t="s">
        <v>4460</v>
      </c>
      <c r="B2975" s="254"/>
      <c r="C2975" s="250" t="s">
        <v>1609</v>
      </c>
      <c r="D2975" s="203">
        <f>'02 项目基础信息（输入）'!$C$81</f>
        <v>0</v>
      </c>
      <c r="E2975" s="204" t="s">
        <v>93</v>
      </c>
      <c r="F2975" s="202" t="s">
        <v>1682</v>
      </c>
      <c r="G2975" s="261">
        <f>IFERROR(I2975/D2975,0)</f>
        <v>0</v>
      </c>
      <c r="H2975" s="204" t="s">
        <v>298</v>
      </c>
      <c r="I2975" s="268">
        <f>I2974</f>
        <v>0</v>
      </c>
      <c r="J2975" s="204" t="s">
        <v>93</v>
      </c>
      <c r="K2975" s="270"/>
      <c r="L2975" s="210" t="s">
        <v>675</v>
      </c>
      <c r="M2975" s="198">
        <f>ROUND(K2975*I2975/10000,6)</f>
        <v>0</v>
      </c>
      <c r="N2975" s="212">
        <f>'02 项目基础信息（输入）'!$C$81</f>
        <v>0</v>
      </c>
      <c r="O2975" s="203">
        <f t="shared" si="343"/>
        <v>0</v>
      </c>
      <c r="P2975" s="203">
        <f t="shared" si="345"/>
        <v>0</v>
      </c>
      <c r="Q2975" s="271">
        <f t="shared" si="344"/>
        <v>0</v>
      </c>
      <c r="R2975" s="188"/>
      <c r="S2975" s="280"/>
      <c r="T2975" s="222"/>
      <c r="U2975" s="299" t="s">
        <v>5133</v>
      </c>
    </row>
    <row r="2976" spans="1:21" s="181" customFormat="1" ht="0" hidden="1" customHeight="1" outlineLevel="4">
      <c r="A2976" s="253" t="s">
        <v>4231</v>
      </c>
      <c r="B2976" s="254"/>
      <c r="C2976" s="250" t="s">
        <v>1609</v>
      </c>
      <c r="D2976" s="203">
        <f>'02 项目基础信息（输入）'!$C$81</f>
        <v>0</v>
      </c>
      <c r="E2976" s="204" t="s">
        <v>93</v>
      </c>
      <c r="F2976" s="202"/>
      <c r="G2976" s="261"/>
      <c r="H2976" s="255"/>
      <c r="I2976" s="264"/>
      <c r="J2976" s="255"/>
      <c r="K2976" s="264"/>
      <c r="L2976" s="205"/>
      <c r="M2976" s="198">
        <f>ROUND(SUM(M2977:M2978),6)</f>
        <v>0</v>
      </c>
      <c r="N2976" s="212">
        <f>'02 项目基础信息（输入）'!$C$81</f>
        <v>0</v>
      </c>
      <c r="O2976" s="203">
        <f t="shared" si="343"/>
        <v>0</v>
      </c>
      <c r="P2976" s="203">
        <f t="shared" si="345"/>
        <v>0</v>
      </c>
      <c r="Q2976" s="271">
        <f t="shared" si="344"/>
        <v>0</v>
      </c>
      <c r="R2976" s="188"/>
      <c r="S2976" s="280"/>
      <c r="T2976" s="222"/>
      <c r="U2976" s="299" t="s">
        <v>5134</v>
      </c>
    </row>
    <row r="2977" spans="1:21" s="181" customFormat="1" ht="0" hidden="1" customHeight="1" outlineLevel="5">
      <c r="A2977" s="253" t="s">
        <v>4233</v>
      </c>
      <c r="B2977" s="254"/>
      <c r="C2977" s="250" t="s">
        <v>1609</v>
      </c>
      <c r="D2977" s="203">
        <f>'02 项目基础信息（输入）'!$C$81</f>
        <v>0</v>
      </c>
      <c r="E2977" s="204" t="s">
        <v>93</v>
      </c>
      <c r="F2977" s="202" t="s">
        <v>1682</v>
      </c>
      <c r="G2977" s="261">
        <f>IFERROR(I2977/D2977,0)</f>
        <v>0</v>
      </c>
      <c r="H2977" s="204" t="s">
        <v>298</v>
      </c>
      <c r="I2977" s="270"/>
      <c r="J2977" s="204" t="s">
        <v>93</v>
      </c>
      <c r="K2977" s="270"/>
      <c r="L2977" s="210" t="s">
        <v>675</v>
      </c>
      <c r="M2977" s="198">
        <f>ROUND(K2977*I2977/10000,6)</f>
        <v>0</v>
      </c>
      <c r="N2977" s="212">
        <f>'02 项目基础信息（输入）'!$C$81</f>
        <v>0</v>
      </c>
      <c r="O2977" s="203">
        <f t="shared" si="343"/>
        <v>0</v>
      </c>
      <c r="P2977" s="203">
        <f t="shared" si="345"/>
        <v>0</v>
      </c>
      <c r="Q2977" s="271">
        <f t="shared" si="344"/>
        <v>0</v>
      </c>
      <c r="R2977" s="188"/>
      <c r="S2977" s="280"/>
      <c r="T2977" s="222"/>
      <c r="U2977" s="299" t="s">
        <v>5135</v>
      </c>
    </row>
    <row r="2978" spans="1:21" s="181" customFormat="1" ht="0" hidden="1" customHeight="1" outlineLevel="5">
      <c r="A2978" s="253" t="s">
        <v>4235</v>
      </c>
      <c r="B2978" s="254"/>
      <c r="C2978" s="250" t="s">
        <v>1609</v>
      </c>
      <c r="D2978" s="203">
        <f>'02 项目基础信息（输入）'!$C$81</f>
        <v>0</v>
      </c>
      <c r="E2978" s="204" t="s">
        <v>93</v>
      </c>
      <c r="F2978" s="202" t="s">
        <v>1682</v>
      </c>
      <c r="G2978" s="261">
        <f>IFERROR(I2978/D2978,0)</f>
        <v>0</v>
      </c>
      <c r="H2978" s="204" t="s">
        <v>298</v>
      </c>
      <c r="I2978" s="268">
        <f>I2977</f>
        <v>0</v>
      </c>
      <c r="J2978" s="204" t="s">
        <v>93</v>
      </c>
      <c r="K2978" s="270"/>
      <c r="L2978" s="210" t="s">
        <v>675</v>
      </c>
      <c r="M2978" s="198">
        <f>ROUND(K2978*I2978/10000,6)</f>
        <v>0</v>
      </c>
      <c r="N2978" s="212">
        <f>'02 项目基础信息（输入）'!$C$81</f>
        <v>0</v>
      </c>
      <c r="O2978" s="203">
        <f t="shared" si="343"/>
        <v>0</v>
      </c>
      <c r="P2978" s="203">
        <f t="shared" si="345"/>
        <v>0</v>
      </c>
      <c r="Q2978" s="271">
        <f t="shared" si="344"/>
        <v>0</v>
      </c>
      <c r="R2978" s="188"/>
      <c r="S2978" s="280"/>
      <c r="T2978" s="222"/>
      <c r="U2978" s="299" t="s">
        <v>5136</v>
      </c>
    </row>
    <row r="2979" spans="1:21" s="181" customFormat="1" ht="0" hidden="1" customHeight="1" outlineLevel="3">
      <c r="A2979" s="253" t="s">
        <v>4237</v>
      </c>
      <c r="B2979" s="254"/>
      <c r="C2979" s="250" t="s">
        <v>1609</v>
      </c>
      <c r="D2979" s="203">
        <f>'02 项目基础信息（输入）'!$C$81</f>
        <v>0</v>
      </c>
      <c r="E2979" s="204" t="s">
        <v>93</v>
      </c>
      <c r="F2979" s="202"/>
      <c r="G2979" s="255"/>
      <c r="H2979" s="204"/>
      <c r="I2979" s="265"/>
      <c r="J2979" s="204"/>
      <c r="K2979" s="203"/>
      <c r="L2979" s="210"/>
      <c r="M2979" s="198">
        <f>ROUND(SUM(M2980:M2982),6)</f>
        <v>0</v>
      </c>
      <c r="N2979" s="212">
        <f>'02 项目基础信息（输入）'!$C$81</f>
        <v>0</v>
      </c>
      <c r="O2979" s="203">
        <f t="shared" si="343"/>
        <v>0</v>
      </c>
      <c r="P2979" s="203">
        <f t="shared" si="345"/>
        <v>0</v>
      </c>
      <c r="Q2979" s="271">
        <f t="shared" si="344"/>
        <v>0</v>
      </c>
      <c r="R2979" s="188"/>
      <c r="S2979" s="280"/>
      <c r="T2979" s="222"/>
      <c r="U2979" s="299" t="s">
        <v>5137</v>
      </c>
    </row>
    <row r="2980" spans="1:21" s="181" customFormat="1" ht="0" hidden="1" customHeight="1" outlineLevel="4">
      <c r="A2980" s="253" t="s">
        <v>4239</v>
      </c>
      <c r="B2980" s="254"/>
      <c r="C2980" s="250" t="s">
        <v>1609</v>
      </c>
      <c r="D2980" s="203">
        <f>'02 项目基础信息（输入）'!$C$81</f>
        <v>0</v>
      </c>
      <c r="E2980" s="204" t="s">
        <v>93</v>
      </c>
      <c r="F2980" s="202" t="s">
        <v>1701</v>
      </c>
      <c r="G2980" s="261">
        <f>IFERROR(I2980/D2980,0)</f>
        <v>0</v>
      </c>
      <c r="H2980" s="204" t="s">
        <v>298</v>
      </c>
      <c r="I2980" s="270"/>
      <c r="J2980" s="204" t="s">
        <v>93</v>
      </c>
      <c r="K2980" s="270"/>
      <c r="L2980" s="210" t="s">
        <v>675</v>
      </c>
      <c r="M2980" s="198">
        <f>ROUND(K2980*I2980/10000,6)</f>
        <v>0</v>
      </c>
      <c r="N2980" s="212">
        <f>'02 项目基础信息（输入）'!$C$81</f>
        <v>0</v>
      </c>
      <c r="O2980" s="203">
        <f t="shared" si="343"/>
        <v>0</v>
      </c>
      <c r="P2980" s="203">
        <f t="shared" si="345"/>
        <v>0</v>
      </c>
      <c r="Q2980" s="271">
        <f t="shared" si="344"/>
        <v>0</v>
      </c>
      <c r="R2980" s="188"/>
      <c r="S2980" s="280"/>
      <c r="T2980" s="222"/>
      <c r="U2980" s="299" t="s">
        <v>5138</v>
      </c>
    </row>
    <row r="2981" spans="1:21" s="181" customFormat="1" ht="0" hidden="1" customHeight="1" outlineLevel="4">
      <c r="A2981" s="253" t="s">
        <v>4241</v>
      </c>
      <c r="B2981" s="254"/>
      <c r="C2981" s="250" t="s">
        <v>1609</v>
      </c>
      <c r="D2981" s="203">
        <f>'02 项目基础信息（输入）'!$C$81</f>
        <v>0</v>
      </c>
      <c r="E2981" s="204" t="s">
        <v>93</v>
      </c>
      <c r="F2981" s="202" t="s">
        <v>1704</v>
      </c>
      <c r="G2981" s="261">
        <f>IFERROR(I2981/D2981,0)</f>
        <v>0</v>
      </c>
      <c r="H2981" s="204" t="s">
        <v>298</v>
      </c>
      <c r="I2981" s="270"/>
      <c r="J2981" s="204" t="s">
        <v>93</v>
      </c>
      <c r="K2981" s="270"/>
      <c r="L2981" s="210" t="s">
        <v>675</v>
      </c>
      <c r="M2981" s="198">
        <f>ROUND(K2981*I2981/10000,6)</f>
        <v>0</v>
      </c>
      <c r="N2981" s="212">
        <f>'02 项目基础信息（输入）'!$C$81</f>
        <v>0</v>
      </c>
      <c r="O2981" s="203">
        <f t="shared" si="343"/>
        <v>0</v>
      </c>
      <c r="P2981" s="203">
        <f t="shared" si="345"/>
        <v>0</v>
      </c>
      <c r="Q2981" s="271">
        <f t="shared" si="344"/>
        <v>0</v>
      </c>
      <c r="R2981" s="188"/>
      <c r="S2981" s="280"/>
      <c r="T2981" s="222"/>
      <c r="U2981" s="299" t="s">
        <v>5139</v>
      </c>
    </row>
    <row r="2982" spans="1:21" s="181" customFormat="1" ht="0" hidden="1" customHeight="1" outlineLevel="4">
      <c r="A2982" s="253" t="s">
        <v>4243</v>
      </c>
      <c r="B2982" s="254"/>
      <c r="C2982" s="250" t="s">
        <v>1609</v>
      </c>
      <c r="D2982" s="203">
        <f>'02 项目基础信息（输入）'!$C$81</f>
        <v>0</v>
      </c>
      <c r="E2982" s="204" t="s">
        <v>93</v>
      </c>
      <c r="F2982" s="202" t="s">
        <v>4244</v>
      </c>
      <c r="G2982" s="261">
        <f>IFERROR(I2982/D2982,0)</f>
        <v>0</v>
      </c>
      <c r="H2982" s="204" t="s">
        <v>1473</v>
      </c>
      <c r="I2982" s="270"/>
      <c r="J2982" s="204" t="s">
        <v>131</v>
      </c>
      <c r="K2982" s="270"/>
      <c r="L2982" s="210" t="s">
        <v>675</v>
      </c>
      <c r="M2982" s="198">
        <f>ROUND(K2982*I2982/10000,6)</f>
        <v>0</v>
      </c>
      <c r="N2982" s="212">
        <f>'02 项目基础信息（输入）'!$C$81</f>
        <v>0</v>
      </c>
      <c r="O2982" s="203">
        <f t="shared" si="343"/>
        <v>0</v>
      </c>
      <c r="P2982" s="203">
        <f t="shared" si="345"/>
        <v>0</v>
      </c>
      <c r="Q2982" s="271">
        <f t="shared" si="344"/>
        <v>0</v>
      </c>
      <c r="R2982" s="188"/>
      <c r="S2982" s="280"/>
      <c r="T2982" s="222"/>
      <c r="U2982" s="299" t="s">
        <v>5140</v>
      </c>
    </row>
    <row r="2983" spans="1:21" ht="0" hidden="1" customHeight="1" outlineLevel="2">
      <c r="A2983" s="201" t="s">
        <v>4252</v>
      </c>
      <c r="B2983" s="249"/>
      <c r="C2983" s="250" t="s">
        <v>1609</v>
      </c>
      <c r="D2983" s="203">
        <f>'02 项目基础信息（输入）'!$C$81</f>
        <v>0</v>
      </c>
      <c r="E2983" s="204" t="s">
        <v>93</v>
      </c>
      <c r="F2983" s="202"/>
      <c r="G2983" s="255"/>
      <c r="H2983" s="204"/>
      <c r="I2983" s="203"/>
      <c r="J2983" s="204"/>
      <c r="K2983" s="264"/>
      <c r="L2983" s="210"/>
      <c r="M2983" s="198">
        <f>ROUND(M2984+M2987+M2988+M2989+M2990+M2991+M2992+M2993+M2994,6)</f>
        <v>0</v>
      </c>
      <c r="N2983" s="212">
        <f>'02 项目基础信息（输入）'!$C$81</f>
        <v>0</v>
      </c>
      <c r="O2983" s="203">
        <f t="shared" si="343"/>
        <v>0</v>
      </c>
      <c r="P2983" s="203">
        <f t="shared" si="345"/>
        <v>0</v>
      </c>
      <c r="Q2983" s="271">
        <f t="shared" si="344"/>
        <v>0</v>
      </c>
      <c r="S2983" s="280" t="s">
        <v>1313</v>
      </c>
      <c r="T2983" s="222"/>
      <c r="U2983" s="298" t="s">
        <v>5141</v>
      </c>
    </row>
    <row r="2984" spans="1:21" s="181" customFormat="1" ht="0" hidden="1" customHeight="1" outlineLevel="4">
      <c r="A2984" s="253" t="s">
        <v>4254</v>
      </c>
      <c r="B2984" s="254"/>
      <c r="C2984" s="250" t="s">
        <v>1609</v>
      </c>
      <c r="D2984" s="203">
        <f>'02 项目基础信息（输入）'!$C$81</f>
        <v>0</v>
      </c>
      <c r="E2984" s="204" t="s">
        <v>93</v>
      </c>
      <c r="F2984" s="256"/>
      <c r="G2984" s="258"/>
      <c r="H2984" s="255"/>
      <c r="I2984" s="268"/>
      <c r="J2984" s="255"/>
      <c r="K2984" s="264"/>
      <c r="L2984" s="205"/>
      <c r="M2984" s="198">
        <f>ROUND(SUM(M2985:M2986),6)</f>
        <v>0</v>
      </c>
      <c r="N2984" s="212">
        <f>'02 项目基础信息（输入）'!$C$81</f>
        <v>0</v>
      </c>
      <c r="O2984" s="203">
        <f t="shared" si="343"/>
        <v>0</v>
      </c>
      <c r="P2984" s="203">
        <f t="shared" si="345"/>
        <v>0</v>
      </c>
      <c r="Q2984" s="271">
        <f t="shared" si="344"/>
        <v>0</v>
      </c>
      <c r="R2984" s="188"/>
      <c r="S2984" s="280"/>
      <c r="T2984" s="222"/>
      <c r="U2984" s="299" t="s">
        <v>5142</v>
      </c>
    </row>
    <row r="2985" spans="1:21" s="181" customFormat="1" ht="0" hidden="1" customHeight="1" outlineLevel="5">
      <c r="A2985" s="253" t="s">
        <v>4850</v>
      </c>
      <c r="B2985" s="254"/>
      <c r="C2985" s="250" t="s">
        <v>1609</v>
      </c>
      <c r="D2985" s="203">
        <f>'02 项目基础信息（输入）'!$C$81</f>
        <v>0</v>
      </c>
      <c r="E2985" s="204" t="s">
        <v>93</v>
      </c>
      <c r="F2985" s="202" t="s">
        <v>984</v>
      </c>
      <c r="G2985" s="300">
        <f>'03 成本测算（输入）'!D301</f>
        <v>0</v>
      </c>
      <c r="H2985" s="204" t="s">
        <v>966</v>
      </c>
      <c r="I2985" s="265">
        <f t="shared" ref="I2985:I2993" si="346">D2985*G2985</f>
        <v>0</v>
      </c>
      <c r="J2985" s="204" t="s">
        <v>1617</v>
      </c>
      <c r="K2985" s="267">
        <f>'03 成本测算（输入）'!D302</f>
        <v>0</v>
      </c>
      <c r="L2985" s="210" t="s">
        <v>664</v>
      </c>
      <c r="M2985" s="198">
        <f t="shared" ref="M2985:M2993" si="347">ROUND(K2985*I2985/10000,6)</f>
        <v>0</v>
      </c>
      <c r="N2985" s="212">
        <f>'02 项目基础信息（输入）'!$C$81</f>
        <v>0</v>
      </c>
      <c r="O2985" s="203">
        <f t="shared" si="343"/>
        <v>0</v>
      </c>
      <c r="P2985" s="203">
        <f t="shared" si="345"/>
        <v>0</v>
      </c>
      <c r="Q2985" s="271">
        <f t="shared" si="344"/>
        <v>0</v>
      </c>
      <c r="R2985" s="188"/>
      <c r="S2985" s="280"/>
      <c r="T2985" s="222"/>
      <c r="U2985" s="299" t="s">
        <v>5143</v>
      </c>
    </row>
    <row r="2986" spans="1:21" s="181" customFormat="1" ht="0" hidden="1" customHeight="1" outlineLevel="5">
      <c r="A2986" s="253" t="s">
        <v>4258</v>
      </c>
      <c r="B2986" s="254"/>
      <c r="C2986" s="250" t="s">
        <v>1609</v>
      </c>
      <c r="D2986" s="203">
        <f>'02 项目基础信息（输入）'!$C$81</f>
        <v>0</v>
      </c>
      <c r="E2986" s="204" t="s">
        <v>93</v>
      </c>
      <c r="F2986" s="202" t="s">
        <v>984</v>
      </c>
      <c r="G2986" s="258">
        <f>G2985</f>
        <v>0</v>
      </c>
      <c r="H2986" s="204" t="s">
        <v>966</v>
      </c>
      <c r="I2986" s="265">
        <f t="shared" si="346"/>
        <v>0</v>
      </c>
      <c r="J2986" s="204" t="s">
        <v>1617</v>
      </c>
      <c r="K2986" s="267">
        <f>'03 成本测算（输入）'!D303</f>
        <v>0</v>
      </c>
      <c r="L2986" s="210" t="s">
        <v>664</v>
      </c>
      <c r="M2986" s="198">
        <f t="shared" si="347"/>
        <v>0</v>
      </c>
      <c r="N2986" s="212">
        <f>'02 项目基础信息（输入）'!$C$81</f>
        <v>0</v>
      </c>
      <c r="O2986" s="203">
        <f t="shared" si="343"/>
        <v>0</v>
      </c>
      <c r="P2986" s="203">
        <f t="shared" si="345"/>
        <v>0</v>
      </c>
      <c r="Q2986" s="271">
        <f t="shared" si="344"/>
        <v>0</v>
      </c>
      <c r="R2986" s="188"/>
      <c r="S2986" s="280"/>
      <c r="T2986" s="222"/>
      <c r="U2986" s="299" t="s">
        <v>5144</v>
      </c>
    </row>
    <row r="2987" spans="1:21" s="181" customFormat="1" ht="0" hidden="1" customHeight="1" outlineLevel="4">
      <c r="A2987" s="253" t="s">
        <v>4260</v>
      </c>
      <c r="B2987" s="254"/>
      <c r="C2987" s="250" t="s">
        <v>1609</v>
      </c>
      <c r="D2987" s="203">
        <f>'02 项目基础信息（输入）'!$C$81</f>
        <v>0</v>
      </c>
      <c r="E2987" s="204" t="s">
        <v>93</v>
      </c>
      <c r="F2987" s="202" t="s">
        <v>984</v>
      </c>
      <c r="G2987" s="258">
        <f>G2986</f>
        <v>0</v>
      </c>
      <c r="H2987" s="204" t="s">
        <v>966</v>
      </c>
      <c r="I2987" s="265">
        <f t="shared" si="346"/>
        <v>0</v>
      </c>
      <c r="J2987" s="204" t="s">
        <v>1617</v>
      </c>
      <c r="K2987" s="270"/>
      <c r="L2987" s="210" t="s">
        <v>664</v>
      </c>
      <c r="M2987" s="198">
        <f t="shared" si="347"/>
        <v>0</v>
      </c>
      <c r="N2987" s="212">
        <f>'02 项目基础信息（输入）'!$C$81</f>
        <v>0</v>
      </c>
      <c r="O2987" s="203">
        <f t="shared" si="343"/>
        <v>0</v>
      </c>
      <c r="P2987" s="203">
        <f t="shared" si="345"/>
        <v>0</v>
      </c>
      <c r="Q2987" s="271">
        <f t="shared" si="344"/>
        <v>0</v>
      </c>
      <c r="R2987" s="188"/>
      <c r="S2987" s="280"/>
      <c r="T2987" s="222"/>
      <c r="U2987" s="299" t="s">
        <v>5145</v>
      </c>
    </row>
    <row r="2988" spans="1:21" s="181" customFormat="1" ht="0" hidden="1" customHeight="1" outlineLevel="3">
      <c r="A2988" s="253" t="s">
        <v>4854</v>
      </c>
      <c r="B2988" s="254"/>
      <c r="C2988" s="250" t="s">
        <v>1609</v>
      </c>
      <c r="D2988" s="203">
        <f>'02 项目基础信息（输入）'!$C$81</f>
        <v>0</v>
      </c>
      <c r="E2988" s="204" t="s">
        <v>93</v>
      </c>
      <c r="F2988" s="202" t="s">
        <v>4478</v>
      </c>
      <c r="G2988" s="286"/>
      <c r="H2988" s="204" t="s">
        <v>298</v>
      </c>
      <c r="I2988" s="265">
        <f t="shared" si="346"/>
        <v>0</v>
      </c>
      <c r="J2988" s="204" t="s">
        <v>93</v>
      </c>
      <c r="K2988" s="270"/>
      <c r="L2988" s="210" t="s">
        <v>675</v>
      </c>
      <c r="M2988" s="198">
        <f t="shared" si="347"/>
        <v>0</v>
      </c>
      <c r="N2988" s="212">
        <f>'02 项目基础信息（输入）'!$C$81</f>
        <v>0</v>
      </c>
      <c r="O2988" s="203">
        <f t="shared" si="343"/>
        <v>0</v>
      </c>
      <c r="P2988" s="203">
        <f t="shared" si="345"/>
        <v>0</v>
      </c>
      <c r="Q2988" s="271">
        <f t="shared" si="344"/>
        <v>0</v>
      </c>
      <c r="R2988" s="188"/>
      <c r="S2988" s="280"/>
      <c r="T2988" s="222"/>
      <c r="U2988" s="299" t="s">
        <v>5146</v>
      </c>
    </row>
    <row r="2989" spans="1:21" s="181" customFormat="1" ht="0" hidden="1" customHeight="1" outlineLevel="3">
      <c r="A2989" s="253" t="s">
        <v>4856</v>
      </c>
      <c r="B2989" s="254"/>
      <c r="C2989" s="250" t="s">
        <v>1609</v>
      </c>
      <c r="D2989" s="203">
        <f>'02 项目基础信息（输入）'!$C$81</f>
        <v>0</v>
      </c>
      <c r="E2989" s="204" t="s">
        <v>93</v>
      </c>
      <c r="F2989" s="202" t="s">
        <v>984</v>
      </c>
      <c r="G2989" s="286"/>
      <c r="H2989" s="204" t="s">
        <v>966</v>
      </c>
      <c r="I2989" s="265">
        <f t="shared" si="346"/>
        <v>0</v>
      </c>
      <c r="J2989" s="204" t="s">
        <v>1617</v>
      </c>
      <c r="K2989" s="270"/>
      <c r="L2989" s="210" t="s">
        <v>664</v>
      </c>
      <c r="M2989" s="198">
        <f t="shared" si="347"/>
        <v>0</v>
      </c>
      <c r="N2989" s="212">
        <f>'02 项目基础信息（输入）'!$C$81</f>
        <v>0</v>
      </c>
      <c r="O2989" s="203">
        <f t="shared" si="343"/>
        <v>0</v>
      </c>
      <c r="P2989" s="203">
        <f t="shared" si="345"/>
        <v>0</v>
      </c>
      <c r="Q2989" s="271">
        <f t="shared" si="344"/>
        <v>0</v>
      </c>
      <c r="R2989" s="188"/>
      <c r="S2989" s="280"/>
      <c r="T2989" s="222"/>
      <c r="U2989" s="299" t="s">
        <v>5147</v>
      </c>
    </row>
    <row r="2990" spans="1:21" s="181" customFormat="1" ht="0" hidden="1" customHeight="1" outlineLevel="3">
      <c r="A2990" s="253" t="s">
        <v>4858</v>
      </c>
      <c r="B2990" s="254"/>
      <c r="C2990" s="250" t="s">
        <v>1609</v>
      </c>
      <c r="D2990" s="203">
        <f>'02 项目基础信息（输入）'!$C$81</f>
        <v>0</v>
      </c>
      <c r="E2990" s="204" t="s">
        <v>93</v>
      </c>
      <c r="F2990" s="202" t="s">
        <v>984</v>
      </c>
      <c r="G2990" s="286"/>
      <c r="H2990" s="204" t="s">
        <v>966</v>
      </c>
      <c r="I2990" s="265">
        <f t="shared" si="346"/>
        <v>0</v>
      </c>
      <c r="J2990" s="204" t="s">
        <v>1617</v>
      </c>
      <c r="K2990" s="270"/>
      <c r="L2990" s="210" t="s">
        <v>664</v>
      </c>
      <c r="M2990" s="198">
        <f t="shared" si="347"/>
        <v>0</v>
      </c>
      <c r="N2990" s="212">
        <f>'02 项目基础信息（输入）'!$C$81</f>
        <v>0</v>
      </c>
      <c r="O2990" s="203">
        <f t="shared" si="343"/>
        <v>0</v>
      </c>
      <c r="P2990" s="203">
        <f t="shared" si="345"/>
        <v>0</v>
      </c>
      <c r="Q2990" s="271">
        <f t="shared" si="344"/>
        <v>0</v>
      </c>
      <c r="R2990" s="188"/>
      <c r="S2990" s="280"/>
      <c r="T2990" s="222"/>
      <c r="U2990" s="299" t="s">
        <v>5148</v>
      </c>
    </row>
    <row r="2991" spans="1:21" s="181" customFormat="1" ht="0" hidden="1" customHeight="1" outlineLevel="3">
      <c r="A2991" s="253" t="s">
        <v>4860</v>
      </c>
      <c r="B2991" s="254"/>
      <c r="C2991" s="250" t="s">
        <v>1609</v>
      </c>
      <c r="D2991" s="203">
        <f>'02 项目基础信息（输入）'!$C$81</f>
        <v>0</v>
      </c>
      <c r="E2991" s="204" t="s">
        <v>93</v>
      </c>
      <c r="F2991" s="282" t="s">
        <v>1609</v>
      </c>
      <c r="G2991" s="283">
        <v>1</v>
      </c>
      <c r="H2991" s="204" t="s">
        <v>298</v>
      </c>
      <c r="I2991" s="265">
        <f t="shared" si="346"/>
        <v>0</v>
      </c>
      <c r="J2991" s="204" t="s">
        <v>93</v>
      </c>
      <c r="K2991" s="270"/>
      <c r="L2991" s="210" t="s">
        <v>675</v>
      </c>
      <c r="M2991" s="198">
        <f t="shared" si="347"/>
        <v>0</v>
      </c>
      <c r="N2991" s="212">
        <f>'02 项目基础信息（输入）'!$C$81</f>
        <v>0</v>
      </c>
      <c r="O2991" s="203">
        <f t="shared" si="343"/>
        <v>0</v>
      </c>
      <c r="P2991" s="203">
        <f t="shared" si="345"/>
        <v>0</v>
      </c>
      <c r="Q2991" s="271">
        <f t="shared" si="344"/>
        <v>0</v>
      </c>
      <c r="R2991" s="188"/>
      <c r="S2991" s="280"/>
      <c r="T2991" s="222"/>
      <c r="U2991" s="299" t="s">
        <v>5149</v>
      </c>
    </row>
    <row r="2992" spans="1:21" s="181" customFormat="1" ht="0" hidden="1" customHeight="1" outlineLevel="3">
      <c r="A2992" s="253" t="s">
        <v>4262</v>
      </c>
      <c r="B2992" s="254"/>
      <c r="C2992" s="250" t="s">
        <v>1609</v>
      </c>
      <c r="D2992" s="203">
        <f>'02 项目基础信息（输入）'!$C$81</f>
        <v>0</v>
      </c>
      <c r="E2992" s="204" t="s">
        <v>93</v>
      </c>
      <c r="F2992" s="202" t="s">
        <v>984</v>
      </c>
      <c r="G2992" s="286"/>
      <c r="H2992" s="204" t="s">
        <v>966</v>
      </c>
      <c r="I2992" s="265">
        <f t="shared" si="346"/>
        <v>0</v>
      </c>
      <c r="J2992" s="204" t="s">
        <v>1617</v>
      </c>
      <c r="K2992" s="270"/>
      <c r="L2992" s="210" t="s">
        <v>664</v>
      </c>
      <c r="M2992" s="198">
        <f t="shared" si="347"/>
        <v>0</v>
      </c>
      <c r="N2992" s="212">
        <f>'02 项目基础信息（输入）'!$C$81</f>
        <v>0</v>
      </c>
      <c r="O2992" s="203">
        <f t="shared" si="343"/>
        <v>0</v>
      </c>
      <c r="P2992" s="203">
        <f t="shared" si="345"/>
        <v>0</v>
      </c>
      <c r="Q2992" s="271">
        <f t="shared" si="344"/>
        <v>0</v>
      </c>
      <c r="R2992" s="188"/>
      <c r="S2992" s="280"/>
      <c r="T2992" s="222"/>
      <c r="U2992" s="299" t="s">
        <v>5150</v>
      </c>
    </row>
    <row r="2993" spans="1:21" s="181" customFormat="1" ht="0" hidden="1" customHeight="1" outlineLevel="3">
      <c r="A2993" s="253" t="s">
        <v>4264</v>
      </c>
      <c r="B2993" s="254"/>
      <c r="C2993" s="250" t="s">
        <v>1609</v>
      </c>
      <c r="D2993" s="203">
        <f>'02 项目基础信息（输入）'!$C$81</f>
        <v>0</v>
      </c>
      <c r="E2993" s="204" t="s">
        <v>93</v>
      </c>
      <c r="F2993" s="202" t="s">
        <v>984</v>
      </c>
      <c r="G2993" s="258">
        <f>G2985+G2988+G2989+G2990+G2992</f>
        <v>0</v>
      </c>
      <c r="H2993" s="204" t="s">
        <v>966</v>
      </c>
      <c r="I2993" s="265">
        <f t="shared" si="346"/>
        <v>0</v>
      </c>
      <c r="J2993" s="204" t="s">
        <v>1617</v>
      </c>
      <c r="K2993" s="270"/>
      <c r="L2993" s="210" t="s">
        <v>664</v>
      </c>
      <c r="M2993" s="198">
        <f t="shared" si="347"/>
        <v>0</v>
      </c>
      <c r="N2993" s="212">
        <f>'02 项目基础信息（输入）'!$C$81</f>
        <v>0</v>
      </c>
      <c r="O2993" s="203">
        <f t="shared" si="343"/>
        <v>0</v>
      </c>
      <c r="P2993" s="203">
        <f t="shared" si="345"/>
        <v>0</v>
      </c>
      <c r="Q2993" s="271">
        <f t="shared" si="344"/>
        <v>0</v>
      </c>
      <c r="R2993" s="188"/>
      <c r="S2993" s="280"/>
      <c r="T2993" s="222"/>
      <c r="U2993" s="299" t="s">
        <v>5151</v>
      </c>
    </row>
    <row r="2994" spans="1:21" s="181" customFormat="1" ht="0" hidden="1" customHeight="1" outlineLevel="3">
      <c r="A2994" s="253" t="s">
        <v>4266</v>
      </c>
      <c r="B2994" s="254"/>
      <c r="C2994" s="250" t="s">
        <v>1665</v>
      </c>
      <c r="D2994" s="203">
        <f>ROUND(M2984+M2987+M2988+M2989+M2990+M2991+M2992,6)*10000</f>
        <v>0</v>
      </c>
      <c r="E2994" s="204" t="s">
        <v>1666</v>
      </c>
      <c r="F2994" s="202" t="s">
        <v>1667</v>
      </c>
      <c r="G2994" s="258">
        <f>IFERROR(I2994*100/D2994,0)</f>
        <v>0</v>
      </c>
      <c r="H2994" s="204" t="s">
        <v>123</v>
      </c>
      <c r="I2994" s="265">
        <f>N2994*K2994</f>
        <v>0</v>
      </c>
      <c r="J2994" s="204" t="s">
        <v>1666</v>
      </c>
      <c r="K2994" s="269"/>
      <c r="L2994" s="210" t="s">
        <v>675</v>
      </c>
      <c r="M2994" s="231">
        <f>ROUND(I2994/10000,6)</f>
        <v>0</v>
      </c>
      <c r="N2994" s="212">
        <f>'02 项目基础信息（输入）'!$C$81</f>
        <v>0</v>
      </c>
      <c r="O2994" s="203">
        <f t="shared" si="343"/>
        <v>0</v>
      </c>
      <c r="P2994" s="203">
        <f t="shared" si="345"/>
        <v>0</v>
      </c>
      <c r="Q2994" s="271">
        <f t="shared" si="344"/>
        <v>0</v>
      </c>
      <c r="R2994" s="188"/>
      <c r="S2994" s="280"/>
      <c r="T2994" s="222"/>
      <c r="U2994" s="299" t="s">
        <v>5152</v>
      </c>
    </row>
    <row r="2995" spans="1:21" ht="0" hidden="1" customHeight="1" outlineLevel="2">
      <c r="A2995" s="201" t="s">
        <v>4489</v>
      </c>
      <c r="B2995" s="201"/>
      <c r="C2995" s="202" t="s">
        <v>1609</v>
      </c>
      <c r="D2995" s="203">
        <f>'02 项目基础信息（输入）'!$C$81</f>
        <v>0</v>
      </c>
      <c r="E2995" s="204" t="s">
        <v>93</v>
      </c>
      <c r="F2995" s="202"/>
      <c r="G2995" s="255"/>
      <c r="H2995" s="204"/>
      <c r="I2995" s="203"/>
      <c r="J2995" s="204"/>
      <c r="K2995" s="264"/>
      <c r="L2995" s="210"/>
      <c r="M2995" s="198">
        <f>ROUND(M2996+M3010+M3013,6)</f>
        <v>0</v>
      </c>
      <c r="N2995" s="212">
        <f>'02 项目基础信息（输入）'!$C$81</f>
        <v>0</v>
      </c>
      <c r="O2995" s="203">
        <f t="shared" si="343"/>
        <v>0</v>
      </c>
      <c r="P2995" s="203">
        <f t="shared" si="345"/>
        <v>0</v>
      </c>
      <c r="Q2995" s="271">
        <f t="shared" si="344"/>
        <v>0</v>
      </c>
      <c r="S2995" s="280" t="s">
        <v>1314</v>
      </c>
      <c r="T2995" s="222"/>
      <c r="U2995" s="298" t="s">
        <v>5153</v>
      </c>
    </row>
    <row r="2996" spans="1:21" s="181" customFormat="1" ht="0" hidden="1" customHeight="1" outlineLevel="3">
      <c r="A2996" s="253" t="s">
        <v>4491</v>
      </c>
      <c r="B2996" s="254"/>
      <c r="C2996" s="250" t="s">
        <v>1609</v>
      </c>
      <c r="D2996" s="203">
        <f>'02 项目基础信息（输入）'!$C$81</f>
        <v>0</v>
      </c>
      <c r="E2996" s="204" t="s">
        <v>93</v>
      </c>
      <c r="F2996" s="202"/>
      <c r="G2996" s="204"/>
      <c r="H2996" s="204"/>
      <c r="I2996" s="265"/>
      <c r="J2996" s="204"/>
      <c r="K2996" s="203"/>
      <c r="L2996" s="210"/>
      <c r="M2996" s="198">
        <f>ROUND(M2997+M3000+M3001+M3002+M3003+M3006+M3007+M3008+M3009,6)</f>
        <v>0</v>
      </c>
      <c r="N2996" s="212">
        <f>'02 项目基础信息（输入）'!$C$81</f>
        <v>0</v>
      </c>
      <c r="O2996" s="203">
        <f t="shared" si="343"/>
        <v>0</v>
      </c>
      <c r="P2996" s="203">
        <f t="shared" si="345"/>
        <v>0</v>
      </c>
      <c r="Q2996" s="271">
        <f t="shared" si="344"/>
        <v>0</v>
      </c>
      <c r="R2996" s="188"/>
      <c r="S2996" s="280"/>
      <c r="T2996" s="222"/>
      <c r="U2996" s="299" t="s">
        <v>5154</v>
      </c>
    </row>
    <row r="2997" spans="1:21" s="181" customFormat="1" ht="0" hidden="1" customHeight="1" outlineLevel="4">
      <c r="A2997" s="253" t="s">
        <v>4493</v>
      </c>
      <c r="B2997" s="254"/>
      <c r="C2997" s="250" t="s">
        <v>1609</v>
      </c>
      <c r="D2997" s="203">
        <f>'02 项目基础信息（输入）'!$C$81</f>
        <v>0</v>
      </c>
      <c r="E2997" s="204" t="s">
        <v>93</v>
      </c>
      <c r="F2997" s="202"/>
      <c r="G2997" s="221"/>
      <c r="H2997" s="204"/>
      <c r="I2997" s="265"/>
      <c r="J2997" s="204"/>
      <c r="K2997" s="266"/>
      <c r="L2997" s="210"/>
      <c r="M2997" s="198">
        <f>ROUND(SUM(M2998:M2999),6)</f>
        <v>0</v>
      </c>
      <c r="N2997" s="212">
        <f>'02 项目基础信息（输入）'!$C$81</f>
        <v>0</v>
      </c>
      <c r="O2997" s="203">
        <f t="shared" si="343"/>
        <v>0</v>
      </c>
      <c r="P2997" s="203">
        <f t="shared" si="345"/>
        <v>0</v>
      </c>
      <c r="Q2997" s="271">
        <f t="shared" si="344"/>
        <v>0</v>
      </c>
      <c r="R2997" s="188"/>
      <c r="S2997" s="280"/>
      <c r="T2997" s="222"/>
      <c r="U2997" s="299" t="s">
        <v>5155</v>
      </c>
    </row>
    <row r="2998" spans="1:21" s="181" customFormat="1" ht="0" hidden="1" customHeight="1" outlineLevel="5">
      <c r="A2998" s="253" t="s">
        <v>4868</v>
      </c>
      <c r="B2998" s="254"/>
      <c r="C2998" s="250" t="s">
        <v>1609</v>
      </c>
      <c r="D2998" s="203">
        <f>'02 项目基础信息（输入）'!$C$81</f>
        <v>0</v>
      </c>
      <c r="E2998" s="204" t="s">
        <v>93</v>
      </c>
      <c r="F2998" s="202" t="s">
        <v>4496</v>
      </c>
      <c r="G2998" s="281">
        <f>'03 成本测算（输入）'!D308</f>
        <v>0</v>
      </c>
      <c r="H2998" s="204" t="s">
        <v>298</v>
      </c>
      <c r="I2998" s="265">
        <f>D2998*G2998</f>
        <v>0</v>
      </c>
      <c r="J2998" s="204" t="s">
        <v>93</v>
      </c>
      <c r="K2998" s="267">
        <f>'03 成本测算（输入）'!D309</f>
        <v>0</v>
      </c>
      <c r="L2998" s="210" t="s">
        <v>675</v>
      </c>
      <c r="M2998" s="198">
        <f>ROUND(K2998*I2998/10000,6)</f>
        <v>0</v>
      </c>
      <c r="N2998" s="212">
        <f>'02 项目基础信息（输入）'!$C$81</f>
        <v>0</v>
      </c>
      <c r="O2998" s="203">
        <f t="shared" si="343"/>
        <v>0</v>
      </c>
      <c r="P2998" s="203">
        <f t="shared" si="345"/>
        <v>0</v>
      </c>
      <c r="Q2998" s="271">
        <f t="shared" si="344"/>
        <v>0</v>
      </c>
      <c r="R2998" s="188"/>
      <c r="S2998" s="280"/>
      <c r="T2998" s="222"/>
      <c r="U2998" s="299" t="s">
        <v>5156</v>
      </c>
    </row>
    <row r="2999" spans="1:21" s="181" customFormat="1" ht="0" hidden="1" customHeight="1" outlineLevel="5">
      <c r="A2999" s="253" t="s">
        <v>4870</v>
      </c>
      <c r="B2999" s="254"/>
      <c r="C2999" s="250" t="s">
        <v>1609</v>
      </c>
      <c r="D2999" s="203">
        <f>'02 项目基础信息（输入）'!$C$81</f>
        <v>0</v>
      </c>
      <c r="E2999" s="204" t="s">
        <v>93</v>
      </c>
      <c r="F2999" s="202" t="s">
        <v>4496</v>
      </c>
      <c r="G2999" s="221">
        <f>G2998</f>
        <v>0</v>
      </c>
      <c r="H2999" s="204" t="s">
        <v>298</v>
      </c>
      <c r="I2999" s="265">
        <f>D2999*G2999</f>
        <v>0</v>
      </c>
      <c r="J2999" s="204" t="s">
        <v>93</v>
      </c>
      <c r="K2999" s="267">
        <f>'03 成本测算（输入）'!D310</f>
        <v>0</v>
      </c>
      <c r="L2999" s="210" t="s">
        <v>675</v>
      </c>
      <c r="M2999" s="198">
        <f>ROUND(K2999*I2999/10000,6)</f>
        <v>0</v>
      </c>
      <c r="N2999" s="212">
        <f>'02 项目基础信息（输入）'!$C$81</f>
        <v>0</v>
      </c>
      <c r="O2999" s="203">
        <f t="shared" si="343"/>
        <v>0</v>
      </c>
      <c r="P2999" s="203">
        <f t="shared" si="345"/>
        <v>0</v>
      </c>
      <c r="Q2999" s="271">
        <f t="shared" si="344"/>
        <v>0</v>
      </c>
      <c r="R2999" s="188"/>
      <c r="S2999" s="280"/>
      <c r="T2999" s="222"/>
      <c r="U2999" s="299" t="s">
        <v>5157</v>
      </c>
    </row>
    <row r="3000" spans="1:21" s="181" customFormat="1" ht="0" hidden="1" customHeight="1" outlineLevel="4">
      <c r="A3000" s="253" t="s">
        <v>4872</v>
      </c>
      <c r="B3000" s="254"/>
      <c r="C3000" s="250" t="s">
        <v>1609</v>
      </c>
      <c r="D3000" s="203">
        <f>'02 项目基础信息（输入）'!$C$81</f>
        <v>0</v>
      </c>
      <c r="E3000" s="204" t="s">
        <v>93</v>
      </c>
      <c r="F3000" s="202" t="s">
        <v>4501</v>
      </c>
      <c r="G3000" s="281">
        <f>'03 成本测算（输入）'!D306</f>
        <v>0</v>
      </c>
      <c r="H3000" s="204" t="s">
        <v>298</v>
      </c>
      <c r="I3000" s="265">
        <f>D3000*G3000</f>
        <v>0</v>
      </c>
      <c r="J3000" s="204" t="s">
        <v>93</v>
      </c>
      <c r="K3000" s="267">
        <f>'03 成本测算（输入）'!D307</f>
        <v>0</v>
      </c>
      <c r="L3000" s="210" t="s">
        <v>675</v>
      </c>
      <c r="M3000" s="198">
        <f>ROUND(K3000*I3000/10000,6)</f>
        <v>0</v>
      </c>
      <c r="N3000" s="212">
        <f>'02 项目基础信息（输入）'!$C$81</f>
        <v>0</v>
      </c>
      <c r="O3000" s="203">
        <f t="shared" si="343"/>
        <v>0</v>
      </c>
      <c r="P3000" s="203">
        <f t="shared" si="345"/>
        <v>0</v>
      </c>
      <c r="Q3000" s="271">
        <f t="shared" si="344"/>
        <v>0</v>
      </c>
      <c r="R3000" s="188"/>
      <c r="S3000" s="280"/>
      <c r="T3000" s="222"/>
      <c r="U3000" s="299" t="s">
        <v>5158</v>
      </c>
    </row>
    <row r="3001" spans="1:21" s="181" customFormat="1" ht="0" hidden="1" customHeight="1" outlineLevel="4">
      <c r="A3001" s="253" t="s">
        <v>4874</v>
      </c>
      <c r="B3001" s="254"/>
      <c r="C3001" s="250" t="s">
        <v>1609</v>
      </c>
      <c r="D3001" s="203">
        <f>'02 项目基础信息（输入）'!$C$81</f>
        <v>0</v>
      </c>
      <c r="E3001" s="204" t="s">
        <v>93</v>
      </c>
      <c r="F3001" s="202" t="s">
        <v>4504</v>
      </c>
      <c r="G3001" s="281">
        <f>'03 成本测算（输入）'!D311</f>
        <v>0</v>
      </c>
      <c r="H3001" s="204" t="s">
        <v>298</v>
      </c>
      <c r="I3001" s="265">
        <f>D3001*G3001</f>
        <v>0</v>
      </c>
      <c r="J3001" s="204" t="s">
        <v>93</v>
      </c>
      <c r="K3001" s="267">
        <f>'03 成本测算（输入）'!D312</f>
        <v>0</v>
      </c>
      <c r="L3001" s="210" t="s">
        <v>675</v>
      </c>
      <c r="M3001" s="198">
        <f>ROUND(K3001*I3001/10000,6)</f>
        <v>0</v>
      </c>
      <c r="N3001" s="212">
        <f>'02 项目基础信息（输入）'!$C$81</f>
        <v>0</v>
      </c>
      <c r="O3001" s="203">
        <f t="shared" si="343"/>
        <v>0</v>
      </c>
      <c r="P3001" s="203">
        <f t="shared" si="345"/>
        <v>0</v>
      </c>
      <c r="Q3001" s="271">
        <f t="shared" si="344"/>
        <v>0</v>
      </c>
      <c r="R3001" s="188"/>
      <c r="S3001" s="280"/>
      <c r="T3001" s="222"/>
      <c r="U3001" s="299" t="s">
        <v>5159</v>
      </c>
    </row>
    <row r="3002" spans="1:21" s="181" customFormat="1" ht="0" hidden="1" customHeight="1" outlineLevel="4">
      <c r="A3002" s="253" t="s">
        <v>4876</v>
      </c>
      <c r="B3002" s="254"/>
      <c r="C3002" s="250" t="s">
        <v>1609</v>
      </c>
      <c r="D3002" s="203">
        <f>'02 项目基础信息（输入）'!$C$81</f>
        <v>0</v>
      </c>
      <c r="E3002" s="204" t="s">
        <v>93</v>
      </c>
      <c r="F3002" s="202" t="s">
        <v>475</v>
      </c>
      <c r="G3002" s="281">
        <f>IFERROR('02 项目基础信息（输入）'!BZ81/'02 项目基础信息（输入）'!C81,0)</f>
        <v>0</v>
      </c>
      <c r="H3002" s="204" t="s">
        <v>298</v>
      </c>
      <c r="I3002" s="265">
        <f>D3002*G3002</f>
        <v>0</v>
      </c>
      <c r="J3002" s="204" t="s">
        <v>93</v>
      </c>
      <c r="K3002" s="270"/>
      <c r="L3002" s="210" t="s">
        <v>675</v>
      </c>
      <c r="M3002" s="198">
        <f>ROUND(K3002*I3002/10000,6)</f>
        <v>0</v>
      </c>
      <c r="N3002" s="212">
        <f>'02 项目基础信息（输入）'!$C$81</f>
        <v>0</v>
      </c>
      <c r="O3002" s="203">
        <f t="shared" si="343"/>
        <v>0</v>
      </c>
      <c r="P3002" s="203">
        <f t="shared" si="345"/>
        <v>0</v>
      </c>
      <c r="Q3002" s="271">
        <f t="shared" si="344"/>
        <v>0</v>
      </c>
      <c r="R3002" s="188"/>
      <c r="S3002" s="280"/>
      <c r="T3002" s="222"/>
      <c r="U3002" s="299" t="s">
        <v>5160</v>
      </c>
    </row>
    <row r="3003" spans="1:21" s="181" customFormat="1" ht="0" hidden="1" customHeight="1" outlineLevel="4">
      <c r="A3003" s="253" t="s">
        <v>4508</v>
      </c>
      <c r="B3003" s="254"/>
      <c r="C3003" s="250" t="s">
        <v>1609</v>
      </c>
      <c r="D3003" s="203">
        <f>'02 项目基础信息（输入）'!$C$81</f>
        <v>0</v>
      </c>
      <c r="E3003" s="204" t="s">
        <v>93</v>
      </c>
      <c r="F3003" s="202"/>
      <c r="G3003" s="210"/>
      <c r="H3003" s="204"/>
      <c r="I3003" s="265"/>
      <c r="J3003" s="204"/>
      <c r="K3003" s="266"/>
      <c r="L3003" s="210"/>
      <c r="M3003" s="198">
        <f>ROUND(SUM(M3004:M3005),6)</f>
        <v>0</v>
      </c>
      <c r="N3003" s="212">
        <f>'02 项目基础信息（输入）'!$C$81</f>
        <v>0</v>
      </c>
      <c r="O3003" s="203">
        <f t="shared" si="343"/>
        <v>0</v>
      </c>
      <c r="P3003" s="203">
        <f t="shared" si="345"/>
        <v>0</v>
      </c>
      <c r="Q3003" s="271">
        <f t="shared" si="344"/>
        <v>0</v>
      </c>
      <c r="R3003" s="188"/>
      <c r="S3003" s="280"/>
      <c r="T3003" s="222"/>
      <c r="U3003" s="299" t="s">
        <v>5161</v>
      </c>
    </row>
    <row r="3004" spans="1:21" s="181" customFormat="1" ht="0" hidden="1" customHeight="1" outlineLevel="5">
      <c r="A3004" s="253" t="s">
        <v>4879</v>
      </c>
      <c r="B3004" s="254"/>
      <c r="C3004" s="250" t="s">
        <v>1609</v>
      </c>
      <c r="D3004" s="203">
        <f>'02 项目基础信息（输入）'!$C$81</f>
        <v>0</v>
      </c>
      <c r="E3004" s="204" t="s">
        <v>93</v>
      </c>
      <c r="F3004" s="202" t="s">
        <v>4511</v>
      </c>
      <c r="G3004" s="309"/>
      <c r="H3004" s="204" t="s">
        <v>298</v>
      </c>
      <c r="I3004" s="265">
        <f>D3004*G3004</f>
        <v>0</v>
      </c>
      <c r="J3004" s="204" t="s">
        <v>93</v>
      </c>
      <c r="K3004" s="270"/>
      <c r="L3004" s="210" t="s">
        <v>675</v>
      </c>
      <c r="M3004" s="198">
        <f>ROUND(K3004*I3004/10000,6)</f>
        <v>0</v>
      </c>
      <c r="N3004" s="212">
        <f>'02 项目基础信息（输入）'!$C$81</f>
        <v>0</v>
      </c>
      <c r="O3004" s="203">
        <f t="shared" si="343"/>
        <v>0</v>
      </c>
      <c r="P3004" s="203">
        <f t="shared" si="345"/>
        <v>0</v>
      </c>
      <c r="Q3004" s="271">
        <f t="shared" si="344"/>
        <v>0</v>
      </c>
      <c r="R3004" s="188"/>
      <c r="S3004" s="280"/>
      <c r="T3004" s="222"/>
      <c r="U3004" s="299" t="s">
        <v>5162</v>
      </c>
    </row>
    <row r="3005" spans="1:21" s="181" customFormat="1" ht="0" hidden="1" customHeight="1" outlineLevel="5">
      <c r="A3005" s="253" t="s">
        <v>4881</v>
      </c>
      <c r="B3005" s="254"/>
      <c r="C3005" s="250" t="s">
        <v>1609</v>
      </c>
      <c r="D3005" s="203">
        <f>'02 项目基础信息（输入）'!$C$81</f>
        <v>0</v>
      </c>
      <c r="E3005" s="204" t="s">
        <v>93</v>
      </c>
      <c r="F3005" s="202" t="s">
        <v>4511</v>
      </c>
      <c r="G3005" s="221">
        <f>G3004</f>
        <v>0</v>
      </c>
      <c r="H3005" s="204" t="s">
        <v>298</v>
      </c>
      <c r="I3005" s="265">
        <f>D3005*G3005</f>
        <v>0</v>
      </c>
      <c r="J3005" s="204" t="s">
        <v>93</v>
      </c>
      <c r="K3005" s="270"/>
      <c r="L3005" s="210" t="s">
        <v>675</v>
      </c>
      <c r="M3005" s="198">
        <f>ROUND(K3005*I3005/10000,6)</f>
        <v>0</v>
      </c>
      <c r="N3005" s="212">
        <f>'02 项目基础信息（输入）'!$C$81</f>
        <v>0</v>
      </c>
      <c r="O3005" s="203">
        <f t="shared" si="343"/>
        <v>0</v>
      </c>
      <c r="P3005" s="203">
        <f t="shared" si="345"/>
        <v>0</v>
      </c>
      <c r="Q3005" s="271">
        <f t="shared" si="344"/>
        <v>0</v>
      </c>
      <c r="R3005" s="188"/>
      <c r="S3005" s="280"/>
      <c r="T3005" s="222"/>
      <c r="U3005" s="299" t="s">
        <v>5163</v>
      </c>
    </row>
    <row r="3006" spans="1:21" s="181" customFormat="1" ht="0" hidden="1" customHeight="1" outlineLevel="4">
      <c r="A3006" s="253" t="s">
        <v>4883</v>
      </c>
      <c r="B3006" s="254"/>
      <c r="C3006" s="250" t="s">
        <v>1609</v>
      </c>
      <c r="D3006" s="203">
        <f>'02 项目基础信息（输入）'!$C$81</f>
        <v>0</v>
      </c>
      <c r="E3006" s="204" t="s">
        <v>93</v>
      </c>
      <c r="F3006" s="202" t="s">
        <v>4884</v>
      </c>
      <c r="G3006" s="261">
        <f>IFERROR(I3006/D3006,0)</f>
        <v>0</v>
      </c>
      <c r="H3006" s="204" t="s">
        <v>298</v>
      </c>
      <c r="I3006" s="270"/>
      <c r="J3006" s="204" t="s">
        <v>93</v>
      </c>
      <c r="K3006" s="270"/>
      <c r="L3006" s="210" t="s">
        <v>675</v>
      </c>
      <c r="M3006" s="198">
        <f>ROUND(K3006*I3006/10000,6)</f>
        <v>0</v>
      </c>
      <c r="N3006" s="212">
        <f>'02 项目基础信息（输入）'!$C$81</f>
        <v>0</v>
      </c>
      <c r="O3006" s="203">
        <f t="shared" si="343"/>
        <v>0</v>
      </c>
      <c r="P3006" s="203">
        <f t="shared" si="345"/>
        <v>0</v>
      </c>
      <c r="Q3006" s="271">
        <f t="shared" si="344"/>
        <v>0</v>
      </c>
      <c r="R3006" s="188"/>
      <c r="S3006" s="280"/>
      <c r="T3006" s="222"/>
      <c r="U3006" s="299" t="s">
        <v>5164</v>
      </c>
    </row>
    <row r="3007" spans="1:21" s="181" customFormat="1" ht="0" hidden="1" customHeight="1" outlineLevel="4">
      <c r="A3007" s="253" t="s">
        <v>4886</v>
      </c>
      <c r="B3007" s="254"/>
      <c r="C3007" s="250" t="s">
        <v>1609</v>
      </c>
      <c r="D3007" s="203">
        <f>'02 项目基础信息（输入）'!$C$81</f>
        <v>0</v>
      </c>
      <c r="E3007" s="204" t="s">
        <v>93</v>
      </c>
      <c r="F3007" s="202" t="s">
        <v>4884</v>
      </c>
      <c r="G3007" s="261">
        <f>IFERROR(I3007/D3007,0)</f>
        <v>0</v>
      </c>
      <c r="H3007" s="204" t="s">
        <v>298</v>
      </c>
      <c r="I3007" s="270"/>
      <c r="J3007" s="204" t="s">
        <v>93</v>
      </c>
      <c r="K3007" s="270"/>
      <c r="L3007" s="210" t="s">
        <v>675</v>
      </c>
      <c r="M3007" s="198">
        <f>ROUND(K3007*I3007/10000,6)</f>
        <v>0</v>
      </c>
      <c r="N3007" s="212">
        <f>'02 项目基础信息（输入）'!$C$81</f>
        <v>0</v>
      </c>
      <c r="O3007" s="203">
        <f t="shared" si="343"/>
        <v>0</v>
      </c>
      <c r="P3007" s="203">
        <f t="shared" si="345"/>
        <v>0</v>
      </c>
      <c r="Q3007" s="271">
        <f t="shared" si="344"/>
        <v>0</v>
      </c>
      <c r="R3007" s="188"/>
      <c r="S3007" s="280"/>
      <c r="T3007" s="222"/>
      <c r="U3007" s="299" t="s">
        <v>5165</v>
      </c>
    </row>
    <row r="3008" spans="1:21" s="181" customFormat="1" ht="0" hidden="1" customHeight="1" outlineLevel="4">
      <c r="A3008" s="253" t="s">
        <v>4888</v>
      </c>
      <c r="B3008" s="254"/>
      <c r="C3008" s="250" t="s">
        <v>1609</v>
      </c>
      <c r="D3008" s="203">
        <f>'02 项目基础信息（输入）'!$C$81</f>
        <v>0</v>
      </c>
      <c r="E3008" s="204" t="s">
        <v>93</v>
      </c>
      <c r="F3008" s="202" t="s">
        <v>4525</v>
      </c>
      <c r="G3008" s="286"/>
      <c r="H3008" s="204" t="s">
        <v>298</v>
      </c>
      <c r="I3008" s="265">
        <f>D3008*G3008</f>
        <v>0</v>
      </c>
      <c r="J3008" s="204" t="s">
        <v>93</v>
      </c>
      <c r="K3008" s="270"/>
      <c r="L3008" s="210" t="s">
        <v>675</v>
      </c>
      <c r="M3008" s="198">
        <f>ROUND(K3008*I3008/10000,6)</f>
        <v>0</v>
      </c>
      <c r="N3008" s="212">
        <f>'02 项目基础信息（输入）'!$C$81</f>
        <v>0</v>
      </c>
      <c r="O3008" s="203">
        <f t="shared" si="343"/>
        <v>0</v>
      </c>
      <c r="P3008" s="203">
        <f t="shared" si="345"/>
        <v>0</v>
      </c>
      <c r="Q3008" s="271">
        <f t="shared" si="344"/>
        <v>0</v>
      </c>
      <c r="R3008" s="188"/>
      <c r="S3008" s="280"/>
      <c r="T3008" s="222"/>
      <c r="U3008" s="299" t="s">
        <v>5166</v>
      </c>
    </row>
    <row r="3009" spans="1:21" s="181" customFormat="1" ht="0" hidden="1" customHeight="1" outlineLevel="4">
      <c r="A3009" s="253" t="s">
        <v>4527</v>
      </c>
      <c r="B3009" s="254"/>
      <c r="C3009" s="250" t="s">
        <v>1665</v>
      </c>
      <c r="D3009" s="203">
        <f>ROUND(M2997+M3000+M3001+M3002+M3003+M3006+M3007+M3008,6)*10000</f>
        <v>0</v>
      </c>
      <c r="E3009" s="204" t="s">
        <v>1666</v>
      </c>
      <c r="F3009" s="202" t="s">
        <v>1667</v>
      </c>
      <c r="G3009" s="258">
        <f>IFERROR(I3009*100/D3009,0)</f>
        <v>0</v>
      </c>
      <c r="H3009" s="204" t="s">
        <v>123</v>
      </c>
      <c r="I3009" s="265">
        <f>N3009*K3009</f>
        <v>0</v>
      </c>
      <c r="J3009" s="204" t="s">
        <v>1666</v>
      </c>
      <c r="K3009" s="269"/>
      <c r="L3009" s="210" t="s">
        <v>675</v>
      </c>
      <c r="M3009" s="231">
        <f>ROUND(I3009/10000,6)</f>
        <v>0</v>
      </c>
      <c r="N3009" s="212">
        <f>'02 项目基础信息（输入）'!$C$81</f>
        <v>0</v>
      </c>
      <c r="O3009" s="203">
        <f t="shared" si="343"/>
        <v>0</v>
      </c>
      <c r="P3009" s="203">
        <f t="shared" si="345"/>
        <v>0</v>
      </c>
      <c r="Q3009" s="271">
        <f t="shared" si="344"/>
        <v>0</v>
      </c>
      <c r="R3009" s="188"/>
      <c r="S3009" s="280"/>
      <c r="T3009" s="222"/>
      <c r="U3009" s="299" t="s">
        <v>5167</v>
      </c>
    </row>
    <row r="3010" spans="1:21" s="181" customFormat="1" ht="0" hidden="1" customHeight="1" outlineLevel="3">
      <c r="A3010" s="253" t="s">
        <v>4529</v>
      </c>
      <c r="B3010" s="254"/>
      <c r="C3010" s="250" t="s">
        <v>1609</v>
      </c>
      <c r="D3010" s="203">
        <f>'02 项目基础信息（输入）'!$C$81</f>
        <v>0</v>
      </c>
      <c r="E3010" s="204" t="s">
        <v>93</v>
      </c>
      <c r="F3010" s="202"/>
      <c r="G3010" s="204"/>
      <c r="H3010" s="204"/>
      <c r="I3010" s="265"/>
      <c r="J3010" s="204"/>
      <c r="K3010" s="203"/>
      <c r="L3010" s="210"/>
      <c r="M3010" s="198">
        <f>ROUND(SUM(M3011:M3012),6)</f>
        <v>0</v>
      </c>
      <c r="N3010" s="212">
        <f>'02 项目基础信息（输入）'!$C$81</f>
        <v>0</v>
      </c>
      <c r="O3010" s="203">
        <f t="shared" si="343"/>
        <v>0</v>
      </c>
      <c r="P3010" s="203">
        <f t="shared" si="345"/>
        <v>0</v>
      </c>
      <c r="Q3010" s="271">
        <f t="shared" si="344"/>
        <v>0</v>
      </c>
      <c r="R3010" s="188"/>
      <c r="S3010" s="280"/>
      <c r="T3010" s="222"/>
      <c r="U3010" s="299" t="s">
        <v>5168</v>
      </c>
    </row>
    <row r="3011" spans="1:21" s="181" customFormat="1" ht="0" hidden="1" customHeight="1" outlineLevel="4">
      <c r="A3011" s="253" t="s">
        <v>4892</v>
      </c>
      <c r="B3011" s="254"/>
      <c r="C3011" s="250" t="s">
        <v>1609</v>
      </c>
      <c r="D3011" s="203">
        <f>'02 项目基础信息（输入）'!$C$81</f>
        <v>0</v>
      </c>
      <c r="E3011" s="204" t="s">
        <v>93</v>
      </c>
      <c r="F3011" s="202" t="s">
        <v>4532</v>
      </c>
      <c r="G3011" s="286"/>
      <c r="H3011" s="204" t="s">
        <v>298</v>
      </c>
      <c r="I3011" s="265">
        <f>D3011*G3011</f>
        <v>0</v>
      </c>
      <c r="J3011" s="204" t="s">
        <v>93</v>
      </c>
      <c r="K3011" s="270"/>
      <c r="L3011" s="210" t="s">
        <v>675</v>
      </c>
      <c r="M3011" s="198">
        <f>ROUND(K3011*I3011/10000,6)</f>
        <v>0</v>
      </c>
      <c r="N3011" s="212">
        <f>'02 项目基础信息（输入）'!$C$81</f>
        <v>0</v>
      </c>
      <c r="O3011" s="203">
        <f t="shared" ref="O3011:O3074" si="348">ROUND(IFERROR(M3011*10000/N3011,0),2)</f>
        <v>0</v>
      </c>
      <c r="P3011" s="203">
        <f t="shared" si="345"/>
        <v>0</v>
      </c>
      <c r="Q3011" s="271">
        <f t="shared" ref="Q3011:Q3074" si="349">ROUND(IFERROR(M3011*10000/P3011,0),2)</f>
        <v>0</v>
      </c>
      <c r="R3011" s="188"/>
      <c r="S3011" s="280"/>
      <c r="T3011" s="222"/>
      <c r="U3011" s="299" t="s">
        <v>5169</v>
      </c>
    </row>
    <row r="3012" spans="1:21" s="181" customFormat="1" ht="0" hidden="1" customHeight="1" outlineLevel="4">
      <c r="A3012" s="253" t="s">
        <v>4894</v>
      </c>
      <c r="B3012" s="254"/>
      <c r="C3012" s="250" t="s">
        <v>1609</v>
      </c>
      <c r="D3012" s="203">
        <f>'02 项目基础信息（输入）'!$C$81</f>
        <v>0</v>
      </c>
      <c r="E3012" s="204" t="s">
        <v>93</v>
      </c>
      <c r="F3012" s="250" t="s">
        <v>4535</v>
      </c>
      <c r="G3012" s="204">
        <v>1</v>
      </c>
      <c r="H3012" s="204" t="s">
        <v>298</v>
      </c>
      <c r="I3012" s="265">
        <f>D3012*G3012</f>
        <v>0</v>
      </c>
      <c r="J3012" s="204" t="s">
        <v>93</v>
      </c>
      <c r="K3012" s="270"/>
      <c r="L3012" s="210" t="s">
        <v>675</v>
      </c>
      <c r="M3012" s="198">
        <f>ROUND(K3012*I3012/10000,6)</f>
        <v>0</v>
      </c>
      <c r="N3012" s="212">
        <f>'02 项目基础信息（输入）'!$C$81</f>
        <v>0</v>
      </c>
      <c r="O3012" s="203">
        <f t="shared" si="348"/>
        <v>0</v>
      </c>
      <c r="P3012" s="203">
        <f t="shared" si="345"/>
        <v>0</v>
      </c>
      <c r="Q3012" s="271">
        <f t="shared" si="349"/>
        <v>0</v>
      </c>
      <c r="R3012" s="188"/>
      <c r="S3012" s="280"/>
      <c r="T3012" s="222"/>
      <c r="U3012" s="299" t="s">
        <v>5170</v>
      </c>
    </row>
    <row r="3013" spans="1:21" s="181" customFormat="1" ht="0" hidden="1" customHeight="1" outlineLevel="3">
      <c r="A3013" s="253" t="s">
        <v>4537</v>
      </c>
      <c r="B3013" s="254"/>
      <c r="C3013" s="250" t="s">
        <v>1609</v>
      </c>
      <c r="D3013" s="203">
        <f>'02 项目基础信息（输入）'!$C$81</f>
        <v>0</v>
      </c>
      <c r="E3013" s="204" t="s">
        <v>93</v>
      </c>
      <c r="F3013" s="202"/>
      <c r="G3013" s="204"/>
      <c r="H3013" s="204"/>
      <c r="I3013" s="265"/>
      <c r="J3013" s="204"/>
      <c r="K3013" s="203"/>
      <c r="L3013" s="210"/>
      <c r="M3013" s="198">
        <f>ROUND(SUM(M3014),6)</f>
        <v>0</v>
      </c>
      <c r="N3013" s="212">
        <f>'02 项目基础信息（输入）'!$C$81</f>
        <v>0</v>
      </c>
      <c r="O3013" s="203">
        <f t="shared" si="348"/>
        <v>0</v>
      </c>
      <c r="P3013" s="203">
        <f t="shared" si="345"/>
        <v>0</v>
      </c>
      <c r="Q3013" s="271">
        <f t="shared" si="349"/>
        <v>0</v>
      </c>
      <c r="R3013" s="188"/>
      <c r="S3013" s="280"/>
      <c r="T3013" s="222"/>
      <c r="U3013" s="299" t="s">
        <v>5171</v>
      </c>
    </row>
    <row r="3014" spans="1:21" s="181" customFormat="1" ht="0" hidden="1" customHeight="1" outlineLevel="4">
      <c r="A3014" s="253" t="s">
        <v>4897</v>
      </c>
      <c r="B3014" s="254"/>
      <c r="C3014" s="250" t="s">
        <v>1609</v>
      </c>
      <c r="D3014" s="203">
        <f>'02 项目基础信息（输入）'!$C$81</f>
        <v>0</v>
      </c>
      <c r="E3014" s="204" t="s">
        <v>93</v>
      </c>
      <c r="F3014" s="202" t="s">
        <v>4540</v>
      </c>
      <c r="G3014" s="286"/>
      <c r="H3014" s="204" t="s">
        <v>298</v>
      </c>
      <c r="I3014" s="265">
        <f>D3014*G3014</f>
        <v>0</v>
      </c>
      <c r="J3014" s="204" t="s">
        <v>93</v>
      </c>
      <c r="K3014" s="270"/>
      <c r="L3014" s="210" t="s">
        <v>675</v>
      </c>
      <c r="M3014" s="198">
        <f>ROUND(K3014*I3014/10000,6)</f>
        <v>0</v>
      </c>
      <c r="N3014" s="212">
        <f>'02 项目基础信息（输入）'!$C$81</f>
        <v>0</v>
      </c>
      <c r="O3014" s="203">
        <f t="shared" si="348"/>
        <v>0</v>
      </c>
      <c r="P3014" s="203">
        <f t="shared" si="345"/>
        <v>0</v>
      </c>
      <c r="Q3014" s="271">
        <f t="shared" si="349"/>
        <v>0</v>
      </c>
      <c r="R3014" s="188"/>
      <c r="S3014" s="280"/>
      <c r="T3014" s="222"/>
      <c r="U3014" s="299" t="s">
        <v>5172</v>
      </c>
    </row>
    <row r="3015" spans="1:21" ht="0" hidden="1" customHeight="1" outlineLevel="2">
      <c r="A3015" s="201" t="s">
        <v>4542</v>
      </c>
      <c r="B3015" s="201"/>
      <c r="C3015" s="202" t="s">
        <v>1609</v>
      </c>
      <c r="D3015" s="203">
        <f>'02 项目基础信息（输入）'!$C$81</f>
        <v>0</v>
      </c>
      <c r="E3015" s="204" t="s">
        <v>93</v>
      </c>
      <c r="F3015" s="202"/>
      <c r="G3015" s="204"/>
      <c r="H3015" s="204"/>
      <c r="I3015" s="203"/>
      <c r="J3015" s="255"/>
      <c r="K3015" s="264"/>
      <c r="L3015" s="205"/>
      <c r="M3015" s="198">
        <f>ROUND(M3016+M3020+M3024+M3028+M3032+M3036+M3040+M3044+M3048+M3052+M3056+M3060+M3064+M3068+M3072+M3076+M3079+M3080+M3081+M3082,6)</f>
        <v>0</v>
      </c>
      <c r="N3015" s="212">
        <f>'02 项目基础信息（输入）'!$C$81</f>
        <v>0</v>
      </c>
      <c r="O3015" s="203">
        <f t="shared" si="348"/>
        <v>0</v>
      </c>
      <c r="P3015" s="203">
        <f t="shared" si="345"/>
        <v>0</v>
      </c>
      <c r="Q3015" s="271">
        <f t="shared" si="349"/>
        <v>0</v>
      </c>
      <c r="S3015" s="280" t="s">
        <v>1314</v>
      </c>
      <c r="T3015" s="222"/>
      <c r="U3015" s="298" t="s">
        <v>5173</v>
      </c>
    </row>
    <row r="3016" spans="1:21" s="181" customFormat="1" ht="0" hidden="1" customHeight="1" outlineLevel="3">
      <c r="A3016" s="253" t="s">
        <v>4900</v>
      </c>
      <c r="B3016" s="254"/>
      <c r="C3016" s="250" t="s">
        <v>1609</v>
      </c>
      <c r="D3016" s="203">
        <f>'02 项目基础信息（输入）'!$C$81</f>
        <v>0</v>
      </c>
      <c r="E3016" s="204" t="s">
        <v>93</v>
      </c>
      <c r="F3016" s="288"/>
      <c r="G3016" s="277"/>
      <c r="H3016" s="255"/>
      <c r="I3016" s="268"/>
      <c r="J3016" s="255"/>
      <c r="K3016" s="264"/>
      <c r="L3016" s="205"/>
      <c r="M3016" s="198">
        <f>ROUND(SUM(M3017:M3019),6)</f>
        <v>0</v>
      </c>
      <c r="N3016" s="212">
        <f>'02 项目基础信息（输入）'!$C$81</f>
        <v>0</v>
      </c>
      <c r="O3016" s="203">
        <f t="shared" si="348"/>
        <v>0</v>
      </c>
      <c r="P3016" s="203">
        <f t="shared" si="345"/>
        <v>0</v>
      </c>
      <c r="Q3016" s="271">
        <f t="shared" si="349"/>
        <v>0</v>
      </c>
      <c r="R3016" s="188"/>
      <c r="S3016" s="280"/>
      <c r="T3016" s="222"/>
      <c r="U3016" s="299" t="s">
        <v>5174</v>
      </c>
    </row>
    <row r="3017" spans="1:21" s="181" customFormat="1" ht="0" hidden="1" customHeight="1" outlineLevel="4">
      <c r="A3017" s="253" t="s">
        <v>4902</v>
      </c>
      <c r="B3017" s="253"/>
      <c r="C3017" s="202" t="s">
        <v>4903</v>
      </c>
      <c r="D3017" s="301">
        <f>'02 项目基础信息（输入）'!AB81</f>
        <v>0</v>
      </c>
      <c r="E3017" s="204" t="s">
        <v>400</v>
      </c>
      <c r="F3017" s="250" t="s">
        <v>4904</v>
      </c>
      <c r="G3017" s="310">
        <f>N3017*'03 成本测算（输入）'!D319</f>
        <v>0</v>
      </c>
      <c r="H3017" s="204" t="s">
        <v>411</v>
      </c>
      <c r="I3017" s="265">
        <f>D3017*G3017</f>
        <v>0</v>
      </c>
      <c r="J3017" s="204" t="s">
        <v>93</v>
      </c>
      <c r="K3017" s="267">
        <f>'03 成本测算（输入）'!D320</f>
        <v>0</v>
      </c>
      <c r="L3017" s="210" t="s">
        <v>675</v>
      </c>
      <c r="M3017" s="198">
        <f>ROUND(K3017*I3017/10000,6)</f>
        <v>0</v>
      </c>
      <c r="N3017" s="212">
        <f>'02 项目基础信息（输入）'!$C$81</f>
        <v>0</v>
      </c>
      <c r="O3017" s="203">
        <f t="shared" si="348"/>
        <v>0</v>
      </c>
      <c r="P3017" s="203">
        <f t="shared" si="345"/>
        <v>0</v>
      </c>
      <c r="Q3017" s="271">
        <f t="shared" si="349"/>
        <v>0</v>
      </c>
      <c r="R3017" s="188"/>
      <c r="S3017" s="280"/>
      <c r="T3017" s="222"/>
      <c r="U3017" s="299" t="s">
        <v>5175</v>
      </c>
    </row>
    <row r="3018" spans="1:21" s="181" customFormat="1" ht="0" hidden="1" customHeight="1" outlineLevel="4">
      <c r="A3018" s="253" t="s">
        <v>4906</v>
      </c>
      <c r="B3018" s="253"/>
      <c r="C3018" s="202" t="s">
        <v>4903</v>
      </c>
      <c r="D3018" s="288">
        <f>D3017</f>
        <v>0</v>
      </c>
      <c r="E3018" s="204" t="s">
        <v>400</v>
      </c>
      <c r="F3018" s="250" t="s">
        <v>4904</v>
      </c>
      <c r="G3018" s="258">
        <f>G3017</f>
        <v>0</v>
      </c>
      <c r="H3018" s="204" t="s">
        <v>411</v>
      </c>
      <c r="I3018" s="265">
        <f>D3018*G3018</f>
        <v>0</v>
      </c>
      <c r="J3018" s="204" t="s">
        <v>93</v>
      </c>
      <c r="K3018" s="270"/>
      <c r="L3018" s="210" t="s">
        <v>675</v>
      </c>
      <c r="M3018" s="198">
        <f>ROUND(K3018*I3018/10000,6)</f>
        <v>0</v>
      </c>
      <c r="N3018" s="212">
        <f>'02 项目基础信息（输入）'!$C$81</f>
        <v>0</v>
      </c>
      <c r="O3018" s="203">
        <f t="shared" si="348"/>
        <v>0</v>
      </c>
      <c r="P3018" s="203">
        <f t="shared" ref="P3018:P3081" si="350">N3018</f>
        <v>0</v>
      </c>
      <c r="Q3018" s="271">
        <f t="shared" si="349"/>
        <v>0</v>
      </c>
      <c r="R3018" s="188"/>
      <c r="S3018" s="280"/>
      <c r="T3018" s="222"/>
      <c r="U3018" s="299" t="s">
        <v>5176</v>
      </c>
    </row>
    <row r="3019" spans="1:21" s="181" customFormat="1" ht="0" hidden="1" customHeight="1" outlineLevel="4">
      <c r="A3019" s="253" t="s">
        <v>4908</v>
      </c>
      <c r="B3019" s="253"/>
      <c r="C3019" s="202" t="s">
        <v>4903</v>
      </c>
      <c r="D3019" s="288">
        <f>D3018</f>
        <v>0</v>
      </c>
      <c r="E3019" s="204" t="s">
        <v>400</v>
      </c>
      <c r="F3019" s="250" t="s">
        <v>4904</v>
      </c>
      <c r="G3019" s="258">
        <f>G3018</f>
        <v>0</v>
      </c>
      <c r="H3019" s="204" t="s">
        <v>411</v>
      </c>
      <c r="I3019" s="265">
        <f>D3019*G3019</f>
        <v>0</v>
      </c>
      <c r="J3019" s="204" t="s">
        <v>93</v>
      </c>
      <c r="K3019" s="270"/>
      <c r="L3019" s="210" t="s">
        <v>675</v>
      </c>
      <c r="M3019" s="198">
        <f>ROUND(K3019*I3019/10000,6)</f>
        <v>0</v>
      </c>
      <c r="N3019" s="212">
        <f>'02 项目基础信息（输入）'!$C$81</f>
        <v>0</v>
      </c>
      <c r="O3019" s="203">
        <f t="shared" si="348"/>
        <v>0</v>
      </c>
      <c r="P3019" s="203">
        <f t="shared" si="350"/>
        <v>0</v>
      </c>
      <c r="Q3019" s="271">
        <f t="shared" si="349"/>
        <v>0</v>
      </c>
      <c r="R3019" s="188"/>
      <c r="S3019" s="280"/>
      <c r="T3019" s="222"/>
      <c r="U3019" s="299" t="s">
        <v>5177</v>
      </c>
    </row>
    <row r="3020" spans="1:21" s="181" customFormat="1" ht="0" hidden="1" customHeight="1" outlineLevel="3">
      <c r="A3020" s="253" t="s">
        <v>4910</v>
      </c>
      <c r="B3020" s="254"/>
      <c r="C3020" s="250" t="s">
        <v>1609</v>
      </c>
      <c r="D3020" s="203">
        <f>'02 项目基础信息（输入）'!$C$81</f>
        <v>0</v>
      </c>
      <c r="E3020" s="204" t="s">
        <v>93</v>
      </c>
      <c r="F3020" s="288"/>
      <c r="G3020" s="277"/>
      <c r="H3020" s="255"/>
      <c r="I3020" s="268"/>
      <c r="J3020" s="255"/>
      <c r="K3020" s="264"/>
      <c r="L3020" s="205"/>
      <c r="M3020" s="198">
        <f>ROUND(SUM(M3021:M3023),6)</f>
        <v>0</v>
      </c>
      <c r="N3020" s="212">
        <f>'02 项目基础信息（输入）'!$C$81</f>
        <v>0</v>
      </c>
      <c r="O3020" s="203">
        <f t="shared" si="348"/>
        <v>0</v>
      </c>
      <c r="P3020" s="203">
        <f t="shared" si="350"/>
        <v>0</v>
      </c>
      <c r="Q3020" s="271">
        <f t="shared" si="349"/>
        <v>0</v>
      </c>
      <c r="R3020" s="188"/>
      <c r="S3020" s="280"/>
      <c r="T3020" s="222"/>
      <c r="U3020" s="299" t="s">
        <v>5178</v>
      </c>
    </row>
    <row r="3021" spans="1:21" s="181" customFormat="1" ht="0" hidden="1" customHeight="1" outlineLevel="4">
      <c r="A3021" s="253" t="s">
        <v>4912</v>
      </c>
      <c r="B3021" s="253"/>
      <c r="C3021" s="202" t="s">
        <v>4913</v>
      </c>
      <c r="D3021" s="304">
        <f>'02 项目基础信息（输入）'!T81</f>
        <v>0</v>
      </c>
      <c r="E3021" s="204" t="s">
        <v>1838</v>
      </c>
      <c r="F3021" s="250" t="s">
        <v>4914</v>
      </c>
      <c r="G3021" s="310">
        <f>IFERROR(N3021*'03 成本测算（输入）'!D321/D3021,0)</f>
        <v>0</v>
      </c>
      <c r="H3021" s="204" t="s">
        <v>4915</v>
      </c>
      <c r="I3021" s="265">
        <f>D3021*G3021</f>
        <v>0</v>
      </c>
      <c r="J3021" s="204" t="s">
        <v>93</v>
      </c>
      <c r="K3021" s="267">
        <f>'03 成本测算（输入）'!D322</f>
        <v>0</v>
      </c>
      <c r="L3021" s="210" t="s">
        <v>675</v>
      </c>
      <c r="M3021" s="198">
        <f>ROUND(K3021*I3021/10000,6)</f>
        <v>0</v>
      </c>
      <c r="N3021" s="212">
        <f>'02 项目基础信息（输入）'!$C$81</f>
        <v>0</v>
      </c>
      <c r="O3021" s="203">
        <f t="shared" si="348"/>
        <v>0</v>
      </c>
      <c r="P3021" s="203">
        <f t="shared" si="350"/>
        <v>0</v>
      </c>
      <c r="Q3021" s="271">
        <f t="shared" si="349"/>
        <v>0</v>
      </c>
      <c r="R3021" s="188"/>
      <c r="S3021" s="280"/>
      <c r="T3021" s="222"/>
      <c r="U3021" s="299" t="s">
        <v>5179</v>
      </c>
    </row>
    <row r="3022" spans="1:21" s="181" customFormat="1" ht="0" hidden="1" customHeight="1" outlineLevel="4">
      <c r="A3022" s="253" t="s">
        <v>4917</v>
      </c>
      <c r="B3022" s="253"/>
      <c r="C3022" s="202" t="s">
        <v>4913</v>
      </c>
      <c r="D3022" s="311">
        <f>D3021</f>
        <v>0</v>
      </c>
      <c r="E3022" s="204" t="s">
        <v>1838</v>
      </c>
      <c r="F3022" s="250" t="s">
        <v>4914</v>
      </c>
      <c r="G3022" s="258">
        <f>G3021</f>
        <v>0</v>
      </c>
      <c r="H3022" s="204" t="s">
        <v>4915</v>
      </c>
      <c r="I3022" s="265">
        <f>D3022*G3022</f>
        <v>0</v>
      </c>
      <c r="J3022" s="204" t="s">
        <v>93</v>
      </c>
      <c r="K3022" s="270"/>
      <c r="L3022" s="210" t="s">
        <v>675</v>
      </c>
      <c r="M3022" s="198">
        <f>ROUND(K3022*I3022/10000,6)</f>
        <v>0</v>
      </c>
      <c r="N3022" s="212">
        <f>'02 项目基础信息（输入）'!$C$81</f>
        <v>0</v>
      </c>
      <c r="O3022" s="203">
        <f t="shared" si="348"/>
        <v>0</v>
      </c>
      <c r="P3022" s="203">
        <f t="shared" si="350"/>
        <v>0</v>
      </c>
      <c r="Q3022" s="271">
        <f t="shared" si="349"/>
        <v>0</v>
      </c>
      <c r="R3022" s="188"/>
      <c r="S3022" s="280"/>
      <c r="T3022" s="222"/>
      <c r="U3022" s="299" t="s">
        <v>5180</v>
      </c>
    </row>
    <row r="3023" spans="1:21" s="181" customFormat="1" ht="0" hidden="1" customHeight="1" outlineLevel="4">
      <c r="A3023" s="253" t="s">
        <v>4919</v>
      </c>
      <c r="B3023" s="253"/>
      <c r="C3023" s="202" t="s">
        <v>4913</v>
      </c>
      <c r="D3023" s="311">
        <f>D3022</f>
        <v>0</v>
      </c>
      <c r="E3023" s="204" t="s">
        <v>1838</v>
      </c>
      <c r="F3023" s="250" t="s">
        <v>4914</v>
      </c>
      <c r="G3023" s="258">
        <f>G3022</f>
        <v>0</v>
      </c>
      <c r="H3023" s="204" t="s">
        <v>4915</v>
      </c>
      <c r="I3023" s="265">
        <f>D3023*G3023</f>
        <v>0</v>
      </c>
      <c r="J3023" s="204" t="s">
        <v>93</v>
      </c>
      <c r="K3023" s="270"/>
      <c r="L3023" s="210" t="s">
        <v>675</v>
      </c>
      <c r="M3023" s="198">
        <f>ROUND(K3023*I3023/10000,6)</f>
        <v>0</v>
      </c>
      <c r="N3023" s="212">
        <f>'02 项目基础信息（输入）'!$C$81</f>
        <v>0</v>
      </c>
      <c r="O3023" s="203">
        <f t="shared" si="348"/>
        <v>0</v>
      </c>
      <c r="P3023" s="203">
        <f t="shared" si="350"/>
        <v>0</v>
      </c>
      <c r="Q3023" s="271">
        <f t="shared" si="349"/>
        <v>0</v>
      </c>
      <c r="R3023" s="188"/>
      <c r="S3023" s="280"/>
      <c r="T3023" s="222"/>
      <c r="U3023" s="299" t="s">
        <v>5181</v>
      </c>
    </row>
    <row r="3024" spans="1:21" s="181" customFormat="1" ht="0" hidden="1" customHeight="1" outlineLevel="3">
      <c r="A3024" s="253" t="s">
        <v>4921</v>
      </c>
      <c r="B3024" s="254"/>
      <c r="C3024" s="250" t="s">
        <v>1609</v>
      </c>
      <c r="D3024" s="203">
        <f>'02 项目基础信息（输入）'!$C$81</f>
        <v>0</v>
      </c>
      <c r="E3024" s="204" t="s">
        <v>93</v>
      </c>
      <c r="F3024" s="288"/>
      <c r="G3024" s="277"/>
      <c r="H3024" s="255"/>
      <c r="I3024" s="268"/>
      <c r="J3024" s="255"/>
      <c r="K3024" s="264"/>
      <c r="L3024" s="205"/>
      <c r="M3024" s="198">
        <f>ROUND(SUM(M3025:M3027),6)</f>
        <v>0</v>
      </c>
      <c r="N3024" s="212">
        <f>'02 项目基础信息（输入）'!$C$81</f>
        <v>0</v>
      </c>
      <c r="O3024" s="203">
        <f t="shared" si="348"/>
        <v>0</v>
      </c>
      <c r="P3024" s="203">
        <f t="shared" si="350"/>
        <v>0</v>
      </c>
      <c r="Q3024" s="271">
        <f t="shared" si="349"/>
        <v>0</v>
      </c>
      <c r="R3024" s="188"/>
      <c r="S3024" s="280"/>
      <c r="T3024" s="222"/>
      <c r="U3024" s="299" t="s">
        <v>5182</v>
      </c>
    </row>
    <row r="3025" spans="1:21" s="181" customFormat="1" ht="0" hidden="1" customHeight="1" outlineLevel="4">
      <c r="A3025" s="253" t="s">
        <v>4923</v>
      </c>
      <c r="B3025" s="253"/>
      <c r="C3025" s="202" t="s">
        <v>4913</v>
      </c>
      <c r="D3025" s="311">
        <f>D3021</f>
        <v>0</v>
      </c>
      <c r="E3025" s="204" t="s">
        <v>1838</v>
      </c>
      <c r="F3025" s="250" t="s">
        <v>4924</v>
      </c>
      <c r="G3025" s="310">
        <f>IFERROR(N3025*'03 成本测算（输入）'!D323/D3025,0)</f>
        <v>0</v>
      </c>
      <c r="H3025" s="204" t="s">
        <v>4915</v>
      </c>
      <c r="I3025" s="265">
        <f>D3025*G3025</f>
        <v>0</v>
      </c>
      <c r="J3025" s="204" t="s">
        <v>93</v>
      </c>
      <c r="K3025" s="267">
        <f>'03 成本测算（输入）'!D324</f>
        <v>0</v>
      </c>
      <c r="L3025" s="210" t="s">
        <v>675</v>
      </c>
      <c r="M3025" s="198">
        <f>ROUND(K3025*I3025/10000,6)</f>
        <v>0</v>
      </c>
      <c r="N3025" s="212">
        <f>'02 项目基础信息（输入）'!$C$81</f>
        <v>0</v>
      </c>
      <c r="O3025" s="203">
        <f t="shared" si="348"/>
        <v>0</v>
      </c>
      <c r="P3025" s="203">
        <f t="shared" si="350"/>
        <v>0</v>
      </c>
      <c r="Q3025" s="271">
        <f t="shared" si="349"/>
        <v>0</v>
      </c>
      <c r="R3025" s="188"/>
      <c r="S3025" s="280"/>
      <c r="T3025" s="222"/>
      <c r="U3025" s="299" t="s">
        <v>5183</v>
      </c>
    </row>
    <row r="3026" spans="1:21" s="181" customFormat="1" ht="0" hidden="1" customHeight="1" outlineLevel="4">
      <c r="A3026" s="253" t="s">
        <v>4926</v>
      </c>
      <c r="B3026" s="253"/>
      <c r="C3026" s="202" t="s">
        <v>4913</v>
      </c>
      <c r="D3026" s="311">
        <f>D3025</f>
        <v>0</v>
      </c>
      <c r="E3026" s="204" t="s">
        <v>1838</v>
      </c>
      <c r="F3026" s="250" t="s">
        <v>4924</v>
      </c>
      <c r="G3026" s="258">
        <f>G3025</f>
        <v>0</v>
      </c>
      <c r="H3026" s="204" t="s">
        <v>4915</v>
      </c>
      <c r="I3026" s="265">
        <f>D3026*G3026</f>
        <v>0</v>
      </c>
      <c r="J3026" s="204" t="s">
        <v>93</v>
      </c>
      <c r="K3026" s="270"/>
      <c r="L3026" s="210" t="s">
        <v>675</v>
      </c>
      <c r="M3026" s="198">
        <f>ROUND(K3026*I3026/10000,6)</f>
        <v>0</v>
      </c>
      <c r="N3026" s="212">
        <f>'02 项目基础信息（输入）'!$C$81</f>
        <v>0</v>
      </c>
      <c r="O3026" s="203">
        <f t="shared" si="348"/>
        <v>0</v>
      </c>
      <c r="P3026" s="203">
        <f t="shared" si="350"/>
        <v>0</v>
      </c>
      <c r="Q3026" s="271">
        <f t="shared" si="349"/>
        <v>0</v>
      </c>
      <c r="R3026" s="188"/>
      <c r="S3026" s="280"/>
      <c r="T3026" s="222"/>
      <c r="U3026" s="299" t="s">
        <v>5184</v>
      </c>
    </row>
    <row r="3027" spans="1:21" s="181" customFormat="1" ht="0" hidden="1" customHeight="1" outlineLevel="4">
      <c r="A3027" s="253" t="s">
        <v>4928</v>
      </c>
      <c r="B3027" s="253"/>
      <c r="C3027" s="202" t="s">
        <v>4913</v>
      </c>
      <c r="D3027" s="311">
        <f>D3026</f>
        <v>0</v>
      </c>
      <c r="E3027" s="204" t="s">
        <v>1838</v>
      </c>
      <c r="F3027" s="250" t="s">
        <v>4924</v>
      </c>
      <c r="G3027" s="258">
        <f>G3026</f>
        <v>0</v>
      </c>
      <c r="H3027" s="204" t="s">
        <v>4915</v>
      </c>
      <c r="I3027" s="265">
        <f>D3027*G3027</f>
        <v>0</v>
      </c>
      <c r="J3027" s="204" t="s">
        <v>93</v>
      </c>
      <c r="K3027" s="270"/>
      <c r="L3027" s="210" t="s">
        <v>675</v>
      </c>
      <c r="M3027" s="198">
        <f>ROUND(K3027*I3027/10000,6)</f>
        <v>0</v>
      </c>
      <c r="N3027" s="212">
        <f>'02 项目基础信息（输入）'!$C$81</f>
        <v>0</v>
      </c>
      <c r="O3027" s="203">
        <f t="shared" si="348"/>
        <v>0</v>
      </c>
      <c r="P3027" s="203">
        <f t="shared" si="350"/>
        <v>0</v>
      </c>
      <c r="Q3027" s="271">
        <f t="shared" si="349"/>
        <v>0</v>
      </c>
      <c r="R3027" s="188"/>
      <c r="S3027" s="280"/>
      <c r="T3027" s="222"/>
      <c r="U3027" s="299" t="s">
        <v>5185</v>
      </c>
    </row>
    <row r="3028" spans="1:21" s="181" customFormat="1" ht="0" hidden="1" customHeight="1" outlineLevel="3">
      <c r="A3028" s="253" t="s">
        <v>5186</v>
      </c>
      <c r="B3028" s="254"/>
      <c r="C3028" s="250" t="s">
        <v>1609</v>
      </c>
      <c r="D3028" s="203">
        <f>'02 项目基础信息（输入）'!$C$81</f>
        <v>0</v>
      </c>
      <c r="E3028" s="204" t="s">
        <v>93</v>
      </c>
      <c r="F3028" s="288"/>
      <c r="G3028" s="277"/>
      <c r="H3028" s="255"/>
      <c r="I3028" s="268"/>
      <c r="J3028" s="255"/>
      <c r="K3028" s="264"/>
      <c r="L3028" s="205"/>
      <c r="M3028" s="198">
        <f>ROUND(SUM(M3029:M3031),6)</f>
        <v>0</v>
      </c>
      <c r="N3028" s="212">
        <f>'02 项目基础信息（输入）'!$C$81</f>
        <v>0</v>
      </c>
      <c r="O3028" s="203">
        <f t="shared" si="348"/>
        <v>0</v>
      </c>
      <c r="P3028" s="203">
        <f t="shared" si="350"/>
        <v>0</v>
      </c>
      <c r="Q3028" s="271">
        <f t="shared" si="349"/>
        <v>0</v>
      </c>
      <c r="R3028" s="188"/>
      <c r="S3028" s="280"/>
      <c r="T3028" s="222"/>
      <c r="U3028" s="299" t="s">
        <v>5187</v>
      </c>
    </row>
    <row r="3029" spans="1:21" s="181" customFormat="1" ht="0" hidden="1" customHeight="1" outlineLevel="4">
      <c r="A3029" s="253" t="s">
        <v>5188</v>
      </c>
      <c r="B3029" s="254"/>
      <c r="C3029" s="312" t="s">
        <v>5189</v>
      </c>
      <c r="D3029" s="289">
        <f>'02 项目基础信息（输入）'!BN81</f>
        <v>0</v>
      </c>
      <c r="E3029" s="204" t="s">
        <v>167</v>
      </c>
      <c r="F3029" s="250" t="s">
        <v>5190</v>
      </c>
      <c r="G3029" s="281">
        <f>'02 项目基础信息（输入）'!BM81</f>
        <v>0</v>
      </c>
      <c r="H3029" s="204" t="s">
        <v>5191</v>
      </c>
      <c r="I3029" s="265">
        <f>D3029*G3029</f>
        <v>0</v>
      </c>
      <c r="J3029" s="204" t="s">
        <v>93</v>
      </c>
      <c r="K3029" s="294">
        <f>'03 成本测算（输入）'!D326</f>
        <v>0</v>
      </c>
      <c r="L3029" s="210" t="s">
        <v>675</v>
      </c>
      <c r="M3029" s="198">
        <f>ROUND(K3029*I3029/10000,6)</f>
        <v>0</v>
      </c>
      <c r="N3029" s="212">
        <f>'02 项目基础信息（输入）'!$C$81</f>
        <v>0</v>
      </c>
      <c r="O3029" s="203">
        <f t="shared" si="348"/>
        <v>0</v>
      </c>
      <c r="P3029" s="203">
        <f t="shared" si="350"/>
        <v>0</v>
      </c>
      <c r="Q3029" s="271">
        <f t="shared" si="349"/>
        <v>0</v>
      </c>
      <c r="R3029" s="188"/>
      <c r="S3029" s="280"/>
      <c r="T3029" s="222"/>
      <c r="U3029" s="299" t="s">
        <v>5192</v>
      </c>
    </row>
    <row r="3030" spans="1:21" s="181" customFormat="1" ht="0" hidden="1" customHeight="1" outlineLevel="4">
      <c r="A3030" s="253" t="s">
        <v>5193</v>
      </c>
      <c r="B3030" s="254"/>
      <c r="C3030" s="312" t="s">
        <v>5189</v>
      </c>
      <c r="D3030" s="291">
        <f>D3029</f>
        <v>0</v>
      </c>
      <c r="E3030" s="204" t="s">
        <v>167</v>
      </c>
      <c r="F3030" s="250" t="s">
        <v>5190</v>
      </c>
      <c r="G3030" s="221">
        <f>G3029</f>
        <v>0</v>
      </c>
      <c r="H3030" s="204" t="s">
        <v>5191</v>
      </c>
      <c r="I3030" s="265">
        <f>D3030*G3030</f>
        <v>0</v>
      </c>
      <c r="J3030" s="204" t="s">
        <v>93</v>
      </c>
      <c r="K3030" s="270"/>
      <c r="L3030" s="210" t="s">
        <v>675</v>
      </c>
      <c r="M3030" s="198">
        <f>ROUND(K3030*I3030/10000,6)</f>
        <v>0</v>
      </c>
      <c r="N3030" s="212">
        <f>'02 项目基础信息（输入）'!$C$81</f>
        <v>0</v>
      </c>
      <c r="O3030" s="203">
        <f t="shared" si="348"/>
        <v>0</v>
      </c>
      <c r="P3030" s="203">
        <f t="shared" si="350"/>
        <v>0</v>
      </c>
      <c r="Q3030" s="271">
        <f t="shared" si="349"/>
        <v>0</v>
      </c>
      <c r="R3030" s="188"/>
      <c r="S3030" s="280"/>
      <c r="T3030" s="222"/>
      <c r="U3030" s="299" t="s">
        <v>5194</v>
      </c>
    </row>
    <row r="3031" spans="1:21" s="181" customFormat="1" ht="0" hidden="1" customHeight="1" outlineLevel="4">
      <c r="A3031" s="253" t="s">
        <v>5195</v>
      </c>
      <c r="B3031" s="254"/>
      <c r="C3031" s="312" t="s">
        <v>5189</v>
      </c>
      <c r="D3031" s="291">
        <f>D3030</f>
        <v>0</v>
      </c>
      <c r="E3031" s="204" t="s">
        <v>167</v>
      </c>
      <c r="F3031" s="250" t="s">
        <v>5190</v>
      </c>
      <c r="G3031" s="221">
        <f>G3030</f>
        <v>0</v>
      </c>
      <c r="H3031" s="204" t="s">
        <v>5191</v>
      </c>
      <c r="I3031" s="265">
        <f>D3031*G3031</f>
        <v>0</v>
      </c>
      <c r="J3031" s="204" t="s">
        <v>93</v>
      </c>
      <c r="K3031" s="270"/>
      <c r="L3031" s="210" t="s">
        <v>675</v>
      </c>
      <c r="M3031" s="198">
        <f>ROUND(K3031*I3031/10000,6)</f>
        <v>0</v>
      </c>
      <c r="N3031" s="212">
        <f>'02 项目基础信息（输入）'!$C$81</f>
        <v>0</v>
      </c>
      <c r="O3031" s="203">
        <f t="shared" si="348"/>
        <v>0</v>
      </c>
      <c r="P3031" s="203">
        <f t="shared" si="350"/>
        <v>0</v>
      </c>
      <c r="Q3031" s="271">
        <f t="shared" si="349"/>
        <v>0</v>
      </c>
      <c r="R3031" s="188"/>
      <c r="S3031" s="280"/>
      <c r="T3031" s="222"/>
      <c r="U3031" s="299" t="s">
        <v>5196</v>
      </c>
    </row>
    <row r="3032" spans="1:21" s="181" customFormat="1" ht="0" hidden="1" customHeight="1" outlineLevel="3">
      <c r="A3032" s="253" t="s">
        <v>5197</v>
      </c>
      <c r="B3032" s="254"/>
      <c r="C3032" s="250" t="s">
        <v>1609</v>
      </c>
      <c r="D3032" s="313">
        <f>'02 项目基础信息（输入）'!$C$81</f>
        <v>0</v>
      </c>
      <c r="E3032" s="204" t="s">
        <v>93</v>
      </c>
      <c r="F3032" s="288"/>
      <c r="G3032" s="277"/>
      <c r="H3032" s="255"/>
      <c r="I3032" s="268"/>
      <c r="J3032" s="255"/>
      <c r="K3032" s="264"/>
      <c r="L3032" s="205"/>
      <c r="M3032" s="198">
        <f>ROUND(SUM(M3033:M3035),6)</f>
        <v>0</v>
      </c>
      <c r="N3032" s="212">
        <f>'02 项目基础信息（输入）'!$C$81</f>
        <v>0</v>
      </c>
      <c r="O3032" s="203">
        <f t="shared" si="348"/>
        <v>0</v>
      </c>
      <c r="P3032" s="203">
        <f t="shared" si="350"/>
        <v>0</v>
      </c>
      <c r="Q3032" s="271">
        <f t="shared" si="349"/>
        <v>0</v>
      </c>
      <c r="R3032" s="188"/>
      <c r="S3032" s="280"/>
      <c r="T3032" s="222"/>
      <c r="U3032" s="299" t="s">
        <v>5198</v>
      </c>
    </row>
    <row r="3033" spans="1:21" s="181" customFormat="1" ht="0" hidden="1" customHeight="1" outlineLevel="4">
      <c r="A3033" s="253" t="s">
        <v>5199</v>
      </c>
      <c r="B3033" s="254"/>
      <c r="C3033" s="250" t="s">
        <v>5200</v>
      </c>
      <c r="D3033" s="289">
        <f>'02 项目基础信息（输入）'!BP81</f>
        <v>0</v>
      </c>
      <c r="E3033" s="204" t="s">
        <v>167</v>
      </c>
      <c r="F3033" s="250" t="s">
        <v>5190</v>
      </c>
      <c r="G3033" s="281">
        <f>'02 项目基础信息（输入）'!BO81</f>
        <v>0</v>
      </c>
      <c r="H3033" s="204" t="s">
        <v>5191</v>
      </c>
      <c r="I3033" s="265">
        <f>D3033*G3033</f>
        <v>0</v>
      </c>
      <c r="J3033" s="204" t="s">
        <v>93</v>
      </c>
      <c r="K3033" s="270"/>
      <c r="L3033" s="210" t="s">
        <v>675</v>
      </c>
      <c r="M3033" s="198">
        <f>ROUND(K3033*I3033/10000,6)</f>
        <v>0</v>
      </c>
      <c r="N3033" s="212">
        <f>'02 项目基础信息（输入）'!$C$81</f>
        <v>0</v>
      </c>
      <c r="O3033" s="203">
        <f t="shared" si="348"/>
        <v>0</v>
      </c>
      <c r="P3033" s="203">
        <f t="shared" si="350"/>
        <v>0</v>
      </c>
      <c r="Q3033" s="271">
        <f t="shared" si="349"/>
        <v>0</v>
      </c>
      <c r="R3033" s="188"/>
      <c r="S3033" s="280"/>
      <c r="T3033" s="222"/>
      <c r="U3033" s="299" t="s">
        <v>5201</v>
      </c>
    </row>
    <row r="3034" spans="1:21" s="181" customFormat="1" ht="0" hidden="1" customHeight="1" outlineLevel="4">
      <c r="A3034" s="253" t="s">
        <v>5202</v>
      </c>
      <c r="B3034" s="254"/>
      <c r="C3034" s="250" t="s">
        <v>5200</v>
      </c>
      <c r="D3034" s="291">
        <f>D3033</f>
        <v>0</v>
      </c>
      <c r="E3034" s="204" t="s">
        <v>167</v>
      </c>
      <c r="F3034" s="250" t="s">
        <v>5190</v>
      </c>
      <c r="G3034" s="221">
        <f>G3033</f>
        <v>0</v>
      </c>
      <c r="H3034" s="204" t="s">
        <v>5191</v>
      </c>
      <c r="I3034" s="265">
        <f>D3034*G3034</f>
        <v>0</v>
      </c>
      <c r="J3034" s="204" t="s">
        <v>93</v>
      </c>
      <c r="K3034" s="270"/>
      <c r="L3034" s="210" t="s">
        <v>675</v>
      </c>
      <c r="M3034" s="198">
        <f>ROUND(K3034*I3034/10000,6)</f>
        <v>0</v>
      </c>
      <c r="N3034" s="212">
        <f>'02 项目基础信息（输入）'!$C$81</f>
        <v>0</v>
      </c>
      <c r="O3034" s="203">
        <f t="shared" si="348"/>
        <v>0</v>
      </c>
      <c r="P3034" s="203">
        <f t="shared" si="350"/>
        <v>0</v>
      </c>
      <c r="Q3034" s="271">
        <f t="shared" si="349"/>
        <v>0</v>
      </c>
      <c r="R3034" s="188"/>
      <c r="S3034" s="280"/>
      <c r="T3034" s="222"/>
      <c r="U3034" s="299" t="s">
        <v>5203</v>
      </c>
    </row>
    <row r="3035" spans="1:21" s="181" customFormat="1" ht="0" hidden="1" customHeight="1" outlineLevel="4">
      <c r="A3035" s="253" t="s">
        <v>5204</v>
      </c>
      <c r="B3035" s="254"/>
      <c r="C3035" s="250" t="s">
        <v>5200</v>
      </c>
      <c r="D3035" s="291">
        <f>D3034</f>
        <v>0</v>
      </c>
      <c r="E3035" s="204" t="s">
        <v>167</v>
      </c>
      <c r="F3035" s="250" t="s">
        <v>5190</v>
      </c>
      <c r="G3035" s="221">
        <f>G3034</f>
        <v>0</v>
      </c>
      <c r="H3035" s="204" t="s">
        <v>5191</v>
      </c>
      <c r="I3035" s="265">
        <f>D3035*G3035</f>
        <v>0</v>
      </c>
      <c r="J3035" s="204" t="s">
        <v>93</v>
      </c>
      <c r="K3035" s="270"/>
      <c r="L3035" s="210" t="s">
        <v>675</v>
      </c>
      <c r="M3035" s="198">
        <f>ROUND(K3035*I3035/10000,6)</f>
        <v>0</v>
      </c>
      <c r="N3035" s="212">
        <f>'02 项目基础信息（输入）'!$C$81</f>
        <v>0</v>
      </c>
      <c r="O3035" s="203">
        <f t="shared" si="348"/>
        <v>0</v>
      </c>
      <c r="P3035" s="203">
        <f t="shared" si="350"/>
        <v>0</v>
      </c>
      <c r="Q3035" s="271">
        <f t="shared" si="349"/>
        <v>0</v>
      </c>
      <c r="R3035" s="188"/>
      <c r="S3035" s="280"/>
      <c r="T3035" s="222"/>
      <c r="U3035" s="299" t="s">
        <v>5205</v>
      </c>
    </row>
    <row r="3036" spans="1:21" s="181" customFormat="1" ht="0" hidden="1" customHeight="1" outlineLevel="3">
      <c r="A3036" s="253" t="s">
        <v>5206</v>
      </c>
      <c r="B3036" s="254"/>
      <c r="C3036" s="250" t="s">
        <v>1609</v>
      </c>
      <c r="D3036" s="313">
        <f>'02 项目基础信息（输入）'!$C$81</f>
        <v>0</v>
      </c>
      <c r="E3036" s="204" t="s">
        <v>93</v>
      </c>
      <c r="F3036" s="288"/>
      <c r="G3036" s="277"/>
      <c r="H3036" s="255"/>
      <c r="I3036" s="268"/>
      <c r="J3036" s="255"/>
      <c r="K3036" s="264"/>
      <c r="L3036" s="205"/>
      <c r="M3036" s="198">
        <f>ROUND(SUM(M3037:M3039),6)</f>
        <v>0</v>
      </c>
      <c r="N3036" s="212">
        <f>'02 项目基础信息（输入）'!$C$81</f>
        <v>0</v>
      </c>
      <c r="O3036" s="203">
        <f t="shared" si="348"/>
        <v>0</v>
      </c>
      <c r="P3036" s="203">
        <f t="shared" si="350"/>
        <v>0</v>
      </c>
      <c r="Q3036" s="271">
        <f t="shared" si="349"/>
        <v>0</v>
      </c>
      <c r="R3036" s="188"/>
      <c r="S3036" s="280"/>
      <c r="T3036" s="222"/>
      <c r="U3036" s="299" t="s">
        <v>5207</v>
      </c>
    </row>
    <row r="3037" spans="1:21" s="181" customFormat="1" ht="0" hidden="1" customHeight="1" outlineLevel="4">
      <c r="A3037" s="253" t="s">
        <v>5208</v>
      </c>
      <c r="B3037" s="254"/>
      <c r="C3037" s="250" t="s">
        <v>5209</v>
      </c>
      <c r="D3037" s="289">
        <f>'02 项目基础信息（输入）'!BR81</f>
        <v>0</v>
      </c>
      <c r="E3037" s="204" t="s">
        <v>167</v>
      </c>
      <c r="F3037" s="250" t="s">
        <v>5190</v>
      </c>
      <c r="G3037" s="281">
        <f>'02 项目基础信息（输入）'!BQ81</f>
        <v>0</v>
      </c>
      <c r="H3037" s="204" t="s">
        <v>5191</v>
      </c>
      <c r="I3037" s="265">
        <f>D3037*G3037</f>
        <v>0</v>
      </c>
      <c r="J3037" s="204" t="s">
        <v>93</v>
      </c>
      <c r="K3037" s="270"/>
      <c r="L3037" s="210" t="s">
        <v>675</v>
      </c>
      <c r="M3037" s="198">
        <f>ROUND(K3037*I3037/10000,6)</f>
        <v>0</v>
      </c>
      <c r="N3037" s="212">
        <f>'02 项目基础信息（输入）'!$C$81</f>
        <v>0</v>
      </c>
      <c r="O3037" s="203">
        <f t="shared" si="348"/>
        <v>0</v>
      </c>
      <c r="P3037" s="203">
        <f t="shared" si="350"/>
        <v>0</v>
      </c>
      <c r="Q3037" s="271">
        <f t="shared" si="349"/>
        <v>0</v>
      </c>
      <c r="R3037" s="188"/>
      <c r="S3037" s="280"/>
      <c r="T3037" s="222"/>
      <c r="U3037" s="299" t="s">
        <v>5210</v>
      </c>
    </row>
    <row r="3038" spans="1:21" s="181" customFormat="1" ht="0" hidden="1" customHeight="1" outlineLevel="4">
      <c r="A3038" s="253" t="s">
        <v>5211</v>
      </c>
      <c r="B3038" s="254"/>
      <c r="C3038" s="250" t="s">
        <v>5209</v>
      </c>
      <c r="D3038" s="291">
        <f>D3037</f>
        <v>0</v>
      </c>
      <c r="E3038" s="204" t="s">
        <v>167</v>
      </c>
      <c r="F3038" s="250" t="s">
        <v>5190</v>
      </c>
      <c r="G3038" s="221">
        <f>G3037</f>
        <v>0</v>
      </c>
      <c r="H3038" s="204" t="s">
        <v>5191</v>
      </c>
      <c r="I3038" s="265">
        <f>D3038*G3038</f>
        <v>0</v>
      </c>
      <c r="J3038" s="204" t="s">
        <v>93</v>
      </c>
      <c r="K3038" s="270"/>
      <c r="L3038" s="210" t="s">
        <v>675</v>
      </c>
      <c r="M3038" s="198">
        <f>ROUND(K3038*I3038/10000,6)</f>
        <v>0</v>
      </c>
      <c r="N3038" s="212">
        <f>'02 项目基础信息（输入）'!$C$81</f>
        <v>0</v>
      </c>
      <c r="O3038" s="203">
        <f t="shared" si="348"/>
        <v>0</v>
      </c>
      <c r="P3038" s="203">
        <f t="shared" si="350"/>
        <v>0</v>
      </c>
      <c r="Q3038" s="271">
        <f t="shared" si="349"/>
        <v>0</v>
      </c>
      <c r="R3038" s="188"/>
      <c r="S3038" s="280"/>
      <c r="T3038" s="222"/>
      <c r="U3038" s="299" t="s">
        <v>5212</v>
      </c>
    </row>
    <row r="3039" spans="1:21" s="181" customFormat="1" ht="0" hidden="1" customHeight="1" outlineLevel="4">
      <c r="A3039" s="253" t="s">
        <v>5213</v>
      </c>
      <c r="B3039" s="254"/>
      <c r="C3039" s="250" t="s">
        <v>5209</v>
      </c>
      <c r="D3039" s="291">
        <f>D3038</f>
        <v>0</v>
      </c>
      <c r="E3039" s="204" t="s">
        <v>167</v>
      </c>
      <c r="F3039" s="250" t="s">
        <v>5190</v>
      </c>
      <c r="G3039" s="221">
        <f>G3038</f>
        <v>0</v>
      </c>
      <c r="H3039" s="204" t="s">
        <v>5191</v>
      </c>
      <c r="I3039" s="265">
        <f>D3039*G3039</f>
        <v>0</v>
      </c>
      <c r="J3039" s="204" t="s">
        <v>93</v>
      </c>
      <c r="K3039" s="270"/>
      <c r="L3039" s="210" t="s">
        <v>675</v>
      </c>
      <c r="M3039" s="198">
        <f>ROUND(K3039*I3039/10000,6)</f>
        <v>0</v>
      </c>
      <c r="N3039" s="212">
        <f>'02 项目基础信息（输入）'!$C$81</f>
        <v>0</v>
      </c>
      <c r="O3039" s="203">
        <f t="shared" si="348"/>
        <v>0</v>
      </c>
      <c r="P3039" s="203">
        <f t="shared" si="350"/>
        <v>0</v>
      </c>
      <c r="Q3039" s="271">
        <f t="shared" si="349"/>
        <v>0</v>
      </c>
      <c r="R3039" s="188"/>
      <c r="S3039" s="280"/>
      <c r="T3039" s="222"/>
      <c r="U3039" s="299" t="s">
        <v>5214</v>
      </c>
    </row>
    <row r="3040" spans="1:21" s="181" customFormat="1" ht="0" hidden="1" customHeight="1" outlineLevel="3">
      <c r="A3040" s="253" t="s">
        <v>5215</v>
      </c>
      <c r="B3040" s="254"/>
      <c r="C3040" s="250" t="s">
        <v>1609</v>
      </c>
      <c r="D3040" s="313">
        <f>'02 项目基础信息（输入）'!$C$81</f>
        <v>0</v>
      </c>
      <c r="E3040" s="204" t="s">
        <v>93</v>
      </c>
      <c r="F3040" s="288"/>
      <c r="G3040" s="277"/>
      <c r="H3040" s="255"/>
      <c r="I3040" s="268"/>
      <c r="J3040" s="255"/>
      <c r="K3040" s="264"/>
      <c r="L3040" s="205"/>
      <c r="M3040" s="198">
        <f>ROUND(SUM(M3041:M3043),6)</f>
        <v>0</v>
      </c>
      <c r="N3040" s="212">
        <f>'02 项目基础信息（输入）'!$C$81</f>
        <v>0</v>
      </c>
      <c r="O3040" s="203">
        <f t="shared" si="348"/>
        <v>0</v>
      </c>
      <c r="P3040" s="203">
        <f t="shared" si="350"/>
        <v>0</v>
      </c>
      <c r="Q3040" s="271">
        <f t="shared" si="349"/>
        <v>0</v>
      </c>
      <c r="R3040" s="188"/>
      <c r="S3040" s="280"/>
      <c r="T3040" s="222"/>
      <c r="U3040" s="299" t="s">
        <v>5216</v>
      </c>
    </row>
    <row r="3041" spans="1:21" s="181" customFormat="1" ht="0" hidden="1" customHeight="1" outlineLevel="4">
      <c r="A3041" s="253" t="s">
        <v>5217</v>
      </c>
      <c r="B3041" s="254"/>
      <c r="C3041" s="250" t="s">
        <v>5218</v>
      </c>
      <c r="D3041" s="289">
        <f>'02 项目基础信息（输入）'!BT81</f>
        <v>0</v>
      </c>
      <c r="E3041" s="204" t="s">
        <v>167</v>
      </c>
      <c r="F3041" s="312" t="s">
        <v>5219</v>
      </c>
      <c r="G3041" s="281">
        <f>'02 项目基础信息（输入）'!BS81</f>
        <v>0</v>
      </c>
      <c r="H3041" s="204" t="s">
        <v>5191</v>
      </c>
      <c r="I3041" s="265">
        <f>D3041*G3041</f>
        <v>0</v>
      </c>
      <c r="J3041" s="204" t="s">
        <v>93</v>
      </c>
      <c r="K3041" s="270"/>
      <c r="L3041" s="210" t="s">
        <v>675</v>
      </c>
      <c r="M3041" s="198">
        <f>ROUND(K3041*I3041/10000,6)</f>
        <v>0</v>
      </c>
      <c r="N3041" s="212">
        <f>'02 项目基础信息（输入）'!$C$81</f>
        <v>0</v>
      </c>
      <c r="O3041" s="203">
        <f t="shared" si="348"/>
        <v>0</v>
      </c>
      <c r="P3041" s="203">
        <f t="shared" si="350"/>
        <v>0</v>
      </c>
      <c r="Q3041" s="271">
        <f t="shared" si="349"/>
        <v>0</v>
      </c>
      <c r="R3041" s="188"/>
      <c r="S3041" s="280"/>
      <c r="T3041" s="222"/>
      <c r="U3041" s="299" t="s">
        <v>5220</v>
      </c>
    </row>
    <row r="3042" spans="1:21" s="181" customFormat="1" ht="0" hidden="1" customHeight="1" outlineLevel="4">
      <c r="A3042" s="253" t="s">
        <v>5221</v>
      </c>
      <c r="B3042" s="254"/>
      <c r="C3042" s="250" t="s">
        <v>5218</v>
      </c>
      <c r="D3042" s="291">
        <f>D3041</f>
        <v>0</v>
      </c>
      <c r="E3042" s="204" t="s">
        <v>167</v>
      </c>
      <c r="F3042" s="312" t="s">
        <v>5219</v>
      </c>
      <c r="G3042" s="221">
        <f>G3041</f>
        <v>0</v>
      </c>
      <c r="H3042" s="204" t="s">
        <v>5191</v>
      </c>
      <c r="I3042" s="265">
        <f>D3042*G3042</f>
        <v>0</v>
      </c>
      <c r="J3042" s="204" t="s">
        <v>93</v>
      </c>
      <c r="K3042" s="270"/>
      <c r="L3042" s="210" t="s">
        <v>675</v>
      </c>
      <c r="M3042" s="198">
        <f>ROUND(K3042*I3042/10000,6)</f>
        <v>0</v>
      </c>
      <c r="N3042" s="212">
        <f>'02 项目基础信息（输入）'!$C$81</f>
        <v>0</v>
      </c>
      <c r="O3042" s="203">
        <f t="shared" si="348"/>
        <v>0</v>
      </c>
      <c r="P3042" s="203">
        <f t="shared" si="350"/>
        <v>0</v>
      </c>
      <c r="Q3042" s="271">
        <f t="shared" si="349"/>
        <v>0</v>
      </c>
      <c r="R3042" s="188"/>
      <c r="S3042" s="280"/>
      <c r="T3042" s="222"/>
      <c r="U3042" s="299" t="s">
        <v>5222</v>
      </c>
    </row>
    <row r="3043" spans="1:21" s="181" customFormat="1" ht="0" hidden="1" customHeight="1" outlineLevel="4">
      <c r="A3043" s="253" t="s">
        <v>5223</v>
      </c>
      <c r="B3043" s="254"/>
      <c r="C3043" s="250" t="s">
        <v>5218</v>
      </c>
      <c r="D3043" s="291">
        <f>D3042</f>
        <v>0</v>
      </c>
      <c r="E3043" s="204" t="s">
        <v>167</v>
      </c>
      <c r="F3043" s="312" t="s">
        <v>5219</v>
      </c>
      <c r="G3043" s="221">
        <f>G3042</f>
        <v>0</v>
      </c>
      <c r="H3043" s="204" t="s">
        <v>5191</v>
      </c>
      <c r="I3043" s="265">
        <f>D3043*G3043</f>
        <v>0</v>
      </c>
      <c r="J3043" s="204" t="s">
        <v>93</v>
      </c>
      <c r="K3043" s="270"/>
      <c r="L3043" s="210" t="s">
        <v>675</v>
      </c>
      <c r="M3043" s="198">
        <f>ROUND(K3043*I3043/10000,6)</f>
        <v>0</v>
      </c>
      <c r="N3043" s="212">
        <f>'02 项目基础信息（输入）'!$C$81</f>
        <v>0</v>
      </c>
      <c r="O3043" s="203">
        <f t="shared" si="348"/>
        <v>0</v>
      </c>
      <c r="P3043" s="203">
        <f t="shared" si="350"/>
        <v>0</v>
      </c>
      <c r="Q3043" s="271">
        <f t="shared" si="349"/>
        <v>0</v>
      </c>
      <c r="R3043" s="188"/>
      <c r="S3043" s="280"/>
      <c r="T3043" s="222"/>
      <c r="U3043" s="299" t="s">
        <v>5224</v>
      </c>
    </row>
    <row r="3044" spans="1:21" s="181" customFormat="1" ht="0" hidden="1" customHeight="1" outlineLevel="3">
      <c r="A3044" s="253" t="s">
        <v>5225</v>
      </c>
      <c r="B3044" s="254"/>
      <c r="C3044" s="250" t="s">
        <v>1609</v>
      </c>
      <c r="D3044" s="313">
        <f>'02 项目基础信息（输入）'!$C$81</f>
        <v>0</v>
      </c>
      <c r="E3044" s="204" t="s">
        <v>93</v>
      </c>
      <c r="F3044" s="288"/>
      <c r="G3044" s="277"/>
      <c r="H3044" s="255"/>
      <c r="I3044" s="268"/>
      <c r="J3044" s="255"/>
      <c r="K3044" s="264"/>
      <c r="L3044" s="205"/>
      <c r="M3044" s="198">
        <f>ROUND(SUM(M3045:M3047),6)</f>
        <v>0</v>
      </c>
      <c r="N3044" s="212">
        <f>'02 项目基础信息（输入）'!$C$81</f>
        <v>0</v>
      </c>
      <c r="O3044" s="203">
        <f t="shared" si="348"/>
        <v>0</v>
      </c>
      <c r="P3044" s="203">
        <f t="shared" si="350"/>
        <v>0</v>
      </c>
      <c r="Q3044" s="271">
        <f t="shared" si="349"/>
        <v>0</v>
      </c>
      <c r="R3044" s="188"/>
      <c r="S3044" s="280"/>
      <c r="T3044" s="222"/>
      <c r="U3044" s="299" t="s">
        <v>5226</v>
      </c>
    </row>
    <row r="3045" spans="1:21" s="181" customFormat="1" ht="0" hidden="1" customHeight="1" outlineLevel="4">
      <c r="A3045" s="253" t="s">
        <v>5227</v>
      </c>
      <c r="B3045" s="254"/>
      <c r="C3045" s="250" t="s">
        <v>5228</v>
      </c>
      <c r="D3045" s="273">
        <f>'02 项目基础信息（输入）'!AG81</f>
        <v>0</v>
      </c>
      <c r="E3045" s="204" t="s">
        <v>93</v>
      </c>
      <c r="F3045" s="250" t="s">
        <v>5228</v>
      </c>
      <c r="G3045" s="290">
        <v>1</v>
      </c>
      <c r="H3045" s="204" t="s">
        <v>298</v>
      </c>
      <c r="I3045" s="265">
        <f>D3045*G3045</f>
        <v>0</v>
      </c>
      <c r="J3045" s="204" t="s">
        <v>93</v>
      </c>
      <c r="K3045" s="270"/>
      <c r="L3045" s="210" t="s">
        <v>675</v>
      </c>
      <c r="M3045" s="198">
        <f>ROUND(K3045*I3045/10000,6)</f>
        <v>0</v>
      </c>
      <c r="N3045" s="212">
        <f>'02 项目基础信息（输入）'!$C$81</f>
        <v>0</v>
      </c>
      <c r="O3045" s="203">
        <f t="shared" si="348"/>
        <v>0</v>
      </c>
      <c r="P3045" s="203">
        <f t="shared" si="350"/>
        <v>0</v>
      </c>
      <c r="Q3045" s="271">
        <f t="shared" si="349"/>
        <v>0</v>
      </c>
      <c r="R3045" s="188"/>
      <c r="S3045" s="280"/>
      <c r="T3045" s="222"/>
      <c r="U3045" s="299" t="s">
        <v>5229</v>
      </c>
    </row>
    <row r="3046" spans="1:21" s="181" customFormat="1" ht="0" hidden="1" customHeight="1" outlineLevel="4">
      <c r="A3046" s="253" t="s">
        <v>5230</v>
      </c>
      <c r="B3046" s="254"/>
      <c r="C3046" s="250" t="s">
        <v>5228</v>
      </c>
      <c r="D3046" s="212">
        <f>D3045</f>
        <v>0</v>
      </c>
      <c r="E3046" s="204" t="s">
        <v>93</v>
      </c>
      <c r="F3046" s="250" t="s">
        <v>5228</v>
      </c>
      <c r="G3046" s="290">
        <v>1</v>
      </c>
      <c r="H3046" s="204" t="s">
        <v>298</v>
      </c>
      <c r="I3046" s="265">
        <f>D3046*G3046</f>
        <v>0</v>
      </c>
      <c r="J3046" s="204" t="s">
        <v>93</v>
      </c>
      <c r="K3046" s="270"/>
      <c r="L3046" s="210" t="s">
        <v>675</v>
      </c>
      <c r="M3046" s="198">
        <f>ROUND(K3046*I3046/10000,6)</f>
        <v>0</v>
      </c>
      <c r="N3046" s="212">
        <f>'02 项目基础信息（输入）'!$C$81</f>
        <v>0</v>
      </c>
      <c r="O3046" s="203">
        <f t="shared" si="348"/>
        <v>0</v>
      </c>
      <c r="P3046" s="203">
        <f t="shared" si="350"/>
        <v>0</v>
      </c>
      <c r="Q3046" s="271">
        <f t="shared" si="349"/>
        <v>0</v>
      </c>
      <c r="R3046" s="188"/>
      <c r="S3046" s="280"/>
      <c r="T3046" s="222"/>
      <c r="U3046" s="299" t="s">
        <v>5231</v>
      </c>
    </row>
    <row r="3047" spans="1:21" s="181" customFormat="1" ht="0" hidden="1" customHeight="1" outlineLevel="4">
      <c r="A3047" s="253" t="s">
        <v>5232</v>
      </c>
      <c r="B3047" s="254"/>
      <c r="C3047" s="250" t="s">
        <v>5228</v>
      </c>
      <c r="D3047" s="212">
        <f>D3046</f>
        <v>0</v>
      </c>
      <c r="E3047" s="204" t="s">
        <v>93</v>
      </c>
      <c r="F3047" s="250" t="s">
        <v>5228</v>
      </c>
      <c r="G3047" s="290">
        <v>1</v>
      </c>
      <c r="H3047" s="204" t="s">
        <v>298</v>
      </c>
      <c r="I3047" s="265">
        <f>D3047*G3047</f>
        <v>0</v>
      </c>
      <c r="J3047" s="204" t="s">
        <v>93</v>
      </c>
      <c r="K3047" s="270"/>
      <c r="L3047" s="210" t="s">
        <v>675</v>
      </c>
      <c r="M3047" s="198">
        <f>ROUND(K3047*I3047/10000,6)</f>
        <v>0</v>
      </c>
      <c r="N3047" s="212">
        <f>'02 项目基础信息（输入）'!$C$81</f>
        <v>0</v>
      </c>
      <c r="O3047" s="203">
        <f t="shared" si="348"/>
        <v>0</v>
      </c>
      <c r="P3047" s="203">
        <f t="shared" si="350"/>
        <v>0</v>
      </c>
      <c r="Q3047" s="271">
        <f t="shared" si="349"/>
        <v>0</v>
      </c>
      <c r="R3047" s="188"/>
      <c r="S3047" s="280"/>
      <c r="T3047" s="222"/>
      <c r="U3047" s="299" t="s">
        <v>5233</v>
      </c>
    </row>
    <row r="3048" spans="1:21" s="181" customFormat="1" ht="0" hidden="1" customHeight="1" outlineLevel="3">
      <c r="A3048" s="253" t="s">
        <v>5234</v>
      </c>
      <c r="B3048" s="254"/>
      <c r="C3048" s="250" t="s">
        <v>1609</v>
      </c>
      <c r="D3048" s="203">
        <f>'02 项目基础信息（输入）'!$C$81</f>
        <v>0</v>
      </c>
      <c r="E3048" s="204" t="s">
        <v>93</v>
      </c>
      <c r="F3048" s="288"/>
      <c r="G3048" s="314"/>
      <c r="H3048" s="255"/>
      <c r="I3048" s="268"/>
      <c r="J3048" s="255"/>
      <c r="K3048" s="264"/>
      <c r="L3048" s="205"/>
      <c r="M3048" s="198">
        <f>ROUND(SUM(M3049:M3051),6)</f>
        <v>0</v>
      </c>
      <c r="N3048" s="212">
        <f>'02 项目基础信息（输入）'!$C$81</f>
        <v>0</v>
      </c>
      <c r="O3048" s="203">
        <f t="shared" si="348"/>
        <v>0</v>
      </c>
      <c r="P3048" s="203">
        <f t="shared" si="350"/>
        <v>0</v>
      </c>
      <c r="Q3048" s="271">
        <f t="shared" si="349"/>
        <v>0</v>
      </c>
      <c r="R3048" s="188"/>
      <c r="S3048" s="280"/>
      <c r="T3048" s="222"/>
      <c r="U3048" s="299" t="s">
        <v>5235</v>
      </c>
    </row>
    <row r="3049" spans="1:21" s="181" customFormat="1" ht="0" hidden="1" customHeight="1" outlineLevel="4">
      <c r="A3049" s="253" t="s">
        <v>5236</v>
      </c>
      <c r="B3049" s="254"/>
      <c r="C3049" s="250" t="s">
        <v>5237</v>
      </c>
      <c r="D3049" s="273">
        <f>'02 项目基础信息（输入）'!AI81</f>
        <v>0</v>
      </c>
      <c r="E3049" s="204" t="s">
        <v>93</v>
      </c>
      <c r="F3049" s="250" t="s">
        <v>5237</v>
      </c>
      <c r="G3049" s="290">
        <v>1</v>
      </c>
      <c r="H3049" s="204" t="s">
        <v>298</v>
      </c>
      <c r="I3049" s="265">
        <f>D3049*G3049</f>
        <v>0</v>
      </c>
      <c r="J3049" s="204" t="s">
        <v>93</v>
      </c>
      <c r="K3049" s="270"/>
      <c r="L3049" s="210" t="s">
        <v>675</v>
      </c>
      <c r="M3049" s="198">
        <f>ROUND(K3049*I3049/10000,6)</f>
        <v>0</v>
      </c>
      <c r="N3049" s="212">
        <f>'02 项目基础信息（输入）'!$C$81</f>
        <v>0</v>
      </c>
      <c r="O3049" s="203">
        <f t="shared" si="348"/>
        <v>0</v>
      </c>
      <c r="P3049" s="203">
        <f t="shared" si="350"/>
        <v>0</v>
      </c>
      <c r="Q3049" s="271">
        <f t="shared" si="349"/>
        <v>0</v>
      </c>
      <c r="R3049" s="188"/>
      <c r="S3049" s="280"/>
      <c r="T3049" s="222"/>
      <c r="U3049" s="299" t="s">
        <v>5238</v>
      </c>
    </row>
    <row r="3050" spans="1:21" s="181" customFormat="1" ht="0" hidden="1" customHeight="1" outlineLevel="4">
      <c r="A3050" s="253" t="s">
        <v>5239</v>
      </c>
      <c r="B3050" s="254"/>
      <c r="C3050" s="250" t="s">
        <v>5237</v>
      </c>
      <c r="D3050" s="212">
        <f>D3049</f>
        <v>0</v>
      </c>
      <c r="E3050" s="204" t="s">
        <v>93</v>
      </c>
      <c r="F3050" s="250" t="s">
        <v>5237</v>
      </c>
      <c r="G3050" s="290">
        <v>1</v>
      </c>
      <c r="H3050" s="204" t="s">
        <v>298</v>
      </c>
      <c r="I3050" s="265">
        <f>D3050*G3050</f>
        <v>0</v>
      </c>
      <c r="J3050" s="204" t="s">
        <v>93</v>
      </c>
      <c r="K3050" s="270"/>
      <c r="L3050" s="210" t="s">
        <v>675</v>
      </c>
      <c r="M3050" s="198">
        <f>ROUND(K3050*I3050/10000,6)</f>
        <v>0</v>
      </c>
      <c r="N3050" s="212">
        <f>'02 项目基础信息（输入）'!$C$81</f>
        <v>0</v>
      </c>
      <c r="O3050" s="203">
        <f t="shared" si="348"/>
        <v>0</v>
      </c>
      <c r="P3050" s="203">
        <f t="shared" si="350"/>
        <v>0</v>
      </c>
      <c r="Q3050" s="271">
        <f t="shared" si="349"/>
        <v>0</v>
      </c>
      <c r="R3050" s="188"/>
      <c r="S3050" s="280"/>
      <c r="T3050" s="222"/>
      <c r="U3050" s="298" t="s">
        <v>5240</v>
      </c>
    </row>
    <row r="3051" spans="1:21" s="181" customFormat="1" ht="0" hidden="1" customHeight="1" outlineLevel="4">
      <c r="A3051" s="253" t="s">
        <v>5241</v>
      </c>
      <c r="B3051" s="254"/>
      <c r="C3051" s="250" t="s">
        <v>5237</v>
      </c>
      <c r="D3051" s="212">
        <f>D3050</f>
        <v>0</v>
      </c>
      <c r="E3051" s="204" t="s">
        <v>93</v>
      </c>
      <c r="F3051" s="250" t="s">
        <v>5237</v>
      </c>
      <c r="G3051" s="290">
        <v>1</v>
      </c>
      <c r="H3051" s="204" t="s">
        <v>298</v>
      </c>
      <c r="I3051" s="265">
        <f>D3051*G3051</f>
        <v>0</v>
      </c>
      <c r="J3051" s="204" t="s">
        <v>93</v>
      </c>
      <c r="K3051" s="270"/>
      <c r="L3051" s="210" t="s">
        <v>675</v>
      </c>
      <c r="M3051" s="198">
        <f>ROUND(K3051*I3051/10000,6)</f>
        <v>0</v>
      </c>
      <c r="N3051" s="212">
        <f>'02 项目基础信息（输入）'!$C$81</f>
        <v>0</v>
      </c>
      <c r="O3051" s="203">
        <f t="shared" si="348"/>
        <v>0</v>
      </c>
      <c r="P3051" s="203">
        <f t="shared" si="350"/>
        <v>0</v>
      </c>
      <c r="Q3051" s="271">
        <f t="shared" si="349"/>
        <v>0</v>
      </c>
      <c r="R3051" s="188"/>
      <c r="S3051" s="280"/>
      <c r="T3051" s="222"/>
      <c r="U3051" s="298" t="s">
        <v>5242</v>
      </c>
    </row>
    <row r="3052" spans="1:21" s="181" customFormat="1" ht="0" hidden="1" customHeight="1" outlineLevel="3">
      <c r="A3052" s="253" t="s">
        <v>5243</v>
      </c>
      <c r="B3052" s="254"/>
      <c r="C3052" s="250" t="s">
        <v>1609</v>
      </c>
      <c r="D3052" s="203">
        <f>'02 项目基础信息（输入）'!$C$81</f>
        <v>0</v>
      </c>
      <c r="E3052" s="204" t="s">
        <v>93</v>
      </c>
      <c r="F3052" s="288"/>
      <c r="G3052" s="314"/>
      <c r="H3052" s="255"/>
      <c r="I3052" s="268"/>
      <c r="J3052" s="255"/>
      <c r="K3052" s="264"/>
      <c r="L3052" s="205"/>
      <c r="M3052" s="198">
        <f>ROUND(SUM(M3053:M3055),6)</f>
        <v>0</v>
      </c>
      <c r="N3052" s="212">
        <f>'02 项目基础信息（输入）'!$C$81</f>
        <v>0</v>
      </c>
      <c r="O3052" s="203">
        <f t="shared" si="348"/>
        <v>0</v>
      </c>
      <c r="P3052" s="203">
        <f t="shared" si="350"/>
        <v>0</v>
      </c>
      <c r="Q3052" s="271">
        <f t="shared" si="349"/>
        <v>0</v>
      </c>
      <c r="R3052" s="188"/>
      <c r="S3052" s="280"/>
      <c r="T3052" s="222"/>
      <c r="U3052" s="299" t="s">
        <v>5244</v>
      </c>
    </row>
    <row r="3053" spans="1:21" s="181" customFormat="1" ht="0" hidden="1" customHeight="1" outlineLevel="4">
      <c r="A3053" s="253" t="s">
        <v>5245</v>
      </c>
      <c r="B3053" s="254"/>
      <c r="C3053" s="250" t="s">
        <v>5246</v>
      </c>
      <c r="D3053" s="273">
        <f>'02 项目基础信息（输入）'!AJ81</f>
        <v>0</v>
      </c>
      <c r="E3053" s="204" t="s">
        <v>93</v>
      </c>
      <c r="F3053" s="250" t="s">
        <v>5246</v>
      </c>
      <c r="G3053" s="290">
        <v>1</v>
      </c>
      <c r="H3053" s="204" t="s">
        <v>298</v>
      </c>
      <c r="I3053" s="265">
        <f>D3053*G3053</f>
        <v>0</v>
      </c>
      <c r="J3053" s="204" t="s">
        <v>93</v>
      </c>
      <c r="K3053" s="270"/>
      <c r="L3053" s="210" t="s">
        <v>675</v>
      </c>
      <c r="M3053" s="198">
        <f>ROUND(K3053*I3053/10000,6)</f>
        <v>0</v>
      </c>
      <c r="N3053" s="212">
        <f>'02 项目基础信息（输入）'!$C$81</f>
        <v>0</v>
      </c>
      <c r="O3053" s="203">
        <f t="shared" si="348"/>
        <v>0</v>
      </c>
      <c r="P3053" s="203">
        <f t="shared" si="350"/>
        <v>0</v>
      </c>
      <c r="Q3053" s="271">
        <f t="shared" si="349"/>
        <v>0</v>
      </c>
      <c r="R3053" s="188"/>
      <c r="S3053" s="280"/>
      <c r="T3053" s="222"/>
      <c r="U3053" s="299" t="s">
        <v>5247</v>
      </c>
    </row>
    <row r="3054" spans="1:21" s="181" customFormat="1" ht="0" hidden="1" customHeight="1" outlineLevel="4">
      <c r="A3054" s="253" t="s">
        <v>5248</v>
      </c>
      <c r="B3054" s="254"/>
      <c r="C3054" s="250" t="s">
        <v>5246</v>
      </c>
      <c r="D3054" s="212">
        <f>D3053</f>
        <v>0</v>
      </c>
      <c r="E3054" s="204" t="s">
        <v>93</v>
      </c>
      <c r="F3054" s="250" t="s">
        <v>5246</v>
      </c>
      <c r="G3054" s="290">
        <v>1</v>
      </c>
      <c r="H3054" s="204" t="s">
        <v>298</v>
      </c>
      <c r="I3054" s="265">
        <f>D3054*G3054</f>
        <v>0</v>
      </c>
      <c r="J3054" s="204" t="s">
        <v>93</v>
      </c>
      <c r="K3054" s="270"/>
      <c r="L3054" s="210" t="s">
        <v>675</v>
      </c>
      <c r="M3054" s="198">
        <f>ROUND(K3054*I3054/10000,6)</f>
        <v>0</v>
      </c>
      <c r="N3054" s="212">
        <f>'02 项目基础信息（输入）'!$C$81</f>
        <v>0</v>
      </c>
      <c r="O3054" s="203">
        <f t="shared" si="348"/>
        <v>0</v>
      </c>
      <c r="P3054" s="203">
        <f t="shared" si="350"/>
        <v>0</v>
      </c>
      <c r="Q3054" s="271">
        <f t="shared" si="349"/>
        <v>0</v>
      </c>
      <c r="R3054" s="188"/>
      <c r="S3054" s="280"/>
      <c r="T3054" s="222"/>
      <c r="U3054" s="299" t="s">
        <v>5249</v>
      </c>
    </row>
    <row r="3055" spans="1:21" s="181" customFormat="1" ht="0" hidden="1" customHeight="1" outlineLevel="4">
      <c r="A3055" s="253" t="s">
        <v>5250</v>
      </c>
      <c r="B3055" s="254"/>
      <c r="C3055" s="250" t="s">
        <v>5246</v>
      </c>
      <c r="D3055" s="212">
        <f>D3054</f>
        <v>0</v>
      </c>
      <c r="E3055" s="204" t="s">
        <v>93</v>
      </c>
      <c r="F3055" s="250" t="s">
        <v>5246</v>
      </c>
      <c r="G3055" s="290">
        <v>1</v>
      </c>
      <c r="H3055" s="204" t="s">
        <v>298</v>
      </c>
      <c r="I3055" s="265">
        <f>D3055*G3055</f>
        <v>0</v>
      </c>
      <c r="J3055" s="204" t="s">
        <v>93</v>
      </c>
      <c r="K3055" s="270"/>
      <c r="L3055" s="210" t="s">
        <v>675</v>
      </c>
      <c r="M3055" s="198">
        <f>ROUND(K3055*I3055/10000,6)</f>
        <v>0</v>
      </c>
      <c r="N3055" s="212">
        <f>'02 项目基础信息（输入）'!$C$81</f>
        <v>0</v>
      </c>
      <c r="O3055" s="203">
        <f t="shared" si="348"/>
        <v>0</v>
      </c>
      <c r="P3055" s="203">
        <f t="shared" si="350"/>
        <v>0</v>
      </c>
      <c r="Q3055" s="271">
        <f t="shared" si="349"/>
        <v>0</v>
      </c>
      <c r="R3055" s="188"/>
      <c r="S3055" s="280"/>
      <c r="T3055" s="222"/>
      <c r="U3055" s="299" t="s">
        <v>5251</v>
      </c>
    </row>
    <row r="3056" spans="1:21" s="181" customFormat="1" ht="0" hidden="1" customHeight="1" outlineLevel="3">
      <c r="A3056" s="253" t="s">
        <v>5252</v>
      </c>
      <c r="B3056" s="254"/>
      <c r="C3056" s="250" t="s">
        <v>1609</v>
      </c>
      <c r="D3056" s="203">
        <f>'02 项目基础信息（输入）'!$C$81</f>
        <v>0</v>
      </c>
      <c r="E3056" s="204" t="s">
        <v>93</v>
      </c>
      <c r="F3056" s="288"/>
      <c r="G3056" s="314"/>
      <c r="H3056" s="255"/>
      <c r="I3056" s="268"/>
      <c r="J3056" s="255"/>
      <c r="K3056" s="264"/>
      <c r="L3056" s="205"/>
      <c r="M3056" s="198">
        <f>ROUND(SUM(M3057:M3059),6)</f>
        <v>0</v>
      </c>
      <c r="N3056" s="212">
        <f>'02 项目基础信息（输入）'!$C$81</f>
        <v>0</v>
      </c>
      <c r="O3056" s="203">
        <f t="shared" si="348"/>
        <v>0</v>
      </c>
      <c r="P3056" s="203">
        <f t="shared" si="350"/>
        <v>0</v>
      </c>
      <c r="Q3056" s="271">
        <f t="shared" si="349"/>
        <v>0</v>
      </c>
      <c r="R3056" s="188"/>
      <c r="S3056" s="280"/>
      <c r="T3056" s="222"/>
      <c r="U3056" s="299" t="s">
        <v>5253</v>
      </c>
    </row>
    <row r="3057" spans="1:21" s="181" customFormat="1" ht="0" hidden="1" customHeight="1" outlineLevel="4">
      <c r="A3057" s="253" t="s">
        <v>5254</v>
      </c>
      <c r="B3057" s="254"/>
      <c r="C3057" s="250" t="s">
        <v>5255</v>
      </c>
      <c r="D3057" s="273">
        <f>'02 项目基础信息（输入）'!AK81</f>
        <v>0</v>
      </c>
      <c r="E3057" s="204" t="s">
        <v>93</v>
      </c>
      <c r="F3057" s="250" t="s">
        <v>5255</v>
      </c>
      <c r="G3057" s="290">
        <v>1</v>
      </c>
      <c r="H3057" s="204" t="s">
        <v>298</v>
      </c>
      <c r="I3057" s="265">
        <f>D3057*G3057</f>
        <v>0</v>
      </c>
      <c r="J3057" s="204" t="s">
        <v>93</v>
      </c>
      <c r="K3057" s="270"/>
      <c r="L3057" s="210" t="s">
        <v>675</v>
      </c>
      <c r="M3057" s="198">
        <f>ROUND(K3057*I3057/10000,6)</f>
        <v>0</v>
      </c>
      <c r="N3057" s="212">
        <f>'02 项目基础信息（输入）'!$C$81</f>
        <v>0</v>
      </c>
      <c r="O3057" s="203">
        <f t="shared" si="348"/>
        <v>0</v>
      </c>
      <c r="P3057" s="203">
        <f t="shared" si="350"/>
        <v>0</v>
      </c>
      <c r="Q3057" s="271">
        <f t="shared" si="349"/>
        <v>0</v>
      </c>
      <c r="R3057" s="188"/>
      <c r="S3057" s="280"/>
      <c r="T3057" s="222"/>
      <c r="U3057" s="299" t="s">
        <v>5256</v>
      </c>
    </row>
    <row r="3058" spans="1:21" s="181" customFormat="1" ht="0" hidden="1" customHeight="1" outlineLevel="4">
      <c r="A3058" s="253" t="s">
        <v>5257</v>
      </c>
      <c r="B3058" s="254"/>
      <c r="C3058" s="250" t="s">
        <v>5255</v>
      </c>
      <c r="D3058" s="212">
        <f>D3057</f>
        <v>0</v>
      </c>
      <c r="E3058" s="204" t="s">
        <v>93</v>
      </c>
      <c r="F3058" s="250" t="s">
        <v>5255</v>
      </c>
      <c r="G3058" s="290">
        <v>1</v>
      </c>
      <c r="H3058" s="204" t="s">
        <v>298</v>
      </c>
      <c r="I3058" s="265">
        <f>D3058*G3058</f>
        <v>0</v>
      </c>
      <c r="J3058" s="204" t="s">
        <v>93</v>
      </c>
      <c r="K3058" s="270"/>
      <c r="L3058" s="210" t="s">
        <v>675</v>
      </c>
      <c r="M3058" s="198">
        <f>ROUND(K3058*I3058/10000,6)</f>
        <v>0</v>
      </c>
      <c r="N3058" s="212">
        <f>'02 项目基础信息（输入）'!$C$81</f>
        <v>0</v>
      </c>
      <c r="O3058" s="203">
        <f t="shared" si="348"/>
        <v>0</v>
      </c>
      <c r="P3058" s="203">
        <f t="shared" si="350"/>
        <v>0</v>
      </c>
      <c r="Q3058" s="271">
        <f t="shared" si="349"/>
        <v>0</v>
      </c>
      <c r="R3058" s="188"/>
      <c r="S3058" s="280"/>
      <c r="T3058" s="222"/>
      <c r="U3058" s="299" t="s">
        <v>5258</v>
      </c>
    </row>
    <row r="3059" spans="1:21" s="181" customFormat="1" ht="0" hidden="1" customHeight="1" outlineLevel="4">
      <c r="A3059" s="253" t="s">
        <v>5259</v>
      </c>
      <c r="B3059" s="254"/>
      <c r="C3059" s="250" t="s">
        <v>5255</v>
      </c>
      <c r="D3059" s="212">
        <f>D3058</f>
        <v>0</v>
      </c>
      <c r="E3059" s="204" t="s">
        <v>93</v>
      </c>
      <c r="F3059" s="250" t="s">
        <v>5255</v>
      </c>
      <c r="G3059" s="290">
        <v>1</v>
      </c>
      <c r="H3059" s="204" t="s">
        <v>298</v>
      </c>
      <c r="I3059" s="265">
        <f>D3059*G3059</f>
        <v>0</v>
      </c>
      <c r="J3059" s="204" t="s">
        <v>93</v>
      </c>
      <c r="K3059" s="270"/>
      <c r="L3059" s="210" t="s">
        <v>675</v>
      </c>
      <c r="M3059" s="198">
        <f>ROUND(K3059*I3059/10000,6)</f>
        <v>0</v>
      </c>
      <c r="N3059" s="212">
        <f>'02 项目基础信息（输入）'!$C$81</f>
        <v>0</v>
      </c>
      <c r="O3059" s="203">
        <f t="shared" si="348"/>
        <v>0</v>
      </c>
      <c r="P3059" s="203">
        <f t="shared" si="350"/>
        <v>0</v>
      </c>
      <c r="Q3059" s="271">
        <f t="shared" si="349"/>
        <v>0</v>
      </c>
      <c r="R3059" s="188"/>
      <c r="S3059" s="280"/>
      <c r="T3059" s="222"/>
      <c r="U3059" s="298" t="s">
        <v>5260</v>
      </c>
    </row>
    <row r="3060" spans="1:21" s="181" customFormat="1" ht="0" hidden="1" customHeight="1" outlineLevel="3">
      <c r="A3060" s="253" t="s">
        <v>5261</v>
      </c>
      <c r="B3060" s="254"/>
      <c r="C3060" s="250" t="s">
        <v>1609</v>
      </c>
      <c r="D3060" s="203">
        <f>'02 项目基础信息（输入）'!$C$81</f>
        <v>0</v>
      </c>
      <c r="E3060" s="204" t="s">
        <v>93</v>
      </c>
      <c r="F3060" s="288"/>
      <c r="G3060" s="314"/>
      <c r="H3060" s="255"/>
      <c r="I3060" s="268"/>
      <c r="J3060" s="255"/>
      <c r="K3060" s="264"/>
      <c r="L3060" s="205"/>
      <c r="M3060" s="198">
        <f>ROUND(SUM(M3061:M3063),6)</f>
        <v>0</v>
      </c>
      <c r="N3060" s="212">
        <f>'02 项目基础信息（输入）'!$C$81</f>
        <v>0</v>
      </c>
      <c r="O3060" s="203">
        <f t="shared" si="348"/>
        <v>0</v>
      </c>
      <c r="P3060" s="203">
        <f t="shared" si="350"/>
        <v>0</v>
      </c>
      <c r="Q3060" s="271">
        <f t="shared" si="349"/>
        <v>0</v>
      </c>
      <c r="R3060" s="188"/>
      <c r="S3060" s="280"/>
      <c r="T3060" s="222"/>
      <c r="U3060" s="299" t="s">
        <v>5262</v>
      </c>
    </row>
    <row r="3061" spans="1:21" s="181" customFormat="1" ht="0" hidden="1" customHeight="1" outlineLevel="4">
      <c r="A3061" s="253" t="s">
        <v>5263</v>
      </c>
      <c r="B3061" s="254"/>
      <c r="C3061" s="250" t="s">
        <v>5264</v>
      </c>
      <c r="D3061" s="273">
        <f>'02 项目基础信息（输入）'!AL81</f>
        <v>0</v>
      </c>
      <c r="E3061" s="204" t="s">
        <v>93</v>
      </c>
      <c r="F3061" s="250" t="s">
        <v>5264</v>
      </c>
      <c r="G3061" s="290">
        <v>1</v>
      </c>
      <c r="H3061" s="204" t="s">
        <v>298</v>
      </c>
      <c r="I3061" s="265">
        <f>D3061*G3061</f>
        <v>0</v>
      </c>
      <c r="J3061" s="204" t="s">
        <v>93</v>
      </c>
      <c r="K3061" s="270"/>
      <c r="L3061" s="210" t="s">
        <v>675</v>
      </c>
      <c r="M3061" s="198">
        <f>ROUND(K3061*I3061/10000,6)</f>
        <v>0</v>
      </c>
      <c r="N3061" s="212">
        <f>'02 项目基础信息（输入）'!$C$81</f>
        <v>0</v>
      </c>
      <c r="O3061" s="203">
        <f t="shared" si="348"/>
        <v>0</v>
      </c>
      <c r="P3061" s="203">
        <f t="shared" si="350"/>
        <v>0</v>
      </c>
      <c r="Q3061" s="271">
        <f t="shared" si="349"/>
        <v>0</v>
      </c>
      <c r="R3061" s="188"/>
      <c r="S3061" s="280"/>
      <c r="T3061" s="222"/>
      <c r="U3061" s="299" t="s">
        <v>5265</v>
      </c>
    </row>
    <row r="3062" spans="1:21" s="181" customFormat="1" ht="0" hidden="1" customHeight="1" outlineLevel="4">
      <c r="A3062" s="253" t="s">
        <v>5266</v>
      </c>
      <c r="B3062" s="254"/>
      <c r="C3062" s="250" t="s">
        <v>5264</v>
      </c>
      <c r="D3062" s="212">
        <f>D3061</f>
        <v>0</v>
      </c>
      <c r="E3062" s="204" t="s">
        <v>93</v>
      </c>
      <c r="F3062" s="250" t="s">
        <v>5264</v>
      </c>
      <c r="G3062" s="290">
        <v>1</v>
      </c>
      <c r="H3062" s="204" t="s">
        <v>298</v>
      </c>
      <c r="I3062" s="265">
        <f>D3062*G3062</f>
        <v>0</v>
      </c>
      <c r="J3062" s="204" t="s">
        <v>93</v>
      </c>
      <c r="K3062" s="270"/>
      <c r="L3062" s="210" t="s">
        <v>675</v>
      </c>
      <c r="M3062" s="198">
        <f>ROUND(K3062*I3062/10000,6)</f>
        <v>0</v>
      </c>
      <c r="N3062" s="212">
        <f>'02 项目基础信息（输入）'!$C$81</f>
        <v>0</v>
      </c>
      <c r="O3062" s="203">
        <f t="shared" si="348"/>
        <v>0</v>
      </c>
      <c r="P3062" s="203">
        <f t="shared" si="350"/>
        <v>0</v>
      </c>
      <c r="Q3062" s="271">
        <f t="shared" si="349"/>
        <v>0</v>
      </c>
      <c r="R3062" s="188"/>
      <c r="S3062" s="280"/>
      <c r="T3062" s="222"/>
      <c r="U3062" s="299" t="s">
        <v>5267</v>
      </c>
    </row>
    <row r="3063" spans="1:21" s="181" customFormat="1" ht="0" hidden="1" customHeight="1" outlineLevel="4">
      <c r="A3063" s="253" t="s">
        <v>5268</v>
      </c>
      <c r="B3063" s="254"/>
      <c r="C3063" s="250" t="s">
        <v>5264</v>
      </c>
      <c r="D3063" s="212">
        <f>D3062</f>
        <v>0</v>
      </c>
      <c r="E3063" s="204" t="s">
        <v>93</v>
      </c>
      <c r="F3063" s="250" t="s">
        <v>5264</v>
      </c>
      <c r="G3063" s="290">
        <v>1</v>
      </c>
      <c r="H3063" s="204" t="s">
        <v>298</v>
      </c>
      <c r="I3063" s="265">
        <f>D3063*G3063</f>
        <v>0</v>
      </c>
      <c r="J3063" s="204" t="s">
        <v>93</v>
      </c>
      <c r="K3063" s="270"/>
      <c r="L3063" s="210" t="s">
        <v>675</v>
      </c>
      <c r="M3063" s="198">
        <f>ROUND(K3063*I3063/10000,6)</f>
        <v>0</v>
      </c>
      <c r="N3063" s="212">
        <f>'02 项目基础信息（输入）'!$C$81</f>
        <v>0</v>
      </c>
      <c r="O3063" s="203">
        <f t="shared" si="348"/>
        <v>0</v>
      </c>
      <c r="P3063" s="203">
        <f t="shared" si="350"/>
        <v>0</v>
      </c>
      <c r="Q3063" s="271">
        <f t="shared" si="349"/>
        <v>0</v>
      </c>
      <c r="R3063" s="188"/>
      <c r="S3063" s="280"/>
      <c r="T3063" s="222"/>
      <c r="U3063" s="298" t="s">
        <v>5269</v>
      </c>
    </row>
    <row r="3064" spans="1:21" s="181" customFormat="1" ht="0" hidden="1" customHeight="1" outlineLevel="3">
      <c r="A3064" s="253" t="s">
        <v>5270</v>
      </c>
      <c r="B3064" s="254"/>
      <c r="C3064" s="250" t="s">
        <v>1609</v>
      </c>
      <c r="D3064" s="203">
        <f>'02 项目基础信息（输入）'!$C$81</f>
        <v>0</v>
      </c>
      <c r="E3064" s="204" t="s">
        <v>93</v>
      </c>
      <c r="F3064" s="288"/>
      <c r="G3064" s="314"/>
      <c r="H3064" s="255"/>
      <c r="I3064" s="268"/>
      <c r="J3064" s="255"/>
      <c r="K3064" s="264"/>
      <c r="L3064" s="205"/>
      <c r="M3064" s="198">
        <f>ROUND(SUM(M3065:M3067),6)</f>
        <v>0</v>
      </c>
      <c r="N3064" s="212">
        <f>'02 项目基础信息（输入）'!$C$81</f>
        <v>0</v>
      </c>
      <c r="O3064" s="203">
        <f t="shared" si="348"/>
        <v>0</v>
      </c>
      <c r="P3064" s="203">
        <f t="shared" si="350"/>
        <v>0</v>
      </c>
      <c r="Q3064" s="271">
        <f t="shared" si="349"/>
        <v>0</v>
      </c>
      <c r="R3064" s="188"/>
      <c r="S3064" s="280"/>
      <c r="T3064" s="222"/>
      <c r="U3064" s="299" t="s">
        <v>5271</v>
      </c>
    </row>
    <row r="3065" spans="1:21" s="181" customFormat="1" ht="0" hidden="1" customHeight="1" outlineLevel="4">
      <c r="A3065" s="253" t="s">
        <v>5272</v>
      </c>
      <c r="B3065" s="254"/>
      <c r="C3065" s="250" t="s">
        <v>5273</v>
      </c>
      <c r="D3065" s="273">
        <f>'02 项目基础信息（输入）'!AM81</f>
        <v>0</v>
      </c>
      <c r="E3065" s="204" t="s">
        <v>93</v>
      </c>
      <c r="F3065" s="250" t="s">
        <v>5273</v>
      </c>
      <c r="G3065" s="290">
        <v>1</v>
      </c>
      <c r="H3065" s="204" t="s">
        <v>298</v>
      </c>
      <c r="I3065" s="265">
        <f>D3065*G3065</f>
        <v>0</v>
      </c>
      <c r="J3065" s="204" t="s">
        <v>93</v>
      </c>
      <c r="K3065" s="270"/>
      <c r="L3065" s="210" t="s">
        <v>675</v>
      </c>
      <c r="M3065" s="198">
        <f>ROUND(K3065*I3065/10000,6)</f>
        <v>0</v>
      </c>
      <c r="N3065" s="212">
        <f>'02 项目基础信息（输入）'!$C$81</f>
        <v>0</v>
      </c>
      <c r="O3065" s="203">
        <f t="shared" si="348"/>
        <v>0</v>
      </c>
      <c r="P3065" s="203">
        <f t="shared" si="350"/>
        <v>0</v>
      </c>
      <c r="Q3065" s="271">
        <f t="shared" si="349"/>
        <v>0</v>
      </c>
      <c r="R3065" s="188"/>
      <c r="S3065" s="280"/>
      <c r="T3065" s="222"/>
      <c r="U3065" s="299" t="s">
        <v>5274</v>
      </c>
    </row>
    <row r="3066" spans="1:21" s="181" customFormat="1" ht="0" hidden="1" customHeight="1" outlineLevel="4">
      <c r="A3066" s="253" t="s">
        <v>5275</v>
      </c>
      <c r="B3066" s="254"/>
      <c r="C3066" s="250" t="s">
        <v>5273</v>
      </c>
      <c r="D3066" s="212">
        <f>D3065</f>
        <v>0</v>
      </c>
      <c r="E3066" s="204" t="s">
        <v>93</v>
      </c>
      <c r="F3066" s="250" t="s">
        <v>5273</v>
      </c>
      <c r="G3066" s="290">
        <v>1</v>
      </c>
      <c r="H3066" s="204" t="s">
        <v>298</v>
      </c>
      <c r="I3066" s="265">
        <f>D3066*G3066</f>
        <v>0</v>
      </c>
      <c r="J3066" s="204" t="s">
        <v>93</v>
      </c>
      <c r="K3066" s="270"/>
      <c r="L3066" s="210" t="s">
        <v>675</v>
      </c>
      <c r="M3066" s="198">
        <f>ROUND(K3066*I3066/10000,6)</f>
        <v>0</v>
      </c>
      <c r="N3066" s="212">
        <f>'02 项目基础信息（输入）'!$C$81</f>
        <v>0</v>
      </c>
      <c r="O3066" s="203">
        <f t="shared" si="348"/>
        <v>0</v>
      </c>
      <c r="P3066" s="203">
        <f t="shared" si="350"/>
        <v>0</v>
      </c>
      <c r="Q3066" s="271">
        <f t="shared" si="349"/>
        <v>0</v>
      </c>
      <c r="R3066" s="188"/>
      <c r="S3066" s="280"/>
      <c r="T3066" s="222"/>
      <c r="U3066" s="299" t="s">
        <v>5276</v>
      </c>
    </row>
    <row r="3067" spans="1:21" s="181" customFormat="1" ht="0" hidden="1" customHeight="1" outlineLevel="4">
      <c r="A3067" s="253" t="s">
        <v>5277</v>
      </c>
      <c r="B3067" s="254"/>
      <c r="C3067" s="250" t="s">
        <v>5273</v>
      </c>
      <c r="D3067" s="212">
        <f>D3066</f>
        <v>0</v>
      </c>
      <c r="E3067" s="204" t="s">
        <v>93</v>
      </c>
      <c r="F3067" s="250" t="s">
        <v>5273</v>
      </c>
      <c r="G3067" s="290">
        <v>1</v>
      </c>
      <c r="H3067" s="204" t="s">
        <v>298</v>
      </c>
      <c r="I3067" s="265">
        <f>D3067*G3067</f>
        <v>0</v>
      </c>
      <c r="J3067" s="204" t="s">
        <v>93</v>
      </c>
      <c r="K3067" s="270"/>
      <c r="L3067" s="210" t="s">
        <v>675</v>
      </c>
      <c r="M3067" s="198">
        <f>ROUND(K3067*I3067/10000,6)</f>
        <v>0</v>
      </c>
      <c r="N3067" s="212">
        <f>'02 项目基础信息（输入）'!$C$81</f>
        <v>0</v>
      </c>
      <c r="O3067" s="203">
        <f t="shared" si="348"/>
        <v>0</v>
      </c>
      <c r="P3067" s="203">
        <f t="shared" si="350"/>
        <v>0</v>
      </c>
      <c r="Q3067" s="271">
        <f t="shared" si="349"/>
        <v>0</v>
      </c>
      <c r="R3067" s="188"/>
      <c r="S3067" s="280"/>
      <c r="T3067" s="222"/>
      <c r="U3067" s="299" t="s">
        <v>5278</v>
      </c>
    </row>
    <row r="3068" spans="1:21" s="181" customFormat="1" ht="0" hidden="1" customHeight="1" outlineLevel="3">
      <c r="A3068" s="253" t="s">
        <v>5279</v>
      </c>
      <c r="B3068" s="254"/>
      <c r="C3068" s="250" t="s">
        <v>1609</v>
      </c>
      <c r="D3068" s="203">
        <f>'02 项目基础信息（输入）'!$C$81</f>
        <v>0</v>
      </c>
      <c r="E3068" s="204" t="s">
        <v>93</v>
      </c>
      <c r="F3068" s="288"/>
      <c r="G3068" s="314"/>
      <c r="H3068" s="255"/>
      <c r="I3068" s="268"/>
      <c r="J3068" s="255"/>
      <c r="K3068" s="264"/>
      <c r="L3068" s="205"/>
      <c r="M3068" s="198">
        <f>ROUND(SUM(M3069:M3071),6)</f>
        <v>0</v>
      </c>
      <c r="N3068" s="212">
        <f>'02 项目基础信息（输入）'!$C$81</f>
        <v>0</v>
      </c>
      <c r="O3068" s="203">
        <f t="shared" si="348"/>
        <v>0</v>
      </c>
      <c r="P3068" s="203">
        <f t="shared" si="350"/>
        <v>0</v>
      </c>
      <c r="Q3068" s="271">
        <f t="shared" si="349"/>
        <v>0</v>
      </c>
      <c r="R3068" s="188"/>
      <c r="S3068" s="280"/>
      <c r="T3068" s="222"/>
      <c r="U3068" s="298" t="s">
        <v>5280</v>
      </c>
    </row>
    <row r="3069" spans="1:21" s="181" customFormat="1" ht="0" hidden="1" customHeight="1" outlineLevel="4">
      <c r="A3069" s="253" t="s">
        <v>5281</v>
      </c>
      <c r="B3069" s="254"/>
      <c r="C3069" s="250" t="s">
        <v>5282</v>
      </c>
      <c r="D3069" s="273">
        <f>'02 项目基础信息（输入）'!AN81</f>
        <v>0</v>
      </c>
      <c r="E3069" s="204" t="s">
        <v>93</v>
      </c>
      <c r="F3069" s="250" t="s">
        <v>5282</v>
      </c>
      <c r="G3069" s="290">
        <v>1</v>
      </c>
      <c r="H3069" s="204" t="s">
        <v>298</v>
      </c>
      <c r="I3069" s="265">
        <f>D3069*G3069</f>
        <v>0</v>
      </c>
      <c r="J3069" s="204" t="s">
        <v>93</v>
      </c>
      <c r="K3069" s="270"/>
      <c r="L3069" s="210" t="s">
        <v>675</v>
      </c>
      <c r="M3069" s="198">
        <f>ROUND(K3069*I3069/10000,6)</f>
        <v>0</v>
      </c>
      <c r="N3069" s="212">
        <f>'02 项目基础信息（输入）'!$C$81</f>
        <v>0</v>
      </c>
      <c r="O3069" s="203">
        <f t="shared" si="348"/>
        <v>0</v>
      </c>
      <c r="P3069" s="203">
        <f t="shared" si="350"/>
        <v>0</v>
      </c>
      <c r="Q3069" s="271">
        <f t="shared" si="349"/>
        <v>0</v>
      </c>
      <c r="R3069" s="188"/>
      <c r="S3069" s="280"/>
      <c r="T3069" s="222"/>
      <c r="U3069" s="299" t="s">
        <v>5283</v>
      </c>
    </row>
    <row r="3070" spans="1:21" s="181" customFormat="1" ht="0" hidden="1" customHeight="1" outlineLevel="4">
      <c r="A3070" s="253" t="s">
        <v>5284</v>
      </c>
      <c r="B3070" s="254"/>
      <c r="C3070" s="250" t="s">
        <v>5282</v>
      </c>
      <c r="D3070" s="212">
        <f>D3069</f>
        <v>0</v>
      </c>
      <c r="E3070" s="204" t="s">
        <v>93</v>
      </c>
      <c r="F3070" s="250" t="s">
        <v>5282</v>
      </c>
      <c r="G3070" s="290">
        <v>1</v>
      </c>
      <c r="H3070" s="204" t="s">
        <v>298</v>
      </c>
      <c r="I3070" s="265">
        <f>D3070*G3070</f>
        <v>0</v>
      </c>
      <c r="J3070" s="204" t="s">
        <v>93</v>
      </c>
      <c r="K3070" s="270"/>
      <c r="L3070" s="210" t="s">
        <v>675</v>
      </c>
      <c r="M3070" s="198">
        <f>ROUND(K3070*I3070/10000,6)</f>
        <v>0</v>
      </c>
      <c r="N3070" s="212">
        <f>'02 项目基础信息（输入）'!$C$81</f>
        <v>0</v>
      </c>
      <c r="O3070" s="203">
        <f t="shared" si="348"/>
        <v>0</v>
      </c>
      <c r="P3070" s="203">
        <f t="shared" si="350"/>
        <v>0</v>
      </c>
      <c r="Q3070" s="271">
        <f t="shared" si="349"/>
        <v>0</v>
      </c>
      <c r="R3070" s="188"/>
      <c r="S3070" s="280"/>
      <c r="T3070" s="222"/>
      <c r="U3070" s="299" t="s">
        <v>5285</v>
      </c>
    </row>
    <row r="3071" spans="1:21" s="181" customFormat="1" ht="0" hidden="1" customHeight="1" outlineLevel="4">
      <c r="A3071" s="253" t="s">
        <v>5286</v>
      </c>
      <c r="B3071" s="254"/>
      <c r="C3071" s="250" t="s">
        <v>5282</v>
      </c>
      <c r="D3071" s="212">
        <f>D3070</f>
        <v>0</v>
      </c>
      <c r="E3071" s="204" t="s">
        <v>93</v>
      </c>
      <c r="F3071" s="250" t="s">
        <v>5282</v>
      </c>
      <c r="G3071" s="290">
        <v>1</v>
      </c>
      <c r="H3071" s="204" t="s">
        <v>298</v>
      </c>
      <c r="I3071" s="265">
        <f>D3071*G3071</f>
        <v>0</v>
      </c>
      <c r="J3071" s="204" t="s">
        <v>93</v>
      </c>
      <c r="K3071" s="270"/>
      <c r="L3071" s="210" t="s">
        <v>675</v>
      </c>
      <c r="M3071" s="198">
        <f>ROUND(K3071*I3071/10000,6)</f>
        <v>0</v>
      </c>
      <c r="N3071" s="212">
        <f>'02 项目基础信息（输入）'!$C$81</f>
        <v>0</v>
      </c>
      <c r="O3071" s="203">
        <f t="shared" si="348"/>
        <v>0</v>
      </c>
      <c r="P3071" s="203">
        <f t="shared" si="350"/>
        <v>0</v>
      </c>
      <c r="Q3071" s="271">
        <f t="shared" si="349"/>
        <v>0</v>
      </c>
      <c r="R3071" s="188"/>
      <c r="S3071" s="280"/>
      <c r="T3071" s="222"/>
      <c r="U3071" s="298" t="s">
        <v>5287</v>
      </c>
    </row>
    <row r="3072" spans="1:21" s="181" customFormat="1" ht="0" hidden="1" customHeight="1" outlineLevel="3">
      <c r="A3072" s="253" t="s">
        <v>5288</v>
      </c>
      <c r="B3072" s="254"/>
      <c r="C3072" s="250" t="s">
        <v>1609</v>
      </c>
      <c r="D3072" s="203">
        <f>'02 项目基础信息（输入）'!$C$81</f>
        <v>0</v>
      </c>
      <c r="E3072" s="204" t="s">
        <v>93</v>
      </c>
      <c r="F3072" s="288"/>
      <c r="G3072" s="314"/>
      <c r="H3072" s="255"/>
      <c r="I3072" s="268"/>
      <c r="J3072" s="255"/>
      <c r="K3072" s="264"/>
      <c r="L3072" s="205"/>
      <c r="M3072" s="198">
        <f>ROUND(SUM(M3073:M3075),6)</f>
        <v>0</v>
      </c>
      <c r="N3072" s="212">
        <f>'02 项目基础信息（输入）'!$C$81</f>
        <v>0</v>
      </c>
      <c r="O3072" s="203">
        <f t="shared" si="348"/>
        <v>0</v>
      </c>
      <c r="P3072" s="203">
        <f t="shared" si="350"/>
        <v>0</v>
      </c>
      <c r="Q3072" s="271">
        <f t="shared" si="349"/>
        <v>0</v>
      </c>
      <c r="R3072" s="188"/>
      <c r="S3072" s="280"/>
      <c r="T3072" s="222"/>
      <c r="U3072" s="299" t="s">
        <v>5289</v>
      </c>
    </row>
    <row r="3073" spans="1:21" s="181" customFormat="1" ht="0" hidden="1" customHeight="1" outlineLevel="4">
      <c r="A3073" s="253" t="s">
        <v>5290</v>
      </c>
      <c r="B3073" s="254"/>
      <c r="C3073" s="250" t="s">
        <v>5291</v>
      </c>
      <c r="D3073" s="273">
        <f>'02 项目基础信息（输入）'!AO81</f>
        <v>0</v>
      </c>
      <c r="E3073" s="204" t="s">
        <v>93</v>
      </c>
      <c r="F3073" s="250" t="s">
        <v>5291</v>
      </c>
      <c r="G3073" s="290">
        <v>1</v>
      </c>
      <c r="H3073" s="204" t="s">
        <v>298</v>
      </c>
      <c r="I3073" s="265">
        <f>D3073*G3073</f>
        <v>0</v>
      </c>
      <c r="J3073" s="204" t="s">
        <v>93</v>
      </c>
      <c r="K3073" s="270"/>
      <c r="L3073" s="210" t="s">
        <v>675</v>
      </c>
      <c r="M3073" s="198">
        <f>ROUND(K3073*I3073/10000,6)</f>
        <v>0</v>
      </c>
      <c r="N3073" s="212">
        <f>'02 项目基础信息（输入）'!$C$81</f>
        <v>0</v>
      </c>
      <c r="O3073" s="203">
        <f t="shared" si="348"/>
        <v>0</v>
      </c>
      <c r="P3073" s="203">
        <f t="shared" si="350"/>
        <v>0</v>
      </c>
      <c r="Q3073" s="271">
        <f t="shared" si="349"/>
        <v>0</v>
      </c>
      <c r="R3073" s="188"/>
      <c r="S3073" s="280"/>
      <c r="T3073" s="222"/>
      <c r="U3073" s="299" t="s">
        <v>5292</v>
      </c>
    </row>
    <row r="3074" spans="1:21" s="181" customFormat="1" ht="0" hidden="1" customHeight="1" outlineLevel="4">
      <c r="A3074" s="253" t="s">
        <v>5293</v>
      </c>
      <c r="B3074" s="254"/>
      <c r="C3074" s="250" t="s">
        <v>5291</v>
      </c>
      <c r="D3074" s="212">
        <f>D3073</f>
        <v>0</v>
      </c>
      <c r="E3074" s="204" t="s">
        <v>93</v>
      </c>
      <c r="F3074" s="250" t="s">
        <v>5291</v>
      </c>
      <c r="G3074" s="290">
        <v>1</v>
      </c>
      <c r="H3074" s="204" t="s">
        <v>298</v>
      </c>
      <c r="I3074" s="265">
        <f>D3074*G3074</f>
        <v>0</v>
      </c>
      <c r="J3074" s="204" t="s">
        <v>93</v>
      </c>
      <c r="K3074" s="270"/>
      <c r="L3074" s="210" t="s">
        <v>675</v>
      </c>
      <c r="M3074" s="198">
        <f>ROUND(K3074*I3074/10000,6)</f>
        <v>0</v>
      </c>
      <c r="N3074" s="212">
        <f>'02 项目基础信息（输入）'!$C$81</f>
        <v>0</v>
      </c>
      <c r="O3074" s="203">
        <f t="shared" si="348"/>
        <v>0</v>
      </c>
      <c r="P3074" s="203">
        <f t="shared" si="350"/>
        <v>0</v>
      </c>
      <c r="Q3074" s="271">
        <f t="shared" si="349"/>
        <v>0</v>
      </c>
      <c r="R3074" s="188"/>
      <c r="S3074" s="280"/>
      <c r="T3074" s="222"/>
      <c r="U3074" s="299" t="s">
        <v>5294</v>
      </c>
    </row>
    <row r="3075" spans="1:21" s="181" customFormat="1" ht="0" hidden="1" customHeight="1" outlineLevel="4">
      <c r="A3075" s="253" t="s">
        <v>5295</v>
      </c>
      <c r="B3075" s="254"/>
      <c r="C3075" s="250" t="s">
        <v>5291</v>
      </c>
      <c r="D3075" s="212">
        <f>D3074</f>
        <v>0</v>
      </c>
      <c r="E3075" s="204" t="s">
        <v>93</v>
      </c>
      <c r="F3075" s="250" t="s">
        <v>5291</v>
      </c>
      <c r="G3075" s="290">
        <v>1</v>
      </c>
      <c r="H3075" s="204" t="s">
        <v>298</v>
      </c>
      <c r="I3075" s="265">
        <f>D3075*G3075</f>
        <v>0</v>
      </c>
      <c r="J3075" s="204" t="s">
        <v>93</v>
      </c>
      <c r="K3075" s="270"/>
      <c r="L3075" s="210" t="s">
        <v>675</v>
      </c>
      <c r="M3075" s="198">
        <f>ROUND(K3075*I3075/10000,6)</f>
        <v>0</v>
      </c>
      <c r="N3075" s="212">
        <f>'02 项目基础信息（输入）'!$C$81</f>
        <v>0</v>
      </c>
      <c r="O3075" s="203">
        <f t="shared" ref="O3075:O3138" si="351">ROUND(IFERROR(M3075*10000/N3075,0),2)</f>
        <v>0</v>
      </c>
      <c r="P3075" s="203">
        <f t="shared" si="350"/>
        <v>0</v>
      </c>
      <c r="Q3075" s="271">
        <f t="shared" ref="Q3075:Q3138" si="352">ROUND(IFERROR(M3075*10000/P3075,0),2)</f>
        <v>0</v>
      </c>
      <c r="R3075" s="188"/>
      <c r="S3075" s="280"/>
      <c r="T3075" s="222"/>
      <c r="U3075" s="299" t="s">
        <v>5296</v>
      </c>
    </row>
    <row r="3076" spans="1:21" s="181" customFormat="1" ht="0" hidden="1" customHeight="1" outlineLevel="3">
      <c r="A3076" s="253" t="s">
        <v>4572</v>
      </c>
      <c r="B3076" s="254"/>
      <c r="C3076" s="250" t="s">
        <v>1609</v>
      </c>
      <c r="D3076" s="203">
        <f>'02 项目基础信息（输入）'!$C$81</f>
        <v>0</v>
      </c>
      <c r="E3076" s="204" t="s">
        <v>93</v>
      </c>
      <c r="F3076" s="288"/>
      <c r="G3076" s="277"/>
      <c r="H3076" s="255"/>
      <c r="I3076" s="268"/>
      <c r="J3076" s="255"/>
      <c r="K3076" s="264"/>
      <c r="L3076" s="205"/>
      <c r="M3076" s="198">
        <f>ROUND(SUM(M3077:M3078),6)</f>
        <v>0</v>
      </c>
      <c r="N3076" s="212">
        <f>'02 项目基础信息（输入）'!$C$81</f>
        <v>0</v>
      </c>
      <c r="O3076" s="203">
        <f t="shared" si="351"/>
        <v>0</v>
      </c>
      <c r="P3076" s="203">
        <f t="shared" si="350"/>
        <v>0</v>
      </c>
      <c r="Q3076" s="271">
        <f t="shared" si="352"/>
        <v>0</v>
      </c>
      <c r="R3076" s="188"/>
      <c r="S3076" s="280"/>
      <c r="T3076" s="222"/>
      <c r="U3076" s="299" t="s">
        <v>5297</v>
      </c>
    </row>
    <row r="3077" spans="1:21" s="181" customFormat="1" ht="0" hidden="1" customHeight="1" outlineLevel="4">
      <c r="A3077" s="253" t="s">
        <v>4574</v>
      </c>
      <c r="B3077" s="254"/>
      <c r="C3077" s="250" t="s">
        <v>4575</v>
      </c>
      <c r="D3077" s="273">
        <f>'02 项目基础信息（输入）'!AQ81</f>
        <v>0</v>
      </c>
      <c r="E3077" s="204" t="s">
        <v>93</v>
      </c>
      <c r="F3077" s="202" t="s">
        <v>4576</v>
      </c>
      <c r="G3077" s="204">
        <v>1</v>
      </c>
      <c r="H3077" s="204" t="s">
        <v>298</v>
      </c>
      <c r="I3077" s="265">
        <f>D3077*G3077</f>
        <v>0</v>
      </c>
      <c r="J3077" s="204" t="s">
        <v>93</v>
      </c>
      <c r="K3077" s="270"/>
      <c r="L3077" s="210" t="s">
        <v>1749</v>
      </c>
      <c r="M3077" s="198">
        <f>ROUND(K3077*I3077/10000,6)</f>
        <v>0</v>
      </c>
      <c r="N3077" s="212">
        <f>'02 项目基础信息（输入）'!$C$81</f>
        <v>0</v>
      </c>
      <c r="O3077" s="203">
        <f t="shared" si="351"/>
        <v>0</v>
      </c>
      <c r="P3077" s="203">
        <f t="shared" si="350"/>
        <v>0</v>
      </c>
      <c r="Q3077" s="271">
        <f t="shared" si="352"/>
        <v>0</v>
      </c>
      <c r="R3077" s="188"/>
      <c r="S3077" s="280"/>
      <c r="T3077" s="222"/>
      <c r="U3077" s="299" t="s">
        <v>5298</v>
      </c>
    </row>
    <row r="3078" spans="1:21" s="181" customFormat="1" ht="0" hidden="1" customHeight="1" outlineLevel="4">
      <c r="A3078" s="253" t="s">
        <v>4578</v>
      </c>
      <c r="B3078" s="254"/>
      <c r="C3078" s="250" t="s">
        <v>4575</v>
      </c>
      <c r="D3078" s="212">
        <f>D3077</f>
        <v>0</v>
      </c>
      <c r="E3078" s="204" t="s">
        <v>93</v>
      </c>
      <c r="F3078" s="202" t="s">
        <v>4576</v>
      </c>
      <c r="G3078" s="204">
        <v>1</v>
      </c>
      <c r="H3078" s="204" t="s">
        <v>298</v>
      </c>
      <c r="I3078" s="265">
        <f>D3078*G3078</f>
        <v>0</v>
      </c>
      <c r="J3078" s="204" t="s">
        <v>93</v>
      </c>
      <c r="K3078" s="270"/>
      <c r="L3078" s="210" t="s">
        <v>1749</v>
      </c>
      <c r="M3078" s="198">
        <f>ROUND(K3078*I3078/10000,6)</f>
        <v>0</v>
      </c>
      <c r="N3078" s="212">
        <f>'02 项目基础信息（输入）'!$C$81</f>
        <v>0</v>
      </c>
      <c r="O3078" s="203">
        <f t="shared" si="351"/>
        <v>0</v>
      </c>
      <c r="P3078" s="203">
        <f t="shared" si="350"/>
        <v>0</v>
      </c>
      <c r="Q3078" s="271">
        <f t="shared" si="352"/>
        <v>0</v>
      </c>
      <c r="R3078" s="188"/>
      <c r="S3078" s="280"/>
      <c r="T3078" s="222"/>
      <c r="U3078" s="299" t="s">
        <v>5299</v>
      </c>
    </row>
    <row r="3079" spans="1:21" s="181" customFormat="1" ht="0" hidden="1" customHeight="1" outlineLevel="3">
      <c r="A3079" s="253" t="s">
        <v>4580</v>
      </c>
      <c r="B3079" s="254"/>
      <c r="C3079" s="250" t="s">
        <v>4581</v>
      </c>
      <c r="D3079" s="289">
        <f>'02 项目基础信息（输入）'!BA81</f>
        <v>0</v>
      </c>
      <c r="E3079" s="204" t="s">
        <v>1082</v>
      </c>
      <c r="F3079" s="250" t="s">
        <v>4581</v>
      </c>
      <c r="G3079" s="204">
        <v>1</v>
      </c>
      <c r="H3079" s="204" t="s">
        <v>1918</v>
      </c>
      <c r="I3079" s="265">
        <f>D3079*G3079</f>
        <v>0</v>
      </c>
      <c r="J3079" s="204" t="s">
        <v>400</v>
      </c>
      <c r="K3079" s="270"/>
      <c r="L3079" s="210" t="s">
        <v>1087</v>
      </c>
      <c r="M3079" s="198">
        <f>ROUND(K3079*I3079/10000,6)</f>
        <v>0</v>
      </c>
      <c r="N3079" s="212">
        <f>'02 项目基础信息（输入）'!$C$81</f>
        <v>0</v>
      </c>
      <c r="O3079" s="203">
        <f t="shared" si="351"/>
        <v>0</v>
      </c>
      <c r="P3079" s="203">
        <f t="shared" si="350"/>
        <v>0</v>
      </c>
      <c r="Q3079" s="271">
        <f t="shared" si="352"/>
        <v>0</v>
      </c>
      <c r="R3079" s="188"/>
      <c r="S3079" s="280"/>
      <c r="T3079" s="222"/>
      <c r="U3079" s="299" t="s">
        <v>5300</v>
      </c>
    </row>
    <row r="3080" spans="1:21" s="181" customFormat="1" ht="0" hidden="1" customHeight="1" outlineLevel="3">
      <c r="A3080" s="253" t="s">
        <v>4583</v>
      </c>
      <c r="B3080" s="254"/>
      <c r="C3080" s="250" t="s">
        <v>1609</v>
      </c>
      <c r="D3080" s="203">
        <f>'02 项目基础信息（输入）'!$C$81</f>
        <v>0</v>
      </c>
      <c r="E3080" s="204" t="s">
        <v>93</v>
      </c>
      <c r="F3080" s="250" t="s">
        <v>4584</v>
      </c>
      <c r="G3080" s="210">
        <f>IFERROR(I3080/D3080,0)</f>
        <v>0</v>
      </c>
      <c r="H3080" s="204" t="s">
        <v>298</v>
      </c>
      <c r="I3080" s="285"/>
      <c r="J3080" s="204" t="s">
        <v>93</v>
      </c>
      <c r="K3080" s="270"/>
      <c r="L3080" s="210" t="s">
        <v>675</v>
      </c>
      <c r="M3080" s="198">
        <f>ROUND(K3080*I3080/10000,6)</f>
        <v>0</v>
      </c>
      <c r="N3080" s="212">
        <f>'02 项目基础信息（输入）'!$C$81</f>
        <v>0</v>
      </c>
      <c r="O3080" s="203">
        <f t="shared" si="351"/>
        <v>0</v>
      </c>
      <c r="P3080" s="203">
        <f t="shared" si="350"/>
        <v>0</v>
      </c>
      <c r="Q3080" s="271">
        <f t="shared" si="352"/>
        <v>0</v>
      </c>
      <c r="R3080" s="188"/>
      <c r="S3080" s="280"/>
      <c r="T3080" s="222"/>
      <c r="U3080" s="299" t="s">
        <v>5301</v>
      </c>
    </row>
    <row r="3081" spans="1:21" s="181" customFormat="1" ht="0" hidden="1" customHeight="1" outlineLevel="3">
      <c r="A3081" s="253" t="s">
        <v>4586</v>
      </c>
      <c r="B3081" s="254"/>
      <c r="C3081" s="250" t="s">
        <v>1609</v>
      </c>
      <c r="D3081" s="203">
        <f>'02 项目基础信息（输入）'!$C$81</f>
        <v>0</v>
      </c>
      <c r="E3081" s="204" t="s">
        <v>93</v>
      </c>
      <c r="F3081" s="250" t="s">
        <v>1960</v>
      </c>
      <c r="G3081" s="237"/>
      <c r="H3081" s="278" t="s">
        <v>123</v>
      </c>
      <c r="I3081" s="268">
        <f>G3081*D3081/100</f>
        <v>0</v>
      </c>
      <c r="J3081" s="204" t="s">
        <v>93</v>
      </c>
      <c r="K3081" s="270"/>
      <c r="L3081" s="210" t="s">
        <v>675</v>
      </c>
      <c r="M3081" s="198">
        <f>ROUND(K3081*I3081/10000,6)</f>
        <v>0</v>
      </c>
      <c r="N3081" s="212">
        <f>'02 项目基础信息（输入）'!$C$81</f>
        <v>0</v>
      </c>
      <c r="O3081" s="203">
        <f t="shared" si="351"/>
        <v>0</v>
      </c>
      <c r="P3081" s="203">
        <f t="shared" si="350"/>
        <v>0</v>
      </c>
      <c r="Q3081" s="271">
        <f t="shared" si="352"/>
        <v>0</v>
      </c>
      <c r="R3081" s="188"/>
      <c r="S3081" s="280"/>
      <c r="T3081" s="222"/>
      <c r="U3081" s="299" t="s">
        <v>5302</v>
      </c>
    </row>
    <row r="3082" spans="1:21" s="181" customFormat="1" ht="0" hidden="1" customHeight="1" outlineLevel="3">
      <c r="A3082" s="253" t="s">
        <v>4588</v>
      </c>
      <c r="B3082" s="254"/>
      <c r="C3082" s="250" t="s">
        <v>1665</v>
      </c>
      <c r="D3082" s="203">
        <f>ROUND(M3016+M3020+M3024+M3028+M3032+M3036+M3040+M3044+M3048+M3052+M3056+M3060+M3064+M3068+M3072+M3076+M3079+M3080+M3081,6)*10000</f>
        <v>0</v>
      </c>
      <c r="E3082" s="204" t="s">
        <v>1666</v>
      </c>
      <c r="F3082" s="202" t="s">
        <v>1667</v>
      </c>
      <c r="G3082" s="258">
        <f>IFERROR(I3082*100/D3082,0)</f>
        <v>0</v>
      </c>
      <c r="H3082" s="204" t="s">
        <v>123</v>
      </c>
      <c r="I3082" s="265">
        <f>N3082*K3082</f>
        <v>0</v>
      </c>
      <c r="J3082" s="204" t="s">
        <v>1666</v>
      </c>
      <c r="K3082" s="269"/>
      <c r="L3082" s="210" t="s">
        <v>675</v>
      </c>
      <c r="M3082" s="231">
        <f>ROUND(I3082/10000,6)</f>
        <v>0</v>
      </c>
      <c r="N3082" s="212">
        <f>'02 项目基础信息（输入）'!$C$81</f>
        <v>0</v>
      </c>
      <c r="O3082" s="203">
        <f t="shared" si="351"/>
        <v>0</v>
      </c>
      <c r="P3082" s="203">
        <f t="shared" ref="P3082:P3145" si="353">N3082</f>
        <v>0</v>
      </c>
      <c r="Q3082" s="271">
        <f t="shared" si="352"/>
        <v>0</v>
      </c>
      <c r="R3082" s="188"/>
      <c r="S3082" s="280"/>
      <c r="T3082" s="222"/>
      <c r="U3082" s="299" t="s">
        <v>5303</v>
      </c>
    </row>
    <row r="3083" spans="1:21" ht="0" hidden="1" customHeight="1" outlineLevel="2">
      <c r="A3083" s="201" t="s">
        <v>4590</v>
      </c>
      <c r="B3083" s="201"/>
      <c r="C3083" s="202" t="s">
        <v>1609</v>
      </c>
      <c r="D3083" s="203">
        <f>'02 项目基础信息（输入）'!$C$81</f>
        <v>0</v>
      </c>
      <c r="E3083" s="204" t="s">
        <v>93</v>
      </c>
      <c r="F3083" s="256"/>
      <c r="G3083" s="255"/>
      <c r="H3083" s="255"/>
      <c r="I3083" s="212"/>
      <c r="J3083" s="255"/>
      <c r="K3083" s="264"/>
      <c r="L3083" s="205"/>
      <c r="M3083" s="198">
        <f>M3084+M3092</f>
        <v>0</v>
      </c>
      <c r="N3083" s="212">
        <f>'02 项目基础信息（输入）'!$C$81</f>
        <v>0</v>
      </c>
      <c r="O3083" s="203">
        <f t="shared" si="351"/>
        <v>0</v>
      </c>
      <c r="P3083" s="203">
        <f t="shared" si="353"/>
        <v>0</v>
      </c>
      <c r="Q3083" s="271">
        <f t="shared" si="352"/>
        <v>0</v>
      </c>
      <c r="S3083" s="280" t="s">
        <v>1314</v>
      </c>
      <c r="T3083" s="222"/>
      <c r="U3083" s="299" t="s">
        <v>5304</v>
      </c>
    </row>
    <row r="3084" spans="1:21" ht="0" hidden="1" customHeight="1" outlineLevel="3">
      <c r="A3084" s="201" t="s">
        <v>4592</v>
      </c>
      <c r="B3084" s="201"/>
      <c r="C3084" s="202" t="s">
        <v>1609</v>
      </c>
      <c r="D3084" s="203">
        <f>'02 项目基础信息（输入）'!$C$81</f>
        <v>0</v>
      </c>
      <c r="E3084" s="204" t="s">
        <v>93</v>
      </c>
      <c r="F3084" s="202"/>
      <c r="G3084" s="204"/>
      <c r="H3084" s="204"/>
      <c r="I3084" s="203"/>
      <c r="J3084" s="255"/>
      <c r="K3084" s="264"/>
      <c r="L3084" s="205"/>
      <c r="M3084" s="198">
        <f>ROUND(M3085+M3088+M3091,6)</f>
        <v>0</v>
      </c>
      <c r="N3084" s="212">
        <f>'02 项目基础信息（输入）'!$C$81</f>
        <v>0</v>
      </c>
      <c r="O3084" s="203">
        <f t="shared" si="351"/>
        <v>0</v>
      </c>
      <c r="P3084" s="203">
        <f t="shared" si="353"/>
        <v>0</v>
      </c>
      <c r="Q3084" s="271">
        <f t="shared" si="352"/>
        <v>0</v>
      </c>
      <c r="S3084" s="280"/>
      <c r="T3084" s="222"/>
      <c r="U3084" s="299" t="s">
        <v>5305</v>
      </c>
    </row>
    <row r="3085" spans="1:21" s="181" customFormat="1" ht="0" hidden="1" customHeight="1" outlineLevel="4">
      <c r="A3085" s="253" t="s">
        <v>4594</v>
      </c>
      <c r="B3085" s="254"/>
      <c r="C3085" s="250" t="s">
        <v>1609</v>
      </c>
      <c r="D3085" s="203">
        <f>'02 项目基础信息（输入）'!$C$81</f>
        <v>0</v>
      </c>
      <c r="E3085" s="204" t="s">
        <v>93</v>
      </c>
      <c r="F3085" s="202"/>
      <c r="G3085" s="280"/>
      <c r="H3085" s="204"/>
      <c r="I3085" s="268"/>
      <c r="J3085" s="204"/>
      <c r="K3085" s="203"/>
      <c r="L3085" s="210"/>
      <c r="M3085" s="198">
        <f>ROUND(SUM(M3086:M3087),6)</f>
        <v>0</v>
      </c>
      <c r="N3085" s="212">
        <f>'02 项目基础信息（输入）'!$C$81</f>
        <v>0</v>
      </c>
      <c r="O3085" s="203">
        <f t="shared" si="351"/>
        <v>0</v>
      </c>
      <c r="P3085" s="203">
        <f t="shared" si="353"/>
        <v>0</v>
      </c>
      <c r="Q3085" s="271">
        <f t="shared" si="352"/>
        <v>0</v>
      </c>
      <c r="R3085" s="188"/>
      <c r="S3085" s="280"/>
      <c r="T3085" s="222"/>
      <c r="U3085" s="299" t="s">
        <v>5306</v>
      </c>
    </row>
    <row r="3086" spans="1:21" s="181" customFormat="1" ht="0" hidden="1" customHeight="1" outlineLevel="5">
      <c r="A3086" s="253" t="s">
        <v>4596</v>
      </c>
      <c r="B3086" s="254"/>
      <c r="C3086" s="250" t="s">
        <v>1609</v>
      </c>
      <c r="D3086" s="203">
        <f>'02 项目基础信息（输入）'!$C$81</f>
        <v>0</v>
      </c>
      <c r="E3086" s="204" t="s">
        <v>93</v>
      </c>
      <c r="F3086" s="202" t="s">
        <v>4597</v>
      </c>
      <c r="G3086" s="210">
        <f>IFERROR(I3086/D3086,0)</f>
        <v>0</v>
      </c>
      <c r="H3086" s="204" t="s">
        <v>4598</v>
      </c>
      <c r="I3086" s="292"/>
      <c r="J3086" s="204" t="s">
        <v>1052</v>
      </c>
      <c r="K3086" s="270"/>
      <c r="L3086" s="210" t="s">
        <v>746</v>
      </c>
      <c r="M3086" s="198">
        <f>ROUND(K3086*I3086/10000,6)</f>
        <v>0</v>
      </c>
      <c r="N3086" s="212">
        <f>'02 项目基础信息（输入）'!$C$81</f>
        <v>0</v>
      </c>
      <c r="O3086" s="203">
        <f t="shared" si="351"/>
        <v>0</v>
      </c>
      <c r="P3086" s="203">
        <f t="shared" si="353"/>
        <v>0</v>
      </c>
      <c r="Q3086" s="271">
        <f t="shared" si="352"/>
        <v>0</v>
      </c>
      <c r="R3086" s="188"/>
      <c r="S3086" s="280"/>
      <c r="T3086" s="222"/>
      <c r="U3086" s="299" t="s">
        <v>5307</v>
      </c>
    </row>
    <row r="3087" spans="1:21" s="181" customFormat="1" ht="0" hidden="1" customHeight="1" outlineLevel="5">
      <c r="A3087" s="253" t="s">
        <v>4600</v>
      </c>
      <c r="B3087" s="254"/>
      <c r="C3087" s="250" t="s">
        <v>1609</v>
      </c>
      <c r="D3087" s="203">
        <f>'02 项目基础信息（输入）'!$C$81</f>
        <v>0</v>
      </c>
      <c r="E3087" s="204" t="s">
        <v>93</v>
      </c>
      <c r="F3087" s="202" t="s">
        <v>4597</v>
      </c>
      <c r="G3087" s="210">
        <f>IFERROR(I3087/D3087,0)</f>
        <v>0</v>
      </c>
      <c r="H3087" s="204" t="s">
        <v>4598</v>
      </c>
      <c r="I3087" s="212">
        <f>I3086</f>
        <v>0</v>
      </c>
      <c r="J3087" s="204" t="s">
        <v>1052</v>
      </c>
      <c r="K3087" s="270"/>
      <c r="L3087" s="210" t="s">
        <v>746</v>
      </c>
      <c r="M3087" s="198">
        <f>ROUND(K3087*I3087/10000,6)</f>
        <v>0</v>
      </c>
      <c r="N3087" s="212">
        <f>'02 项目基础信息（输入）'!$C$81</f>
        <v>0</v>
      </c>
      <c r="O3087" s="203">
        <f t="shared" si="351"/>
        <v>0</v>
      </c>
      <c r="P3087" s="203">
        <f t="shared" si="353"/>
        <v>0</v>
      </c>
      <c r="Q3087" s="271">
        <f t="shared" si="352"/>
        <v>0</v>
      </c>
      <c r="R3087" s="188"/>
      <c r="S3087" s="280"/>
      <c r="T3087" s="222"/>
      <c r="U3087" s="299" t="s">
        <v>5308</v>
      </c>
    </row>
    <row r="3088" spans="1:21" s="181" customFormat="1" ht="0" hidden="1" customHeight="1" outlineLevel="4">
      <c r="A3088" s="253" t="s">
        <v>4602</v>
      </c>
      <c r="B3088" s="254"/>
      <c r="C3088" s="250" t="s">
        <v>1609</v>
      </c>
      <c r="D3088" s="203">
        <f>'02 项目基础信息（输入）'!$C$81</f>
        <v>0</v>
      </c>
      <c r="E3088" s="204" t="s">
        <v>93</v>
      </c>
      <c r="F3088" s="202"/>
      <c r="G3088" s="280"/>
      <c r="H3088" s="204"/>
      <c r="I3088" s="268"/>
      <c r="J3088" s="204"/>
      <c r="K3088" s="203"/>
      <c r="L3088" s="210"/>
      <c r="M3088" s="198">
        <f>ROUND(SUM(M3089:M3090),6)</f>
        <v>0</v>
      </c>
      <c r="N3088" s="212">
        <f>'02 项目基础信息（输入）'!$C$81</f>
        <v>0</v>
      </c>
      <c r="O3088" s="203">
        <f t="shared" si="351"/>
        <v>0</v>
      </c>
      <c r="P3088" s="203">
        <f t="shared" si="353"/>
        <v>0</v>
      </c>
      <c r="Q3088" s="271">
        <f t="shared" si="352"/>
        <v>0</v>
      </c>
      <c r="R3088" s="188"/>
      <c r="S3088" s="280"/>
      <c r="T3088" s="222"/>
      <c r="U3088" s="299" t="s">
        <v>5309</v>
      </c>
    </row>
    <row r="3089" spans="1:21" s="181" customFormat="1" ht="0" hidden="1" customHeight="1" outlineLevel="5">
      <c r="A3089" s="253" t="s">
        <v>4604</v>
      </c>
      <c r="B3089" s="254"/>
      <c r="C3089" s="250" t="s">
        <v>1609</v>
      </c>
      <c r="D3089" s="203">
        <f>'02 项目基础信息（输入）'!$C$81</f>
        <v>0</v>
      </c>
      <c r="E3089" s="204" t="s">
        <v>93</v>
      </c>
      <c r="F3089" s="202" t="s">
        <v>4605</v>
      </c>
      <c r="G3089" s="210">
        <f>IFERROR(I3089/D3089,0)</f>
        <v>0</v>
      </c>
      <c r="H3089" s="204" t="s">
        <v>4606</v>
      </c>
      <c r="I3089" s="292"/>
      <c r="J3089" s="204" t="s">
        <v>1946</v>
      </c>
      <c r="K3089" s="270"/>
      <c r="L3089" s="210" t="s">
        <v>1948</v>
      </c>
      <c r="M3089" s="198">
        <f>ROUND(K3089*I3089/10000,6)</f>
        <v>0</v>
      </c>
      <c r="N3089" s="212">
        <f>'02 项目基础信息（输入）'!$C$81</f>
        <v>0</v>
      </c>
      <c r="O3089" s="203">
        <f t="shared" si="351"/>
        <v>0</v>
      </c>
      <c r="P3089" s="203">
        <f t="shared" si="353"/>
        <v>0</v>
      </c>
      <c r="Q3089" s="271">
        <f t="shared" si="352"/>
        <v>0</v>
      </c>
      <c r="R3089" s="188"/>
      <c r="S3089" s="280"/>
      <c r="T3089" s="222"/>
      <c r="U3089" s="299" t="s">
        <v>5310</v>
      </c>
    </row>
    <row r="3090" spans="1:21" s="181" customFormat="1" ht="0" hidden="1" customHeight="1" outlineLevel="5">
      <c r="A3090" s="253" t="s">
        <v>4608</v>
      </c>
      <c r="B3090" s="254"/>
      <c r="C3090" s="250" t="s">
        <v>1609</v>
      </c>
      <c r="D3090" s="203">
        <f>'02 项目基础信息（输入）'!$C$81</f>
        <v>0</v>
      </c>
      <c r="E3090" s="204" t="s">
        <v>93</v>
      </c>
      <c r="F3090" s="202" t="s">
        <v>4605</v>
      </c>
      <c r="G3090" s="210">
        <f>IFERROR(I3090/D3090,0)</f>
        <v>0</v>
      </c>
      <c r="H3090" s="204" t="s">
        <v>4606</v>
      </c>
      <c r="I3090" s="212">
        <f>I3089</f>
        <v>0</v>
      </c>
      <c r="J3090" s="204" t="s">
        <v>1946</v>
      </c>
      <c r="K3090" s="270"/>
      <c r="L3090" s="210" t="s">
        <v>1948</v>
      </c>
      <c r="M3090" s="198">
        <f>ROUND(K3090*I3090/10000,6)</f>
        <v>0</v>
      </c>
      <c r="N3090" s="212">
        <f>'02 项目基础信息（输入）'!$C$81</f>
        <v>0</v>
      </c>
      <c r="O3090" s="203">
        <f t="shared" si="351"/>
        <v>0</v>
      </c>
      <c r="P3090" s="203">
        <f t="shared" si="353"/>
        <v>0</v>
      </c>
      <c r="Q3090" s="271">
        <f t="shared" si="352"/>
        <v>0</v>
      </c>
      <c r="R3090" s="188"/>
      <c r="S3090" s="280"/>
      <c r="T3090" s="222"/>
      <c r="U3090" s="299" t="s">
        <v>5311</v>
      </c>
    </row>
    <row r="3091" spans="1:21" s="181" customFormat="1" ht="0" hidden="1" customHeight="1" outlineLevel="4">
      <c r="A3091" s="253" t="s">
        <v>4610</v>
      </c>
      <c r="B3091" s="254"/>
      <c r="C3091" s="250" t="s">
        <v>1609</v>
      </c>
      <c r="D3091" s="203">
        <f>'02 项目基础信息（输入）'!$C$81</f>
        <v>0</v>
      </c>
      <c r="E3091" s="204" t="s">
        <v>93</v>
      </c>
      <c r="F3091" s="202" t="s">
        <v>1648</v>
      </c>
      <c r="G3091" s="290">
        <v>1</v>
      </c>
      <c r="H3091" s="204" t="s">
        <v>298</v>
      </c>
      <c r="I3091" s="265">
        <f>D3091*G3091</f>
        <v>0</v>
      </c>
      <c r="J3091" s="204" t="s">
        <v>93</v>
      </c>
      <c r="K3091" s="270"/>
      <c r="L3091" s="210" t="s">
        <v>675</v>
      </c>
      <c r="M3091" s="198">
        <f>ROUND(K3091*I3091/10000,6)</f>
        <v>0</v>
      </c>
      <c r="N3091" s="212">
        <f>'02 项目基础信息（输入）'!$C$81</f>
        <v>0</v>
      </c>
      <c r="O3091" s="203">
        <f t="shared" si="351"/>
        <v>0</v>
      </c>
      <c r="P3091" s="203">
        <f t="shared" si="353"/>
        <v>0</v>
      </c>
      <c r="Q3091" s="271">
        <f t="shared" si="352"/>
        <v>0</v>
      </c>
      <c r="R3091" s="188"/>
      <c r="S3091" s="280"/>
      <c r="T3091" s="222"/>
      <c r="U3091" s="299" t="s">
        <v>5312</v>
      </c>
    </row>
    <row r="3092" spans="1:21" ht="0" hidden="1" customHeight="1" outlineLevel="3">
      <c r="A3092" s="201" t="s">
        <v>4612</v>
      </c>
      <c r="B3092" s="201"/>
      <c r="C3092" s="202" t="s">
        <v>1609</v>
      </c>
      <c r="D3092" s="203">
        <f>'02 项目基础信息（输入）'!$C$81</f>
        <v>0</v>
      </c>
      <c r="E3092" s="204" t="s">
        <v>93</v>
      </c>
      <c r="F3092" s="202">
        <v>5</v>
      </c>
      <c r="G3092" s="204"/>
      <c r="H3092" s="204"/>
      <c r="I3092" s="212"/>
      <c r="J3092" s="255"/>
      <c r="K3092" s="231"/>
      <c r="L3092" s="205"/>
      <c r="M3092" s="198">
        <f>ROUND(SUM(M3093:M3095),6)</f>
        <v>0</v>
      </c>
      <c r="N3092" s="212">
        <f>'02 项目基础信息（输入）'!$C$81</f>
        <v>0</v>
      </c>
      <c r="O3092" s="203">
        <f t="shared" si="351"/>
        <v>0</v>
      </c>
      <c r="P3092" s="203">
        <f t="shared" si="353"/>
        <v>0</v>
      </c>
      <c r="Q3092" s="271">
        <f t="shared" si="352"/>
        <v>0</v>
      </c>
      <c r="S3092" s="280"/>
      <c r="T3092" s="222"/>
      <c r="U3092" s="299" t="s">
        <v>5313</v>
      </c>
    </row>
    <row r="3093" spans="1:21" s="181" customFormat="1" ht="0" hidden="1" customHeight="1" outlineLevel="5">
      <c r="A3093" s="253" t="s">
        <v>4614</v>
      </c>
      <c r="B3093" s="253"/>
      <c r="C3093" s="202" t="s">
        <v>1609</v>
      </c>
      <c r="D3093" s="203">
        <f>'02 项目基础信息（输入）'!$C$81</f>
        <v>0</v>
      </c>
      <c r="E3093" s="204" t="s">
        <v>93</v>
      </c>
      <c r="F3093" s="202" t="s">
        <v>4615</v>
      </c>
      <c r="G3093" s="210">
        <f>IFERROR(I3093/D3093,0)</f>
        <v>0</v>
      </c>
      <c r="H3093" s="204" t="s">
        <v>4598</v>
      </c>
      <c r="I3093" s="315">
        <f>'03 成本测算（输入）'!D316</f>
        <v>0</v>
      </c>
      <c r="J3093" s="204" t="s">
        <v>1052</v>
      </c>
      <c r="K3093" s="267">
        <f>'03 成本测算（输入）'!D317</f>
        <v>0</v>
      </c>
      <c r="L3093" s="210" t="s">
        <v>746</v>
      </c>
      <c r="M3093" s="198">
        <f>ROUND(K3093*I3093/10000,6)</f>
        <v>0</v>
      </c>
      <c r="N3093" s="212">
        <f>'02 项目基础信息（输入）'!$C$81</f>
        <v>0</v>
      </c>
      <c r="O3093" s="203">
        <f t="shared" si="351"/>
        <v>0</v>
      </c>
      <c r="P3093" s="203">
        <f t="shared" si="353"/>
        <v>0</v>
      </c>
      <c r="Q3093" s="271">
        <f t="shared" si="352"/>
        <v>0</v>
      </c>
      <c r="R3093" s="188"/>
      <c r="S3093" s="280"/>
      <c r="T3093" s="222"/>
      <c r="U3093" s="298" t="s">
        <v>5314</v>
      </c>
    </row>
    <row r="3094" spans="1:21" s="181" customFormat="1" ht="0" hidden="1" customHeight="1" outlineLevel="5">
      <c r="A3094" s="253" t="s">
        <v>4617</v>
      </c>
      <c r="B3094" s="253"/>
      <c r="C3094" s="202" t="s">
        <v>1609</v>
      </c>
      <c r="D3094" s="203">
        <f>'02 项目基础信息（输入）'!$C$81</f>
        <v>0</v>
      </c>
      <c r="E3094" s="204" t="s">
        <v>93</v>
      </c>
      <c r="F3094" s="202" t="s">
        <v>4618</v>
      </c>
      <c r="G3094" s="210">
        <f>IFERROR(I3094/D3094,0)</f>
        <v>0</v>
      </c>
      <c r="H3094" s="204" t="s">
        <v>4598</v>
      </c>
      <c r="I3094" s="316"/>
      <c r="J3094" s="204" t="s">
        <v>1052</v>
      </c>
      <c r="K3094" s="270"/>
      <c r="L3094" s="210" t="s">
        <v>746</v>
      </c>
      <c r="M3094" s="198">
        <f>ROUND(K3094*I3094/10000,6)</f>
        <v>0</v>
      </c>
      <c r="N3094" s="212">
        <f>'02 项目基础信息（输入）'!$C$81</f>
        <v>0</v>
      </c>
      <c r="O3094" s="203">
        <f t="shared" si="351"/>
        <v>0</v>
      </c>
      <c r="P3094" s="203">
        <f t="shared" si="353"/>
        <v>0</v>
      </c>
      <c r="Q3094" s="271">
        <f t="shared" si="352"/>
        <v>0</v>
      </c>
      <c r="R3094" s="188"/>
      <c r="S3094" s="280"/>
      <c r="T3094" s="222"/>
      <c r="U3094" s="299" t="s">
        <v>5315</v>
      </c>
    </row>
    <row r="3095" spans="1:21" s="181" customFormat="1" ht="0" hidden="1" customHeight="1" outlineLevel="5">
      <c r="A3095" s="253" t="s">
        <v>4620</v>
      </c>
      <c r="B3095" s="253"/>
      <c r="C3095" s="202" t="s">
        <v>1609</v>
      </c>
      <c r="D3095" s="203">
        <f>'02 项目基础信息（输入）'!$C$81</f>
        <v>0</v>
      </c>
      <c r="E3095" s="204" t="s">
        <v>93</v>
      </c>
      <c r="F3095" s="202" t="s">
        <v>4621</v>
      </c>
      <c r="G3095" s="210">
        <f>IFERROR(I3095/D3095,0)</f>
        <v>0</v>
      </c>
      <c r="H3095" s="204" t="s">
        <v>4598</v>
      </c>
      <c r="I3095" s="316"/>
      <c r="J3095" s="204" t="s">
        <v>1052</v>
      </c>
      <c r="K3095" s="270"/>
      <c r="L3095" s="210" t="s">
        <v>746</v>
      </c>
      <c r="M3095" s="198">
        <f>ROUND(K3095*I3095/10000,6)</f>
        <v>0</v>
      </c>
      <c r="N3095" s="212">
        <f>'02 项目基础信息（输入）'!$C$81</f>
        <v>0</v>
      </c>
      <c r="O3095" s="203">
        <f t="shared" si="351"/>
        <v>0</v>
      </c>
      <c r="P3095" s="203">
        <f t="shared" si="353"/>
        <v>0</v>
      </c>
      <c r="Q3095" s="271">
        <f t="shared" si="352"/>
        <v>0</v>
      </c>
      <c r="R3095" s="188"/>
      <c r="S3095" s="280"/>
      <c r="T3095" s="222"/>
      <c r="U3095" s="299" t="s">
        <v>5316</v>
      </c>
    </row>
    <row r="3096" spans="1:21" ht="0" hidden="1" customHeight="1" outlineLevel="2">
      <c r="A3096" s="201" t="s">
        <v>4623</v>
      </c>
      <c r="B3096" s="201"/>
      <c r="C3096" s="202" t="s">
        <v>1609</v>
      </c>
      <c r="D3096" s="203">
        <f>'02 项目基础信息（输入）'!$C$81</f>
        <v>0</v>
      </c>
      <c r="E3096" s="204" t="s">
        <v>93</v>
      </c>
      <c r="F3096" s="256"/>
      <c r="G3096" s="255"/>
      <c r="H3096" s="255"/>
      <c r="I3096" s="212"/>
      <c r="J3096" s="255"/>
      <c r="K3096" s="264"/>
      <c r="L3096" s="205"/>
      <c r="M3096" s="198">
        <f>ROUND(SUM(M3097:M3099),6)</f>
        <v>0</v>
      </c>
      <c r="N3096" s="212">
        <f>'02 项目基础信息（输入）'!$C$81</f>
        <v>0</v>
      </c>
      <c r="O3096" s="203">
        <f t="shared" si="351"/>
        <v>0</v>
      </c>
      <c r="P3096" s="203">
        <f t="shared" si="353"/>
        <v>0</v>
      </c>
      <c r="Q3096" s="271">
        <f t="shared" si="352"/>
        <v>0</v>
      </c>
      <c r="S3096" s="280" t="s">
        <v>1314</v>
      </c>
      <c r="T3096" s="222"/>
      <c r="U3096" s="299" t="s">
        <v>5317</v>
      </c>
    </row>
    <row r="3097" spans="1:21" s="181" customFormat="1" ht="0" hidden="1" customHeight="1" outlineLevel="3">
      <c r="A3097" s="253" t="s">
        <v>4625</v>
      </c>
      <c r="B3097" s="254"/>
      <c r="C3097" s="250" t="s">
        <v>1609</v>
      </c>
      <c r="D3097" s="203">
        <f>'02 项目基础信息（输入）'!$C$81</f>
        <v>0</v>
      </c>
      <c r="E3097" s="204" t="s">
        <v>93</v>
      </c>
      <c r="F3097" s="202" t="s">
        <v>694</v>
      </c>
      <c r="G3097" s="261">
        <f>IFERROR(I3097/D3097,0)</f>
        <v>0</v>
      </c>
      <c r="H3097" s="204" t="s">
        <v>1473</v>
      </c>
      <c r="I3097" s="270"/>
      <c r="J3097" s="204" t="s">
        <v>131</v>
      </c>
      <c r="K3097" s="270"/>
      <c r="L3097" s="210" t="s">
        <v>792</v>
      </c>
      <c r="M3097" s="198">
        <f>ROUND(K3097*I3097/10000,6)</f>
        <v>0</v>
      </c>
      <c r="N3097" s="212">
        <f>'02 项目基础信息（输入）'!$C$81</f>
        <v>0</v>
      </c>
      <c r="O3097" s="203">
        <f t="shared" si="351"/>
        <v>0</v>
      </c>
      <c r="P3097" s="203">
        <f t="shared" si="353"/>
        <v>0</v>
      </c>
      <c r="Q3097" s="271">
        <f t="shared" si="352"/>
        <v>0</v>
      </c>
      <c r="R3097" s="188"/>
      <c r="S3097" s="280"/>
      <c r="T3097" s="222"/>
      <c r="U3097" s="299" t="s">
        <v>5318</v>
      </c>
    </row>
    <row r="3098" spans="1:21" s="181" customFormat="1" ht="0" hidden="1" customHeight="1" outlineLevel="3">
      <c r="A3098" s="253" t="s">
        <v>4627</v>
      </c>
      <c r="B3098" s="254"/>
      <c r="C3098" s="250" t="s">
        <v>1609</v>
      </c>
      <c r="D3098" s="203">
        <f>'02 项目基础信息（输入）'!$C$81</f>
        <v>0</v>
      </c>
      <c r="E3098" s="204" t="s">
        <v>93</v>
      </c>
      <c r="F3098" s="202" t="s">
        <v>694</v>
      </c>
      <c r="G3098" s="261">
        <f>IFERROR(I3098/D3098,0)</f>
        <v>0</v>
      </c>
      <c r="H3098" s="204" t="s">
        <v>1473</v>
      </c>
      <c r="I3098" s="270"/>
      <c r="J3098" s="204" t="s">
        <v>131</v>
      </c>
      <c r="K3098" s="270"/>
      <c r="L3098" s="210" t="s">
        <v>792</v>
      </c>
      <c r="M3098" s="198">
        <f>ROUND(K3098*I3098/10000,6)</f>
        <v>0</v>
      </c>
      <c r="N3098" s="212">
        <f>'02 项目基础信息（输入）'!$C$81</f>
        <v>0</v>
      </c>
      <c r="O3098" s="203">
        <f t="shared" si="351"/>
        <v>0</v>
      </c>
      <c r="P3098" s="203">
        <f t="shared" si="353"/>
        <v>0</v>
      </c>
      <c r="Q3098" s="271">
        <f t="shared" si="352"/>
        <v>0</v>
      </c>
      <c r="R3098" s="188"/>
      <c r="S3098" s="280"/>
      <c r="T3098" s="222"/>
      <c r="U3098" s="299" t="s">
        <v>5319</v>
      </c>
    </row>
    <row r="3099" spans="1:21" s="181" customFormat="1" ht="0" hidden="1" customHeight="1" outlineLevel="3">
      <c r="A3099" s="253" t="s">
        <v>4629</v>
      </c>
      <c r="B3099" s="254"/>
      <c r="C3099" s="250" t="s">
        <v>1609</v>
      </c>
      <c r="D3099" s="203">
        <f>'02 项目基础信息（输入）'!$C$81</f>
        <v>0</v>
      </c>
      <c r="E3099" s="204" t="s">
        <v>131</v>
      </c>
      <c r="F3099" s="202" t="s">
        <v>694</v>
      </c>
      <c r="G3099" s="261">
        <f>IFERROR(I3099/D3099,0)</f>
        <v>0</v>
      </c>
      <c r="H3099" s="204" t="s">
        <v>1473</v>
      </c>
      <c r="I3099" s="270"/>
      <c r="J3099" s="204" t="s">
        <v>131</v>
      </c>
      <c r="K3099" s="270"/>
      <c r="L3099" s="210" t="s">
        <v>792</v>
      </c>
      <c r="M3099" s="198">
        <f>ROUND(K3099*I3099/10000,6)</f>
        <v>0</v>
      </c>
      <c r="N3099" s="212">
        <f>'02 项目基础信息（输入）'!$C$81</f>
        <v>0</v>
      </c>
      <c r="O3099" s="203">
        <f t="shared" si="351"/>
        <v>0</v>
      </c>
      <c r="P3099" s="203">
        <f t="shared" si="353"/>
        <v>0</v>
      </c>
      <c r="Q3099" s="271">
        <f t="shared" si="352"/>
        <v>0</v>
      </c>
      <c r="R3099" s="188"/>
      <c r="S3099" s="280"/>
      <c r="T3099" s="222"/>
      <c r="U3099" s="299" t="s">
        <v>5320</v>
      </c>
    </row>
    <row r="3100" spans="1:21" ht="0" hidden="1" customHeight="1" outlineLevel="2">
      <c r="A3100" s="201" t="s">
        <v>4631</v>
      </c>
      <c r="B3100" s="201"/>
      <c r="C3100" s="202" t="s">
        <v>1609</v>
      </c>
      <c r="D3100" s="203">
        <f>'02 项目基础信息（输入）'!$C$81</f>
        <v>0</v>
      </c>
      <c r="E3100" s="204" t="s">
        <v>93</v>
      </c>
      <c r="F3100" s="202"/>
      <c r="G3100" s="255"/>
      <c r="H3100" s="204"/>
      <c r="I3100" s="203"/>
      <c r="J3100" s="204"/>
      <c r="K3100" s="264"/>
      <c r="L3100" s="205"/>
      <c r="M3100" s="198">
        <f>ROUND(SUM(M3101:M3102),6)</f>
        <v>0</v>
      </c>
      <c r="N3100" s="212">
        <f>'02 项目基础信息（输入）'!$C$81</f>
        <v>0</v>
      </c>
      <c r="O3100" s="203">
        <f t="shared" si="351"/>
        <v>0</v>
      </c>
      <c r="P3100" s="203">
        <f t="shared" si="353"/>
        <v>0</v>
      </c>
      <c r="Q3100" s="271">
        <f t="shared" si="352"/>
        <v>0</v>
      </c>
      <c r="S3100" s="280" t="s">
        <v>1314</v>
      </c>
      <c r="T3100" s="222"/>
      <c r="U3100" s="299" t="s">
        <v>5321</v>
      </c>
    </row>
    <row r="3101" spans="1:21" ht="0" hidden="1" customHeight="1" outlineLevel="3">
      <c r="A3101" s="253" t="s">
        <v>4633</v>
      </c>
      <c r="B3101" s="253"/>
      <c r="C3101" s="202" t="s">
        <v>1081</v>
      </c>
      <c r="D3101" s="289">
        <f>'02 项目基础信息（输入）'!AX81</f>
        <v>0</v>
      </c>
      <c r="E3101" s="204" t="s">
        <v>1082</v>
      </c>
      <c r="F3101" s="202" t="s">
        <v>1081</v>
      </c>
      <c r="G3101" s="204">
        <v>1</v>
      </c>
      <c r="H3101" s="204" t="s">
        <v>1918</v>
      </c>
      <c r="I3101" s="293">
        <f>D3101*G3101</f>
        <v>0</v>
      </c>
      <c r="J3101" s="204" t="s">
        <v>1082</v>
      </c>
      <c r="K3101" s="267">
        <f>'03 成本测算（输入）'!D332</f>
        <v>0</v>
      </c>
      <c r="L3101" s="210" t="s">
        <v>1087</v>
      </c>
      <c r="M3101" s="198">
        <f>ROUND(K3101*I3101/10000,6)</f>
        <v>0</v>
      </c>
      <c r="N3101" s="212">
        <f>'02 项目基础信息（输入）'!$C$81</f>
        <v>0</v>
      </c>
      <c r="O3101" s="203">
        <f t="shared" si="351"/>
        <v>0</v>
      </c>
      <c r="P3101" s="203">
        <f t="shared" si="353"/>
        <v>0</v>
      </c>
      <c r="Q3101" s="271">
        <f t="shared" si="352"/>
        <v>0</v>
      </c>
      <c r="S3101" s="280"/>
      <c r="T3101" s="222"/>
      <c r="U3101" s="299" t="s">
        <v>5322</v>
      </c>
    </row>
    <row r="3102" spans="1:21" ht="0" hidden="1" customHeight="1" outlineLevel="3">
      <c r="A3102" s="253" t="s">
        <v>4635</v>
      </c>
      <c r="B3102" s="253"/>
      <c r="C3102" s="202" t="s">
        <v>1081</v>
      </c>
      <c r="D3102" s="291">
        <f>D3101</f>
        <v>0</v>
      </c>
      <c r="E3102" s="204" t="s">
        <v>1082</v>
      </c>
      <c r="F3102" s="202" t="s">
        <v>1081</v>
      </c>
      <c r="G3102" s="204">
        <v>1</v>
      </c>
      <c r="H3102" s="204" t="s">
        <v>1918</v>
      </c>
      <c r="I3102" s="293">
        <f>D3102*G3102</f>
        <v>0</v>
      </c>
      <c r="J3102" s="204" t="s">
        <v>1082</v>
      </c>
      <c r="K3102" s="267">
        <f>'03 成本测算（输入）'!D333</f>
        <v>0</v>
      </c>
      <c r="L3102" s="210" t="s">
        <v>1087</v>
      </c>
      <c r="M3102" s="198">
        <f>ROUND(K3102*I3102/10000,6)</f>
        <v>0</v>
      </c>
      <c r="N3102" s="212">
        <f>'02 项目基础信息（输入）'!$C$81</f>
        <v>0</v>
      </c>
      <c r="O3102" s="203">
        <f t="shared" si="351"/>
        <v>0</v>
      </c>
      <c r="P3102" s="203">
        <f t="shared" si="353"/>
        <v>0</v>
      </c>
      <c r="Q3102" s="271">
        <f t="shared" si="352"/>
        <v>0</v>
      </c>
      <c r="S3102" s="280"/>
      <c r="T3102" s="222"/>
      <c r="U3102" s="299" t="s">
        <v>5323</v>
      </c>
    </row>
    <row r="3103" spans="1:21" ht="0" hidden="1" customHeight="1" outlineLevel="2">
      <c r="A3103" s="201" t="s">
        <v>4268</v>
      </c>
      <c r="B3103" s="201"/>
      <c r="C3103" s="202" t="s">
        <v>1609</v>
      </c>
      <c r="D3103" s="203">
        <f>'02 项目基础信息（输入）'!$C$81</f>
        <v>0</v>
      </c>
      <c r="E3103" s="204" t="s">
        <v>93</v>
      </c>
      <c r="F3103" s="202"/>
      <c r="G3103" s="204"/>
      <c r="H3103" s="255"/>
      <c r="I3103" s="212"/>
      <c r="J3103" s="255"/>
      <c r="K3103" s="264"/>
      <c r="L3103" s="205"/>
      <c r="M3103" s="198">
        <f>ROUND(M3104+M3111+M3121+M3122+M3123+M3124,6)</f>
        <v>0</v>
      </c>
      <c r="N3103" s="212">
        <f>'02 项目基础信息（输入）'!$C$81</f>
        <v>0</v>
      </c>
      <c r="O3103" s="203">
        <f t="shared" si="351"/>
        <v>0</v>
      </c>
      <c r="P3103" s="203">
        <f t="shared" si="353"/>
        <v>0</v>
      </c>
      <c r="Q3103" s="271">
        <f t="shared" si="352"/>
        <v>0</v>
      </c>
      <c r="S3103" s="280" t="s">
        <v>1313</v>
      </c>
      <c r="T3103" s="222"/>
      <c r="U3103" s="299" t="s">
        <v>5324</v>
      </c>
    </row>
    <row r="3104" spans="1:21" ht="0" hidden="1" customHeight="1" outlineLevel="3">
      <c r="A3104" s="253" t="s">
        <v>4270</v>
      </c>
      <c r="B3104" s="253"/>
      <c r="C3104" s="202" t="s">
        <v>1609</v>
      </c>
      <c r="D3104" s="203">
        <f>'02 项目基础信息（输入）'!$C$81</f>
        <v>0</v>
      </c>
      <c r="E3104" s="204" t="s">
        <v>93</v>
      </c>
      <c r="F3104" s="202"/>
      <c r="G3104" s="204"/>
      <c r="H3104" s="255"/>
      <c r="I3104" s="212"/>
      <c r="J3104" s="255"/>
      <c r="K3104" s="264"/>
      <c r="L3104" s="205"/>
      <c r="M3104" s="198">
        <f>ROUND(SUM(M3105:M3110),6)</f>
        <v>0</v>
      </c>
      <c r="N3104" s="212">
        <f>'02 项目基础信息（输入）'!$C$81</f>
        <v>0</v>
      </c>
      <c r="O3104" s="203">
        <f t="shared" si="351"/>
        <v>0</v>
      </c>
      <c r="P3104" s="203">
        <f t="shared" si="353"/>
        <v>0</v>
      </c>
      <c r="Q3104" s="271">
        <f t="shared" si="352"/>
        <v>0</v>
      </c>
      <c r="S3104" s="280"/>
      <c r="T3104" s="222"/>
      <c r="U3104" s="299" t="s">
        <v>5325</v>
      </c>
    </row>
    <row r="3105" spans="1:21" ht="0" hidden="1" customHeight="1" outlineLevel="4">
      <c r="A3105" s="253" t="s">
        <v>4272</v>
      </c>
      <c r="B3105" s="253"/>
      <c r="C3105" s="202" t="s">
        <v>1609</v>
      </c>
      <c r="D3105" s="203">
        <f>'02 项目基础信息（输入）'!$C$81</f>
        <v>0</v>
      </c>
      <c r="E3105" s="204" t="s">
        <v>93</v>
      </c>
      <c r="F3105" s="202" t="s">
        <v>1609</v>
      </c>
      <c r="G3105" s="204">
        <v>1</v>
      </c>
      <c r="H3105" s="204" t="s">
        <v>298</v>
      </c>
      <c r="I3105" s="265">
        <f t="shared" ref="I3105:I3110" si="354">D3105*G3105</f>
        <v>0</v>
      </c>
      <c r="J3105" s="204" t="s">
        <v>93</v>
      </c>
      <c r="K3105" s="270"/>
      <c r="L3105" s="210" t="s">
        <v>675</v>
      </c>
      <c r="M3105" s="198">
        <f t="shared" ref="M3105:M3110" si="355">ROUND(K3105*I3105/10000,6)</f>
        <v>0</v>
      </c>
      <c r="N3105" s="212">
        <f>'02 项目基础信息（输入）'!$C$81</f>
        <v>0</v>
      </c>
      <c r="O3105" s="203">
        <f t="shared" si="351"/>
        <v>0</v>
      </c>
      <c r="P3105" s="203">
        <f t="shared" si="353"/>
        <v>0</v>
      </c>
      <c r="Q3105" s="271">
        <f t="shared" si="352"/>
        <v>0</v>
      </c>
      <c r="S3105" s="280"/>
      <c r="T3105" s="222"/>
      <c r="U3105" s="299" t="s">
        <v>5326</v>
      </c>
    </row>
    <row r="3106" spans="1:21" ht="0" hidden="1" customHeight="1" outlineLevel="4">
      <c r="A3106" s="253" t="s">
        <v>4274</v>
      </c>
      <c r="B3106" s="253"/>
      <c r="C3106" s="202" t="s">
        <v>1609</v>
      </c>
      <c r="D3106" s="203">
        <f>'02 项目基础信息（输入）'!$C$81</f>
        <v>0</v>
      </c>
      <c r="E3106" s="204" t="s">
        <v>93</v>
      </c>
      <c r="F3106" s="202" t="s">
        <v>1609</v>
      </c>
      <c r="G3106" s="204">
        <v>1</v>
      </c>
      <c r="H3106" s="204" t="s">
        <v>298</v>
      </c>
      <c r="I3106" s="265">
        <f t="shared" si="354"/>
        <v>0</v>
      </c>
      <c r="J3106" s="204" t="s">
        <v>93</v>
      </c>
      <c r="K3106" s="270"/>
      <c r="L3106" s="210" t="s">
        <v>675</v>
      </c>
      <c r="M3106" s="198">
        <f t="shared" si="355"/>
        <v>0</v>
      </c>
      <c r="N3106" s="212">
        <f>'02 项目基础信息（输入）'!$C$81</f>
        <v>0</v>
      </c>
      <c r="O3106" s="203">
        <f t="shared" si="351"/>
        <v>0</v>
      </c>
      <c r="P3106" s="203">
        <f t="shared" si="353"/>
        <v>0</v>
      </c>
      <c r="Q3106" s="271">
        <f t="shared" si="352"/>
        <v>0</v>
      </c>
      <c r="S3106" s="280"/>
      <c r="T3106" s="222"/>
      <c r="U3106" s="299" t="s">
        <v>5327</v>
      </c>
    </row>
    <row r="3107" spans="1:21" ht="0" hidden="1" customHeight="1" outlineLevel="4">
      <c r="A3107" s="253" t="s">
        <v>4276</v>
      </c>
      <c r="B3107" s="253"/>
      <c r="C3107" s="202" t="s">
        <v>1609</v>
      </c>
      <c r="D3107" s="203">
        <f>'02 项目基础信息（输入）'!$C$81</f>
        <v>0</v>
      </c>
      <c r="E3107" s="204" t="s">
        <v>93</v>
      </c>
      <c r="F3107" s="202" t="s">
        <v>1609</v>
      </c>
      <c r="G3107" s="204">
        <v>1</v>
      </c>
      <c r="H3107" s="204" t="s">
        <v>298</v>
      </c>
      <c r="I3107" s="265">
        <f t="shared" si="354"/>
        <v>0</v>
      </c>
      <c r="J3107" s="204" t="s">
        <v>93</v>
      </c>
      <c r="K3107" s="270"/>
      <c r="L3107" s="210" t="s">
        <v>675</v>
      </c>
      <c r="M3107" s="198">
        <f t="shared" si="355"/>
        <v>0</v>
      </c>
      <c r="N3107" s="212">
        <f>'02 项目基础信息（输入）'!$C$81</f>
        <v>0</v>
      </c>
      <c r="O3107" s="203">
        <f t="shared" si="351"/>
        <v>0</v>
      </c>
      <c r="P3107" s="203">
        <f t="shared" si="353"/>
        <v>0</v>
      </c>
      <c r="Q3107" s="271">
        <f t="shared" si="352"/>
        <v>0</v>
      </c>
      <c r="S3107" s="280"/>
      <c r="T3107" s="222"/>
      <c r="U3107" s="299" t="s">
        <v>5328</v>
      </c>
    </row>
    <row r="3108" spans="1:21" ht="0" hidden="1" customHeight="1" outlineLevel="4">
      <c r="A3108" s="253" t="s">
        <v>4278</v>
      </c>
      <c r="B3108" s="253"/>
      <c r="C3108" s="202" t="s">
        <v>1609</v>
      </c>
      <c r="D3108" s="203">
        <f>'02 项目基础信息（输入）'!$C$81</f>
        <v>0</v>
      </c>
      <c r="E3108" s="204" t="s">
        <v>93</v>
      </c>
      <c r="F3108" s="202" t="s">
        <v>1609</v>
      </c>
      <c r="G3108" s="204">
        <v>1</v>
      </c>
      <c r="H3108" s="204" t="s">
        <v>298</v>
      </c>
      <c r="I3108" s="265">
        <f t="shared" si="354"/>
        <v>0</v>
      </c>
      <c r="J3108" s="204" t="s">
        <v>93</v>
      </c>
      <c r="K3108" s="270"/>
      <c r="L3108" s="210" t="s">
        <v>675</v>
      </c>
      <c r="M3108" s="198">
        <f t="shared" si="355"/>
        <v>0</v>
      </c>
      <c r="N3108" s="212">
        <f>'02 项目基础信息（输入）'!$C$81</f>
        <v>0</v>
      </c>
      <c r="O3108" s="203">
        <f t="shared" si="351"/>
        <v>0</v>
      </c>
      <c r="P3108" s="203">
        <f t="shared" si="353"/>
        <v>0</v>
      </c>
      <c r="Q3108" s="271">
        <f t="shared" si="352"/>
        <v>0</v>
      </c>
      <c r="S3108" s="280"/>
      <c r="T3108" s="222"/>
      <c r="U3108" s="299" t="s">
        <v>5329</v>
      </c>
    </row>
    <row r="3109" spans="1:21" ht="0" hidden="1" customHeight="1" outlineLevel="4">
      <c r="A3109" s="253" t="s">
        <v>4280</v>
      </c>
      <c r="B3109" s="253"/>
      <c r="C3109" s="202" t="s">
        <v>1609</v>
      </c>
      <c r="D3109" s="203">
        <f>'02 项目基础信息（输入）'!$C$81</f>
        <v>0</v>
      </c>
      <c r="E3109" s="204" t="s">
        <v>93</v>
      </c>
      <c r="F3109" s="202" t="s">
        <v>1609</v>
      </c>
      <c r="G3109" s="204">
        <v>1</v>
      </c>
      <c r="H3109" s="204" t="s">
        <v>298</v>
      </c>
      <c r="I3109" s="265">
        <f t="shared" si="354"/>
        <v>0</v>
      </c>
      <c r="J3109" s="204" t="s">
        <v>93</v>
      </c>
      <c r="K3109" s="270"/>
      <c r="L3109" s="210" t="s">
        <v>675</v>
      </c>
      <c r="M3109" s="198">
        <f t="shared" si="355"/>
        <v>0</v>
      </c>
      <c r="N3109" s="212">
        <f>'02 项目基础信息（输入）'!$C$81</f>
        <v>0</v>
      </c>
      <c r="O3109" s="203">
        <f t="shared" si="351"/>
        <v>0</v>
      </c>
      <c r="P3109" s="203">
        <f t="shared" si="353"/>
        <v>0</v>
      </c>
      <c r="Q3109" s="271">
        <f t="shared" si="352"/>
        <v>0</v>
      </c>
      <c r="S3109" s="280"/>
      <c r="T3109" s="222"/>
      <c r="U3109" s="298" t="s">
        <v>5330</v>
      </c>
    </row>
    <row r="3110" spans="1:21" ht="0" hidden="1" customHeight="1" outlineLevel="4">
      <c r="A3110" s="253" t="s">
        <v>4282</v>
      </c>
      <c r="B3110" s="253"/>
      <c r="C3110" s="202" t="s">
        <v>1609</v>
      </c>
      <c r="D3110" s="203">
        <f>'02 项目基础信息（输入）'!$C$81</f>
        <v>0</v>
      </c>
      <c r="E3110" s="204" t="s">
        <v>93</v>
      </c>
      <c r="F3110" s="202" t="s">
        <v>1609</v>
      </c>
      <c r="G3110" s="204">
        <v>1</v>
      </c>
      <c r="H3110" s="204" t="s">
        <v>298</v>
      </c>
      <c r="I3110" s="265">
        <f t="shared" si="354"/>
        <v>0</v>
      </c>
      <c r="J3110" s="204" t="s">
        <v>93</v>
      </c>
      <c r="K3110" s="270"/>
      <c r="L3110" s="210" t="s">
        <v>675</v>
      </c>
      <c r="M3110" s="198">
        <f t="shared" si="355"/>
        <v>0</v>
      </c>
      <c r="N3110" s="212">
        <f>'02 项目基础信息（输入）'!$C$81</f>
        <v>0</v>
      </c>
      <c r="O3110" s="203">
        <f t="shared" si="351"/>
        <v>0</v>
      </c>
      <c r="P3110" s="203">
        <f t="shared" si="353"/>
        <v>0</v>
      </c>
      <c r="Q3110" s="271">
        <f t="shared" si="352"/>
        <v>0</v>
      </c>
      <c r="S3110" s="280"/>
      <c r="T3110" s="222"/>
      <c r="U3110" s="299" t="s">
        <v>5331</v>
      </c>
    </row>
    <row r="3111" spans="1:21" ht="0" hidden="1" customHeight="1" outlineLevel="3">
      <c r="A3111" s="253" t="s">
        <v>4284</v>
      </c>
      <c r="B3111" s="253"/>
      <c r="C3111" s="202" t="s">
        <v>1609</v>
      </c>
      <c r="D3111" s="203">
        <f>'02 项目基础信息（输入）'!$C$81</f>
        <v>0</v>
      </c>
      <c r="E3111" s="204" t="s">
        <v>93</v>
      </c>
      <c r="F3111" s="202"/>
      <c r="G3111" s="204"/>
      <c r="H3111" s="204"/>
      <c r="I3111" s="203"/>
      <c r="J3111" s="255"/>
      <c r="K3111" s="231"/>
      <c r="L3111" s="205"/>
      <c r="M3111" s="198">
        <f>ROUND(SUM(M3112:M3120),6)</f>
        <v>0</v>
      </c>
      <c r="N3111" s="212">
        <f>'02 项目基础信息（输入）'!$C$81</f>
        <v>0</v>
      </c>
      <c r="O3111" s="203">
        <f t="shared" si="351"/>
        <v>0</v>
      </c>
      <c r="P3111" s="203">
        <f t="shared" si="353"/>
        <v>0</v>
      </c>
      <c r="Q3111" s="271">
        <f t="shared" si="352"/>
        <v>0</v>
      </c>
      <c r="S3111" s="280"/>
      <c r="T3111" s="222"/>
      <c r="U3111" s="299" t="s">
        <v>5332</v>
      </c>
    </row>
    <row r="3112" spans="1:21" ht="0" hidden="1" customHeight="1" outlineLevel="4">
      <c r="A3112" s="253" t="s">
        <v>4286</v>
      </c>
      <c r="B3112" s="253"/>
      <c r="C3112" s="202" t="s">
        <v>1609</v>
      </c>
      <c r="D3112" s="203">
        <f>'02 项目基础信息（输入）'!$C$81</f>
        <v>0</v>
      </c>
      <c r="E3112" s="204" t="s">
        <v>93</v>
      </c>
      <c r="F3112" s="202" t="s">
        <v>1609</v>
      </c>
      <c r="G3112" s="204">
        <v>1</v>
      </c>
      <c r="H3112" s="204" t="s">
        <v>298</v>
      </c>
      <c r="I3112" s="265">
        <f t="shared" ref="I3112:I3123" si="356">D3112*G3112</f>
        <v>0</v>
      </c>
      <c r="J3112" s="204" t="s">
        <v>93</v>
      </c>
      <c r="K3112" s="270"/>
      <c r="L3112" s="210" t="s">
        <v>675</v>
      </c>
      <c r="M3112" s="198">
        <f t="shared" ref="M3112:M3123" si="357">ROUND(K3112*I3112/10000,6)</f>
        <v>0</v>
      </c>
      <c r="N3112" s="212">
        <f>'02 项目基础信息（输入）'!$C$81</f>
        <v>0</v>
      </c>
      <c r="O3112" s="203">
        <f t="shared" si="351"/>
        <v>0</v>
      </c>
      <c r="P3112" s="203">
        <f t="shared" si="353"/>
        <v>0</v>
      </c>
      <c r="Q3112" s="271">
        <f t="shared" si="352"/>
        <v>0</v>
      </c>
      <c r="S3112" s="280"/>
      <c r="T3112" s="222"/>
      <c r="U3112" s="299" t="s">
        <v>5333</v>
      </c>
    </row>
    <row r="3113" spans="1:21" ht="0" hidden="1" customHeight="1" outlineLevel="4">
      <c r="A3113" s="253" t="s">
        <v>4288</v>
      </c>
      <c r="B3113" s="253"/>
      <c r="C3113" s="202" t="s">
        <v>1609</v>
      </c>
      <c r="D3113" s="203">
        <f>'02 项目基础信息（输入）'!$C$81</f>
        <v>0</v>
      </c>
      <c r="E3113" s="204" t="s">
        <v>93</v>
      </c>
      <c r="F3113" s="202" t="s">
        <v>1609</v>
      </c>
      <c r="G3113" s="204">
        <v>1</v>
      </c>
      <c r="H3113" s="204" t="s">
        <v>298</v>
      </c>
      <c r="I3113" s="265">
        <f t="shared" si="356"/>
        <v>0</v>
      </c>
      <c r="J3113" s="204" t="s">
        <v>93</v>
      </c>
      <c r="K3113" s="270"/>
      <c r="L3113" s="210" t="s">
        <v>675</v>
      </c>
      <c r="M3113" s="198">
        <f t="shared" si="357"/>
        <v>0</v>
      </c>
      <c r="N3113" s="212">
        <f>'02 项目基础信息（输入）'!$C$81</f>
        <v>0</v>
      </c>
      <c r="O3113" s="203">
        <f t="shared" si="351"/>
        <v>0</v>
      </c>
      <c r="P3113" s="203">
        <f t="shared" si="353"/>
        <v>0</v>
      </c>
      <c r="Q3113" s="271">
        <f t="shared" si="352"/>
        <v>0</v>
      </c>
      <c r="S3113" s="280"/>
      <c r="T3113" s="222"/>
      <c r="U3113" s="299" t="s">
        <v>5334</v>
      </c>
    </row>
    <row r="3114" spans="1:21" ht="0" hidden="1" customHeight="1" outlineLevel="4">
      <c r="A3114" s="253" t="s">
        <v>4290</v>
      </c>
      <c r="B3114" s="253"/>
      <c r="C3114" s="202" t="s">
        <v>1609</v>
      </c>
      <c r="D3114" s="203">
        <f>'02 项目基础信息（输入）'!$C$81</f>
        <v>0</v>
      </c>
      <c r="E3114" s="204" t="s">
        <v>93</v>
      </c>
      <c r="F3114" s="202" t="s">
        <v>1609</v>
      </c>
      <c r="G3114" s="204">
        <v>1</v>
      </c>
      <c r="H3114" s="204" t="s">
        <v>298</v>
      </c>
      <c r="I3114" s="265">
        <f t="shared" si="356"/>
        <v>0</v>
      </c>
      <c r="J3114" s="204" t="s">
        <v>93</v>
      </c>
      <c r="K3114" s="270"/>
      <c r="L3114" s="210" t="s">
        <v>675</v>
      </c>
      <c r="M3114" s="198">
        <f t="shared" si="357"/>
        <v>0</v>
      </c>
      <c r="N3114" s="212">
        <f>'02 项目基础信息（输入）'!$C$81</f>
        <v>0</v>
      </c>
      <c r="O3114" s="203">
        <f t="shared" si="351"/>
        <v>0</v>
      </c>
      <c r="P3114" s="203">
        <f t="shared" si="353"/>
        <v>0</v>
      </c>
      <c r="Q3114" s="271">
        <f t="shared" si="352"/>
        <v>0</v>
      </c>
      <c r="S3114" s="280"/>
      <c r="T3114" s="222"/>
      <c r="U3114" s="299" t="s">
        <v>5335</v>
      </c>
    </row>
    <row r="3115" spans="1:21" ht="0" hidden="1" customHeight="1" outlineLevel="4">
      <c r="A3115" s="253" t="s">
        <v>4657</v>
      </c>
      <c r="B3115" s="253"/>
      <c r="C3115" s="202" t="s">
        <v>1609</v>
      </c>
      <c r="D3115" s="203">
        <f>'02 项目基础信息（输入）'!$C$81</f>
        <v>0</v>
      </c>
      <c r="E3115" s="204" t="s">
        <v>93</v>
      </c>
      <c r="F3115" s="202" t="s">
        <v>1609</v>
      </c>
      <c r="G3115" s="204">
        <v>1</v>
      </c>
      <c r="H3115" s="204" t="s">
        <v>298</v>
      </c>
      <c r="I3115" s="265">
        <f t="shared" si="356"/>
        <v>0</v>
      </c>
      <c r="J3115" s="204" t="s">
        <v>93</v>
      </c>
      <c r="K3115" s="270"/>
      <c r="L3115" s="210" t="s">
        <v>675</v>
      </c>
      <c r="M3115" s="198">
        <f t="shared" si="357"/>
        <v>0</v>
      </c>
      <c r="N3115" s="212">
        <f>'02 项目基础信息（输入）'!$C$81</f>
        <v>0</v>
      </c>
      <c r="O3115" s="203">
        <f t="shared" si="351"/>
        <v>0</v>
      </c>
      <c r="P3115" s="203">
        <f t="shared" si="353"/>
        <v>0</v>
      </c>
      <c r="Q3115" s="271">
        <f t="shared" si="352"/>
        <v>0</v>
      </c>
      <c r="S3115" s="280"/>
      <c r="T3115" s="222"/>
      <c r="U3115" s="299" t="s">
        <v>5336</v>
      </c>
    </row>
    <row r="3116" spans="1:21" ht="0" hidden="1" customHeight="1" outlineLevel="4">
      <c r="A3116" s="253" t="s">
        <v>4292</v>
      </c>
      <c r="B3116" s="253"/>
      <c r="C3116" s="202" t="s">
        <v>1609</v>
      </c>
      <c r="D3116" s="203">
        <f>'02 项目基础信息（输入）'!$C$81</f>
        <v>0</v>
      </c>
      <c r="E3116" s="204" t="s">
        <v>93</v>
      </c>
      <c r="F3116" s="202" t="s">
        <v>1609</v>
      </c>
      <c r="G3116" s="204">
        <v>1</v>
      </c>
      <c r="H3116" s="204" t="s">
        <v>298</v>
      </c>
      <c r="I3116" s="265">
        <f t="shared" si="356"/>
        <v>0</v>
      </c>
      <c r="J3116" s="204" t="s">
        <v>93</v>
      </c>
      <c r="K3116" s="270"/>
      <c r="L3116" s="210" t="s">
        <v>675</v>
      </c>
      <c r="M3116" s="198">
        <f t="shared" si="357"/>
        <v>0</v>
      </c>
      <c r="N3116" s="212">
        <f>'02 项目基础信息（输入）'!$C$81</f>
        <v>0</v>
      </c>
      <c r="O3116" s="203">
        <f t="shared" si="351"/>
        <v>0</v>
      </c>
      <c r="P3116" s="203">
        <f t="shared" si="353"/>
        <v>0</v>
      </c>
      <c r="Q3116" s="271">
        <f t="shared" si="352"/>
        <v>0</v>
      </c>
      <c r="S3116" s="280"/>
      <c r="T3116" s="222"/>
      <c r="U3116" s="299" t="s">
        <v>5337</v>
      </c>
    </row>
    <row r="3117" spans="1:21" ht="0" hidden="1" customHeight="1" outlineLevel="4">
      <c r="A3117" s="253" t="s">
        <v>4294</v>
      </c>
      <c r="B3117" s="253"/>
      <c r="C3117" s="202" t="s">
        <v>1609</v>
      </c>
      <c r="D3117" s="203">
        <f>'02 项目基础信息（输入）'!$C$81</f>
        <v>0</v>
      </c>
      <c r="E3117" s="204" t="s">
        <v>93</v>
      </c>
      <c r="F3117" s="202" t="s">
        <v>1609</v>
      </c>
      <c r="G3117" s="204">
        <v>1</v>
      </c>
      <c r="H3117" s="204" t="s">
        <v>298</v>
      </c>
      <c r="I3117" s="265">
        <f t="shared" si="356"/>
        <v>0</v>
      </c>
      <c r="J3117" s="204" t="s">
        <v>93</v>
      </c>
      <c r="K3117" s="270"/>
      <c r="L3117" s="210" t="s">
        <v>675</v>
      </c>
      <c r="M3117" s="198">
        <f t="shared" si="357"/>
        <v>0</v>
      </c>
      <c r="N3117" s="212">
        <f>'02 项目基础信息（输入）'!$C$81</f>
        <v>0</v>
      </c>
      <c r="O3117" s="203">
        <f t="shared" si="351"/>
        <v>0</v>
      </c>
      <c r="P3117" s="203">
        <f t="shared" si="353"/>
        <v>0</v>
      </c>
      <c r="Q3117" s="271">
        <f t="shared" si="352"/>
        <v>0</v>
      </c>
      <c r="S3117" s="280"/>
      <c r="T3117" s="222"/>
      <c r="U3117" s="299" t="s">
        <v>5338</v>
      </c>
    </row>
    <row r="3118" spans="1:21" ht="0" hidden="1" customHeight="1" outlineLevel="4">
      <c r="A3118" s="253" t="s">
        <v>4296</v>
      </c>
      <c r="B3118" s="253"/>
      <c r="C3118" s="202" t="s">
        <v>1609</v>
      </c>
      <c r="D3118" s="203">
        <f>'02 项目基础信息（输入）'!$C$81</f>
        <v>0</v>
      </c>
      <c r="E3118" s="204" t="s">
        <v>93</v>
      </c>
      <c r="F3118" s="202" t="s">
        <v>1609</v>
      </c>
      <c r="G3118" s="204">
        <v>1</v>
      </c>
      <c r="H3118" s="204" t="s">
        <v>298</v>
      </c>
      <c r="I3118" s="265">
        <f t="shared" si="356"/>
        <v>0</v>
      </c>
      <c r="J3118" s="204" t="s">
        <v>93</v>
      </c>
      <c r="K3118" s="270"/>
      <c r="L3118" s="210" t="s">
        <v>675</v>
      </c>
      <c r="M3118" s="198">
        <f t="shared" si="357"/>
        <v>0</v>
      </c>
      <c r="N3118" s="212">
        <f>'02 项目基础信息（输入）'!$C$81</f>
        <v>0</v>
      </c>
      <c r="O3118" s="203">
        <f t="shared" si="351"/>
        <v>0</v>
      </c>
      <c r="P3118" s="203">
        <f t="shared" si="353"/>
        <v>0</v>
      </c>
      <c r="Q3118" s="271">
        <f t="shared" si="352"/>
        <v>0</v>
      </c>
      <c r="S3118" s="280"/>
      <c r="T3118" s="222"/>
      <c r="U3118" s="299" t="s">
        <v>5339</v>
      </c>
    </row>
    <row r="3119" spans="1:21" ht="0" hidden="1" customHeight="1" outlineLevel="4">
      <c r="A3119" s="253" t="s">
        <v>4298</v>
      </c>
      <c r="B3119" s="253"/>
      <c r="C3119" s="202" t="s">
        <v>1609</v>
      </c>
      <c r="D3119" s="203">
        <f>'02 项目基础信息（输入）'!$C$81</f>
        <v>0</v>
      </c>
      <c r="E3119" s="204" t="s">
        <v>93</v>
      </c>
      <c r="F3119" s="202" t="s">
        <v>1609</v>
      </c>
      <c r="G3119" s="204">
        <v>1</v>
      </c>
      <c r="H3119" s="204" t="s">
        <v>298</v>
      </c>
      <c r="I3119" s="265">
        <f t="shared" si="356"/>
        <v>0</v>
      </c>
      <c r="J3119" s="204" t="s">
        <v>93</v>
      </c>
      <c r="K3119" s="270"/>
      <c r="L3119" s="210" t="s">
        <v>675</v>
      </c>
      <c r="M3119" s="198">
        <f t="shared" si="357"/>
        <v>0</v>
      </c>
      <c r="N3119" s="212">
        <f>'02 项目基础信息（输入）'!$C$81</f>
        <v>0</v>
      </c>
      <c r="O3119" s="203">
        <f t="shared" si="351"/>
        <v>0</v>
      </c>
      <c r="P3119" s="203">
        <f t="shared" si="353"/>
        <v>0</v>
      </c>
      <c r="Q3119" s="271">
        <f t="shared" si="352"/>
        <v>0</v>
      </c>
      <c r="S3119" s="280"/>
      <c r="T3119" s="222"/>
      <c r="U3119" s="299" t="s">
        <v>5340</v>
      </c>
    </row>
    <row r="3120" spans="1:21" ht="0" hidden="1" customHeight="1" outlineLevel="4">
      <c r="A3120" s="253" t="s">
        <v>4300</v>
      </c>
      <c r="B3120" s="253"/>
      <c r="C3120" s="202" t="s">
        <v>1609</v>
      </c>
      <c r="D3120" s="203">
        <f>'02 项目基础信息（输入）'!$C$81</f>
        <v>0</v>
      </c>
      <c r="E3120" s="204" t="s">
        <v>93</v>
      </c>
      <c r="F3120" s="202" t="s">
        <v>1609</v>
      </c>
      <c r="G3120" s="204">
        <v>1</v>
      </c>
      <c r="H3120" s="204" t="s">
        <v>298</v>
      </c>
      <c r="I3120" s="265">
        <f t="shared" si="356"/>
        <v>0</v>
      </c>
      <c r="J3120" s="204" t="s">
        <v>93</v>
      </c>
      <c r="K3120" s="270"/>
      <c r="L3120" s="210" t="s">
        <v>675</v>
      </c>
      <c r="M3120" s="198">
        <f t="shared" si="357"/>
        <v>0</v>
      </c>
      <c r="N3120" s="212">
        <f>'02 项目基础信息（输入）'!$C$81</f>
        <v>0</v>
      </c>
      <c r="O3120" s="203">
        <f t="shared" si="351"/>
        <v>0</v>
      </c>
      <c r="P3120" s="203">
        <f t="shared" si="353"/>
        <v>0</v>
      </c>
      <c r="Q3120" s="271">
        <f t="shared" si="352"/>
        <v>0</v>
      </c>
      <c r="S3120" s="280"/>
      <c r="T3120" s="222"/>
      <c r="U3120" s="299" t="s">
        <v>5341</v>
      </c>
    </row>
    <row r="3121" spans="1:21" ht="0" hidden="1" customHeight="1" outlineLevel="3">
      <c r="A3121" s="253" t="s">
        <v>4302</v>
      </c>
      <c r="B3121" s="253"/>
      <c r="C3121" s="202" t="s">
        <v>1609</v>
      </c>
      <c r="D3121" s="203">
        <f>'02 项目基础信息（输入）'!$C$81</f>
        <v>0</v>
      </c>
      <c r="E3121" s="204" t="s">
        <v>93</v>
      </c>
      <c r="F3121" s="202" t="s">
        <v>1609</v>
      </c>
      <c r="G3121" s="204">
        <v>1</v>
      </c>
      <c r="H3121" s="204" t="s">
        <v>298</v>
      </c>
      <c r="I3121" s="265">
        <f t="shared" si="356"/>
        <v>0</v>
      </c>
      <c r="J3121" s="204" t="s">
        <v>93</v>
      </c>
      <c r="K3121" s="270"/>
      <c r="L3121" s="210" t="s">
        <v>675</v>
      </c>
      <c r="M3121" s="198">
        <f t="shared" si="357"/>
        <v>0</v>
      </c>
      <c r="N3121" s="212">
        <f>'02 项目基础信息（输入）'!$C$81</f>
        <v>0</v>
      </c>
      <c r="O3121" s="203">
        <f t="shared" si="351"/>
        <v>0</v>
      </c>
      <c r="P3121" s="203">
        <f t="shared" si="353"/>
        <v>0</v>
      </c>
      <c r="Q3121" s="271">
        <f t="shared" si="352"/>
        <v>0</v>
      </c>
      <c r="S3121" s="280"/>
      <c r="T3121" s="222"/>
      <c r="U3121" s="299" t="s">
        <v>5342</v>
      </c>
    </row>
    <row r="3122" spans="1:21" ht="0" hidden="1" customHeight="1" outlineLevel="3">
      <c r="A3122" s="253" t="s">
        <v>4306</v>
      </c>
      <c r="B3122" s="253"/>
      <c r="C3122" s="202" t="s">
        <v>1609</v>
      </c>
      <c r="D3122" s="203">
        <f>'02 项目基础信息（输入）'!$C$81</f>
        <v>0</v>
      </c>
      <c r="E3122" s="204" t="s">
        <v>93</v>
      </c>
      <c r="F3122" s="202" t="s">
        <v>1609</v>
      </c>
      <c r="G3122" s="204">
        <v>1</v>
      </c>
      <c r="H3122" s="204" t="s">
        <v>298</v>
      </c>
      <c r="I3122" s="265">
        <f t="shared" si="356"/>
        <v>0</v>
      </c>
      <c r="J3122" s="204" t="s">
        <v>93</v>
      </c>
      <c r="K3122" s="270"/>
      <c r="L3122" s="210" t="s">
        <v>675</v>
      </c>
      <c r="M3122" s="198">
        <f t="shared" si="357"/>
        <v>0</v>
      </c>
      <c r="N3122" s="212">
        <f>'02 项目基础信息（输入）'!$C$81</f>
        <v>0</v>
      </c>
      <c r="O3122" s="203">
        <f t="shared" si="351"/>
        <v>0</v>
      </c>
      <c r="P3122" s="203">
        <f t="shared" si="353"/>
        <v>0</v>
      </c>
      <c r="Q3122" s="271">
        <f t="shared" si="352"/>
        <v>0</v>
      </c>
      <c r="S3122" s="280"/>
      <c r="T3122" s="222"/>
      <c r="U3122" s="298" t="s">
        <v>5343</v>
      </c>
    </row>
    <row r="3123" spans="1:21" ht="0" hidden="1" customHeight="1" outlineLevel="3">
      <c r="A3123" s="253" t="s">
        <v>4308</v>
      </c>
      <c r="B3123" s="253"/>
      <c r="C3123" s="202" t="s">
        <v>1609</v>
      </c>
      <c r="D3123" s="203">
        <f>'02 项目基础信息（输入）'!$C$81</f>
        <v>0</v>
      </c>
      <c r="E3123" s="204" t="s">
        <v>93</v>
      </c>
      <c r="F3123" s="202" t="s">
        <v>1609</v>
      </c>
      <c r="G3123" s="255">
        <v>1</v>
      </c>
      <c r="H3123" s="204" t="s">
        <v>298</v>
      </c>
      <c r="I3123" s="265">
        <f t="shared" si="356"/>
        <v>0</v>
      </c>
      <c r="J3123" s="204" t="s">
        <v>93</v>
      </c>
      <c r="K3123" s="270"/>
      <c r="L3123" s="210" t="s">
        <v>675</v>
      </c>
      <c r="M3123" s="198">
        <f t="shared" si="357"/>
        <v>0</v>
      </c>
      <c r="N3123" s="212">
        <f>'02 项目基础信息（输入）'!$C$81</f>
        <v>0</v>
      </c>
      <c r="O3123" s="203">
        <f t="shared" si="351"/>
        <v>0</v>
      </c>
      <c r="P3123" s="203">
        <f t="shared" si="353"/>
        <v>0</v>
      </c>
      <c r="Q3123" s="271">
        <f t="shared" si="352"/>
        <v>0</v>
      </c>
      <c r="S3123" s="280"/>
      <c r="T3123" s="222"/>
      <c r="U3123" s="299" t="s">
        <v>5344</v>
      </c>
    </row>
    <row r="3124" spans="1:21" ht="0" hidden="1" customHeight="1" outlineLevel="3">
      <c r="A3124" s="253" t="s">
        <v>4310</v>
      </c>
      <c r="B3124" s="253"/>
      <c r="C3124" s="202" t="s">
        <v>1665</v>
      </c>
      <c r="D3124" s="203">
        <f>ROUND(M3104+M3111+M3121+M3122+M3123,6)*10000</f>
        <v>0</v>
      </c>
      <c r="E3124" s="204" t="s">
        <v>1666</v>
      </c>
      <c r="F3124" s="202" t="s">
        <v>1667</v>
      </c>
      <c r="G3124" s="258">
        <f>IFERROR(I3124*100/D3124,0)</f>
        <v>0</v>
      </c>
      <c r="H3124" s="204" t="s">
        <v>123</v>
      </c>
      <c r="I3124" s="265">
        <f>N3124*K3124</f>
        <v>0</v>
      </c>
      <c r="J3124" s="204" t="s">
        <v>1666</v>
      </c>
      <c r="K3124" s="269"/>
      <c r="L3124" s="210" t="s">
        <v>675</v>
      </c>
      <c r="M3124" s="231">
        <f>ROUND(I3124/10000,6)</f>
        <v>0</v>
      </c>
      <c r="N3124" s="212">
        <f>'02 项目基础信息（输入）'!$C$81</f>
        <v>0</v>
      </c>
      <c r="O3124" s="203">
        <f t="shared" si="351"/>
        <v>0</v>
      </c>
      <c r="P3124" s="203">
        <f t="shared" si="353"/>
        <v>0</v>
      </c>
      <c r="Q3124" s="271">
        <f t="shared" si="352"/>
        <v>0</v>
      </c>
      <c r="S3124" s="280"/>
      <c r="T3124" s="222"/>
      <c r="U3124" s="299" t="s">
        <v>5345</v>
      </c>
    </row>
    <row r="3125" spans="1:21" ht="0" hidden="1" customHeight="1" outlineLevel="2">
      <c r="A3125" s="201" t="s">
        <v>4312</v>
      </c>
      <c r="B3125" s="201"/>
      <c r="C3125" s="202" t="s">
        <v>1609</v>
      </c>
      <c r="D3125" s="203">
        <f>'02 项目基础信息（输入）'!$C$81</f>
        <v>0</v>
      </c>
      <c r="E3125" s="204" t="s">
        <v>93</v>
      </c>
      <c r="F3125" s="202"/>
      <c r="G3125" s="221"/>
      <c r="H3125" s="204"/>
      <c r="I3125" s="203"/>
      <c r="J3125" s="204"/>
      <c r="K3125" s="266"/>
      <c r="L3125" s="210"/>
      <c r="M3125" s="198">
        <f>ROUND(M3126+M3127+M3128+M3129+M3139+M3140+M3141,6)</f>
        <v>0</v>
      </c>
      <c r="N3125" s="212">
        <f>'02 项目基础信息（输入）'!$C$81</f>
        <v>0</v>
      </c>
      <c r="O3125" s="203">
        <f t="shared" si="351"/>
        <v>0</v>
      </c>
      <c r="P3125" s="203">
        <f t="shared" si="353"/>
        <v>0</v>
      </c>
      <c r="Q3125" s="271">
        <f t="shared" si="352"/>
        <v>0</v>
      </c>
      <c r="S3125" s="280" t="s">
        <v>1314</v>
      </c>
      <c r="T3125" s="222"/>
      <c r="U3125" s="299" t="s">
        <v>5346</v>
      </c>
    </row>
    <row r="3126" spans="1:21" ht="0" hidden="1" customHeight="1" outlineLevel="3">
      <c r="A3126" s="253" t="s">
        <v>4314</v>
      </c>
      <c r="B3126" s="253"/>
      <c r="C3126" s="202" t="s">
        <v>1609</v>
      </c>
      <c r="D3126" s="203">
        <f>'02 项目基础信息（输入）'!$C$81</f>
        <v>0</v>
      </c>
      <c r="E3126" s="204" t="s">
        <v>93</v>
      </c>
      <c r="F3126" s="202" t="s">
        <v>4315</v>
      </c>
      <c r="G3126" s="258">
        <f>IFERROR(I3126/D3126,0)</f>
        <v>0</v>
      </c>
      <c r="H3126" s="204" t="s">
        <v>298</v>
      </c>
      <c r="I3126" s="270"/>
      <c r="J3126" s="204" t="s">
        <v>93</v>
      </c>
      <c r="K3126" s="308"/>
      <c r="L3126" s="210" t="s">
        <v>675</v>
      </c>
      <c r="M3126" s="198">
        <f>ROUND(K3126*I3126/10000,6)</f>
        <v>0</v>
      </c>
      <c r="N3126" s="212">
        <f>'02 项目基础信息（输入）'!$C$81</f>
        <v>0</v>
      </c>
      <c r="O3126" s="203">
        <f t="shared" si="351"/>
        <v>0</v>
      </c>
      <c r="P3126" s="203">
        <f t="shared" si="353"/>
        <v>0</v>
      </c>
      <c r="Q3126" s="271">
        <f t="shared" si="352"/>
        <v>0</v>
      </c>
      <c r="S3126" s="280"/>
      <c r="T3126" s="222"/>
      <c r="U3126" s="299" t="s">
        <v>5347</v>
      </c>
    </row>
    <row r="3127" spans="1:21" ht="0" hidden="1" customHeight="1" outlineLevel="3">
      <c r="A3127" s="253" t="s">
        <v>4317</v>
      </c>
      <c r="B3127" s="253"/>
      <c r="C3127" s="202" t="s">
        <v>1609</v>
      </c>
      <c r="D3127" s="203">
        <f>'02 项目基础信息（输入）'!$C$81</f>
        <v>0</v>
      </c>
      <c r="E3127" s="204" t="s">
        <v>93</v>
      </c>
      <c r="F3127" s="202" t="s">
        <v>1609</v>
      </c>
      <c r="G3127" s="255">
        <v>1</v>
      </c>
      <c r="H3127" s="204" t="s">
        <v>298</v>
      </c>
      <c r="I3127" s="265">
        <f>D3127*G3127</f>
        <v>0</v>
      </c>
      <c r="J3127" s="204" t="s">
        <v>93</v>
      </c>
      <c r="K3127" s="270"/>
      <c r="L3127" s="210" t="s">
        <v>675</v>
      </c>
      <c r="M3127" s="198">
        <f>ROUND(K3127*I3127/10000,6)</f>
        <v>0</v>
      </c>
      <c r="N3127" s="212">
        <f>'02 项目基础信息（输入）'!$C$81</f>
        <v>0</v>
      </c>
      <c r="O3127" s="203">
        <f t="shared" si="351"/>
        <v>0</v>
      </c>
      <c r="P3127" s="203">
        <f t="shared" si="353"/>
        <v>0</v>
      </c>
      <c r="Q3127" s="271">
        <f t="shared" si="352"/>
        <v>0</v>
      </c>
      <c r="S3127" s="280"/>
      <c r="T3127" s="222"/>
      <c r="U3127" s="299" t="s">
        <v>5348</v>
      </c>
    </row>
    <row r="3128" spans="1:21" ht="0" hidden="1" customHeight="1" outlineLevel="3">
      <c r="A3128" s="253" t="s">
        <v>4319</v>
      </c>
      <c r="B3128" s="253"/>
      <c r="C3128" s="202" t="s">
        <v>1609</v>
      </c>
      <c r="D3128" s="203">
        <f>'02 项目基础信息（输入）'!$C$81</f>
        <v>0</v>
      </c>
      <c r="E3128" s="204" t="s">
        <v>93</v>
      </c>
      <c r="F3128" s="202" t="s">
        <v>1609</v>
      </c>
      <c r="G3128" s="204">
        <v>1</v>
      </c>
      <c r="H3128" s="204" t="s">
        <v>298</v>
      </c>
      <c r="I3128" s="265">
        <f>D3128*G3128</f>
        <v>0</v>
      </c>
      <c r="J3128" s="204" t="s">
        <v>93</v>
      </c>
      <c r="K3128" s="270"/>
      <c r="L3128" s="210" t="s">
        <v>675</v>
      </c>
      <c r="M3128" s="198">
        <f>ROUND(K3128*I3128/10000,6)</f>
        <v>0</v>
      </c>
      <c r="N3128" s="212">
        <f>'02 项目基础信息（输入）'!$C$81</f>
        <v>0</v>
      </c>
      <c r="O3128" s="203">
        <f t="shared" si="351"/>
        <v>0</v>
      </c>
      <c r="P3128" s="203">
        <f t="shared" si="353"/>
        <v>0</v>
      </c>
      <c r="Q3128" s="271">
        <f t="shared" si="352"/>
        <v>0</v>
      </c>
      <c r="S3128" s="280"/>
      <c r="T3128" s="222"/>
      <c r="U3128" s="299" t="s">
        <v>5349</v>
      </c>
    </row>
    <row r="3129" spans="1:21" ht="0" hidden="1" customHeight="1" outlineLevel="3">
      <c r="A3129" s="253" t="s">
        <v>4321</v>
      </c>
      <c r="B3129" s="253"/>
      <c r="C3129" s="202" t="s">
        <v>1609</v>
      </c>
      <c r="D3129" s="203">
        <f>'02 项目基础信息（输入）'!$C$81</f>
        <v>0</v>
      </c>
      <c r="E3129" s="204" t="s">
        <v>93</v>
      </c>
      <c r="F3129" s="202"/>
      <c r="G3129" s="255"/>
      <c r="H3129" s="204"/>
      <c r="I3129" s="212"/>
      <c r="J3129" s="255"/>
      <c r="K3129" s="264"/>
      <c r="L3129" s="205"/>
      <c r="M3129" s="198">
        <f>ROUND(SUM(M3130:M3139),6)</f>
        <v>0</v>
      </c>
      <c r="N3129" s="212">
        <f>'02 项目基础信息（输入）'!$C$81</f>
        <v>0</v>
      </c>
      <c r="O3129" s="203">
        <f t="shared" si="351"/>
        <v>0</v>
      </c>
      <c r="P3129" s="203">
        <f t="shared" si="353"/>
        <v>0</v>
      </c>
      <c r="Q3129" s="271">
        <f t="shared" si="352"/>
        <v>0</v>
      </c>
      <c r="S3129" s="280"/>
      <c r="T3129" s="222"/>
      <c r="U3129" s="299" t="s">
        <v>5350</v>
      </c>
    </row>
    <row r="3130" spans="1:21" ht="0" hidden="1" customHeight="1" outlineLevel="4">
      <c r="A3130" s="253" t="s">
        <v>4673</v>
      </c>
      <c r="B3130" s="253"/>
      <c r="C3130" s="202" t="s">
        <v>1609</v>
      </c>
      <c r="D3130" s="203">
        <f>'02 项目基础信息（输入）'!$C$81</f>
        <v>0</v>
      </c>
      <c r="E3130" s="204" t="s">
        <v>93</v>
      </c>
      <c r="F3130" s="202" t="s">
        <v>4324</v>
      </c>
      <c r="G3130" s="258">
        <f t="shared" ref="G3130:G3138" si="358">IFERROR(I3130/D3130,0)</f>
        <v>0</v>
      </c>
      <c r="H3130" s="204" t="s">
        <v>298</v>
      </c>
      <c r="I3130" s="294">
        <f>'03 成本测算（输入）'!D334+'03 成本测算（输入）'!D336+'03 成本测算（输入）'!D338</f>
        <v>0</v>
      </c>
      <c r="J3130" s="204" t="s">
        <v>93</v>
      </c>
      <c r="K3130" s="267">
        <f>IFERROR(('03 成本测算（输入）'!D334*'03 成本测算（输入）'!D335+'03 成本测算（输入）'!D336*'03 成本测算（输入）'!D337+'03 成本测算（输入）'!D338*'03 成本测算（输入）'!D339)/('03 成本测算（输入）'!D334+'03 成本测算（输入）'!D336+'03 成本测算（输入）'!D338),0)</f>
        <v>0</v>
      </c>
      <c r="L3130" s="210" t="s">
        <v>675</v>
      </c>
      <c r="M3130" s="198">
        <f t="shared" ref="M3130:M3140" si="359">ROUND(K3130*I3130/10000,6)</f>
        <v>0</v>
      </c>
      <c r="N3130" s="212">
        <f>'02 项目基础信息（输入）'!$C$81</f>
        <v>0</v>
      </c>
      <c r="O3130" s="203">
        <f t="shared" si="351"/>
        <v>0</v>
      </c>
      <c r="P3130" s="203">
        <f t="shared" si="353"/>
        <v>0</v>
      </c>
      <c r="Q3130" s="271">
        <f t="shared" si="352"/>
        <v>0</v>
      </c>
      <c r="S3130" s="280"/>
      <c r="T3130" s="222"/>
      <c r="U3130" s="299" t="s">
        <v>5351</v>
      </c>
    </row>
    <row r="3131" spans="1:21" ht="0" hidden="1" customHeight="1" outlineLevel="4">
      <c r="A3131" s="253" t="s">
        <v>4675</v>
      </c>
      <c r="B3131" s="253"/>
      <c r="C3131" s="202" t="s">
        <v>1609</v>
      </c>
      <c r="D3131" s="203">
        <f>'02 项目基础信息（输入）'!$C$81</f>
        <v>0</v>
      </c>
      <c r="E3131" s="204" t="s">
        <v>93</v>
      </c>
      <c r="F3131" s="202" t="s">
        <v>4324</v>
      </c>
      <c r="G3131" s="258">
        <f t="shared" si="358"/>
        <v>0</v>
      </c>
      <c r="H3131" s="204" t="s">
        <v>298</v>
      </c>
      <c r="I3131" s="265">
        <f t="shared" ref="I3131:I3138" si="360">I3130</f>
        <v>0</v>
      </c>
      <c r="J3131" s="204" t="s">
        <v>93</v>
      </c>
      <c r="K3131" s="270"/>
      <c r="L3131" s="210" t="s">
        <v>675</v>
      </c>
      <c r="M3131" s="198">
        <f t="shared" si="359"/>
        <v>0</v>
      </c>
      <c r="N3131" s="212">
        <f>'02 项目基础信息（输入）'!$C$81</f>
        <v>0</v>
      </c>
      <c r="O3131" s="203">
        <f t="shared" si="351"/>
        <v>0</v>
      </c>
      <c r="P3131" s="203">
        <f t="shared" si="353"/>
        <v>0</v>
      </c>
      <c r="Q3131" s="271">
        <f t="shared" si="352"/>
        <v>0</v>
      </c>
      <c r="S3131" s="280"/>
      <c r="T3131" s="222"/>
      <c r="U3131" s="299" t="s">
        <v>5352</v>
      </c>
    </row>
    <row r="3132" spans="1:21" ht="0" hidden="1" customHeight="1" outlineLevel="4">
      <c r="A3132" s="253" t="s">
        <v>4677</v>
      </c>
      <c r="B3132" s="253"/>
      <c r="C3132" s="202" t="s">
        <v>1609</v>
      </c>
      <c r="D3132" s="203">
        <f>'02 项目基础信息（输入）'!$C$81</f>
        <v>0</v>
      </c>
      <c r="E3132" s="204" t="s">
        <v>93</v>
      </c>
      <c r="F3132" s="202" t="s">
        <v>4324</v>
      </c>
      <c r="G3132" s="258">
        <f t="shared" si="358"/>
        <v>0</v>
      </c>
      <c r="H3132" s="204" t="s">
        <v>298</v>
      </c>
      <c r="I3132" s="265">
        <f t="shared" si="360"/>
        <v>0</v>
      </c>
      <c r="J3132" s="204" t="s">
        <v>93</v>
      </c>
      <c r="K3132" s="270"/>
      <c r="L3132" s="210" t="s">
        <v>675</v>
      </c>
      <c r="M3132" s="198">
        <f t="shared" si="359"/>
        <v>0</v>
      </c>
      <c r="N3132" s="212">
        <f>'02 项目基础信息（输入）'!$C$81</f>
        <v>0</v>
      </c>
      <c r="O3132" s="203">
        <f t="shared" si="351"/>
        <v>0</v>
      </c>
      <c r="P3132" s="203">
        <f t="shared" si="353"/>
        <v>0</v>
      </c>
      <c r="Q3132" s="271">
        <f t="shared" si="352"/>
        <v>0</v>
      </c>
      <c r="S3132" s="280"/>
      <c r="T3132" s="222"/>
      <c r="U3132" s="299" t="s">
        <v>5353</v>
      </c>
    </row>
    <row r="3133" spans="1:21" ht="0" hidden="1" customHeight="1" outlineLevel="4">
      <c r="A3133" s="253" t="s">
        <v>4679</v>
      </c>
      <c r="B3133" s="253"/>
      <c r="C3133" s="202" t="s">
        <v>1609</v>
      </c>
      <c r="D3133" s="203">
        <f>'02 项目基础信息（输入）'!$C$81</f>
        <v>0</v>
      </c>
      <c r="E3133" s="204" t="s">
        <v>93</v>
      </c>
      <c r="F3133" s="202" t="s">
        <v>4324</v>
      </c>
      <c r="G3133" s="258">
        <f t="shared" si="358"/>
        <v>0</v>
      </c>
      <c r="H3133" s="204" t="s">
        <v>298</v>
      </c>
      <c r="I3133" s="265">
        <f t="shared" si="360"/>
        <v>0</v>
      </c>
      <c r="J3133" s="204" t="s">
        <v>93</v>
      </c>
      <c r="K3133" s="270"/>
      <c r="L3133" s="210" t="s">
        <v>675</v>
      </c>
      <c r="M3133" s="198">
        <f t="shared" si="359"/>
        <v>0</v>
      </c>
      <c r="N3133" s="212">
        <f>'02 项目基础信息（输入）'!$C$81</f>
        <v>0</v>
      </c>
      <c r="O3133" s="203">
        <f t="shared" si="351"/>
        <v>0</v>
      </c>
      <c r="P3133" s="203">
        <f t="shared" si="353"/>
        <v>0</v>
      </c>
      <c r="Q3133" s="271">
        <f t="shared" si="352"/>
        <v>0</v>
      </c>
      <c r="S3133" s="280"/>
      <c r="T3133" s="222"/>
      <c r="U3133" s="299" t="s">
        <v>5354</v>
      </c>
    </row>
    <row r="3134" spans="1:21" ht="0" hidden="1" customHeight="1" outlineLevel="4">
      <c r="A3134" s="253" t="s">
        <v>4681</v>
      </c>
      <c r="B3134" s="253"/>
      <c r="C3134" s="202" t="s">
        <v>1609</v>
      </c>
      <c r="D3134" s="203">
        <f>'02 项目基础信息（输入）'!$C$81</f>
        <v>0</v>
      </c>
      <c r="E3134" s="204" t="s">
        <v>93</v>
      </c>
      <c r="F3134" s="202" t="s">
        <v>4324</v>
      </c>
      <c r="G3134" s="258">
        <f t="shared" si="358"/>
        <v>0</v>
      </c>
      <c r="H3134" s="204" t="s">
        <v>298</v>
      </c>
      <c r="I3134" s="265">
        <f t="shared" si="360"/>
        <v>0</v>
      </c>
      <c r="J3134" s="204" t="s">
        <v>93</v>
      </c>
      <c r="K3134" s="270"/>
      <c r="L3134" s="210" t="s">
        <v>675</v>
      </c>
      <c r="M3134" s="198">
        <f t="shared" si="359"/>
        <v>0</v>
      </c>
      <c r="N3134" s="212">
        <f>'02 项目基础信息（输入）'!$C$81</f>
        <v>0</v>
      </c>
      <c r="O3134" s="203">
        <f t="shared" si="351"/>
        <v>0</v>
      </c>
      <c r="P3134" s="203">
        <f t="shared" si="353"/>
        <v>0</v>
      </c>
      <c r="Q3134" s="271">
        <f t="shared" si="352"/>
        <v>0</v>
      </c>
      <c r="S3134" s="280"/>
      <c r="T3134" s="222"/>
      <c r="U3134" s="299" t="s">
        <v>5355</v>
      </c>
    </row>
    <row r="3135" spans="1:21" ht="0" hidden="1" customHeight="1" outlineLevel="4">
      <c r="A3135" s="253" t="s">
        <v>4683</v>
      </c>
      <c r="B3135" s="253"/>
      <c r="C3135" s="202" t="s">
        <v>1609</v>
      </c>
      <c r="D3135" s="203">
        <f>'02 项目基础信息（输入）'!$C$81</f>
        <v>0</v>
      </c>
      <c r="E3135" s="204" t="s">
        <v>93</v>
      </c>
      <c r="F3135" s="202" t="s">
        <v>4324</v>
      </c>
      <c r="G3135" s="258">
        <f t="shared" si="358"/>
        <v>0</v>
      </c>
      <c r="H3135" s="204" t="s">
        <v>298</v>
      </c>
      <c r="I3135" s="265">
        <f t="shared" si="360"/>
        <v>0</v>
      </c>
      <c r="J3135" s="204" t="s">
        <v>93</v>
      </c>
      <c r="K3135" s="270"/>
      <c r="L3135" s="210" t="s">
        <v>675</v>
      </c>
      <c r="M3135" s="198">
        <f t="shared" si="359"/>
        <v>0</v>
      </c>
      <c r="N3135" s="212">
        <f>'02 项目基础信息（输入）'!$C$81</f>
        <v>0</v>
      </c>
      <c r="O3135" s="203">
        <f t="shared" si="351"/>
        <v>0</v>
      </c>
      <c r="P3135" s="203">
        <f t="shared" si="353"/>
        <v>0</v>
      </c>
      <c r="Q3135" s="271">
        <f t="shared" si="352"/>
        <v>0</v>
      </c>
      <c r="S3135" s="280"/>
      <c r="T3135" s="222"/>
      <c r="U3135" s="299" t="s">
        <v>5356</v>
      </c>
    </row>
    <row r="3136" spans="1:21" ht="0" hidden="1" customHeight="1" outlineLevel="4">
      <c r="A3136" s="253" t="s">
        <v>4323</v>
      </c>
      <c r="B3136" s="253"/>
      <c r="C3136" s="202" t="s">
        <v>1609</v>
      </c>
      <c r="D3136" s="203">
        <f>'02 项目基础信息（输入）'!$C$81</f>
        <v>0</v>
      </c>
      <c r="E3136" s="204" t="s">
        <v>93</v>
      </c>
      <c r="F3136" s="202" t="s">
        <v>4324</v>
      </c>
      <c r="G3136" s="258">
        <f t="shared" si="358"/>
        <v>0</v>
      </c>
      <c r="H3136" s="204" t="s">
        <v>298</v>
      </c>
      <c r="I3136" s="265">
        <f t="shared" si="360"/>
        <v>0</v>
      </c>
      <c r="J3136" s="204" t="s">
        <v>93</v>
      </c>
      <c r="K3136" s="270"/>
      <c r="L3136" s="210" t="s">
        <v>675</v>
      </c>
      <c r="M3136" s="198">
        <f t="shared" si="359"/>
        <v>0</v>
      </c>
      <c r="N3136" s="212">
        <f>'02 项目基础信息（输入）'!$C$81</f>
        <v>0</v>
      </c>
      <c r="O3136" s="203">
        <f t="shared" si="351"/>
        <v>0</v>
      </c>
      <c r="P3136" s="203">
        <f t="shared" si="353"/>
        <v>0</v>
      </c>
      <c r="Q3136" s="271">
        <f t="shared" si="352"/>
        <v>0</v>
      </c>
      <c r="S3136" s="280"/>
      <c r="T3136" s="222"/>
      <c r="U3136" s="299" t="s">
        <v>5357</v>
      </c>
    </row>
    <row r="3137" spans="1:21" ht="0" hidden="1" customHeight="1" outlineLevel="4">
      <c r="A3137" s="253" t="s">
        <v>4326</v>
      </c>
      <c r="B3137" s="253"/>
      <c r="C3137" s="202" t="s">
        <v>1609</v>
      </c>
      <c r="D3137" s="203">
        <f>'02 项目基础信息（输入）'!$C$81</f>
        <v>0</v>
      </c>
      <c r="E3137" s="204" t="s">
        <v>93</v>
      </c>
      <c r="F3137" s="202" t="s">
        <v>4324</v>
      </c>
      <c r="G3137" s="258">
        <f t="shared" si="358"/>
        <v>0</v>
      </c>
      <c r="H3137" s="204" t="s">
        <v>298</v>
      </c>
      <c r="I3137" s="265">
        <f t="shared" si="360"/>
        <v>0</v>
      </c>
      <c r="J3137" s="204" t="s">
        <v>93</v>
      </c>
      <c r="K3137" s="270"/>
      <c r="L3137" s="210" t="s">
        <v>675</v>
      </c>
      <c r="M3137" s="198">
        <f t="shared" si="359"/>
        <v>0</v>
      </c>
      <c r="N3137" s="212">
        <f>'02 项目基础信息（输入）'!$C$81</f>
        <v>0</v>
      </c>
      <c r="O3137" s="203">
        <f t="shared" si="351"/>
        <v>0</v>
      </c>
      <c r="P3137" s="203">
        <f t="shared" si="353"/>
        <v>0</v>
      </c>
      <c r="Q3137" s="271">
        <f t="shared" si="352"/>
        <v>0</v>
      </c>
      <c r="S3137" s="280"/>
      <c r="T3137" s="222"/>
      <c r="U3137" s="299" t="s">
        <v>5358</v>
      </c>
    </row>
    <row r="3138" spans="1:21" ht="0" hidden="1" customHeight="1" outlineLevel="4">
      <c r="A3138" s="253" t="s">
        <v>4328</v>
      </c>
      <c r="B3138" s="253"/>
      <c r="C3138" s="202" t="s">
        <v>1609</v>
      </c>
      <c r="D3138" s="203">
        <f>'02 项目基础信息（输入）'!$C$81</f>
        <v>0</v>
      </c>
      <c r="E3138" s="204" t="s">
        <v>93</v>
      </c>
      <c r="F3138" s="202" t="s">
        <v>4324</v>
      </c>
      <c r="G3138" s="258">
        <f t="shared" si="358"/>
        <v>0</v>
      </c>
      <c r="H3138" s="204" t="s">
        <v>298</v>
      </c>
      <c r="I3138" s="265">
        <f t="shared" si="360"/>
        <v>0</v>
      </c>
      <c r="J3138" s="204" t="s">
        <v>93</v>
      </c>
      <c r="K3138" s="270"/>
      <c r="L3138" s="210" t="s">
        <v>675</v>
      </c>
      <c r="M3138" s="198">
        <f t="shared" si="359"/>
        <v>0</v>
      </c>
      <c r="N3138" s="212">
        <f>'02 项目基础信息（输入）'!$C$81</f>
        <v>0</v>
      </c>
      <c r="O3138" s="203">
        <f t="shared" si="351"/>
        <v>0</v>
      </c>
      <c r="P3138" s="203">
        <f t="shared" si="353"/>
        <v>0</v>
      </c>
      <c r="Q3138" s="271">
        <f t="shared" si="352"/>
        <v>0</v>
      </c>
      <c r="S3138" s="280"/>
      <c r="T3138" s="222"/>
      <c r="U3138" s="299" t="s">
        <v>5359</v>
      </c>
    </row>
    <row r="3139" spans="1:21" ht="0" hidden="1" customHeight="1" outlineLevel="3">
      <c r="A3139" s="253" t="s">
        <v>4330</v>
      </c>
      <c r="B3139" s="253"/>
      <c r="C3139" s="202" t="s">
        <v>1609</v>
      </c>
      <c r="D3139" s="203">
        <f>'02 项目基础信息（输入）'!$C$81</f>
        <v>0</v>
      </c>
      <c r="E3139" s="204" t="s">
        <v>93</v>
      </c>
      <c r="F3139" s="202" t="s">
        <v>1609</v>
      </c>
      <c r="G3139" s="255">
        <v>1</v>
      </c>
      <c r="H3139" s="204" t="s">
        <v>298</v>
      </c>
      <c r="I3139" s="265">
        <f>D3139*G3139</f>
        <v>0</v>
      </c>
      <c r="J3139" s="204" t="s">
        <v>93</v>
      </c>
      <c r="K3139" s="270"/>
      <c r="L3139" s="210" t="s">
        <v>675</v>
      </c>
      <c r="M3139" s="198">
        <f t="shared" si="359"/>
        <v>0</v>
      </c>
      <c r="N3139" s="212">
        <f>'02 项目基础信息（输入）'!$C$81</f>
        <v>0</v>
      </c>
      <c r="O3139" s="203">
        <f t="shared" ref="O3139:O3202" si="361">ROUND(IFERROR(M3139*10000/N3139,0),2)</f>
        <v>0</v>
      </c>
      <c r="P3139" s="203">
        <f t="shared" si="353"/>
        <v>0</v>
      </c>
      <c r="Q3139" s="271">
        <f t="shared" ref="Q3139:Q3202" si="362">ROUND(IFERROR(M3139*10000/P3139,0),2)</f>
        <v>0</v>
      </c>
      <c r="S3139" s="280"/>
      <c r="T3139" s="222"/>
      <c r="U3139" s="299" t="s">
        <v>5360</v>
      </c>
    </row>
    <row r="3140" spans="1:21" ht="0" hidden="1" customHeight="1" outlineLevel="3">
      <c r="A3140" s="253" t="s">
        <v>4332</v>
      </c>
      <c r="B3140" s="253"/>
      <c r="C3140" s="202" t="s">
        <v>1609</v>
      </c>
      <c r="D3140" s="203">
        <f>'02 项目基础信息（输入）'!$C$81</f>
        <v>0</v>
      </c>
      <c r="E3140" s="204" t="s">
        <v>93</v>
      </c>
      <c r="F3140" s="202" t="s">
        <v>1609</v>
      </c>
      <c r="G3140" s="255">
        <v>1</v>
      </c>
      <c r="H3140" s="204" t="s">
        <v>298</v>
      </c>
      <c r="I3140" s="265">
        <f>D3140*G3140</f>
        <v>0</v>
      </c>
      <c r="J3140" s="204" t="s">
        <v>93</v>
      </c>
      <c r="K3140" s="270"/>
      <c r="L3140" s="210" t="s">
        <v>675</v>
      </c>
      <c r="M3140" s="198">
        <f t="shared" si="359"/>
        <v>0</v>
      </c>
      <c r="N3140" s="212">
        <f>'02 项目基础信息（输入）'!$C$81</f>
        <v>0</v>
      </c>
      <c r="O3140" s="203">
        <f t="shared" si="361"/>
        <v>0</v>
      </c>
      <c r="P3140" s="203">
        <f t="shared" si="353"/>
        <v>0</v>
      </c>
      <c r="Q3140" s="271">
        <f t="shared" si="362"/>
        <v>0</v>
      </c>
      <c r="S3140" s="280"/>
      <c r="T3140" s="222"/>
      <c r="U3140" s="299" t="s">
        <v>5361</v>
      </c>
    </row>
    <row r="3141" spans="1:21" ht="0" hidden="1" customHeight="1" outlineLevel="3">
      <c r="A3141" s="253" t="s">
        <v>4334</v>
      </c>
      <c r="B3141" s="253"/>
      <c r="C3141" s="202" t="s">
        <v>1665</v>
      </c>
      <c r="D3141" s="203">
        <f>ROUND(M3126+M3127+M3128+M3129+M3140,6)*10000</f>
        <v>0</v>
      </c>
      <c r="E3141" s="204" t="s">
        <v>1666</v>
      </c>
      <c r="F3141" s="202" t="s">
        <v>1667</v>
      </c>
      <c r="G3141" s="258">
        <f>IFERROR(I3141*100/D3141,0)</f>
        <v>0</v>
      </c>
      <c r="H3141" s="204" t="s">
        <v>123</v>
      </c>
      <c r="I3141" s="265">
        <f>N3141*K3141</f>
        <v>0</v>
      </c>
      <c r="J3141" s="204" t="s">
        <v>1666</v>
      </c>
      <c r="K3141" s="269"/>
      <c r="L3141" s="210" t="s">
        <v>675</v>
      </c>
      <c r="M3141" s="231">
        <f>ROUND(I3141/10000,6)</f>
        <v>0</v>
      </c>
      <c r="N3141" s="212">
        <f>'02 项目基础信息（输入）'!$C$81</f>
        <v>0</v>
      </c>
      <c r="O3141" s="203">
        <f t="shared" si="361"/>
        <v>0</v>
      </c>
      <c r="P3141" s="203">
        <f t="shared" si="353"/>
        <v>0</v>
      </c>
      <c r="Q3141" s="271">
        <f t="shared" si="362"/>
        <v>0</v>
      </c>
      <c r="S3141" s="280"/>
      <c r="T3141" s="222"/>
      <c r="U3141" s="299" t="s">
        <v>5362</v>
      </c>
    </row>
    <row r="3142" spans="1:21" ht="0" hidden="1" customHeight="1" outlineLevel="2">
      <c r="A3142" s="201" t="s">
        <v>4336</v>
      </c>
      <c r="B3142" s="201"/>
      <c r="C3142" s="202" t="s">
        <v>1609</v>
      </c>
      <c r="D3142" s="203">
        <f>'02 项目基础信息（输入）'!$C$81</f>
        <v>0</v>
      </c>
      <c r="E3142" s="204" t="s">
        <v>93</v>
      </c>
      <c r="F3142" s="202"/>
      <c r="G3142" s="255"/>
      <c r="H3142" s="204"/>
      <c r="I3142" s="203"/>
      <c r="J3142" s="204"/>
      <c r="K3142" s="264"/>
      <c r="L3142" s="210"/>
      <c r="M3142" s="198">
        <f>ROUND(M3143+M3146+M3151+M3152+M3153+M3154,6)</f>
        <v>0</v>
      </c>
      <c r="N3142" s="212">
        <f>'02 项目基础信息（输入）'!$C$81</f>
        <v>0</v>
      </c>
      <c r="O3142" s="203">
        <f t="shared" si="361"/>
        <v>0</v>
      </c>
      <c r="P3142" s="203">
        <f t="shared" si="353"/>
        <v>0</v>
      </c>
      <c r="Q3142" s="271">
        <f t="shared" si="362"/>
        <v>0</v>
      </c>
      <c r="S3142" s="280" t="s">
        <v>1313</v>
      </c>
      <c r="T3142" s="222"/>
      <c r="U3142" s="299" t="s">
        <v>5363</v>
      </c>
    </row>
    <row r="3143" spans="1:21" ht="0" hidden="1" customHeight="1" outlineLevel="3">
      <c r="A3143" s="253" t="s">
        <v>4338</v>
      </c>
      <c r="B3143" s="253"/>
      <c r="C3143" s="202" t="s">
        <v>1609</v>
      </c>
      <c r="D3143" s="203">
        <f>'02 项目基础信息（输入）'!$C$81</f>
        <v>0</v>
      </c>
      <c r="E3143" s="204" t="s">
        <v>93</v>
      </c>
      <c r="F3143" s="202"/>
      <c r="G3143" s="204"/>
      <c r="H3143" s="204"/>
      <c r="I3143" s="203"/>
      <c r="J3143" s="204"/>
      <c r="K3143" s="264"/>
      <c r="L3143" s="210"/>
      <c r="M3143" s="198">
        <f>ROUND(SUM(M3144:M3145),6)</f>
        <v>0</v>
      </c>
      <c r="N3143" s="212">
        <f>'02 项目基础信息（输入）'!$C$81</f>
        <v>0</v>
      </c>
      <c r="O3143" s="203">
        <f t="shared" si="361"/>
        <v>0</v>
      </c>
      <c r="P3143" s="203">
        <f t="shared" si="353"/>
        <v>0</v>
      </c>
      <c r="Q3143" s="271">
        <f t="shared" si="362"/>
        <v>0</v>
      </c>
      <c r="S3143" s="280"/>
      <c r="T3143" s="222"/>
      <c r="U3143" s="299" t="s">
        <v>5364</v>
      </c>
    </row>
    <row r="3144" spans="1:21" ht="0" hidden="1" customHeight="1" outlineLevel="4">
      <c r="A3144" s="253" t="s">
        <v>4340</v>
      </c>
      <c r="B3144" s="253"/>
      <c r="C3144" s="202" t="s">
        <v>1609</v>
      </c>
      <c r="D3144" s="203">
        <f>'02 项目基础信息（输入）'!$C$81</f>
        <v>0</v>
      </c>
      <c r="E3144" s="204" t="s">
        <v>93</v>
      </c>
      <c r="F3144" s="202" t="s">
        <v>1609</v>
      </c>
      <c r="G3144" s="204">
        <v>1</v>
      </c>
      <c r="H3144" s="204" t="s">
        <v>298</v>
      </c>
      <c r="I3144" s="265">
        <f>D3144*G3144</f>
        <v>0</v>
      </c>
      <c r="J3144" s="204" t="s">
        <v>93</v>
      </c>
      <c r="K3144" s="270"/>
      <c r="L3144" s="210" t="s">
        <v>675</v>
      </c>
      <c r="M3144" s="198">
        <f>ROUND(K3144*I3144/10000,6)</f>
        <v>0</v>
      </c>
      <c r="N3144" s="212">
        <f>'02 项目基础信息（输入）'!$C$81</f>
        <v>0</v>
      </c>
      <c r="O3144" s="203">
        <f t="shared" si="361"/>
        <v>0</v>
      </c>
      <c r="P3144" s="203">
        <f t="shared" si="353"/>
        <v>0</v>
      </c>
      <c r="Q3144" s="271">
        <f t="shared" si="362"/>
        <v>0</v>
      </c>
      <c r="S3144" s="280"/>
      <c r="T3144" s="222"/>
      <c r="U3144" s="299" t="s">
        <v>5365</v>
      </c>
    </row>
    <row r="3145" spans="1:21" ht="0" hidden="1" customHeight="1" outlineLevel="4">
      <c r="A3145" s="253" t="s">
        <v>4342</v>
      </c>
      <c r="B3145" s="253"/>
      <c r="C3145" s="202" t="s">
        <v>1609</v>
      </c>
      <c r="D3145" s="203">
        <f>'02 项目基础信息（输入）'!$C$81</f>
        <v>0</v>
      </c>
      <c r="E3145" s="204" t="s">
        <v>93</v>
      </c>
      <c r="F3145" s="202" t="s">
        <v>1609</v>
      </c>
      <c r="G3145" s="204">
        <v>1</v>
      </c>
      <c r="H3145" s="204" t="s">
        <v>298</v>
      </c>
      <c r="I3145" s="265">
        <f>D3145*G3145</f>
        <v>0</v>
      </c>
      <c r="J3145" s="204" t="s">
        <v>93</v>
      </c>
      <c r="K3145" s="270"/>
      <c r="L3145" s="210" t="s">
        <v>675</v>
      </c>
      <c r="M3145" s="198">
        <f>ROUND(K3145*I3145/10000,6)</f>
        <v>0</v>
      </c>
      <c r="N3145" s="212">
        <f>'02 项目基础信息（输入）'!$C$81</f>
        <v>0</v>
      </c>
      <c r="O3145" s="203">
        <f t="shared" si="361"/>
        <v>0</v>
      </c>
      <c r="P3145" s="203">
        <f t="shared" si="353"/>
        <v>0</v>
      </c>
      <c r="Q3145" s="271">
        <f t="shared" si="362"/>
        <v>0</v>
      </c>
      <c r="S3145" s="280"/>
      <c r="T3145" s="222"/>
      <c r="U3145" s="299" t="s">
        <v>5366</v>
      </c>
    </row>
    <row r="3146" spans="1:21" ht="0" hidden="1" customHeight="1" outlineLevel="3">
      <c r="A3146" s="253" t="s">
        <v>4344</v>
      </c>
      <c r="B3146" s="253"/>
      <c r="C3146" s="202" t="s">
        <v>1609</v>
      </c>
      <c r="D3146" s="203">
        <f>'02 项目基础信息（输入）'!$C$81</f>
        <v>0</v>
      </c>
      <c r="E3146" s="204" t="s">
        <v>93</v>
      </c>
      <c r="F3146" s="202"/>
      <c r="G3146" s="204"/>
      <c r="H3146" s="204"/>
      <c r="I3146" s="203"/>
      <c r="J3146" s="204"/>
      <c r="K3146" s="231"/>
      <c r="L3146" s="210"/>
      <c r="M3146" s="198">
        <f>ROUND(SUM(M3147:M3150),6)</f>
        <v>0</v>
      </c>
      <c r="N3146" s="212">
        <f>'02 项目基础信息（输入）'!$C$81</f>
        <v>0</v>
      </c>
      <c r="O3146" s="203">
        <f t="shared" si="361"/>
        <v>0</v>
      </c>
      <c r="P3146" s="203">
        <f t="shared" ref="P3146:P3209" si="363">N3146</f>
        <v>0</v>
      </c>
      <c r="Q3146" s="271">
        <f t="shared" si="362"/>
        <v>0</v>
      </c>
      <c r="S3146" s="280"/>
      <c r="T3146" s="222"/>
      <c r="U3146" s="299" t="s">
        <v>5367</v>
      </c>
    </row>
    <row r="3147" spans="1:21" ht="0" hidden="1" customHeight="1" outlineLevel="4">
      <c r="A3147" s="253" t="s">
        <v>4346</v>
      </c>
      <c r="B3147" s="253"/>
      <c r="C3147" s="202" t="s">
        <v>1609</v>
      </c>
      <c r="D3147" s="203">
        <f>'02 项目基础信息（输入）'!$C$81</f>
        <v>0</v>
      </c>
      <c r="E3147" s="204" t="s">
        <v>93</v>
      </c>
      <c r="F3147" s="202" t="s">
        <v>1609</v>
      </c>
      <c r="G3147" s="204">
        <v>1</v>
      </c>
      <c r="H3147" s="204" t="s">
        <v>298</v>
      </c>
      <c r="I3147" s="265">
        <f t="shared" ref="I3147:I3153" si="364">D3147*G3147</f>
        <v>0</v>
      </c>
      <c r="J3147" s="204" t="s">
        <v>93</v>
      </c>
      <c r="K3147" s="270"/>
      <c r="L3147" s="210" t="s">
        <v>675</v>
      </c>
      <c r="M3147" s="198">
        <f t="shared" ref="M3147:M3153" si="365">ROUND(K3147*I3147/10000,6)</f>
        <v>0</v>
      </c>
      <c r="N3147" s="212">
        <f>'02 项目基础信息（输入）'!$C$81</f>
        <v>0</v>
      </c>
      <c r="O3147" s="203">
        <f t="shared" si="361"/>
        <v>0</v>
      </c>
      <c r="P3147" s="203">
        <f t="shared" si="363"/>
        <v>0</v>
      </c>
      <c r="Q3147" s="271">
        <f t="shared" si="362"/>
        <v>0</v>
      </c>
      <c r="S3147" s="280"/>
      <c r="T3147" s="222"/>
      <c r="U3147" s="299" t="s">
        <v>5368</v>
      </c>
    </row>
    <row r="3148" spans="1:21" ht="0" hidden="1" customHeight="1" outlineLevel="4">
      <c r="A3148" s="253" t="s">
        <v>4348</v>
      </c>
      <c r="B3148" s="253"/>
      <c r="C3148" s="202" t="s">
        <v>1609</v>
      </c>
      <c r="D3148" s="203">
        <f>'02 项目基础信息（输入）'!$C$81</f>
        <v>0</v>
      </c>
      <c r="E3148" s="204" t="s">
        <v>93</v>
      </c>
      <c r="F3148" s="202" t="s">
        <v>1609</v>
      </c>
      <c r="G3148" s="204">
        <v>1</v>
      </c>
      <c r="H3148" s="204" t="s">
        <v>298</v>
      </c>
      <c r="I3148" s="265">
        <f t="shared" si="364"/>
        <v>0</v>
      </c>
      <c r="J3148" s="204" t="s">
        <v>93</v>
      </c>
      <c r="K3148" s="270"/>
      <c r="L3148" s="210" t="s">
        <v>675</v>
      </c>
      <c r="M3148" s="198">
        <f t="shared" si="365"/>
        <v>0</v>
      </c>
      <c r="N3148" s="212">
        <f>'02 项目基础信息（输入）'!$C$81</f>
        <v>0</v>
      </c>
      <c r="O3148" s="203">
        <f t="shared" si="361"/>
        <v>0</v>
      </c>
      <c r="P3148" s="203">
        <f t="shared" si="363"/>
        <v>0</v>
      </c>
      <c r="Q3148" s="271">
        <f t="shared" si="362"/>
        <v>0</v>
      </c>
      <c r="S3148" s="280"/>
      <c r="T3148" s="222"/>
      <c r="U3148" s="299" t="s">
        <v>5369</v>
      </c>
    </row>
    <row r="3149" spans="1:21" ht="0" hidden="1" customHeight="1" outlineLevel="4">
      <c r="A3149" s="253" t="s">
        <v>4350</v>
      </c>
      <c r="B3149" s="253"/>
      <c r="C3149" s="202" t="s">
        <v>1609</v>
      </c>
      <c r="D3149" s="203">
        <f>'02 项目基础信息（输入）'!$C$81</f>
        <v>0</v>
      </c>
      <c r="E3149" s="204" t="s">
        <v>93</v>
      </c>
      <c r="F3149" s="202" t="s">
        <v>1609</v>
      </c>
      <c r="G3149" s="204">
        <v>1</v>
      </c>
      <c r="H3149" s="204" t="s">
        <v>298</v>
      </c>
      <c r="I3149" s="265">
        <f t="shared" si="364"/>
        <v>0</v>
      </c>
      <c r="J3149" s="204" t="s">
        <v>93</v>
      </c>
      <c r="K3149" s="270"/>
      <c r="L3149" s="210" t="s">
        <v>675</v>
      </c>
      <c r="M3149" s="198">
        <f t="shared" si="365"/>
        <v>0</v>
      </c>
      <c r="N3149" s="212">
        <f>'02 项目基础信息（输入）'!$C$81</f>
        <v>0</v>
      </c>
      <c r="O3149" s="203">
        <f t="shared" si="361"/>
        <v>0</v>
      </c>
      <c r="P3149" s="203">
        <f t="shared" si="363"/>
        <v>0</v>
      </c>
      <c r="Q3149" s="271">
        <f t="shared" si="362"/>
        <v>0</v>
      </c>
      <c r="S3149" s="280"/>
      <c r="T3149" s="222"/>
      <c r="U3149" s="299" t="s">
        <v>5370</v>
      </c>
    </row>
    <row r="3150" spans="1:21" ht="0" hidden="1" customHeight="1" outlineLevel="4">
      <c r="A3150" s="253" t="s">
        <v>4352</v>
      </c>
      <c r="B3150" s="253"/>
      <c r="C3150" s="202" t="s">
        <v>1609</v>
      </c>
      <c r="D3150" s="203">
        <f>'02 项目基础信息（输入）'!$C$81</f>
        <v>0</v>
      </c>
      <c r="E3150" s="204" t="s">
        <v>93</v>
      </c>
      <c r="F3150" s="202" t="s">
        <v>1609</v>
      </c>
      <c r="G3150" s="204">
        <v>1</v>
      </c>
      <c r="H3150" s="204" t="s">
        <v>298</v>
      </c>
      <c r="I3150" s="265">
        <f t="shared" si="364"/>
        <v>0</v>
      </c>
      <c r="J3150" s="204" t="s">
        <v>93</v>
      </c>
      <c r="K3150" s="270"/>
      <c r="L3150" s="210" t="s">
        <v>675</v>
      </c>
      <c r="M3150" s="198">
        <f t="shared" si="365"/>
        <v>0</v>
      </c>
      <c r="N3150" s="212">
        <f>'02 项目基础信息（输入）'!$C$81</f>
        <v>0</v>
      </c>
      <c r="O3150" s="203">
        <f t="shared" si="361"/>
        <v>0</v>
      </c>
      <c r="P3150" s="203">
        <f t="shared" si="363"/>
        <v>0</v>
      </c>
      <c r="Q3150" s="271">
        <f t="shared" si="362"/>
        <v>0</v>
      </c>
      <c r="S3150" s="280"/>
      <c r="T3150" s="222"/>
      <c r="U3150" s="299" t="s">
        <v>5371</v>
      </c>
    </row>
    <row r="3151" spans="1:21" ht="0" hidden="1" customHeight="1" outlineLevel="3">
      <c r="A3151" s="253" t="s">
        <v>4354</v>
      </c>
      <c r="B3151" s="253"/>
      <c r="C3151" s="202" t="s">
        <v>1609</v>
      </c>
      <c r="D3151" s="203">
        <f>'02 项目基础信息（输入）'!$C$81</f>
        <v>0</v>
      </c>
      <c r="E3151" s="204" t="s">
        <v>93</v>
      </c>
      <c r="F3151" s="202" t="s">
        <v>1609</v>
      </c>
      <c r="G3151" s="204">
        <v>1</v>
      </c>
      <c r="H3151" s="204" t="s">
        <v>298</v>
      </c>
      <c r="I3151" s="265">
        <f t="shared" si="364"/>
        <v>0</v>
      </c>
      <c r="J3151" s="204" t="s">
        <v>93</v>
      </c>
      <c r="K3151" s="270"/>
      <c r="L3151" s="210" t="s">
        <v>675</v>
      </c>
      <c r="M3151" s="198">
        <f t="shared" si="365"/>
        <v>0</v>
      </c>
      <c r="N3151" s="212">
        <f>'02 项目基础信息（输入）'!$C$81</f>
        <v>0</v>
      </c>
      <c r="O3151" s="203">
        <f t="shared" si="361"/>
        <v>0</v>
      </c>
      <c r="P3151" s="203">
        <f t="shared" si="363"/>
        <v>0</v>
      </c>
      <c r="Q3151" s="271">
        <f t="shared" si="362"/>
        <v>0</v>
      </c>
      <c r="S3151" s="280"/>
      <c r="T3151" s="222"/>
      <c r="U3151" s="299" t="s">
        <v>5372</v>
      </c>
    </row>
    <row r="3152" spans="1:21" ht="0" hidden="1" customHeight="1" outlineLevel="3">
      <c r="A3152" s="253" t="s">
        <v>4356</v>
      </c>
      <c r="B3152" s="253"/>
      <c r="C3152" s="202" t="s">
        <v>1609</v>
      </c>
      <c r="D3152" s="203">
        <f>'02 项目基础信息（输入）'!$C$81</f>
        <v>0</v>
      </c>
      <c r="E3152" s="204" t="s">
        <v>93</v>
      </c>
      <c r="F3152" s="202" t="s">
        <v>1609</v>
      </c>
      <c r="G3152" s="255">
        <v>1</v>
      </c>
      <c r="H3152" s="204" t="s">
        <v>298</v>
      </c>
      <c r="I3152" s="265">
        <f t="shared" si="364"/>
        <v>0</v>
      </c>
      <c r="J3152" s="204" t="s">
        <v>93</v>
      </c>
      <c r="K3152" s="270"/>
      <c r="L3152" s="210" t="s">
        <v>675</v>
      </c>
      <c r="M3152" s="198">
        <f t="shared" si="365"/>
        <v>0</v>
      </c>
      <c r="N3152" s="212">
        <f>'02 项目基础信息（输入）'!$C$81</f>
        <v>0</v>
      </c>
      <c r="O3152" s="203">
        <f t="shared" si="361"/>
        <v>0</v>
      </c>
      <c r="P3152" s="203">
        <f t="shared" si="363"/>
        <v>0</v>
      </c>
      <c r="Q3152" s="271">
        <f t="shared" si="362"/>
        <v>0</v>
      </c>
      <c r="S3152" s="280"/>
      <c r="T3152" s="222"/>
      <c r="U3152" s="299" t="s">
        <v>5373</v>
      </c>
    </row>
    <row r="3153" spans="1:21" ht="0" hidden="1" customHeight="1" outlineLevel="3">
      <c r="A3153" s="253" t="s">
        <v>4358</v>
      </c>
      <c r="B3153" s="253"/>
      <c r="C3153" s="202" t="s">
        <v>1609</v>
      </c>
      <c r="D3153" s="203">
        <f>'02 项目基础信息（输入）'!$C$81</f>
        <v>0</v>
      </c>
      <c r="E3153" s="204" t="s">
        <v>93</v>
      </c>
      <c r="F3153" s="202" t="s">
        <v>1609</v>
      </c>
      <c r="G3153" s="255">
        <v>1</v>
      </c>
      <c r="H3153" s="204" t="s">
        <v>298</v>
      </c>
      <c r="I3153" s="265">
        <f t="shared" si="364"/>
        <v>0</v>
      </c>
      <c r="J3153" s="204" t="s">
        <v>93</v>
      </c>
      <c r="K3153" s="270"/>
      <c r="L3153" s="210" t="s">
        <v>675</v>
      </c>
      <c r="M3153" s="198">
        <f t="shared" si="365"/>
        <v>0</v>
      </c>
      <c r="N3153" s="212">
        <f>'02 项目基础信息（输入）'!$C$81</f>
        <v>0</v>
      </c>
      <c r="O3153" s="203">
        <f t="shared" si="361"/>
        <v>0</v>
      </c>
      <c r="P3153" s="203">
        <f t="shared" si="363"/>
        <v>0</v>
      </c>
      <c r="Q3153" s="271">
        <f t="shared" si="362"/>
        <v>0</v>
      </c>
      <c r="S3153" s="280"/>
      <c r="T3153" s="222"/>
      <c r="U3153" s="299" t="s">
        <v>5374</v>
      </c>
    </row>
    <row r="3154" spans="1:21" ht="0" hidden="1" customHeight="1" outlineLevel="3">
      <c r="A3154" s="253" t="s">
        <v>4360</v>
      </c>
      <c r="B3154" s="253"/>
      <c r="C3154" s="202" t="s">
        <v>1665</v>
      </c>
      <c r="D3154" s="203">
        <f>ROUND(M3143+M3146+M3151+M3152+M3153,6)*10000</f>
        <v>0</v>
      </c>
      <c r="E3154" s="204" t="s">
        <v>1666</v>
      </c>
      <c r="F3154" s="202" t="s">
        <v>1667</v>
      </c>
      <c r="G3154" s="258">
        <f>IFERROR(I3154*100/D3154,0)</f>
        <v>0</v>
      </c>
      <c r="H3154" s="204" t="s">
        <v>123</v>
      </c>
      <c r="I3154" s="265">
        <f>N3154*K3154</f>
        <v>0</v>
      </c>
      <c r="J3154" s="204" t="s">
        <v>1666</v>
      </c>
      <c r="K3154" s="269"/>
      <c r="L3154" s="210" t="s">
        <v>675</v>
      </c>
      <c r="M3154" s="231">
        <f>ROUND(I3154/10000,6)</f>
        <v>0</v>
      </c>
      <c r="N3154" s="212">
        <f>'02 项目基础信息（输入）'!$C$81</f>
        <v>0</v>
      </c>
      <c r="O3154" s="203">
        <f t="shared" si="361"/>
        <v>0</v>
      </c>
      <c r="P3154" s="203">
        <f t="shared" si="363"/>
        <v>0</v>
      </c>
      <c r="Q3154" s="271">
        <f t="shared" si="362"/>
        <v>0</v>
      </c>
      <c r="S3154" s="280"/>
      <c r="T3154" s="222"/>
      <c r="U3154" s="298" t="s">
        <v>5375</v>
      </c>
    </row>
    <row r="3155" spans="1:21" ht="0" hidden="1" customHeight="1" outlineLevel="2">
      <c r="A3155" s="201" t="s">
        <v>4362</v>
      </c>
      <c r="B3155" s="201"/>
      <c r="C3155" s="202" t="s">
        <v>1609</v>
      </c>
      <c r="D3155" s="203">
        <f>'02 项目基础信息（输入）'!$C$81</f>
        <v>0</v>
      </c>
      <c r="E3155" s="204" t="s">
        <v>93</v>
      </c>
      <c r="F3155" s="202"/>
      <c r="G3155" s="255"/>
      <c r="H3155" s="204"/>
      <c r="I3155" s="203"/>
      <c r="J3155" s="204"/>
      <c r="K3155" s="264"/>
      <c r="L3155" s="210"/>
      <c r="M3155" s="198">
        <f>ROUND(M3156+M3159+M3164+M3171+M3172+M3175+M3176+M3177+M3178+M3179+M3180+M3181+M3182+M3183+M3184+M3185+M3189+M3190,6)</f>
        <v>0</v>
      </c>
      <c r="N3155" s="212">
        <f>'02 项目基础信息（输入）'!$C$81</f>
        <v>0</v>
      </c>
      <c r="O3155" s="203">
        <f t="shared" si="361"/>
        <v>0</v>
      </c>
      <c r="P3155" s="203">
        <f t="shared" si="363"/>
        <v>0</v>
      </c>
      <c r="Q3155" s="271">
        <f t="shared" si="362"/>
        <v>0</v>
      </c>
      <c r="S3155" s="280" t="s">
        <v>1314</v>
      </c>
      <c r="T3155" s="222"/>
      <c r="U3155" s="299" t="s">
        <v>5376</v>
      </c>
    </row>
    <row r="3156" spans="1:21" ht="0" hidden="1" customHeight="1" outlineLevel="3">
      <c r="A3156" s="253" t="s">
        <v>4705</v>
      </c>
      <c r="B3156" s="253"/>
      <c r="C3156" s="202" t="s">
        <v>1609</v>
      </c>
      <c r="D3156" s="203">
        <f>'02 项目基础信息（输入）'!$C$81</f>
        <v>0</v>
      </c>
      <c r="E3156" s="204" t="s">
        <v>93</v>
      </c>
      <c r="F3156" s="202"/>
      <c r="G3156" s="204"/>
      <c r="H3156" s="204"/>
      <c r="I3156" s="265"/>
      <c r="J3156" s="204"/>
      <c r="K3156" s="264"/>
      <c r="L3156" s="210"/>
      <c r="M3156" s="198">
        <f>ROUND(SUM(M3157:M3158),6)</f>
        <v>0</v>
      </c>
      <c r="N3156" s="212">
        <f>'02 项目基础信息（输入）'!$C$81</f>
        <v>0</v>
      </c>
      <c r="O3156" s="203">
        <f t="shared" si="361"/>
        <v>0</v>
      </c>
      <c r="P3156" s="203">
        <f t="shared" si="363"/>
        <v>0</v>
      </c>
      <c r="Q3156" s="271">
        <f t="shared" si="362"/>
        <v>0</v>
      </c>
      <c r="S3156" s="280"/>
      <c r="T3156" s="222"/>
      <c r="U3156" s="299" t="s">
        <v>5377</v>
      </c>
    </row>
    <row r="3157" spans="1:21" ht="0" hidden="1" customHeight="1" outlineLevel="4">
      <c r="A3157" s="253" t="s">
        <v>4707</v>
      </c>
      <c r="B3157" s="253"/>
      <c r="C3157" s="202" t="s">
        <v>1609</v>
      </c>
      <c r="D3157" s="203">
        <f>'02 项目基础信息（输入）'!$C$81</f>
        <v>0</v>
      </c>
      <c r="E3157" s="204" t="s">
        <v>93</v>
      </c>
      <c r="F3157" s="202" t="s">
        <v>1609</v>
      </c>
      <c r="G3157" s="204">
        <v>1</v>
      </c>
      <c r="H3157" s="204" t="s">
        <v>298</v>
      </c>
      <c r="I3157" s="265">
        <f>D3157*G3157</f>
        <v>0</v>
      </c>
      <c r="J3157" s="204" t="s">
        <v>93</v>
      </c>
      <c r="K3157" s="270"/>
      <c r="L3157" s="210" t="s">
        <v>675</v>
      </c>
      <c r="M3157" s="198">
        <f>ROUND(K3157*I3157/10000,6)</f>
        <v>0</v>
      </c>
      <c r="N3157" s="212">
        <f>'02 项目基础信息（输入）'!$C$81</f>
        <v>0</v>
      </c>
      <c r="O3157" s="203">
        <f t="shared" si="361"/>
        <v>0</v>
      </c>
      <c r="P3157" s="203">
        <f t="shared" si="363"/>
        <v>0</v>
      </c>
      <c r="Q3157" s="271">
        <f t="shared" si="362"/>
        <v>0</v>
      </c>
      <c r="S3157" s="280"/>
      <c r="T3157" s="222"/>
      <c r="U3157" s="299" t="s">
        <v>5378</v>
      </c>
    </row>
    <row r="3158" spans="1:21" ht="0" hidden="1" customHeight="1" outlineLevel="4">
      <c r="A3158" s="253" t="s">
        <v>4709</v>
      </c>
      <c r="B3158" s="253"/>
      <c r="C3158" s="202" t="s">
        <v>1609</v>
      </c>
      <c r="D3158" s="203">
        <f>'02 项目基础信息（输入）'!$C$81</f>
        <v>0</v>
      </c>
      <c r="E3158" s="204" t="s">
        <v>93</v>
      </c>
      <c r="F3158" s="202" t="s">
        <v>1609</v>
      </c>
      <c r="G3158" s="204">
        <v>1</v>
      </c>
      <c r="H3158" s="204" t="s">
        <v>298</v>
      </c>
      <c r="I3158" s="265">
        <f>D3158*G3158</f>
        <v>0</v>
      </c>
      <c r="J3158" s="204" t="s">
        <v>93</v>
      </c>
      <c r="K3158" s="270"/>
      <c r="L3158" s="210" t="s">
        <v>675</v>
      </c>
      <c r="M3158" s="198">
        <f>ROUND(K3158*I3158/10000,6)</f>
        <v>0</v>
      </c>
      <c r="N3158" s="212">
        <f>'02 项目基础信息（输入）'!$C$81</f>
        <v>0</v>
      </c>
      <c r="O3158" s="203">
        <f t="shared" si="361"/>
        <v>0</v>
      </c>
      <c r="P3158" s="203">
        <f t="shared" si="363"/>
        <v>0</v>
      </c>
      <c r="Q3158" s="271">
        <f t="shared" si="362"/>
        <v>0</v>
      </c>
      <c r="S3158" s="280"/>
      <c r="T3158" s="222"/>
      <c r="U3158" s="299" t="s">
        <v>5379</v>
      </c>
    </row>
    <row r="3159" spans="1:21" ht="0" hidden="1" customHeight="1" outlineLevel="3">
      <c r="A3159" s="253" t="s">
        <v>4711</v>
      </c>
      <c r="B3159" s="253"/>
      <c r="C3159" s="202" t="s">
        <v>1609</v>
      </c>
      <c r="D3159" s="203">
        <f>'02 项目基础信息（输入）'!$C$81</f>
        <v>0</v>
      </c>
      <c r="E3159" s="204" t="s">
        <v>93</v>
      </c>
      <c r="F3159" s="202"/>
      <c r="G3159" s="204"/>
      <c r="H3159" s="204"/>
      <c r="I3159" s="203"/>
      <c r="J3159" s="204"/>
      <c r="K3159" s="231"/>
      <c r="L3159" s="210"/>
      <c r="M3159" s="198">
        <f>ROUND(SUM(M3160:M3163),6)</f>
        <v>0</v>
      </c>
      <c r="N3159" s="212">
        <f>'02 项目基础信息（输入）'!$C$81</f>
        <v>0</v>
      </c>
      <c r="O3159" s="203">
        <f t="shared" si="361"/>
        <v>0</v>
      </c>
      <c r="P3159" s="203">
        <f t="shared" si="363"/>
        <v>0</v>
      </c>
      <c r="Q3159" s="271">
        <f t="shared" si="362"/>
        <v>0</v>
      </c>
      <c r="S3159" s="280"/>
      <c r="T3159" s="222"/>
      <c r="U3159" s="298" t="s">
        <v>5380</v>
      </c>
    </row>
    <row r="3160" spans="1:21" ht="0" hidden="1" customHeight="1" outlineLevel="4">
      <c r="A3160" s="253" t="s">
        <v>4713</v>
      </c>
      <c r="B3160" s="253"/>
      <c r="C3160" s="202" t="s">
        <v>1609</v>
      </c>
      <c r="D3160" s="203">
        <f>'02 项目基础信息（输入）'!$C$81</f>
        <v>0</v>
      </c>
      <c r="E3160" s="204" t="s">
        <v>93</v>
      </c>
      <c r="F3160" s="202" t="s">
        <v>1609</v>
      </c>
      <c r="G3160" s="204">
        <v>1</v>
      </c>
      <c r="H3160" s="204" t="s">
        <v>298</v>
      </c>
      <c r="I3160" s="265">
        <f>D3160*G3160</f>
        <v>0</v>
      </c>
      <c r="J3160" s="204" t="s">
        <v>93</v>
      </c>
      <c r="K3160" s="270"/>
      <c r="L3160" s="210" t="s">
        <v>675</v>
      </c>
      <c r="M3160" s="198">
        <f>ROUND(K3160*I3160/10000,6)</f>
        <v>0</v>
      </c>
      <c r="N3160" s="212">
        <f>'02 项目基础信息（输入）'!$C$81</f>
        <v>0</v>
      </c>
      <c r="O3160" s="203">
        <f t="shared" si="361"/>
        <v>0</v>
      </c>
      <c r="P3160" s="203">
        <f t="shared" si="363"/>
        <v>0</v>
      </c>
      <c r="Q3160" s="271">
        <f t="shared" si="362"/>
        <v>0</v>
      </c>
      <c r="S3160" s="280"/>
      <c r="T3160" s="222"/>
      <c r="U3160" s="299" t="s">
        <v>5381</v>
      </c>
    </row>
    <row r="3161" spans="1:21" ht="0" hidden="1" customHeight="1" outlineLevel="4">
      <c r="A3161" s="253" t="s">
        <v>4715</v>
      </c>
      <c r="B3161" s="253"/>
      <c r="C3161" s="202" t="s">
        <v>1609</v>
      </c>
      <c r="D3161" s="203">
        <f>'02 项目基础信息（输入）'!$C$81</f>
        <v>0</v>
      </c>
      <c r="E3161" s="204" t="s">
        <v>93</v>
      </c>
      <c r="F3161" s="202" t="s">
        <v>1609</v>
      </c>
      <c r="G3161" s="204">
        <v>1</v>
      </c>
      <c r="H3161" s="204" t="s">
        <v>298</v>
      </c>
      <c r="I3161" s="265">
        <f>D3161*G3161</f>
        <v>0</v>
      </c>
      <c r="J3161" s="204" t="s">
        <v>93</v>
      </c>
      <c r="K3161" s="270"/>
      <c r="L3161" s="210" t="s">
        <v>675</v>
      </c>
      <c r="M3161" s="198">
        <f>ROUND(K3161*I3161/10000,6)</f>
        <v>0</v>
      </c>
      <c r="N3161" s="212">
        <f>'02 项目基础信息（输入）'!$C$81</f>
        <v>0</v>
      </c>
      <c r="O3161" s="203">
        <f t="shared" si="361"/>
        <v>0</v>
      </c>
      <c r="P3161" s="203">
        <f t="shared" si="363"/>
        <v>0</v>
      </c>
      <c r="Q3161" s="271">
        <f t="shared" si="362"/>
        <v>0</v>
      </c>
      <c r="S3161" s="280"/>
      <c r="T3161" s="222"/>
      <c r="U3161" s="298" t="s">
        <v>5382</v>
      </c>
    </row>
    <row r="3162" spans="1:21" ht="0" hidden="1" customHeight="1" outlineLevel="4">
      <c r="A3162" s="253" t="s">
        <v>4717</v>
      </c>
      <c r="B3162" s="253"/>
      <c r="C3162" s="202" t="s">
        <v>1609</v>
      </c>
      <c r="D3162" s="203">
        <f>'02 项目基础信息（输入）'!$C$81</f>
        <v>0</v>
      </c>
      <c r="E3162" s="204" t="s">
        <v>93</v>
      </c>
      <c r="F3162" s="202" t="s">
        <v>1609</v>
      </c>
      <c r="G3162" s="204">
        <v>1</v>
      </c>
      <c r="H3162" s="204" t="s">
        <v>298</v>
      </c>
      <c r="I3162" s="265">
        <f>D3162*G3162</f>
        <v>0</v>
      </c>
      <c r="J3162" s="204" t="s">
        <v>93</v>
      </c>
      <c r="K3162" s="270"/>
      <c r="L3162" s="210" t="s">
        <v>675</v>
      </c>
      <c r="M3162" s="198">
        <f>ROUND(K3162*I3162/10000,6)</f>
        <v>0</v>
      </c>
      <c r="N3162" s="212">
        <f>'02 项目基础信息（输入）'!$C$81</f>
        <v>0</v>
      </c>
      <c r="O3162" s="203">
        <f t="shared" si="361"/>
        <v>0</v>
      </c>
      <c r="P3162" s="203">
        <f t="shared" si="363"/>
        <v>0</v>
      </c>
      <c r="Q3162" s="271">
        <f t="shared" si="362"/>
        <v>0</v>
      </c>
      <c r="S3162" s="280"/>
      <c r="T3162" s="222"/>
      <c r="U3162" s="299" t="s">
        <v>5383</v>
      </c>
    </row>
    <row r="3163" spans="1:21" ht="0" hidden="1" customHeight="1" outlineLevel="4">
      <c r="A3163" s="253" t="s">
        <v>4719</v>
      </c>
      <c r="B3163" s="253"/>
      <c r="C3163" s="202" t="s">
        <v>1609</v>
      </c>
      <c r="D3163" s="203">
        <f>'02 项目基础信息（输入）'!$C$81</f>
        <v>0</v>
      </c>
      <c r="E3163" s="204" t="s">
        <v>93</v>
      </c>
      <c r="F3163" s="202" t="s">
        <v>1609</v>
      </c>
      <c r="G3163" s="204">
        <v>1</v>
      </c>
      <c r="H3163" s="204" t="s">
        <v>298</v>
      </c>
      <c r="I3163" s="265">
        <f>D3163*G3163</f>
        <v>0</v>
      </c>
      <c r="J3163" s="204" t="s">
        <v>93</v>
      </c>
      <c r="K3163" s="270"/>
      <c r="L3163" s="210" t="s">
        <v>675</v>
      </c>
      <c r="M3163" s="198">
        <f>ROUND(K3163*I3163/10000,6)</f>
        <v>0</v>
      </c>
      <c r="N3163" s="212">
        <f>'02 项目基础信息（输入）'!$C$81</f>
        <v>0</v>
      </c>
      <c r="O3163" s="203">
        <f t="shared" si="361"/>
        <v>0</v>
      </c>
      <c r="P3163" s="203">
        <f t="shared" si="363"/>
        <v>0</v>
      </c>
      <c r="Q3163" s="271">
        <f t="shared" si="362"/>
        <v>0</v>
      </c>
      <c r="S3163" s="280"/>
      <c r="T3163" s="222"/>
      <c r="U3163" s="299" t="s">
        <v>5384</v>
      </c>
    </row>
    <row r="3164" spans="1:21" ht="0" hidden="1" customHeight="1" outlineLevel="3">
      <c r="A3164" s="253" t="s">
        <v>4721</v>
      </c>
      <c r="B3164" s="253"/>
      <c r="C3164" s="202" t="s">
        <v>1609</v>
      </c>
      <c r="D3164" s="203">
        <f>'02 项目基础信息（输入）'!$C$81</f>
        <v>0</v>
      </c>
      <c r="E3164" s="204" t="s">
        <v>93</v>
      </c>
      <c r="F3164" s="202"/>
      <c r="G3164" s="204"/>
      <c r="H3164" s="204"/>
      <c r="I3164" s="203"/>
      <c r="J3164" s="204"/>
      <c r="K3164" s="231"/>
      <c r="L3164" s="210"/>
      <c r="M3164" s="198">
        <f>ROUND(SUM(M3165:M3170),6)</f>
        <v>0</v>
      </c>
      <c r="N3164" s="212">
        <f>'02 项目基础信息（输入）'!$C$81</f>
        <v>0</v>
      </c>
      <c r="O3164" s="203">
        <f t="shared" si="361"/>
        <v>0</v>
      </c>
      <c r="P3164" s="203">
        <f t="shared" si="363"/>
        <v>0</v>
      </c>
      <c r="Q3164" s="271">
        <f t="shared" si="362"/>
        <v>0</v>
      </c>
      <c r="S3164" s="280"/>
      <c r="T3164" s="222"/>
      <c r="U3164" s="299" t="s">
        <v>5385</v>
      </c>
    </row>
    <row r="3165" spans="1:21" ht="0" hidden="1" customHeight="1" outlineLevel="4">
      <c r="A3165" s="253" t="s">
        <v>4723</v>
      </c>
      <c r="B3165" s="253"/>
      <c r="C3165" s="202" t="s">
        <v>1609</v>
      </c>
      <c r="D3165" s="203">
        <f>'02 项目基础信息（输入）'!$C$81</f>
        <v>0</v>
      </c>
      <c r="E3165" s="204" t="s">
        <v>93</v>
      </c>
      <c r="F3165" s="202" t="s">
        <v>1609</v>
      </c>
      <c r="G3165" s="204">
        <v>1</v>
      </c>
      <c r="H3165" s="204" t="s">
        <v>298</v>
      </c>
      <c r="I3165" s="265">
        <f t="shared" ref="I3165:I3171" si="366">D3165*G3165</f>
        <v>0</v>
      </c>
      <c r="J3165" s="204" t="s">
        <v>93</v>
      </c>
      <c r="K3165" s="270"/>
      <c r="L3165" s="210" t="s">
        <v>675</v>
      </c>
      <c r="M3165" s="198">
        <f t="shared" ref="M3165:M3171" si="367">ROUND(K3165*I3165/10000,6)</f>
        <v>0</v>
      </c>
      <c r="N3165" s="212">
        <f>'02 项目基础信息（输入）'!$C$81</f>
        <v>0</v>
      </c>
      <c r="O3165" s="203">
        <f t="shared" si="361"/>
        <v>0</v>
      </c>
      <c r="P3165" s="203">
        <f t="shared" si="363"/>
        <v>0</v>
      </c>
      <c r="Q3165" s="271">
        <f t="shared" si="362"/>
        <v>0</v>
      </c>
      <c r="S3165" s="280"/>
      <c r="T3165" s="222"/>
      <c r="U3165" s="299" t="s">
        <v>5386</v>
      </c>
    </row>
    <row r="3166" spans="1:21" ht="0" hidden="1" customHeight="1" outlineLevel="4">
      <c r="A3166" s="253" t="s">
        <v>4725</v>
      </c>
      <c r="B3166" s="253"/>
      <c r="C3166" s="202" t="s">
        <v>1609</v>
      </c>
      <c r="D3166" s="203">
        <f>'02 项目基础信息（输入）'!$C$81</f>
        <v>0</v>
      </c>
      <c r="E3166" s="204" t="s">
        <v>93</v>
      </c>
      <c r="F3166" s="202" t="s">
        <v>1609</v>
      </c>
      <c r="G3166" s="204">
        <v>1</v>
      </c>
      <c r="H3166" s="204" t="s">
        <v>298</v>
      </c>
      <c r="I3166" s="265">
        <f t="shared" si="366"/>
        <v>0</v>
      </c>
      <c r="J3166" s="204" t="s">
        <v>93</v>
      </c>
      <c r="K3166" s="270"/>
      <c r="L3166" s="210" t="s">
        <v>675</v>
      </c>
      <c r="M3166" s="198">
        <f t="shared" si="367"/>
        <v>0</v>
      </c>
      <c r="N3166" s="212">
        <f>'02 项目基础信息（输入）'!$C$81</f>
        <v>0</v>
      </c>
      <c r="O3166" s="203">
        <f t="shared" si="361"/>
        <v>0</v>
      </c>
      <c r="P3166" s="203">
        <f t="shared" si="363"/>
        <v>0</v>
      </c>
      <c r="Q3166" s="271">
        <f t="shared" si="362"/>
        <v>0</v>
      </c>
      <c r="S3166" s="280"/>
      <c r="T3166" s="222"/>
      <c r="U3166" s="299" t="s">
        <v>5387</v>
      </c>
    </row>
    <row r="3167" spans="1:21" ht="0" hidden="1" customHeight="1" outlineLevel="4">
      <c r="A3167" s="253" t="s">
        <v>4727</v>
      </c>
      <c r="B3167" s="253"/>
      <c r="C3167" s="202" t="s">
        <v>1609</v>
      </c>
      <c r="D3167" s="203">
        <f>'02 项目基础信息（输入）'!$C$81</f>
        <v>0</v>
      </c>
      <c r="E3167" s="204" t="s">
        <v>93</v>
      </c>
      <c r="F3167" s="202" t="s">
        <v>1609</v>
      </c>
      <c r="G3167" s="204">
        <v>1</v>
      </c>
      <c r="H3167" s="204" t="s">
        <v>298</v>
      </c>
      <c r="I3167" s="265">
        <f t="shared" si="366"/>
        <v>0</v>
      </c>
      <c r="J3167" s="204" t="s">
        <v>93</v>
      </c>
      <c r="K3167" s="270"/>
      <c r="L3167" s="210" t="s">
        <v>675</v>
      </c>
      <c r="M3167" s="198">
        <f t="shared" si="367"/>
        <v>0</v>
      </c>
      <c r="N3167" s="212">
        <f>'02 项目基础信息（输入）'!$C$81</f>
        <v>0</v>
      </c>
      <c r="O3167" s="203">
        <f t="shared" si="361"/>
        <v>0</v>
      </c>
      <c r="P3167" s="203">
        <f t="shared" si="363"/>
        <v>0</v>
      </c>
      <c r="Q3167" s="271">
        <f t="shared" si="362"/>
        <v>0</v>
      </c>
      <c r="S3167" s="280"/>
      <c r="T3167" s="222"/>
      <c r="U3167" s="299" t="s">
        <v>5388</v>
      </c>
    </row>
    <row r="3168" spans="1:21" ht="0" hidden="1" customHeight="1" outlineLevel="4">
      <c r="A3168" s="253" t="s">
        <v>4729</v>
      </c>
      <c r="B3168" s="253"/>
      <c r="C3168" s="202" t="s">
        <v>1609</v>
      </c>
      <c r="D3168" s="203">
        <f>'02 项目基础信息（输入）'!$C$81</f>
        <v>0</v>
      </c>
      <c r="E3168" s="204" t="s">
        <v>93</v>
      </c>
      <c r="F3168" s="202" t="s">
        <v>1609</v>
      </c>
      <c r="G3168" s="204">
        <v>1</v>
      </c>
      <c r="H3168" s="204" t="s">
        <v>298</v>
      </c>
      <c r="I3168" s="265">
        <f t="shared" si="366"/>
        <v>0</v>
      </c>
      <c r="J3168" s="204" t="s">
        <v>93</v>
      </c>
      <c r="K3168" s="270"/>
      <c r="L3168" s="210" t="s">
        <v>675</v>
      </c>
      <c r="M3168" s="198">
        <f t="shared" si="367"/>
        <v>0</v>
      </c>
      <c r="N3168" s="212">
        <f>'02 项目基础信息（输入）'!$C$81</f>
        <v>0</v>
      </c>
      <c r="O3168" s="203">
        <f t="shared" si="361"/>
        <v>0</v>
      </c>
      <c r="P3168" s="203">
        <f t="shared" si="363"/>
        <v>0</v>
      </c>
      <c r="Q3168" s="271">
        <f t="shared" si="362"/>
        <v>0</v>
      </c>
      <c r="S3168" s="280"/>
      <c r="T3168" s="222"/>
      <c r="U3168" s="299" t="s">
        <v>5389</v>
      </c>
    </row>
    <row r="3169" spans="1:21" ht="0" hidden="1" customHeight="1" outlineLevel="4">
      <c r="A3169" s="253" t="s">
        <v>4731</v>
      </c>
      <c r="B3169" s="253"/>
      <c r="C3169" s="202" t="s">
        <v>1609</v>
      </c>
      <c r="D3169" s="203">
        <f>'02 项目基础信息（输入）'!$C$81</f>
        <v>0</v>
      </c>
      <c r="E3169" s="204" t="s">
        <v>93</v>
      </c>
      <c r="F3169" s="202" t="s">
        <v>1609</v>
      </c>
      <c r="G3169" s="204">
        <v>1</v>
      </c>
      <c r="H3169" s="204" t="s">
        <v>298</v>
      </c>
      <c r="I3169" s="265">
        <f t="shared" si="366"/>
        <v>0</v>
      </c>
      <c r="J3169" s="204" t="s">
        <v>93</v>
      </c>
      <c r="K3169" s="270"/>
      <c r="L3169" s="210" t="s">
        <v>675</v>
      </c>
      <c r="M3169" s="198">
        <f t="shared" si="367"/>
        <v>0</v>
      </c>
      <c r="N3169" s="212">
        <f>'02 项目基础信息（输入）'!$C$81</f>
        <v>0</v>
      </c>
      <c r="O3169" s="203">
        <f t="shared" si="361"/>
        <v>0</v>
      </c>
      <c r="P3169" s="203">
        <f t="shared" si="363"/>
        <v>0</v>
      </c>
      <c r="Q3169" s="271">
        <f t="shared" si="362"/>
        <v>0</v>
      </c>
      <c r="S3169" s="280"/>
      <c r="T3169" s="222"/>
      <c r="U3169" s="299" t="s">
        <v>5390</v>
      </c>
    </row>
    <row r="3170" spans="1:21" ht="0" hidden="1" customHeight="1" outlineLevel="4">
      <c r="A3170" s="253" t="s">
        <v>4733</v>
      </c>
      <c r="B3170" s="253"/>
      <c r="C3170" s="202" t="s">
        <v>1609</v>
      </c>
      <c r="D3170" s="203">
        <f>'02 项目基础信息（输入）'!$C$81</f>
        <v>0</v>
      </c>
      <c r="E3170" s="204" t="s">
        <v>93</v>
      </c>
      <c r="F3170" s="202" t="s">
        <v>1609</v>
      </c>
      <c r="G3170" s="204">
        <v>1</v>
      </c>
      <c r="H3170" s="204" t="s">
        <v>298</v>
      </c>
      <c r="I3170" s="265">
        <f t="shared" si="366"/>
        <v>0</v>
      </c>
      <c r="J3170" s="204" t="s">
        <v>93</v>
      </c>
      <c r="K3170" s="270"/>
      <c r="L3170" s="210" t="s">
        <v>675</v>
      </c>
      <c r="M3170" s="198">
        <f t="shared" si="367"/>
        <v>0</v>
      </c>
      <c r="N3170" s="212">
        <f>'02 项目基础信息（输入）'!$C$81</f>
        <v>0</v>
      </c>
      <c r="O3170" s="203">
        <f t="shared" si="361"/>
        <v>0</v>
      </c>
      <c r="P3170" s="203">
        <f t="shared" si="363"/>
        <v>0</v>
      </c>
      <c r="Q3170" s="271">
        <f t="shared" si="362"/>
        <v>0</v>
      </c>
      <c r="S3170" s="280"/>
      <c r="T3170" s="222"/>
      <c r="U3170" s="299" t="s">
        <v>5391</v>
      </c>
    </row>
    <row r="3171" spans="1:21" ht="0" hidden="1" customHeight="1" outlineLevel="3">
      <c r="A3171" s="253" t="s">
        <v>4735</v>
      </c>
      <c r="B3171" s="253"/>
      <c r="C3171" s="202" t="s">
        <v>1609</v>
      </c>
      <c r="D3171" s="203">
        <f>'02 项目基础信息（输入）'!$C$81</f>
        <v>0</v>
      </c>
      <c r="E3171" s="204" t="s">
        <v>93</v>
      </c>
      <c r="F3171" s="202" t="s">
        <v>1609</v>
      </c>
      <c r="G3171" s="204">
        <v>1</v>
      </c>
      <c r="H3171" s="204" t="s">
        <v>298</v>
      </c>
      <c r="I3171" s="265">
        <f t="shared" si="366"/>
        <v>0</v>
      </c>
      <c r="J3171" s="204" t="s">
        <v>93</v>
      </c>
      <c r="K3171" s="270"/>
      <c r="L3171" s="210" t="s">
        <v>675</v>
      </c>
      <c r="M3171" s="198">
        <f t="shared" si="367"/>
        <v>0</v>
      </c>
      <c r="N3171" s="212">
        <f>'02 项目基础信息（输入）'!$C$81</f>
        <v>0</v>
      </c>
      <c r="O3171" s="203">
        <f t="shared" si="361"/>
        <v>0</v>
      </c>
      <c r="P3171" s="203">
        <f t="shared" si="363"/>
        <v>0</v>
      </c>
      <c r="Q3171" s="271">
        <f t="shared" si="362"/>
        <v>0</v>
      </c>
      <c r="S3171" s="280"/>
      <c r="T3171" s="222"/>
      <c r="U3171" s="299" t="s">
        <v>5392</v>
      </c>
    </row>
    <row r="3172" spans="1:21" ht="0" hidden="1" customHeight="1" outlineLevel="3">
      <c r="A3172" s="253" t="s">
        <v>4737</v>
      </c>
      <c r="B3172" s="253"/>
      <c r="C3172" s="202" t="s">
        <v>1609</v>
      </c>
      <c r="D3172" s="203">
        <f>'02 项目基础信息（输入）'!$C$81</f>
        <v>0</v>
      </c>
      <c r="E3172" s="204" t="s">
        <v>93</v>
      </c>
      <c r="F3172" s="256"/>
      <c r="G3172" s="255"/>
      <c r="H3172" s="255"/>
      <c r="I3172" s="212"/>
      <c r="J3172" s="255"/>
      <c r="K3172" s="264"/>
      <c r="L3172" s="205"/>
      <c r="M3172" s="198">
        <f>SUM(M3173:M3174)</f>
        <v>0</v>
      </c>
      <c r="N3172" s="212">
        <f>'02 项目基础信息（输入）'!$C$81</f>
        <v>0</v>
      </c>
      <c r="O3172" s="203">
        <f t="shared" si="361"/>
        <v>0</v>
      </c>
      <c r="P3172" s="203">
        <f t="shared" si="363"/>
        <v>0</v>
      </c>
      <c r="Q3172" s="271">
        <f t="shared" si="362"/>
        <v>0</v>
      </c>
      <c r="S3172" s="280"/>
      <c r="T3172" s="222"/>
      <c r="U3172" s="299" t="s">
        <v>5393</v>
      </c>
    </row>
    <row r="3173" spans="1:21" ht="0" hidden="1" customHeight="1" outlineLevel="4">
      <c r="A3173" s="253" t="s">
        <v>4739</v>
      </c>
      <c r="B3173" s="253"/>
      <c r="C3173" s="202" t="s">
        <v>1609</v>
      </c>
      <c r="D3173" s="203">
        <f>'02 项目基础信息（输入）'!$C$81</f>
        <v>0</v>
      </c>
      <c r="E3173" s="204" t="s">
        <v>93</v>
      </c>
      <c r="F3173" s="256" t="s">
        <v>4740</v>
      </c>
      <c r="G3173" s="205">
        <f>IFERROR(I3173/D3173,0)</f>
        <v>0</v>
      </c>
      <c r="H3173" s="255" t="s">
        <v>298</v>
      </c>
      <c r="I3173" s="273">
        <f>'03 成本测算（输入）'!D342</f>
        <v>0</v>
      </c>
      <c r="J3173" s="255" t="s">
        <v>93</v>
      </c>
      <c r="K3173" s="295">
        <f>'03 成本测算（输入）'!D343</f>
        <v>0</v>
      </c>
      <c r="L3173" s="205" t="s">
        <v>675</v>
      </c>
      <c r="M3173" s="198">
        <f t="shared" ref="M3173:M3184" si="368">ROUND(K3173*I3173/10000,6)</f>
        <v>0</v>
      </c>
      <c r="N3173" s="212">
        <f>'02 项目基础信息（输入）'!$C$81</f>
        <v>0</v>
      </c>
      <c r="O3173" s="203">
        <f t="shared" si="361"/>
        <v>0</v>
      </c>
      <c r="P3173" s="203">
        <f t="shared" si="363"/>
        <v>0</v>
      </c>
      <c r="Q3173" s="271">
        <f t="shared" si="362"/>
        <v>0</v>
      </c>
      <c r="S3173" s="280"/>
      <c r="T3173" s="222"/>
      <c r="U3173" s="299" t="s">
        <v>5394</v>
      </c>
    </row>
    <row r="3174" spans="1:21" ht="0" hidden="1" customHeight="1" outlineLevel="4">
      <c r="A3174" s="253" t="s">
        <v>4742</v>
      </c>
      <c r="B3174" s="253"/>
      <c r="C3174" s="202" t="s">
        <v>1609</v>
      </c>
      <c r="D3174" s="203">
        <f>'02 项目基础信息（输入）'!$C$81</f>
        <v>0</v>
      </c>
      <c r="E3174" s="204" t="s">
        <v>93</v>
      </c>
      <c r="F3174" s="256" t="s">
        <v>4740</v>
      </c>
      <c r="G3174" s="205">
        <f>IFERROR(I3174/D3174,0)</f>
        <v>0</v>
      </c>
      <c r="H3174" s="255" t="s">
        <v>298</v>
      </c>
      <c r="I3174" s="273">
        <f>'03 成本测算（输入）'!D344</f>
        <v>0</v>
      </c>
      <c r="J3174" s="255" t="s">
        <v>93</v>
      </c>
      <c r="K3174" s="295">
        <f>'03 成本测算（输入）'!D345</f>
        <v>0</v>
      </c>
      <c r="L3174" s="205" t="s">
        <v>675</v>
      </c>
      <c r="M3174" s="198">
        <f t="shared" si="368"/>
        <v>0</v>
      </c>
      <c r="N3174" s="212">
        <f>'02 项目基础信息（输入）'!$C$81</f>
        <v>0</v>
      </c>
      <c r="O3174" s="203">
        <f t="shared" si="361"/>
        <v>0</v>
      </c>
      <c r="P3174" s="203">
        <f t="shared" si="363"/>
        <v>0</v>
      </c>
      <c r="Q3174" s="271">
        <f t="shared" si="362"/>
        <v>0</v>
      </c>
      <c r="S3174" s="280"/>
      <c r="T3174" s="222"/>
      <c r="U3174" s="299" t="s">
        <v>5395</v>
      </c>
    </row>
    <row r="3175" spans="1:21" ht="0" hidden="1" customHeight="1" outlineLevel="3">
      <c r="A3175" s="253" t="s">
        <v>4744</v>
      </c>
      <c r="B3175" s="253"/>
      <c r="C3175" s="202" t="s">
        <v>1609</v>
      </c>
      <c r="D3175" s="203">
        <f>'02 项目基础信息（输入）'!$C$81</f>
        <v>0</v>
      </c>
      <c r="E3175" s="204" t="s">
        <v>93</v>
      </c>
      <c r="F3175" s="202" t="s">
        <v>1609</v>
      </c>
      <c r="G3175" s="204">
        <v>1</v>
      </c>
      <c r="H3175" s="204" t="s">
        <v>298</v>
      </c>
      <c r="I3175" s="265">
        <f t="shared" ref="I3175:I3184" si="369">D3175*G3175</f>
        <v>0</v>
      </c>
      <c r="J3175" s="204" t="s">
        <v>93</v>
      </c>
      <c r="K3175" s="270"/>
      <c r="L3175" s="210" t="s">
        <v>675</v>
      </c>
      <c r="M3175" s="198">
        <f t="shared" si="368"/>
        <v>0</v>
      </c>
      <c r="N3175" s="212">
        <f>'02 项目基础信息（输入）'!$C$81</f>
        <v>0</v>
      </c>
      <c r="O3175" s="203">
        <f t="shared" si="361"/>
        <v>0</v>
      </c>
      <c r="P3175" s="203">
        <f t="shared" si="363"/>
        <v>0</v>
      </c>
      <c r="Q3175" s="271">
        <f t="shared" si="362"/>
        <v>0</v>
      </c>
      <c r="S3175" s="280"/>
      <c r="T3175" s="222"/>
      <c r="U3175" s="299" t="s">
        <v>5396</v>
      </c>
    </row>
    <row r="3176" spans="1:21" ht="0" hidden="1" customHeight="1" outlineLevel="3">
      <c r="A3176" s="253" t="s">
        <v>5068</v>
      </c>
      <c r="B3176" s="253"/>
      <c r="C3176" s="202" t="s">
        <v>1609</v>
      </c>
      <c r="D3176" s="203">
        <f>'02 项目基础信息（输入）'!$C$81</f>
        <v>0</v>
      </c>
      <c r="E3176" s="204" t="s">
        <v>93</v>
      </c>
      <c r="F3176" s="202" t="s">
        <v>1609</v>
      </c>
      <c r="G3176" s="204">
        <v>1</v>
      </c>
      <c r="H3176" s="204" t="s">
        <v>298</v>
      </c>
      <c r="I3176" s="265">
        <f t="shared" si="369"/>
        <v>0</v>
      </c>
      <c r="J3176" s="204" t="s">
        <v>93</v>
      </c>
      <c r="K3176" s="270"/>
      <c r="L3176" s="210" t="s">
        <v>675</v>
      </c>
      <c r="M3176" s="198">
        <f t="shared" si="368"/>
        <v>0</v>
      </c>
      <c r="N3176" s="212">
        <f>'02 项目基础信息（输入）'!$C$81</f>
        <v>0</v>
      </c>
      <c r="O3176" s="203">
        <f t="shared" si="361"/>
        <v>0</v>
      </c>
      <c r="P3176" s="203">
        <f t="shared" si="363"/>
        <v>0</v>
      </c>
      <c r="Q3176" s="271">
        <f t="shared" si="362"/>
        <v>0</v>
      </c>
      <c r="S3176" s="280"/>
      <c r="T3176" s="222"/>
      <c r="U3176" s="299" t="s">
        <v>5397</v>
      </c>
    </row>
    <row r="3177" spans="1:21" ht="0" hidden="1" customHeight="1" outlineLevel="3">
      <c r="A3177" s="253" t="s">
        <v>4750</v>
      </c>
      <c r="B3177" s="253"/>
      <c r="C3177" s="202" t="s">
        <v>1609</v>
      </c>
      <c r="D3177" s="203">
        <f>'02 项目基础信息（输入）'!$C$81</f>
        <v>0</v>
      </c>
      <c r="E3177" s="204" t="s">
        <v>93</v>
      </c>
      <c r="F3177" s="202" t="s">
        <v>1609</v>
      </c>
      <c r="G3177" s="204">
        <v>1</v>
      </c>
      <c r="H3177" s="204" t="s">
        <v>298</v>
      </c>
      <c r="I3177" s="265">
        <f t="shared" si="369"/>
        <v>0</v>
      </c>
      <c r="J3177" s="204" t="s">
        <v>93</v>
      </c>
      <c r="K3177" s="270"/>
      <c r="L3177" s="210" t="s">
        <v>675</v>
      </c>
      <c r="M3177" s="198">
        <f t="shared" si="368"/>
        <v>0</v>
      </c>
      <c r="N3177" s="212">
        <f>'02 项目基础信息（输入）'!$C$81</f>
        <v>0</v>
      </c>
      <c r="O3177" s="203">
        <f t="shared" si="361"/>
        <v>0</v>
      </c>
      <c r="P3177" s="203">
        <f t="shared" si="363"/>
        <v>0</v>
      </c>
      <c r="Q3177" s="271">
        <f t="shared" si="362"/>
        <v>0</v>
      </c>
      <c r="S3177" s="280"/>
      <c r="T3177" s="222"/>
      <c r="U3177" s="299" t="s">
        <v>5398</v>
      </c>
    </row>
    <row r="3178" spans="1:21" ht="0" hidden="1" customHeight="1" outlineLevel="3">
      <c r="A3178" s="253" t="s">
        <v>5071</v>
      </c>
      <c r="B3178" s="253"/>
      <c r="C3178" s="202" t="s">
        <v>1609</v>
      </c>
      <c r="D3178" s="203">
        <f>'02 项目基础信息（输入）'!$C$81</f>
        <v>0</v>
      </c>
      <c r="E3178" s="204" t="s">
        <v>93</v>
      </c>
      <c r="F3178" s="202" t="s">
        <v>1609</v>
      </c>
      <c r="G3178" s="204">
        <v>1</v>
      </c>
      <c r="H3178" s="204" t="s">
        <v>298</v>
      </c>
      <c r="I3178" s="265">
        <f t="shared" si="369"/>
        <v>0</v>
      </c>
      <c r="J3178" s="204" t="s">
        <v>93</v>
      </c>
      <c r="K3178" s="270"/>
      <c r="L3178" s="210" t="s">
        <v>675</v>
      </c>
      <c r="M3178" s="198">
        <f t="shared" si="368"/>
        <v>0</v>
      </c>
      <c r="N3178" s="212">
        <f>'02 项目基础信息（输入）'!$C$81</f>
        <v>0</v>
      </c>
      <c r="O3178" s="203">
        <f t="shared" si="361"/>
        <v>0</v>
      </c>
      <c r="P3178" s="203">
        <f t="shared" si="363"/>
        <v>0</v>
      </c>
      <c r="Q3178" s="271">
        <f t="shared" si="362"/>
        <v>0</v>
      </c>
      <c r="S3178" s="280"/>
      <c r="T3178" s="222"/>
      <c r="U3178" s="299" t="s">
        <v>5399</v>
      </c>
    </row>
    <row r="3179" spans="1:21" ht="0" hidden="1" customHeight="1" outlineLevel="3">
      <c r="A3179" s="253" t="s">
        <v>5400</v>
      </c>
      <c r="B3179" s="253"/>
      <c r="C3179" s="202" t="s">
        <v>1609</v>
      </c>
      <c r="D3179" s="203">
        <f>'02 项目基础信息（输入）'!$C$81</f>
        <v>0</v>
      </c>
      <c r="E3179" s="204" t="s">
        <v>93</v>
      </c>
      <c r="F3179" s="202" t="s">
        <v>1609</v>
      </c>
      <c r="G3179" s="204">
        <v>1</v>
      </c>
      <c r="H3179" s="204" t="s">
        <v>298</v>
      </c>
      <c r="I3179" s="265">
        <f t="shared" si="369"/>
        <v>0</v>
      </c>
      <c r="J3179" s="204" t="s">
        <v>93</v>
      </c>
      <c r="K3179" s="270"/>
      <c r="L3179" s="210" t="s">
        <v>675</v>
      </c>
      <c r="M3179" s="198">
        <f t="shared" si="368"/>
        <v>0</v>
      </c>
      <c r="N3179" s="212">
        <f>'02 项目基础信息（输入）'!$C$81</f>
        <v>0</v>
      </c>
      <c r="O3179" s="203">
        <f t="shared" si="361"/>
        <v>0</v>
      </c>
      <c r="P3179" s="203">
        <f t="shared" si="363"/>
        <v>0</v>
      </c>
      <c r="Q3179" s="271">
        <f t="shared" si="362"/>
        <v>0</v>
      </c>
      <c r="S3179" s="280"/>
      <c r="T3179" s="222"/>
      <c r="U3179" s="299" t="s">
        <v>5401</v>
      </c>
    </row>
    <row r="3180" spans="1:21" ht="0" hidden="1" customHeight="1" outlineLevel="3">
      <c r="A3180" s="253" t="s">
        <v>5402</v>
      </c>
      <c r="B3180" s="253"/>
      <c r="C3180" s="202" t="s">
        <v>1609</v>
      </c>
      <c r="D3180" s="203">
        <f>'02 项目基础信息（输入）'!$C$81</f>
        <v>0</v>
      </c>
      <c r="E3180" s="204" t="s">
        <v>93</v>
      </c>
      <c r="F3180" s="202" t="s">
        <v>1609</v>
      </c>
      <c r="G3180" s="204">
        <v>1</v>
      </c>
      <c r="H3180" s="204" t="s">
        <v>298</v>
      </c>
      <c r="I3180" s="265">
        <f t="shared" si="369"/>
        <v>0</v>
      </c>
      <c r="J3180" s="204" t="s">
        <v>93</v>
      </c>
      <c r="K3180" s="270"/>
      <c r="L3180" s="210" t="s">
        <v>675</v>
      </c>
      <c r="M3180" s="198">
        <f t="shared" si="368"/>
        <v>0</v>
      </c>
      <c r="N3180" s="212">
        <f>'02 项目基础信息（输入）'!$C$81</f>
        <v>0</v>
      </c>
      <c r="O3180" s="203">
        <f t="shared" si="361"/>
        <v>0</v>
      </c>
      <c r="P3180" s="203">
        <f t="shared" si="363"/>
        <v>0</v>
      </c>
      <c r="Q3180" s="271">
        <f t="shared" si="362"/>
        <v>0</v>
      </c>
      <c r="S3180" s="280"/>
      <c r="T3180" s="222"/>
      <c r="U3180" s="299" t="s">
        <v>5403</v>
      </c>
    </row>
    <row r="3181" spans="1:21" ht="0" hidden="1" customHeight="1" outlineLevel="3">
      <c r="A3181" s="253" t="s">
        <v>5404</v>
      </c>
      <c r="B3181" s="253"/>
      <c r="C3181" s="202" t="s">
        <v>1609</v>
      </c>
      <c r="D3181" s="203">
        <f>'02 项目基础信息（输入）'!$C$81</f>
        <v>0</v>
      </c>
      <c r="E3181" s="204" t="s">
        <v>93</v>
      </c>
      <c r="F3181" s="202" t="s">
        <v>1609</v>
      </c>
      <c r="G3181" s="204">
        <v>1</v>
      </c>
      <c r="H3181" s="204" t="s">
        <v>298</v>
      </c>
      <c r="I3181" s="265">
        <f t="shared" si="369"/>
        <v>0</v>
      </c>
      <c r="J3181" s="204" t="s">
        <v>93</v>
      </c>
      <c r="K3181" s="270"/>
      <c r="L3181" s="210" t="s">
        <v>675</v>
      </c>
      <c r="M3181" s="198">
        <f t="shared" si="368"/>
        <v>0</v>
      </c>
      <c r="N3181" s="212">
        <f>'02 项目基础信息（输入）'!$C$81</f>
        <v>0</v>
      </c>
      <c r="O3181" s="203">
        <f t="shared" si="361"/>
        <v>0</v>
      </c>
      <c r="P3181" s="203">
        <f t="shared" si="363"/>
        <v>0</v>
      </c>
      <c r="Q3181" s="271">
        <f t="shared" si="362"/>
        <v>0</v>
      </c>
      <c r="S3181" s="280"/>
      <c r="T3181" s="222"/>
      <c r="U3181" s="299" t="s">
        <v>5405</v>
      </c>
    </row>
    <row r="3182" spans="1:21" ht="0" hidden="1" customHeight="1" outlineLevel="3">
      <c r="A3182" s="253" t="s">
        <v>5406</v>
      </c>
      <c r="B3182" s="253"/>
      <c r="C3182" s="202" t="s">
        <v>1609</v>
      </c>
      <c r="D3182" s="203">
        <f>'02 项目基础信息（输入）'!$C$81</f>
        <v>0</v>
      </c>
      <c r="E3182" s="204" t="s">
        <v>93</v>
      </c>
      <c r="F3182" s="202" t="s">
        <v>1609</v>
      </c>
      <c r="G3182" s="204">
        <v>1</v>
      </c>
      <c r="H3182" s="204" t="s">
        <v>298</v>
      </c>
      <c r="I3182" s="265">
        <f t="shared" si="369"/>
        <v>0</v>
      </c>
      <c r="J3182" s="204" t="s">
        <v>93</v>
      </c>
      <c r="K3182" s="270"/>
      <c r="L3182" s="210" t="s">
        <v>675</v>
      </c>
      <c r="M3182" s="198">
        <f t="shared" si="368"/>
        <v>0</v>
      </c>
      <c r="N3182" s="212">
        <f>'02 项目基础信息（输入）'!$C$81</f>
        <v>0</v>
      </c>
      <c r="O3182" s="203">
        <f t="shared" si="361"/>
        <v>0</v>
      </c>
      <c r="P3182" s="203">
        <f t="shared" si="363"/>
        <v>0</v>
      </c>
      <c r="Q3182" s="271">
        <f t="shared" si="362"/>
        <v>0</v>
      </c>
      <c r="S3182" s="280"/>
      <c r="T3182" s="222"/>
      <c r="U3182" s="299" t="s">
        <v>5407</v>
      </c>
    </row>
    <row r="3183" spans="1:21" ht="0" hidden="1" customHeight="1" outlineLevel="3">
      <c r="A3183" s="253" t="s">
        <v>5408</v>
      </c>
      <c r="B3183" s="253"/>
      <c r="C3183" s="202" t="s">
        <v>1609</v>
      </c>
      <c r="D3183" s="203">
        <f>'02 项目基础信息（输入）'!$C$81</f>
        <v>0</v>
      </c>
      <c r="E3183" s="204" t="s">
        <v>93</v>
      </c>
      <c r="F3183" s="202" t="s">
        <v>1609</v>
      </c>
      <c r="G3183" s="204">
        <v>1</v>
      </c>
      <c r="H3183" s="204" t="s">
        <v>298</v>
      </c>
      <c r="I3183" s="265">
        <f t="shared" si="369"/>
        <v>0</v>
      </c>
      <c r="J3183" s="204" t="s">
        <v>93</v>
      </c>
      <c r="K3183" s="270"/>
      <c r="L3183" s="210" t="s">
        <v>675</v>
      </c>
      <c r="M3183" s="198">
        <f t="shared" si="368"/>
        <v>0</v>
      </c>
      <c r="N3183" s="212">
        <f>'02 项目基础信息（输入）'!$C$81</f>
        <v>0</v>
      </c>
      <c r="O3183" s="203">
        <f t="shared" si="361"/>
        <v>0</v>
      </c>
      <c r="P3183" s="203">
        <f t="shared" si="363"/>
        <v>0</v>
      </c>
      <c r="Q3183" s="271">
        <f t="shared" si="362"/>
        <v>0</v>
      </c>
      <c r="S3183" s="280"/>
      <c r="T3183" s="222"/>
      <c r="U3183" s="299" t="s">
        <v>5409</v>
      </c>
    </row>
    <row r="3184" spans="1:21" ht="0" hidden="1" customHeight="1" outlineLevel="3">
      <c r="A3184" s="253" t="s">
        <v>4752</v>
      </c>
      <c r="B3184" s="253"/>
      <c r="C3184" s="202" t="s">
        <v>1609</v>
      </c>
      <c r="D3184" s="203">
        <f>'02 项目基础信息（输入）'!$C$81</f>
        <v>0</v>
      </c>
      <c r="E3184" s="204" t="s">
        <v>93</v>
      </c>
      <c r="F3184" s="202" t="s">
        <v>1609</v>
      </c>
      <c r="G3184" s="204">
        <v>1</v>
      </c>
      <c r="H3184" s="204" t="s">
        <v>298</v>
      </c>
      <c r="I3184" s="265">
        <f t="shared" si="369"/>
        <v>0</v>
      </c>
      <c r="J3184" s="204" t="s">
        <v>93</v>
      </c>
      <c r="K3184" s="270"/>
      <c r="L3184" s="210" t="s">
        <v>675</v>
      </c>
      <c r="M3184" s="198">
        <f t="shared" si="368"/>
        <v>0</v>
      </c>
      <c r="N3184" s="212">
        <f>'02 项目基础信息（输入）'!$C$81</f>
        <v>0</v>
      </c>
      <c r="O3184" s="203">
        <f t="shared" si="361"/>
        <v>0</v>
      </c>
      <c r="P3184" s="203">
        <f t="shared" si="363"/>
        <v>0</v>
      </c>
      <c r="Q3184" s="271">
        <f t="shared" si="362"/>
        <v>0</v>
      </c>
      <c r="S3184" s="280"/>
      <c r="T3184" s="222"/>
      <c r="U3184" s="299" t="s">
        <v>5410</v>
      </c>
    </row>
    <row r="3185" spans="1:21" ht="0" hidden="1" customHeight="1" outlineLevel="3">
      <c r="A3185" s="253" t="s">
        <v>4754</v>
      </c>
      <c r="B3185" s="253"/>
      <c r="C3185" s="202" t="s">
        <v>1609</v>
      </c>
      <c r="D3185" s="203">
        <f>'02 项目基础信息（输入）'!$C$81</f>
        <v>0</v>
      </c>
      <c r="E3185" s="204" t="s">
        <v>93</v>
      </c>
      <c r="F3185" s="256"/>
      <c r="G3185" s="255"/>
      <c r="H3185" s="255"/>
      <c r="I3185" s="268"/>
      <c r="J3185" s="255"/>
      <c r="K3185" s="264"/>
      <c r="L3185" s="205"/>
      <c r="M3185" s="198">
        <f>SUM(M3186:M3188)</f>
        <v>0</v>
      </c>
      <c r="N3185" s="212">
        <f>'02 项目基础信息（输入）'!$C$81</f>
        <v>0</v>
      </c>
      <c r="O3185" s="203">
        <f t="shared" si="361"/>
        <v>0</v>
      </c>
      <c r="P3185" s="203">
        <f t="shared" si="363"/>
        <v>0</v>
      </c>
      <c r="Q3185" s="271">
        <f t="shared" si="362"/>
        <v>0</v>
      </c>
      <c r="S3185" s="280"/>
      <c r="T3185" s="222"/>
      <c r="U3185" s="299" t="s">
        <v>5411</v>
      </c>
    </row>
    <row r="3186" spans="1:21" ht="0" hidden="1" customHeight="1" outlineLevel="4">
      <c r="A3186" s="253" t="s">
        <v>4756</v>
      </c>
      <c r="B3186" s="253"/>
      <c r="C3186" s="202" t="s">
        <v>1609</v>
      </c>
      <c r="D3186" s="203">
        <f>'02 项目基础信息（输入）'!$C$81</f>
        <v>0</v>
      </c>
      <c r="E3186" s="204" t="s">
        <v>93</v>
      </c>
      <c r="F3186" s="202" t="s">
        <v>1609</v>
      </c>
      <c r="G3186" s="204">
        <v>1</v>
      </c>
      <c r="H3186" s="204" t="s">
        <v>298</v>
      </c>
      <c r="I3186" s="265">
        <f>D3186*G3186</f>
        <v>0</v>
      </c>
      <c r="J3186" s="204" t="s">
        <v>93</v>
      </c>
      <c r="K3186" s="270"/>
      <c r="L3186" s="210" t="s">
        <v>675</v>
      </c>
      <c r="M3186" s="198">
        <f>ROUND(K3186*I3186/10000,6)</f>
        <v>0</v>
      </c>
      <c r="N3186" s="212">
        <f>'02 项目基础信息（输入）'!$C$81</f>
        <v>0</v>
      </c>
      <c r="O3186" s="203">
        <f t="shared" si="361"/>
        <v>0</v>
      </c>
      <c r="P3186" s="203">
        <f t="shared" si="363"/>
        <v>0</v>
      </c>
      <c r="Q3186" s="271">
        <f t="shared" si="362"/>
        <v>0</v>
      </c>
      <c r="S3186" s="280"/>
      <c r="T3186" s="222"/>
      <c r="U3186" s="299" t="s">
        <v>5412</v>
      </c>
    </row>
    <row r="3187" spans="1:21" ht="0" hidden="1" customHeight="1" outlineLevel="4">
      <c r="A3187" s="253" t="s">
        <v>4758</v>
      </c>
      <c r="B3187" s="253"/>
      <c r="C3187" s="202" t="s">
        <v>1609</v>
      </c>
      <c r="D3187" s="203">
        <f>'02 项目基础信息（输入）'!$C$81</f>
        <v>0</v>
      </c>
      <c r="E3187" s="204" t="s">
        <v>93</v>
      </c>
      <c r="F3187" s="202" t="s">
        <v>1609</v>
      </c>
      <c r="G3187" s="204">
        <v>1</v>
      </c>
      <c r="H3187" s="204" t="s">
        <v>298</v>
      </c>
      <c r="I3187" s="265">
        <f>D3187*G3187</f>
        <v>0</v>
      </c>
      <c r="J3187" s="204" t="s">
        <v>93</v>
      </c>
      <c r="K3187" s="270"/>
      <c r="L3187" s="210" t="s">
        <v>675</v>
      </c>
      <c r="M3187" s="198">
        <f>ROUND(K3187*I3187/10000,6)</f>
        <v>0</v>
      </c>
      <c r="N3187" s="212">
        <f>'02 项目基础信息（输入）'!$C$81</f>
        <v>0</v>
      </c>
      <c r="O3187" s="203">
        <f t="shared" si="361"/>
        <v>0</v>
      </c>
      <c r="P3187" s="203">
        <f t="shared" si="363"/>
        <v>0</v>
      </c>
      <c r="Q3187" s="271">
        <f t="shared" si="362"/>
        <v>0</v>
      </c>
      <c r="S3187" s="280"/>
      <c r="T3187" s="222"/>
      <c r="U3187" s="299" t="s">
        <v>5413</v>
      </c>
    </row>
    <row r="3188" spans="1:21" ht="0" hidden="1" customHeight="1" outlineLevel="4">
      <c r="A3188" s="253" t="s">
        <v>4760</v>
      </c>
      <c r="B3188" s="253"/>
      <c r="C3188" s="202" t="s">
        <v>1609</v>
      </c>
      <c r="D3188" s="203">
        <f>'02 项目基础信息（输入）'!$C$81</f>
        <v>0</v>
      </c>
      <c r="E3188" s="204" t="s">
        <v>93</v>
      </c>
      <c r="F3188" s="202" t="s">
        <v>1609</v>
      </c>
      <c r="G3188" s="204">
        <v>1</v>
      </c>
      <c r="H3188" s="204" t="s">
        <v>298</v>
      </c>
      <c r="I3188" s="265">
        <f>D3188*G3188</f>
        <v>0</v>
      </c>
      <c r="J3188" s="204" t="s">
        <v>93</v>
      </c>
      <c r="K3188" s="270"/>
      <c r="L3188" s="210" t="s">
        <v>675</v>
      </c>
      <c r="M3188" s="198">
        <f>ROUND(K3188*I3188/10000,6)</f>
        <v>0</v>
      </c>
      <c r="N3188" s="212">
        <f>'02 项目基础信息（输入）'!$C$81</f>
        <v>0</v>
      </c>
      <c r="O3188" s="203">
        <f t="shared" si="361"/>
        <v>0</v>
      </c>
      <c r="P3188" s="203">
        <f t="shared" si="363"/>
        <v>0</v>
      </c>
      <c r="Q3188" s="271">
        <f t="shared" si="362"/>
        <v>0</v>
      </c>
      <c r="S3188" s="280"/>
      <c r="T3188" s="222"/>
      <c r="U3188" s="299" t="s">
        <v>5414</v>
      </c>
    </row>
    <row r="3189" spans="1:21" ht="0" hidden="1" customHeight="1" outlineLevel="3">
      <c r="A3189" s="253" t="s">
        <v>4762</v>
      </c>
      <c r="B3189" s="253"/>
      <c r="C3189" s="202" t="s">
        <v>1609</v>
      </c>
      <c r="D3189" s="203">
        <f>'02 项目基础信息（输入）'!$C$81</f>
        <v>0</v>
      </c>
      <c r="E3189" s="204" t="s">
        <v>93</v>
      </c>
      <c r="F3189" s="202" t="s">
        <v>1609</v>
      </c>
      <c r="G3189" s="204">
        <v>1</v>
      </c>
      <c r="H3189" s="204" t="s">
        <v>298</v>
      </c>
      <c r="I3189" s="265">
        <f>D3189*G3189</f>
        <v>0</v>
      </c>
      <c r="J3189" s="204" t="s">
        <v>93</v>
      </c>
      <c r="K3189" s="270"/>
      <c r="L3189" s="210" t="s">
        <v>675</v>
      </c>
      <c r="M3189" s="198">
        <f>ROUND(K3189*I3189/10000,6)</f>
        <v>0</v>
      </c>
      <c r="N3189" s="212">
        <f>'02 项目基础信息（输入）'!$C$81</f>
        <v>0</v>
      </c>
      <c r="O3189" s="203">
        <f t="shared" si="361"/>
        <v>0</v>
      </c>
      <c r="P3189" s="203">
        <f t="shared" si="363"/>
        <v>0</v>
      </c>
      <c r="Q3189" s="271">
        <f t="shared" si="362"/>
        <v>0</v>
      </c>
      <c r="S3189" s="280"/>
      <c r="T3189" s="222"/>
      <c r="U3189" s="299" t="s">
        <v>5415</v>
      </c>
    </row>
    <row r="3190" spans="1:21" ht="0" hidden="1" customHeight="1" outlineLevel="3">
      <c r="A3190" s="253" t="s">
        <v>4371</v>
      </c>
      <c r="B3190" s="253"/>
      <c r="C3190" s="202" t="s">
        <v>1609</v>
      </c>
      <c r="D3190" s="203">
        <f>'02 项目基础信息（输入）'!$C$81</f>
        <v>0</v>
      </c>
      <c r="E3190" s="204" t="s">
        <v>93</v>
      </c>
      <c r="F3190" s="202" t="s">
        <v>1609</v>
      </c>
      <c r="G3190" s="204">
        <v>1</v>
      </c>
      <c r="H3190" s="204" t="s">
        <v>298</v>
      </c>
      <c r="I3190" s="265">
        <f>D3190*G3190</f>
        <v>0</v>
      </c>
      <c r="J3190" s="204" t="s">
        <v>93</v>
      </c>
      <c r="K3190" s="270"/>
      <c r="L3190" s="210" t="s">
        <v>675</v>
      </c>
      <c r="M3190" s="198">
        <f>ROUND(K3190*I3190/10000,6)</f>
        <v>0</v>
      </c>
      <c r="N3190" s="212">
        <f>'02 项目基础信息（输入）'!$C$81</f>
        <v>0</v>
      </c>
      <c r="O3190" s="203">
        <f t="shared" si="361"/>
        <v>0</v>
      </c>
      <c r="P3190" s="203">
        <f t="shared" si="363"/>
        <v>0</v>
      </c>
      <c r="Q3190" s="271">
        <f t="shared" si="362"/>
        <v>0</v>
      </c>
      <c r="S3190" s="280"/>
      <c r="T3190" s="222"/>
      <c r="U3190" s="299" t="s">
        <v>5416</v>
      </c>
    </row>
    <row r="3191" spans="1:21" ht="0" hidden="1" customHeight="1" outlineLevel="2">
      <c r="A3191" s="201" t="s">
        <v>4765</v>
      </c>
      <c r="B3191" s="201"/>
      <c r="C3191" s="202" t="s">
        <v>1609</v>
      </c>
      <c r="D3191" s="203">
        <f>'02 项目基础信息（输入）'!$C$81</f>
        <v>0</v>
      </c>
      <c r="E3191" s="204" t="s">
        <v>93</v>
      </c>
      <c r="F3191" s="256"/>
      <c r="G3191" s="255"/>
      <c r="H3191" s="255"/>
      <c r="I3191" s="212"/>
      <c r="J3191" s="255"/>
      <c r="K3191" s="264"/>
      <c r="L3191" s="205"/>
      <c r="M3191" s="198">
        <f>ROUND(SUM(M3192:M3195),6)</f>
        <v>0</v>
      </c>
      <c r="N3191" s="212">
        <f>'02 项目基础信息（输入）'!$C$81</f>
        <v>0</v>
      </c>
      <c r="O3191" s="203">
        <f t="shared" si="361"/>
        <v>0</v>
      </c>
      <c r="P3191" s="203">
        <f t="shared" si="363"/>
        <v>0</v>
      </c>
      <c r="Q3191" s="271">
        <f t="shared" si="362"/>
        <v>0</v>
      </c>
      <c r="S3191" s="280" t="s">
        <v>1314</v>
      </c>
      <c r="T3191" s="222"/>
      <c r="U3191" s="299" t="s">
        <v>5417</v>
      </c>
    </row>
    <row r="3192" spans="1:21" ht="0" hidden="1" customHeight="1" outlineLevel="3">
      <c r="A3192" s="253" t="s">
        <v>5081</v>
      </c>
      <c r="B3192" s="253"/>
      <c r="C3192" s="202" t="s">
        <v>1609</v>
      </c>
      <c r="D3192" s="203">
        <f>'02 项目基础信息（输入）'!$C$81</f>
        <v>0</v>
      </c>
      <c r="E3192" s="255" t="s">
        <v>93</v>
      </c>
      <c r="F3192" s="288" t="s">
        <v>4768</v>
      </c>
      <c r="G3192" s="296">
        <f>'03 成本测算（输入）'!D305</f>
        <v>0</v>
      </c>
      <c r="H3192" s="255" t="s">
        <v>298</v>
      </c>
      <c r="I3192" s="268">
        <f>D3192*G3192</f>
        <v>0</v>
      </c>
      <c r="J3192" s="255" t="s">
        <v>93</v>
      </c>
      <c r="K3192" s="295">
        <f>'03 成本测算（输入）'!D346</f>
        <v>0</v>
      </c>
      <c r="L3192" s="205" t="s">
        <v>675</v>
      </c>
      <c r="M3192" s="198">
        <f>ROUND(I3192*K3192/10000,6)</f>
        <v>0</v>
      </c>
      <c r="N3192" s="212">
        <f>'02 项目基础信息（输入）'!$C$81</f>
        <v>0</v>
      </c>
      <c r="O3192" s="203">
        <f t="shared" si="361"/>
        <v>0</v>
      </c>
      <c r="P3192" s="203">
        <f t="shared" si="363"/>
        <v>0</v>
      </c>
      <c r="Q3192" s="271">
        <f t="shared" si="362"/>
        <v>0</v>
      </c>
      <c r="S3192" s="280"/>
      <c r="T3192" s="222"/>
      <c r="U3192" s="299" t="s">
        <v>5418</v>
      </c>
    </row>
    <row r="3193" spans="1:21" ht="0" hidden="1" customHeight="1" outlineLevel="3">
      <c r="A3193" s="253" t="s">
        <v>5083</v>
      </c>
      <c r="B3193" s="253"/>
      <c r="C3193" s="202" t="s">
        <v>1609</v>
      </c>
      <c r="D3193" s="203">
        <f>'02 项目基础信息（输入）'!$C$81</f>
        <v>0</v>
      </c>
      <c r="E3193" s="255" t="s">
        <v>93</v>
      </c>
      <c r="F3193" s="288" t="s">
        <v>4768</v>
      </c>
      <c r="G3193" s="205">
        <f>G3192</f>
        <v>0</v>
      </c>
      <c r="H3193" s="255" t="s">
        <v>298</v>
      </c>
      <c r="I3193" s="268">
        <f>D3193*G3193</f>
        <v>0</v>
      </c>
      <c r="J3193" s="255" t="s">
        <v>93</v>
      </c>
      <c r="K3193" s="270"/>
      <c r="L3193" s="205" t="s">
        <v>675</v>
      </c>
      <c r="M3193" s="198">
        <f>ROUND(I3193*K3193/10000,6)</f>
        <v>0</v>
      </c>
      <c r="N3193" s="212">
        <f>'02 项目基础信息（输入）'!$C$81</f>
        <v>0</v>
      </c>
      <c r="O3193" s="203">
        <f t="shared" si="361"/>
        <v>0</v>
      </c>
      <c r="P3193" s="203">
        <f t="shared" si="363"/>
        <v>0</v>
      </c>
      <c r="Q3193" s="271">
        <f t="shared" si="362"/>
        <v>0</v>
      </c>
      <c r="S3193" s="280"/>
      <c r="T3193" s="222"/>
      <c r="U3193" s="299" t="s">
        <v>5419</v>
      </c>
    </row>
    <row r="3194" spans="1:21" ht="0" hidden="1" customHeight="1" outlineLevel="3">
      <c r="A3194" s="253" t="s">
        <v>5085</v>
      </c>
      <c r="B3194" s="253"/>
      <c r="C3194" s="202" t="s">
        <v>1609</v>
      </c>
      <c r="D3194" s="203">
        <f>'02 项目基础信息（输入）'!$C$81</f>
        <v>0</v>
      </c>
      <c r="E3194" s="255" t="s">
        <v>93</v>
      </c>
      <c r="F3194" s="250" t="s">
        <v>4773</v>
      </c>
      <c r="G3194" s="205">
        <f>IFERROR(I3194/D3194,0)</f>
        <v>0</v>
      </c>
      <c r="H3194" s="255" t="s">
        <v>4385</v>
      </c>
      <c r="I3194" s="285"/>
      <c r="J3194" s="255" t="s">
        <v>400</v>
      </c>
      <c r="K3194" s="270"/>
      <c r="L3194" s="205" t="s">
        <v>1749</v>
      </c>
      <c r="M3194" s="198">
        <f>ROUND(I3194*K3194/10000,6)</f>
        <v>0</v>
      </c>
      <c r="N3194" s="212">
        <f>'02 项目基础信息（输入）'!$C$81</f>
        <v>0</v>
      </c>
      <c r="O3194" s="203">
        <f t="shared" si="361"/>
        <v>0</v>
      </c>
      <c r="P3194" s="203">
        <f t="shared" si="363"/>
        <v>0</v>
      </c>
      <c r="Q3194" s="271">
        <f t="shared" si="362"/>
        <v>0</v>
      </c>
      <c r="S3194" s="280"/>
      <c r="T3194" s="222"/>
      <c r="U3194" s="299" t="s">
        <v>5420</v>
      </c>
    </row>
    <row r="3195" spans="1:21" ht="0" hidden="1" customHeight="1" outlineLevel="3">
      <c r="A3195" s="253" t="s">
        <v>5087</v>
      </c>
      <c r="B3195" s="253"/>
      <c r="C3195" s="202" t="s">
        <v>1609</v>
      </c>
      <c r="D3195" s="203">
        <f>'02 项目基础信息（输入）'!$C$81</f>
        <v>0</v>
      </c>
      <c r="E3195" s="255" t="s">
        <v>93</v>
      </c>
      <c r="F3195" s="256" t="s">
        <v>4740</v>
      </c>
      <c r="G3195" s="205">
        <f>IFERROR(I3195/D3195,0)</f>
        <v>0</v>
      </c>
      <c r="H3195" s="255" t="s">
        <v>298</v>
      </c>
      <c r="I3195" s="285"/>
      <c r="J3195" s="255" t="s">
        <v>93</v>
      </c>
      <c r="K3195" s="270"/>
      <c r="L3195" s="205" t="s">
        <v>675</v>
      </c>
      <c r="M3195" s="198">
        <f>ROUND(I3195*K3195/10000,6)</f>
        <v>0</v>
      </c>
      <c r="N3195" s="212">
        <f>'02 项目基础信息（输入）'!$C$81</f>
        <v>0</v>
      </c>
      <c r="O3195" s="203">
        <f t="shared" si="361"/>
        <v>0</v>
      </c>
      <c r="P3195" s="203">
        <f t="shared" si="363"/>
        <v>0</v>
      </c>
      <c r="Q3195" s="271">
        <f t="shared" si="362"/>
        <v>0</v>
      </c>
      <c r="S3195" s="280"/>
      <c r="T3195" s="222"/>
      <c r="U3195" s="299" t="s">
        <v>5421</v>
      </c>
    </row>
    <row r="3196" spans="1:21" ht="0" hidden="1" customHeight="1" outlineLevel="2">
      <c r="A3196" s="201" t="s">
        <v>4377</v>
      </c>
      <c r="B3196" s="201"/>
      <c r="C3196" s="202" t="s">
        <v>1609</v>
      </c>
      <c r="D3196" s="203">
        <f>'02 项目基础信息（输入）'!$C$81</f>
        <v>0</v>
      </c>
      <c r="E3196" s="204" t="s">
        <v>93</v>
      </c>
      <c r="F3196" s="202"/>
      <c r="G3196" s="204"/>
      <c r="H3196" s="204"/>
      <c r="I3196" s="268"/>
      <c r="J3196" s="204"/>
      <c r="K3196" s="264"/>
      <c r="L3196" s="210"/>
      <c r="M3196" s="198">
        <f>SUM(M3197)</f>
        <v>0</v>
      </c>
      <c r="N3196" s="212">
        <f>'02 项目基础信息（输入）'!$C$81</f>
        <v>0</v>
      </c>
      <c r="O3196" s="203">
        <f t="shared" si="361"/>
        <v>0</v>
      </c>
      <c r="P3196" s="203">
        <f t="shared" si="363"/>
        <v>0</v>
      </c>
      <c r="Q3196" s="271">
        <f t="shared" si="362"/>
        <v>0</v>
      </c>
      <c r="S3196" s="280" t="s">
        <v>1314</v>
      </c>
      <c r="T3196" s="222"/>
      <c r="U3196" s="299" t="s">
        <v>5422</v>
      </c>
    </row>
    <row r="3197" spans="1:21" ht="0" hidden="1" customHeight="1" outlineLevel="3">
      <c r="A3197" s="253" t="s">
        <v>4379</v>
      </c>
      <c r="B3197" s="253"/>
      <c r="C3197" s="202" t="s">
        <v>1609</v>
      </c>
      <c r="D3197" s="203">
        <f>'02 项目基础信息（输入）'!$C$81</f>
        <v>0</v>
      </c>
      <c r="E3197" s="204" t="s">
        <v>93</v>
      </c>
      <c r="F3197" s="202" t="s">
        <v>1609</v>
      </c>
      <c r="G3197" s="204">
        <v>1</v>
      </c>
      <c r="H3197" s="204" t="s">
        <v>298</v>
      </c>
      <c r="I3197" s="268">
        <f>G3197*D3197</f>
        <v>0</v>
      </c>
      <c r="J3197" s="204" t="s">
        <v>93</v>
      </c>
      <c r="K3197" s="270"/>
      <c r="L3197" s="210" t="s">
        <v>675</v>
      </c>
      <c r="M3197" s="198">
        <f>ROUND(I3197*K3197/10000,6)</f>
        <v>0</v>
      </c>
      <c r="N3197" s="212">
        <f>'02 项目基础信息（输入）'!$C$81</f>
        <v>0</v>
      </c>
      <c r="O3197" s="203">
        <f t="shared" si="361"/>
        <v>0</v>
      </c>
      <c r="P3197" s="203">
        <f t="shared" si="363"/>
        <v>0</v>
      </c>
      <c r="Q3197" s="271">
        <f t="shared" si="362"/>
        <v>0</v>
      </c>
      <c r="S3197" s="280"/>
      <c r="T3197" s="222"/>
      <c r="U3197" s="299" t="s">
        <v>5423</v>
      </c>
    </row>
    <row r="3198" spans="1:21" ht="0" hidden="1" customHeight="1" outlineLevel="2">
      <c r="A3198" s="201" t="s">
        <v>4381</v>
      </c>
      <c r="B3198" s="201"/>
      <c r="C3198" s="202" t="s">
        <v>1609</v>
      </c>
      <c r="D3198" s="203">
        <f>'02 项目基础信息（输入）'!$C$81</f>
        <v>0</v>
      </c>
      <c r="E3198" s="204" t="s">
        <v>93</v>
      </c>
      <c r="F3198" s="256"/>
      <c r="G3198" s="255"/>
      <c r="H3198" s="255"/>
      <c r="I3198" s="212"/>
      <c r="J3198" s="255"/>
      <c r="K3198" s="264"/>
      <c r="L3198" s="205"/>
      <c r="M3198" s="198">
        <f>SUM(M3199:M3207)+M3210</f>
        <v>0</v>
      </c>
      <c r="N3198" s="212">
        <f>'02 项目基础信息（输入）'!$C$81</f>
        <v>0</v>
      </c>
      <c r="O3198" s="203">
        <f t="shared" si="361"/>
        <v>0</v>
      </c>
      <c r="P3198" s="203">
        <f t="shared" si="363"/>
        <v>0</v>
      </c>
      <c r="Q3198" s="271">
        <f t="shared" si="362"/>
        <v>0</v>
      </c>
      <c r="S3198" s="280" t="s">
        <v>1314</v>
      </c>
      <c r="T3198" s="222"/>
      <c r="U3198" s="299" t="s">
        <v>5424</v>
      </c>
    </row>
    <row r="3199" spans="1:21" ht="0" hidden="1" customHeight="1" outlineLevel="3">
      <c r="A3199" s="253" t="s">
        <v>4780</v>
      </c>
      <c r="B3199" s="253"/>
      <c r="C3199" s="202" t="s">
        <v>1609</v>
      </c>
      <c r="D3199" s="203">
        <f>'02 项目基础信息（输入）'!$C$81</f>
        <v>0</v>
      </c>
      <c r="E3199" s="204" t="s">
        <v>93</v>
      </c>
      <c r="F3199" s="250" t="s">
        <v>4781</v>
      </c>
      <c r="G3199" s="205">
        <f>IFERROR(I3199/D3199,0)</f>
        <v>0</v>
      </c>
      <c r="H3199" s="204" t="s">
        <v>4782</v>
      </c>
      <c r="I3199" s="285"/>
      <c r="J3199" s="204" t="s">
        <v>2198</v>
      </c>
      <c r="K3199" s="270"/>
      <c r="L3199" s="210" t="s">
        <v>841</v>
      </c>
      <c r="M3199" s="198">
        <f t="shared" ref="M3199:M3204" si="370">ROUND(K3199*I3199/10000,6)</f>
        <v>0</v>
      </c>
      <c r="N3199" s="212">
        <f>'02 项目基础信息（输入）'!$C$81</f>
        <v>0</v>
      </c>
      <c r="O3199" s="203">
        <f t="shared" si="361"/>
        <v>0</v>
      </c>
      <c r="P3199" s="203">
        <f t="shared" si="363"/>
        <v>0</v>
      </c>
      <c r="Q3199" s="271">
        <f t="shared" si="362"/>
        <v>0</v>
      </c>
      <c r="S3199" s="280"/>
      <c r="T3199" s="222"/>
      <c r="U3199" s="299" t="s">
        <v>5425</v>
      </c>
    </row>
    <row r="3200" spans="1:21" ht="0" hidden="1" customHeight="1" outlineLevel="3">
      <c r="A3200" s="253" t="s">
        <v>4784</v>
      </c>
      <c r="B3200" s="253"/>
      <c r="C3200" s="202" t="s">
        <v>1609</v>
      </c>
      <c r="D3200" s="203">
        <f>'02 项目基础信息（输入）'!$C$81</f>
        <v>0</v>
      </c>
      <c r="E3200" s="204" t="s">
        <v>93</v>
      </c>
      <c r="F3200" s="250" t="s">
        <v>4781</v>
      </c>
      <c r="G3200" s="205">
        <f>IFERROR(I3200/D3200,0)</f>
        <v>0</v>
      </c>
      <c r="H3200" s="204" t="s">
        <v>4782</v>
      </c>
      <c r="I3200" s="285"/>
      <c r="J3200" s="204" t="s">
        <v>2198</v>
      </c>
      <c r="K3200" s="270"/>
      <c r="L3200" s="210" t="s">
        <v>841</v>
      </c>
      <c r="M3200" s="198">
        <f t="shared" si="370"/>
        <v>0</v>
      </c>
      <c r="N3200" s="212">
        <f>'02 项目基础信息（输入）'!$C$81</f>
        <v>0</v>
      </c>
      <c r="O3200" s="203">
        <f t="shared" si="361"/>
        <v>0</v>
      </c>
      <c r="P3200" s="203">
        <f t="shared" si="363"/>
        <v>0</v>
      </c>
      <c r="Q3200" s="271">
        <f t="shared" si="362"/>
        <v>0</v>
      </c>
      <c r="S3200" s="280"/>
      <c r="T3200" s="222"/>
      <c r="U3200" s="299" t="s">
        <v>5426</v>
      </c>
    </row>
    <row r="3201" spans="1:21" ht="0" hidden="1" customHeight="1" outlineLevel="3">
      <c r="A3201" s="253" t="s">
        <v>5094</v>
      </c>
      <c r="B3201" s="253"/>
      <c r="C3201" s="202" t="s">
        <v>1609</v>
      </c>
      <c r="D3201" s="203">
        <f>'02 项目基础信息（输入）'!$C$81</f>
        <v>0</v>
      </c>
      <c r="E3201" s="204" t="s">
        <v>93</v>
      </c>
      <c r="F3201" s="250" t="s">
        <v>5095</v>
      </c>
      <c r="G3201" s="205">
        <f>IFERROR(I3201/D3201,0)</f>
        <v>0</v>
      </c>
      <c r="H3201" s="255" t="s">
        <v>298</v>
      </c>
      <c r="I3201" s="285"/>
      <c r="J3201" s="255" t="s">
        <v>93</v>
      </c>
      <c r="K3201" s="270"/>
      <c r="L3201" s="205" t="s">
        <v>675</v>
      </c>
      <c r="M3201" s="198">
        <f t="shared" si="370"/>
        <v>0</v>
      </c>
      <c r="N3201" s="212">
        <f>'02 项目基础信息（输入）'!$C$81</f>
        <v>0</v>
      </c>
      <c r="O3201" s="203">
        <f t="shared" si="361"/>
        <v>0</v>
      </c>
      <c r="P3201" s="203">
        <f t="shared" si="363"/>
        <v>0</v>
      </c>
      <c r="Q3201" s="271">
        <f t="shared" si="362"/>
        <v>0</v>
      </c>
      <c r="S3201" s="280"/>
      <c r="T3201" s="222"/>
      <c r="U3201" s="299" t="s">
        <v>5427</v>
      </c>
    </row>
    <row r="3202" spans="1:21" ht="0" hidden="1" customHeight="1" outlineLevel="3">
      <c r="A3202" s="253" t="s">
        <v>5428</v>
      </c>
      <c r="B3202" s="253"/>
      <c r="C3202" s="202" t="s">
        <v>1609</v>
      </c>
      <c r="D3202" s="203">
        <f>'02 项目基础信息（输入）'!$C$81</f>
        <v>0</v>
      </c>
      <c r="E3202" s="204" t="s">
        <v>93</v>
      </c>
      <c r="F3202" s="250" t="s">
        <v>5429</v>
      </c>
      <c r="G3202" s="205">
        <f>IFERROR(#REF!/I3202,0)</f>
        <v>0</v>
      </c>
      <c r="H3202" s="255" t="s">
        <v>298</v>
      </c>
      <c r="I3202" s="273">
        <f>'02 项目基础信息（输入）'!AM81</f>
        <v>0</v>
      </c>
      <c r="J3202" s="255" t="s">
        <v>93</v>
      </c>
      <c r="K3202" s="270"/>
      <c r="L3202" s="210" t="s">
        <v>675</v>
      </c>
      <c r="M3202" s="198">
        <f t="shared" si="370"/>
        <v>0</v>
      </c>
      <c r="N3202" s="212">
        <f>'02 项目基础信息（输入）'!$C$81</f>
        <v>0</v>
      </c>
      <c r="O3202" s="203">
        <f t="shared" si="361"/>
        <v>0</v>
      </c>
      <c r="P3202" s="203">
        <f t="shared" si="363"/>
        <v>0</v>
      </c>
      <c r="Q3202" s="271">
        <f t="shared" si="362"/>
        <v>0</v>
      </c>
      <c r="S3202" s="280"/>
      <c r="T3202" s="222"/>
      <c r="U3202" s="299" t="s">
        <v>5430</v>
      </c>
    </row>
    <row r="3203" spans="1:21" ht="0" hidden="1" customHeight="1" outlineLevel="3">
      <c r="A3203" s="253" t="s">
        <v>5431</v>
      </c>
      <c r="B3203" s="253"/>
      <c r="C3203" s="202" t="s">
        <v>1609</v>
      </c>
      <c r="D3203" s="203">
        <f>'02 项目基础信息（输入）'!$C$81</f>
        <v>0</v>
      </c>
      <c r="E3203" s="204" t="s">
        <v>93</v>
      </c>
      <c r="F3203" s="250" t="s">
        <v>4781</v>
      </c>
      <c r="G3203" s="205">
        <f>IFERROR(I3203/D3203,0)</f>
        <v>0</v>
      </c>
      <c r="H3203" s="255" t="s">
        <v>4606</v>
      </c>
      <c r="I3203" s="285"/>
      <c r="J3203" s="255" t="s">
        <v>1946</v>
      </c>
      <c r="K3203" s="270"/>
      <c r="L3203" s="210" t="s">
        <v>1948</v>
      </c>
      <c r="M3203" s="198">
        <f t="shared" si="370"/>
        <v>0</v>
      </c>
      <c r="N3203" s="212">
        <f>'02 项目基础信息（输入）'!$C$81</f>
        <v>0</v>
      </c>
      <c r="O3203" s="203">
        <f t="shared" ref="O3203:O3266" si="371">ROUND(IFERROR(M3203*10000/N3203,0),2)</f>
        <v>0</v>
      </c>
      <c r="P3203" s="203">
        <f t="shared" si="363"/>
        <v>0</v>
      </c>
      <c r="Q3203" s="271">
        <f t="shared" ref="Q3203:Q3266" si="372">ROUND(IFERROR(M3203*10000/P3203,0),2)</f>
        <v>0</v>
      </c>
      <c r="S3203" s="280"/>
      <c r="T3203" s="222"/>
      <c r="U3203" s="299" t="s">
        <v>5432</v>
      </c>
    </row>
    <row r="3204" spans="1:21" ht="0" hidden="1" customHeight="1" outlineLevel="3">
      <c r="A3204" s="253" t="s">
        <v>5433</v>
      </c>
      <c r="B3204" s="253"/>
      <c r="C3204" s="202" t="s">
        <v>1609</v>
      </c>
      <c r="D3204" s="203">
        <f>'02 项目基础信息（输入）'!$C$81</f>
        <v>0</v>
      </c>
      <c r="E3204" s="204" t="s">
        <v>93</v>
      </c>
      <c r="F3204" s="250" t="s">
        <v>4781</v>
      </c>
      <c r="G3204" s="205">
        <f>IFERROR(I3204/D3204,0)</f>
        <v>0</v>
      </c>
      <c r="H3204" s="255" t="s">
        <v>4606</v>
      </c>
      <c r="I3204" s="285"/>
      <c r="J3204" s="255" t="s">
        <v>1946</v>
      </c>
      <c r="K3204" s="270"/>
      <c r="L3204" s="210" t="s">
        <v>1948</v>
      </c>
      <c r="M3204" s="198">
        <f t="shared" si="370"/>
        <v>0</v>
      </c>
      <c r="N3204" s="212">
        <f>'02 项目基础信息（输入）'!$C$81</f>
        <v>0</v>
      </c>
      <c r="O3204" s="203">
        <f t="shared" si="371"/>
        <v>0</v>
      </c>
      <c r="P3204" s="203">
        <f t="shared" si="363"/>
        <v>0</v>
      </c>
      <c r="Q3204" s="271">
        <f t="shared" si="372"/>
        <v>0</v>
      </c>
      <c r="S3204" s="280"/>
      <c r="T3204" s="222"/>
      <c r="U3204" s="299" t="s">
        <v>5434</v>
      </c>
    </row>
    <row r="3205" spans="1:21" ht="0" hidden="1" customHeight="1" outlineLevel="3">
      <c r="A3205" s="253" t="s">
        <v>5435</v>
      </c>
      <c r="B3205" s="253"/>
      <c r="C3205" s="202" t="s">
        <v>1609</v>
      </c>
      <c r="D3205" s="203">
        <f>'02 项目基础信息（输入）'!$C$81</f>
        <v>0</v>
      </c>
      <c r="E3205" s="204" t="s">
        <v>93</v>
      </c>
      <c r="F3205" s="250" t="s">
        <v>4781</v>
      </c>
      <c r="G3205" s="205">
        <f>IFERROR(I3205/D3205,0)</f>
        <v>0</v>
      </c>
      <c r="H3205" s="255" t="s">
        <v>4606</v>
      </c>
      <c r="I3205" s="285"/>
      <c r="J3205" s="255" t="s">
        <v>1946</v>
      </c>
      <c r="K3205" s="270"/>
      <c r="L3205" s="210" t="s">
        <v>1948</v>
      </c>
      <c r="M3205" s="198">
        <f>ROUND(I3205*K3205/10000,6)</f>
        <v>0</v>
      </c>
      <c r="N3205" s="212">
        <f>'02 项目基础信息（输入）'!$C$81</f>
        <v>0</v>
      </c>
      <c r="O3205" s="203">
        <f t="shared" si="371"/>
        <v>0</v>
      </c>
      <c r="P3205" s="203">
        <f t="shared" si="363"/>
        <v>0</v>
      </c>
      <c r="Q3205" s="271">
        <f t="shared" si="372"/>
        <v>0</v>
      </c>
      <c r="S3205" s="280"/>
      <c r="T3205" s="222"/>
      <c r="U3205" s="299" t="s">
        <v>5436</v>
      </c>
    </row>
    <row r="3206" spans="1:21" ht="0" hidden="1" customHeight="1" outlineLevel="3">
      <c r="A3206" s="253" t="s">
        <v>5437</v>
      </c>
      <c r="B3206" s="253"/>
      <c r="C3206" s="202" t="s">
        <v>1609</v>
      </c>
      <c r="D3206" s="203">
        <f>'02 项目基础信息（输入）'!$C$81</f>
        <v>0</v>
      </c>
      <c r="E3206" s="204" t="s">
        <v>93</v>
      </c>
      <c r="F3206" s="202" t="s">
        <v>1609</v>
      </c>
      <c r="G3206" s="255">
        <v>1</v>
      </c>
      <c r="H3206" s="255" t="s">
        <v>298</v>
      </c>
      <c r="I3206" s="268">
        <f>G3206*D3206</f>
        <v>0</v>
      </c>
      <c r="J3206" s="255" t="s">
        <v>93</v>
      </c>
      <c r="K3206" s="270"/>
      <c r="L3206" s="205" t="s">
        <v>675</v>
      </c>
      <c r="M3206" s="198">
        <f>ROUND(I3206*K3206/10000,6)</f>
        <v>0</v>
      </c>
      <c r="N3206" s="212">
        <f>'02 项目基础信息（输入）'!$C$81</f>
        <v>0</v>
      </c>
      <c r="O3206" s="203">
        <f t="shared" si="371"/>
        <v>0</v>
      </c>
      <c r="P3206" s="203">
        <f t="shared" si="363"/>
        <v>0</v>
      </c>
      <c r="Q3206" s="271">
        <f t="shared" si="372"/>
        <v>0</v>
      </c>
      <c r="S3206" s="280"/>
      <c r="T3206" s="222"/>
      <c r="U3206" s="299" t="s">
        <v>5438</v>
      </c>
    </row>
    <row r="3207" spans="1:21" ht="0" hidden="1" customHeight="1" outlineLevel="3">
      <c r="A3207" s="253" t="s">
        <v>5439</v>
      </c>
      <c r="B3207" s="253"/>
      <c r="C3207" s="202" t="s">
        <v>1609</v>
      </c>
      <c r="D3207" s="203">
        <f>'02 项目基础信息（输入）'!$C$81</f>
        <v>0</v>
      </c>
      <c r="E3207" s="204" t="s">
        <v>93</v>
      </c>
      <c r="F3207" s="256"/>
      <c r="G3207" s="255"/>
      <c r="H3207" s="255"/>
      <c r="I3207" s="212"/>
      <c r="J3207" s="255"/>
      <c r="K3207" s="231"/>
      <c r="L3207" s="205"/>
      <c r="M3207" s="198">
        <f>ROUND(SUM(M3208:M3209),6)</f>
        <v>0</v>
      </c>
      <c r="N3207" s="212">
        <f>'02 项目基础信息（输入）'!$C$81</f>
        <v>0</v>
      </c>
      <c r="O3207" s="203">
        <f t="shared" si="371"/>
        <v>0</v>
      </c>
      <c r="P3207" s="203">
        <f t="shared" si="363"/>
        <v>0</v>
      </c>
      <c r="Q3207" s="271">
        <f t="shared" si="372"/>
        <v>0</v>
      </c>
      <c r="S3207" s="280"/>
      <c r="T3207" s="222"/>
      <c r="U3207" s="299" t="s">
        <v>5440</v>
      </c>
    </row>
    <row r="3208" spans="1:21" ht="0" hidden="1" customHeight="1" outlineLevel="4">
      <c r="A3208" s="201" t="s">
        <v>5441</v>
      </c>
      <c r="B3208" s="249"/>
      <c r="C3208" s="288" t="s">
        <v>304</v>
      </c>
      <c r="D3208" s="273">
        <f>'02 项目基础信息（输入）'!BU81</f>
        <v>0</v>
      </c>
      <c r="E3208" s="255" t="s">
        <v>167</v>
      </c>
      <c r="F3208" s="256" t="s">
        <v>5442</v>
      </c>
      <c r="G3208" s="246">
        <f>'03 成本测算（输入）'!D341</f>
        <v>0</v>
      </c>
      <c r="H3208" s="255" t="s">
        <v>1270</v>
      </c>
      <c r="I3208" s="268">
        <f>G3208*D3208</f>
        <v>0</v>
      </c>
      <c r="J3208" s="255" t="s">
        <v>2198</v>
      </c>
      <c r="K3208" s="270"/>
      <c r="L3208" s="205" t="s">
        <v>841</v>
      </c>
      <c r="M3208" s="198">
        <f>ROUND(I3208*K3208/10000,6)</f>
        <v>0</v>
      </c>
      <c r="N3208" s="212">
        <f>'02 项目基础信息（输入）'!$C$81</f>
        <v>0</v>
      </c>
      <c r="O3208" s="203">
        <f t="shared" si="371"/>
        <v>0</v>
      </c>
      <c r="P3208" s="203">
        <f t="shared" si="363"/>
        <v>0</v>
      </c>
      <c r="Q3208" s="271">
        <f t="shared" si="372"/>
        <v>0</v>
      </c>
      <c r="S3208" s="280"/>
      <c r="T3208" s="222"/>
      <c r="U3208" s="299" t="s">
        <v>5443</v>
      </c>
    </row>
    <row r="3209" spans="1:21" ht="0" hidden="1" customHeight="1" outlineLevel="4">
      <c r="A3209" s="201" t="s">
        <v>5444</v>
      </c>
      <c r="B3209" s="249"/>
      <c r="C3209" s="288" t="s">
        <v>304</v>
      </c>
      <c r="D3209" s="203">
        <f>D3208</f>
        <v>0</v>
      </c>
      <c r="E3209" s="255" t="s">
        <v>167</v>
      </c>
      <c r="F3209" s="256" t="s">
        <v>5442</v>
      </c>
      <c r="G3209" s="255">
        <f>G3208</f>
        <v>0</v>
      </c>
      <c r="H3209" s="255" t="s">
        <v>1270</v>
      </c>
      <c r="I3209" s="268">
        <f>G3209*D3209</f>
        <v>0</v>
      </c>
      <c r="J3209" s="255" t="s">
        <v>2198</v>
      </c>
      <c r="K3209" s="270"/>
      <c r="L3209" s="205" t="s">
        <v>841</v>
      </c>
      <c r="M3209" s="198">
        <f>ROUND(I3209*K3209/10000,6)</f>
        <v>0</v>
      </c>
      <c r="N3209" s="212">
        <f>'02 项目基础信息（输入）'!$C$81</f>
        <v>0</v>
      </c>
      <c r="O3209" s="203">
        <f t="shared" si="371"/>
        <v>0</v>
      </c>
      <c r="P3209" s="203">
        <f t="shared" si="363"/>
        <v>0</v>
      </c>
      <c r="Q3209" s="271">
        <f t="shared" si="372"/>
        <v>0</v>
      </c>
      <c r="S3209" s="280"/>
      <c r="T3209" s="222"/>
      <c r="U3209" s="299" t="s">
        <v>5445</v>
      </c>
    </row>
    <row r="3210" spans="1:21" ht="0" hidden="1" customHeight="1" outlineLevel="3">
      <c r="A3210" s="253" t="s">
        <v>4796</v>
      </c>
      <c r="B3210" s="253"/>
      <c r="C3210" s="202" t="s">
        <v>1609</v>
      </c>
      <c r="D3210" s="203">
        <f>'02 项目基础信息（输入）'!$C$81</f>
        <v>0</v>
      </c>
      <c r="E3210" s="204" t="s">
        <v>93</v>
      </c>
      <c r="F3210" s="202" t="s">
        <v>1609</v>
      </c>
      <c r="G3210" s="204">
        <v>1</v>
      </c>
      <c r="H3210" s="204" t="s">
        <v>298</v>
      </c>
      <c r="I3210" s="268">
        <f>G3210*D3210</f>
        <v>0</v>
      </c>
      <c r="J3210" s="204" t="s">
        <v>93</v>
      </c>
      <c r="K3210" s="270"/>
      <c r="L3210" s="210" t="s">
        <v>675</v>
      </c>
      <c r="M3210" s="198">
        <f>ROUND(K3210*I3210/10000,6)</f>
        <v>0</v>
      </c>
      <c r="N3210" s="212">
        <f>'02 项目基础信息（输入）'!$C$81</f>
        <v>0</v>
      </c>
      <c r="O3210" s="203">
        <f t="shared" si="371"/>
        <v>0</v>
      </c>
      <c r="P3210" s="203">
        <f t="shared" ref="P3210:P3273" si="373">N3210</f>
        <v>0</v>
      </c>
      <c r="Q3210" s="271">
        <f t="shared" si="372"/>
        <v>0</v>
      </c>
      <c r="S3210" s="280"/>
      <c r="T3210" s="222"/>
      <c r="U3210" s="299" t="s">
        <v>5446</v>
      </c>
    </row>
    <row r="3211" spans="1:21" ht="0" hidden="1" customHeight="1" outlineLevel="1" collapsed="1">
      <c r="A3211" s="248" t="s">
        <v>633</v>
      </c>
      <c r="B3211" s="248"/>
      <c r="C3211" s="202" t="s">
        <v>1609</v>
      </c>
      <c r="D3211" s="203">
        <f>'02 项目基础信息（输入）'!$C$84</f>
        <v>0</v>
      </c>
      <c r="E3211" s="204" t="s">
        <v>93</v>
      </c>
      <c r="F3211" s="202"/>
      <c r="G3211" s="204"/>
      <c r="H3211" s="204"/>
      <c r="I3211" s="202"/>
      <c r="J3211" s="204"/>
      <c r="K3211" s="202"/>
      <c r="L3211" s="210"/>
      <c r="M3211" s="198">
        <f>ROUND(M3212+M3262+M3275+M3296+M3317+M3330+M3334+M3341+M3380+M3393+M3424+M3429+M3431+M3363,6)</f>
        <v>0</v>
      </c>
      <c r="N3211" s="212">
        <f>'02 项目基础信息（输入）'!$C$84</f>
        <v>0</v>
      </c>
      <c r="O3211" s="212">
        <f t="shared" si="371"/>
        <v>0</v>
      </c>
      <c r="P3211" s="212">
        <f t="shared" si="373"/>
        <v>0</v>
      </c>
      <c r="Q3211" s="271">
        <f t="shared" si="372"/>
        <v>0</v>
      </c>
      <c r="S3211" s="280"/>
      <c r="T3211" s="222"/>
      <c r="U3211" s="232" t="s">
        <v>5447</v>
      </c>
    </row>
    <row r="3212" spans="1:21" ht="0" hidden="1" customHeight="1" outlineLevel="2">
      <c r="A3212" s="201" t="s">
        <v>4168</v>
      </c>
      <c r="B3212" s="201"/>
      <c r="C3212" s="202" t="s">
        <v>1609</v>
      </c>
      <c r="D3212" s="203">
        <f>'02 项目基础信息（输入）'!$C$84</f>
        <v>0</v>
      </c>
      <c r="E3212" s="204" t="s">
        <v>93</v>
      </c>
      <c r="F3212" s="202"/>
      <c r="G3212" s="204"/>
      <c r="H3212" s="204"/>
      <c r="I3212" s="203"/>
      <c r="J3212" s="204"/>
      <c r="K3212" s="264"/>
      <c r="L3212" s="210"/>
      <c r="M3212" s="198">
        <f>ROUND(M3213+M3236+M3258,6)</f>
        <v>0</v>
      </c>
      <c r="N3212" s="212">
        <f>'02 项目基础信息（输入）'!$C$84</f>
        <v>0</v>
      </c>
      <c r="O3212" s="203">
        <f t="shared" si="371"/>
        <v>0</v>
      </c>
      <c r="P3212" s="203">
        <f t="shared" si="373"/>
        <v>0</v>
      </c>
      <c r="Q3212" s="271">
        <f t="shared" si="372"/>
        <v>0</v>
      </c>
      <c r="S3212" s="280" t="s">
        <v>1313</v>
      </c>
      <c r="T3212" s="222"/>
      <c r="U3212" s="232" t="s">
        <v>5448</v>
      </c>
    </row>
    <row r="3213" spans="1:21" s="181" customFormat="1" ht="0" hidden="1" customHeight="1" outlineLevel="3">
      <c r="A3213" s="201" t="s">
        <v>4170</v>
      </c>
      <c r="B3213" s="249"/>
      <c r="C3213" s="250" t="s">
        <v>1609</v>
      </c>
      <c r="D3213" s="203">
        <f>'02 项目基础信息（输入）'!$C$84</f>
        <v>0</v>
      </c>
      <c r="E3213" s="204" t="s">
        <v>93</v>
      </c>
      <c r="F3213" s="202"/>
      <c r="G3213" s="204"/>
      <c r="H3213" s="204"/>
      <c r="I3213" s="265"/>
      <c r="J3213" s="204"/>
      <c r="K3213" s="202"/>
      <c r="L3213" s="210"/>
      <c r="M3213" s="198">
        <f>ROUND(M3214+M3218+M3223+M3229+M3233+M3234+M3235,6)</f>
        <v>0</v>
      </c>
      <c r="N3213" s="212">
        <f>'02 项目基础信息（输入）'!$C$84</f>
        <v>0</v>
      </c>
      <c r="O3213" s="203">
        <f t="shared" si="371"/>
        <v>0</v>
      </c>
      <c r="P3213" s="203">
        <f t="shared" si="373"/>
        <v>0</v>
      </c>
      <c r="Q3213" s="271">
        <f t="shared" si="372"/>
        <v>0</v>
      </c>
      <c r="R3213" s="188"/>
      <c r="S3213" s="280"/>
      <c r="T3213" s="222"/>
      <c r="U3213" s="232" t="s">
        <v>5449</v>
      </c>
    </row>
    <row r="3214" spans="1:21" s="181" customFormat="1" ht="0" hidden="1" customHeight="1" outlineLevel="4">
      <c r="A3214" s="201" t="s">
        <v>4172</v>
      </c>
      <c r="B3214" s="249"/>
      <c r="C3214" s="250" t="s">
        <v>1609</v>
      </c>
      <c r="D3214" s="203">
        <f>'02 项目基础信息（输入）'!$C$84</f>
        <v>0</v>
      </c>
      <c r="E3214" s="204" t="s">
        <v>93</v>
      </c>
      <c r="F3214" s="202"/>
      <c r="G3214" s="251"/>
      <c r="H3214" s="204"/>
      <c r="I3214" s="265"/>
      <c r="J3214" s="204"/>
      <c r="K3214" s="266"/>
      <c r="L3214" s="210"/>
      <c r="M3214" s="198">
        <f>ROUND(SUM(M3215:M3217),6)</f>
        <v>0</v>
      </c>
      <c r="N3214" s="212">
        <f>'02 项目基础信息（输入）'!$C$84</f>
        <v>0</v>
      </c>
      <c r="O3214" s="203">
        <f t="shared" si="371"/>
        <v>0</v>
      </c>
      <c r="P3214" s="203">
        <f t="shared" si="373"/>
        <v>0</v>
      </c>
      <c r="Q3214" s="271">
        <f t="shared" si="372"/>
        <v>0</v>
      </c>
      <c r="R3214" s="188"/>
      <c r="S3214" s="280"/>
      <c r="T3214" s="222"/>
      <c r="U3214" s="232" t="s">
        <v>5450</v>
      </c>
    </row>
    <row r="3215" spans="1:21" s="181" customFormat="1" ht="0" hidden="1" customHeight="1" outlineLevel="5">
      <c r="A3215" s="201" t="s">
        <v>4393</v>
      </c>
      <c r="B3215" s="249"/>
      <c r="C3215" s="250" t="s">
        <v>4394</v>
      </c>
      <c r="D3215" s="273">
        <f>'02 项目基础信息（输入）'!E84</f>
        <v>0</v>
      </c>
      <c r="E3215" s="204" t="s">
        <v>93</v>
      </c>
      <c r="F3215" s="202" t="s">
        <v>1616</v>
      </c>
      <c r="G3215" s="317"/>
      <c r="H3215" s="204" t="s">
        <v>966</v>
      </c>
      <c r="I3215" s="265">
        <f>D3215*G3215</f>
        <v>0</v>
      </c>
      <c r="J3215" s="204" t="s">
        <v>1617</v>
      </c>
      <c r="K3215" s="269"/>
      <c r="L3215" s="210" t="s">
        <v>664</v>
      </c>
      <c r="M3215" s="198">
        <f>ROUND(K3215*I3215/10000,6)</f>
        <v>0</v>
      </c>
      <c r="N3215" s="212">
        <f>'02 项目基础信息（输入）'!$C$84</f>
        <v>0</v>
      </c>
      <c r="O3215" s="203">
        <f t="shared" si="371"/>
        <v>0</v>
      </c>
      <c r="P3215" s="203">
        <f t="shared" si="373"/>
        <v>0</v>
      </c>
      <c r="Q3215" s="271">
        <f t="shared" si="372"/>
        <v>0</v>
      </c>
      <c r="R3215" s="188"/>
      <c r="S3215" s="280"/>
      <c r="T3215" s="222"/>
      <c r="U3215" s="232" t="s">
        <v>5451</v>
      </c>
    </row>
    <row r="3216" spans="1:21" s="181" customFormat="1" ht="0" hidden="1" customHeight="1" outlineLevel="5">
      <c r="A3216" s="201" t="s">
        <v>4396</v>
      </c>
      <c r="B3216" s="249"/>
      <c r="C3216" s="250" t="s">
        <v>4397</v>
      </c>
      <c r="D3216" s="273">
        <f>'02 项目基础信息（输入）'!D84</f>
        <v>0</v>
      </c>
      <c r="E3216" s="204" t="s">
        <v>93</v>
      </c>
      <c r="F3216" s="202" t="s">
        <v>1616</v>
      </c>
      <c r="G3216" s="317"/>
      <c r="H3216" s="204" t="s">
        <v>966</v>
      </c>
      <c r="I3216" s="265">
        <f>D3216*G3216</f>
        <v>0</v>
      </c>
      <c r="J3216" s="204" t="s">
        <v>1617</v>
      </c>
      <c r="K3216" s="269"/>
      <c r="L3216" s="210" t="s">
        <v>664</v>
      </c>
      <c r="M3216" s="198">
        <f>ROUND(K3216*I3216/10000,6)</f>
        <v>0</v>
      </c>
      <c r="N3216" s="212">
        <f>'02 项目基础信息（输入）'!$C$84</f>
        <v>0</v>
      </c>
      <c r="O3216" s="203">
        <f t="shared" si="371"/>
        <v>0</v>
      </c>
      <c r="P3216" s="203">
        <f t="shared" si="373"/>
        <v>0</v>
      </c>
      <c r="Q3216" s="271">
        <f t="shared" si="372"/>
        <v>0</v>
      </c>
      <c r="R3216" s="188"/>
      <c r="S3216" s="280"/>
      <c r="T3216" s="222"/>
      <c r="U3216" s="232" t="s">
        <v>5452</v>
      </c>
    </row>
    <row r="3217" spans="1:21" s="181" customFormat="1" ht="0" hidden="1" customHeight="1" outlineLevel="5">
      <c r="A3217" s="201" t="s">
        <v>4176</v>
      </c>
      <c r="B3217" s="249"/>
      <c r="C3217" s="250" t="s">
        <v>1609</v>
      </c>
      <c r="D3217" s="203">
        <f>'02 项目基础信息（输入）'!$C$84</f>
        <v>0</v>
      </c>
      <c r="E3217" s="204" t="s">
        <v>93</v>
      </c>
      <c r="F3217" s="202" t="s">
        <v>1616</v>
      </c>
      <c r="G3217" s="251">
        <f>IFERROR(I3217/D3217,0)</f>
        <v>0</v>
      </c>
      <c r="H3217" s="204" t="s">
        <v>966</v>
      </c>
      <c r="I3217" s="265">
        <f>I3215+I3216</f>
        <v>0</v>
      </c>
      <c r="J3217" s="204" t="s">
        <v>1617</v>
      </c>
      <c r="K3217" s="269"/>
      <c r="L3217" s="210" t="s">
        <v>664</v>
      </c>
      <c r="M3217" s="198">
        <f>ROUND(K3217*I3217/10000,6)</f>
        <v>0</v>
      </c>
      <c r="N3217" s="212">
        <f>'02 项目基础信息（输入）'!$C$84</f>
        <v>0</v>
      </c>
      <c r="O3217" s="203">
        <f t="shared" si="371"/>
        <v>0</v>
      </c>
      <c r="P3217" s="203">
        <f t="shared" si="373"/>
        <v>0</v>
      </c>
      <c r="Q3217" s="271">
        <f t="shared" si="372"/>
        <v>0</v>
      </c>
      <c r="R3217" s="188"/>
      <c r="S3217" s="280"/>
      <c r="T3217" s="222"/>
      <c r="U3217" s="232" t="s">
        <v>5453</v>
      </c>
    </row>
    <row r="3218" spans="1:21" s="181" customFormat="1" ht="0" hidden="1" customHeight="1" outlineLevel="4">
      <c r="A3218" s="253" t="s">
        <v>4178</v>
      </c>
      <c r="B3218" s="254"/>
      <c r="C3218" s="250" t="s">
        <v>1609</v>
      </c>
      <c r="D3218" s="203">
        <f>'02 项目基础信息（输入）'!$C$84</f>
        <v>0</v>
      </c>
      <c r="E3218" s="204" t="s">
        <v>93</v>
      </c>
      <c r="F3218" s="202"/>
      <c r="G3218" s="251"/>
      <c r="H3218" s="255"/>
      <c r="I3218" s="265"/>
      <c r="J3218" s="204"/>
      <c r="K3218" s="264"/>
      <c r="L3218" s="210"/>
      <c r="M3218" s="198">
        <f>ROUND(SUM(M3219:M3222),6)</f>
        <v>0</v>
      </c>
      <c r="N3218" s="212">
        <f>'02 项目基础信息（输入）'!$C$84</f>
        <v>0</v>
      </c>
      <c r="O3218" s="203">
        <f t="shared" si="371"/>
        <v>0</v>
      </c>
      <c r="P3218" s="203">
        <f t="shared" si="373"/>
        <v>0</v>
      </c>
      <c r="Q3218" s="271">
        <f t="shared" si="372"/>
        <v>0</v>
      </c>
      <c r="R3218" s="188"/>
      <c r="S3218" s="280"/>
      <c r="T3218" s="222"/>
      <c r="U3218" s="232" t="s">
        <v>5454</v>
      </c>
    </row>
    <row r="3219" spans="1:21" s="181" customFormat="1" ht="0" hidden="1" customHeight="1" outlineLevel="5">
      <c r="A3219" s="253" t="s">
        <v>4180</v>
      </c>
      <c r="B3219" s="254"/>
      <c r="C3219" s="250" t="s">
        <v>1609</v>
      </c>
      <c r="D3219" s="203">
        <f>'02 项目基础信息（输入）'!$C$84</f>
        <v>0</v>
      </c>
      <c r="E3219" s="204" t="s">
        <v>93</v>
      </c>
      <c r="F3219" s="202" t="s">
        <v>4181</v>
      </c>
      <c r="G3219" s="317"/>
      <c r="H3219" s="204" t="s">
        <v>298</v>
      </c>
      <c r="I3219" s="265">
        <f>D3219*G3219</f>
        <v>0</v>
      </c>
      <c r="J3219" s="204" t="s">
        <v>93</v>
      </c>
      <c r="K3219" s="269"/>
      <c r="L3219" s="210" t="s">
        <v>675</v>
      </c>
      <c r="M3219" s="198">
        <f>ROUND(K3219*I3219/10000,6)</f>
        <v>0</v>
      </c>
      <c r="N3219" s="212">
        <f>'02 项目基础信息（输入）'!$C$84</f>
        <v>0</v>
      </c>
      <c r="O3219" s="203">
        <f t="shared" si="371"/>
        <v>0</v>
      </c>
      <c r="P3219" s="203">
        <f t="shared" si="373"/>
        <v>0</v>
      </c>
      <c r="Q3219" s="271">
        <f t="shared" si="372"/>
        <v>0</v>
      </c>
      <c r="R3219" s="188"/>
      <c r="S3219" s="280"/>
      <c r="T3219" s="222"/>
      <c r="U3219" s="232" t="s">
        <v>5455</v>
      </c>
    </row>
    <row r="3220" spans="1:21" s="181" customFormat="1" ht="0" hidden="1" customHeight="1" outlineLevel="5">
      <c r="A3220" s="253" t="s">
        <v>4402</v>
      </c>
      <c r="B3220" s="254"/>
      <c r="C3220" s="250" t="s">
        <v>1609</v>
      </c>
      <c r="D3220" s="203">
        <f>'02 项目基础信息（输入）'!$C$84</f>
        <v>0</v>
      </c>
      <c r="E3220" s="204" t="s">
        <v>93</v>
      </c>
      <c r="F3220" s="202" t="s">
        <v>4181</v>
      </c>
      <c r="G3220" s="251">
        <f>G3219</f>
        <v>0</v>
      </c>
      <c r="H3220" s="204" t="s">
        <v>298</v>
      </c>
      <c r="I3220" s="265">
        <f>D3220*G3220</f>
        <v>0</v>
      </c>
      <c r="J3220" s="204" t="s">
        <v>93</v>
      </c>
      <c r="K3220" s="269"/>
      <c r="L3220" s="210" t="s">
        <v>675</v>
      </c>
      <c r="M3220" s="198">
        <f>ROUND(K3220*I3220/10000,6)</f>
        <v>0</v>
      </c>
      <c r="N3220" s="212">
        <f>'02 项目基础信息（输入）'!$C$84</f>
        <v>0</v>
      </c>
      <c r="O3220" s="203">
        <f t="shared" si="371"/>
        <v>0</v>
      </c>
      <c r="P3220" s="203">
        <f t="shared" si="373"/>
        <v>0</v>
      </c>
      <c r="Q3220" s="271">
        <f t="shared" si="372"/>
        <v>0</v>
      </c>
      <c r="R3220" s="188"/>
      <c r="S3220" s="280"/>
      <c r="T3220" s="222"/>
      <c r="U3220" s="232" t="s">
        <v>5456</v>
      </c>
    </row>
    <row r="3221" spans="1:21" s="181" customFormat="1" ht="0" hidden="1" customHeight="1" outlineLevel="5">
      <c r="A3221" s="253" t="s">
        <v>4404</v>
      </c>
      <c r="B3221" s="254"/>
      <c r="C3221" s="250" t="s">
        <v>1609</v>
      </c>
      <c r="D3221" s="203">
        <f>'02 项目基础信息（输入）'!$C$84</f>
        <v>0</v>
      </c>
      <c r="E3221" s="204" t="s">
        <v>93</v>
      </c>
      <c r="F3221" s="202" t="s">
        <v>4181</v>
      </c>
      <c r="G3221" s="251">
        <f>G3220</f>
        <v>0</v>
      </c>
      <c r="H3221" s="204" t="s">
        <v>298</v>
      </c>
      <c r="I3221" s="265">
        <f>D3221*G3221</f>
        <v>0</v>
      </c>
      <c r="J3221" s="204" t="s">
        <v>93</v>
      </c>
      <c r="K3221" s="269"/>
      <c r="L3221" s="210" t="s">
        <v>675</v>
      </c>
      <c r="M3221" s="198">
        <f>ROUND(K3221*I3221/10000,6)</f>
        <v>0</v>
      </c>
      <c r="N3221" s="212">
        <f>'02 项目基础信息（输入）'!$C$84</f>
        <v>0</v>
      </c>
      <c r="O3221" s="203">
        <f t="shared" si="371"/>
        <v>0</v>
      </c>
      <c r="P3221" s="203">
        <f t="shared" si="373"/>
        <v>0</v>
      </c>
      <c r="Q3221" s="271">
        <f t="shared" si="372"/>
        <v>0</v>
      </c>
      <c r="R3221" s="188"/>
      <c r="S3221" s="280"/>
      <c r="T3221" s="222"/>
      <c r="U3221" s="232" t="s">
        <v>5457</v>
      </c>
    </row>
    <row r="3222" spans="1:21" s="181" customFormat="1" ht="0" hidden="1" customHeight="1" outlineLevel="5">
      <c r="A3222" s="253" t="s">
        <v>4406</v>
      </c>
      <c r="B3222" s="254"/>
      <c r="C3222" s="250" t="s">
        <v>1609</v>
      </c>
      <c r="D3222" s="203">
        <f>'02 项目基础信息（输入）'!$C$84</f>
        <v>0</v>
      </c>
      <c r="E3222" s="204" t="s">
        <v>93</v>
      </c>
      <c r="F3222" s="202" t="s">
        <v>4181</v>
      </c>
      <c r="G3222" s="251">
        <f>G3221</f>
        <v>0</v>
      </c>
      <c r="H3222" s="204" t="s">
        <v>298</v>
      </c>
      <c r="I3222" s="265">
        <f>D3222*G3222</f>
        <v>0</v>
      </c>
      <c r="J3222" s="204" t="s">
        <v>93</v>
      </c>
      <c r="K3222" s="269"/>
      <c r="L3222" s="210" t="s">
        <v>675</v>
      </c>
      <c r="M3222" s="198">
        <f>ROUND(K3222*I3222/10000,6)</f>
        <v>0</v>
      </c>
      <c r="N3222" s="212">
        <f>'02 项目基础信息（输入）'!$C$84</f>
        <v>0</v>
      </c>
      <c r="O3222" s="203">
        <f t="shared" si="371"/>
        <v>0</v>
      </c>
      <c r="P3222" s="203">
        <f t="shared" si="373"/>
        <v>0</v>
      </c>
      <c r="Q3222" s="271">
        <f t="shared" si="372"/>
        <v>0</v>
      </c>
      <c r="R3222" s="188"/>
      <c r="S3222" s="280"/>
      <c r="T3222" s="222"/>
      <c r="U3222" s="232" t="s">
        <v>5458</v>
      </c>
    </row>
    <row r="3223" spans="1:21" s="181" customFormat="1" ht="0" hidden="1" customHeight="1" outlineLevel="4">
      <c r="A3223" s="253" t="s">
        <v>4183</v>
      </c>
      <c r="B3223" s="254"/>
      <c r="C3223" s="250" t="s">
        <v>1609</v>
      </c>
      <c r="D3223" s="203">
        <f>'02 项目基础信息（输入）'!$C$84</f>
        <v>0</v>
      </c>
      <c r="E3223" s="204" t="s">
        <v>93</v>
      </c>
      <c r="F3223" s="202"/>
      <c r="G3223" s="251"/>
      <c r="H3223" s="204"/>
      <c r="I3223" s="265"/>
      <c r="J3223" s="204"/>
      <c r="K3223" s="266"/>
      <c r="L3223" s="210"/>
      <c r="M3223" s="198">
        <f>ROUND(SUM(M3224:M3228),6)</f>
        <v>0</v>
      </c>
      <c r="N3223" s="212">
        <f>'02 项目基础信息（输入）'!$C$84</f>
        <v>0</v>
      </c>
      <c r="O3223" s="203">
        <f t="shared" si="371"/>
        <v>0</v>
      </c>
      <c r="P3223" s="203">
        <f t="shared" si="373"/>
        <v>0</v>
      </c>
      <c r="Q3223" s="271">
        <f t="shared" si="372"/>
        <v>0</v>
      </c>
      <c r="R3223" s="188"/>
      <c r="S3223" s="280"/>
      <c r="T3223" s="222"/>
      <c r="U3223" s="232" t="s">
        <v>5459</v>
      </c>
    </row>
    <row r="3224" spans="1:21" s="181" customFormat="1" ht="0" hidden="1" customHeight="1" outlineLevel="5">
      <c r="A3224" s="253" t="s">
        <v>4409</v>
      </c>
      <c r="B3224" s="254"/>
      <c r="C3224" s="250" t="s">
        <v>4394</v>
      </c>
      <c r="D3224" s="203">
        <f>$D$3215</f>
        <v>0</v>
      </c>
      <c r="E3224" s="204" t="s">
        <v>93</v>
      </c>
      <c r="F3224" s="202" t="s">
        <v>1627</v>
      </c>
      <c r="G3224" s="317"/>
      <c r="H3224" s="204" t="s">
        <v>1524</v>
      </c>
      <c r="I3224" s="265">
        <f>D3224*G3224</f>
        <v>0</v>
      </c>
      <c r="J3224" s="204" t="s">
        <v>1525</v>
      </c>
      <c r="K3224" s="269"/>
      <c r="L3224" s="210" t="s">
        <v>979</v>
      </c>
      <c r="M3224" s="198">
        <f>ROUND(K3224*I3224/10000,6)</f>
        <v>0</v>
      </c>
      <c r="N3224" s="212">
        <f>'02 项目基础信息（输入）'!$C$84</f>
        <v>0</v>
      </c>
      <c r="O3224" s="203">
        <f t="shared" si="371"/>
        <v>0</v>
      </c>
      <c r="P3224" s="203">
        <f t="shared" si="373"/>
        <v>0</v>
      </c>
      <c r="Q3224" s="271">
        <f t="shared" si="372"/>
        <v>0</v>
      </c>
      <c r="R3224" s="188"/>
      <c r="S3224" s="280"/>
      <c r="T3224" s="222"/>
      <c r="U3224" s="232" t="s">
        <v>5460</v>
      </c>
    </row>
    <row r="3225" spans="1:21" s="181" customFormat="1" ht="0" hidden="1" customHeight="1" outlineLevel="5">
      <c r="A3225" s="253" t="s">
        <v>4411</v>
      </c>
      <c r="B3225" s="254"/>
      <c r="C3225" s="250" t="s">
        <v>4397</v>
      </c>
      <c r="D3225" s="203">
        <f>$D$3216</f>
        <v>0</v>
      </c>
      <c r="E3225" s="204" t="s">
        <v>93</v>
      </c>
      <c r="F3225" s="202" t="s">
        <v>1627</v>
      </c>
      <c r="G3225" s="317"/>
      <c r="H3225" s="204" t="s">
        <v>1524</v>
      </c>
      <c r="I3225" s="265">
        <f>D3225*G3225</f>
        <v>0</v>
      </c>
      <c r="J3225" s="204" t="s">
        <v>1525</v>
      </c>
      <c r="K3225" s="269"/>
      <c r="L3225" s="210" t="s">
        <v>979</v>
      </c>
      <c r="M3225" s="198">
        <f>ROUND(K3225*I3225/10000,6)</f>
        <v>0</v>
      </c>
      <c r="N3225" s="212">
        <f>'02 项目基础信息（输入）'!$C$84</f>
        <v>0</v>
      </c>
      <c r="O3225" s="203">
        <f t="shared" si="371"/>
        <v>0</v>
      </c>
      <c r="P3225" s="203">
        <f t="shared" si="373"/>
        <v>0</v>
      </c>
      <c r="Q3225" s="271">
        <f t="shared" si="372"/>
        <v>0</v>
      </c>
      <c r="R3225" s="188"/>
      <c r="S3225" s="280"/>
      <c r="T3225" s="222"/>
      <c r="U3225" s="232" t="s">
        <v>5461</v>
      </c>
    </row>
    <row r="3226" spans="1:21" s="181" customFormat="1" ht="0" hidden="1" customHeight="1" outlineLevel="5">
      <c r="A3226" s="253" t="s">
        <v>4187</v>
      </c>
      <c r="B3226" s="254"/>
      <c r="C3226" s="250" t="s">
        <v>1609</v>
      </c>
      <c r="D3226" s="203">
        <f>'02 项目基础信息（输入）'!$C$84</f>
        <v>0</v>
      </c>
      <c r="E3226" s="204" t="s">
        <v>93</v>
      </c>
      <c r="F3226" s="202" t="s">
        <v>1627</v>
      </c>
      <c r="G3226" s="251">
        <f>IFERROR(I3226/D3226,0)</f>
        <v>0</v>
      </c>
      <c r="H3226" s="204" t="s">
        <v>1524</v>
      </c>
      <c r="I3226" s="265">
        <f>I3224+I3225</f>
        <v>0</v>
      </c>
      <c r="J3226" s="204" t="s">
        <v>1525</v>
      </c>
      <c r="K3226" s="269"/>
      <c r="L3226" s="210" t="s">
        <v>979</v>
      </c>
      <c r="M3226" s="198">
        <f>ROUND(K3226*I3226/10000,6)</f>
        <v>0</v>
      </c>
      <c r="N3226" s="212">
        <f>'02 项目基础信息（输入）'!$C$84</f>
        <v>0</v>
      </c>
      <c r="O3226" s="203">
        <f t="shared" si="371"/>
        <v>0</v>
      </c>
      <c r="P3226" s="203">
        <f t="shared" si="373"/>
        <v>0</v>
      </c>
      <c r="Q3226" s="271">
        <f t="shared" si="372"/>
        <v>0</v>
      </c>
      <c r="R3226" s="188"/>
      <c r="S3226" s="280"/>
      <c r="T3226" s="222"/>
      <c r="U3226" s="232" t="s">
        <v>5462</v>
      </c>
    </row>
    <row r="3227" spans="1:21" s="181" customFormat="1" ht="0" hidden="1" customHeight="1" outlineLevel="5">
      <c r="A3227" s="253" t="s">
        <v>4414</v>
      </c>
      <c r="B3227" s="254"/>
      <c r="C3227" s="250" t="s">
        <v>4397</v>
      </c>
      <c r="D3227" s="203">
        <f>$D$3216</f>
        <v>0</v>
      </c>
      <c r="E3227" s="204" t="s">
        <v>93</v>
      </c>
      <c r="F3227" s="202" t="s">
        <v>1632</v>
      </c>
      <c r="G3227" s="297"/>
      <c r="H3227" s="204" t="s">
        <v>1524</v>
      </c>
      <c r="I3227" s="265">
        <f>D3227*G3227</f>
        <v>0</v>
      </c>
      <c r="J3227" s="204" t="s">
        <v>1525</v>
      </c>
      <c r="K3227" s="269"/>
      <c r="L3227" s="210" t="s">
        <v>979</v>
      </c>
      <c r="M3227" s="198">
        <f>ROUND(K3227*I3227/10000,6)</f>
        <v>0</v>
      </c>
      <c r="N3227" s="212">
        <f>'02 项目基础信息（输入）'!$C$84</f>
        <v>0</v>
      </c>
      <c r="O3227" s="203">
        <f t="shared" si="371"/>
        <v>0</v>
      </c>
      <c r="P3227" s="203">
        <f t="shared" si="373"/>
        <v>0</v>
      </c>
      <c r="Q3227" s="271">
        <f t="shared" si="372"/>
        <v>0</v>
      </c>
      <c r="R3227" s="188"/>
      <c r="S3227" s="280"/>
      <c r="T3227" s="222"/>
      <c r="U3227" s="232" t="s">
        <v>5463</v>
      </c>
    </row>
    <row r="3228" spans="1:21" s="181" customFormat="1" ht="0" hidden="1" customHeight="1" outlineLevel="5">
      <c r="A3228" s="253" t="s">
        <v>4416</v>
      </c>
      <c r="B3228" s="254"/>
      <c r="C3228" s="250" t="s">
        <v>4397</v>
      </c>
      <c r="D3228" s="203">
        <f>$D$3216</f>
        <v>0</v>
      </c>
      <c r="E3228" s="204" t="s">
        <v>93</v>
      </c>
      <c r="F3228" s="202" t="s">
        <v>1632</v>
      </c>
      <c r="G3228" s="251">
        <f>G3227</f>
        <v>0</v>
      </c>
      <c r="H3228" s="204" t="s">
        <v>1524</v>
      </c>
      <c r="I3228" s="265">
        <f>D3228*G3228</f>
        <v>0</v>
      </c>
      <c r="J3228" s="204" t="s">
        <v>1525</v>
      </c>
      <c r="K3228" s="269"/>
      <c r="L3228" s="210" t="s">
        <v>979</v>
      </c>
      <c r="M3228" s="198">
        <f>ROUND(K3228*I3228/10000,6)</f>
        <v>0</v>
      </c>
      <c r="N3228" s="212">
        <f>'02 项目基础信息（输入）'!$C$84</f>
        <v>0</v>
      </c>
      <c r="O3228" s="203">
        <f t="shared" si="371"/>
        <v>0</v>
      </c>
      <c r="P3228" s="203">
        <f t="shared" si="373"/>
        <v>0</v>
      </c>
      <c r="Q3228" s="271">
        <f t="shared" si="372"/>
        <v>0</v>
      </c>
      <c r="R3228" s="188"/>
      <c r="S3228" s="280"/>
      <c r="T3228" s="222"/>
      <c r="U3228" s="232" t="s">
        <v>5464</v>
      </c>
    </row>
    <row r="3229" spans="1:21" s="181" customFormat="1" ht="0" hidden="1" customHeight="1" outlineLevel="4">
      <c r="A3229" s="253" t="s">
        <v>4189</v>
      </c>
      <c r="B3229" s="254"/>
      <c r="C3229" s="250" t="s">
        <v>1609</v>
      </c>
      <c r="D3229" s="203">
        <f>'02 项目基础信息（输入）'!$C$84</f>
        <v>0</v>
      </c>
      <c r="E3229" s="204" t="s">
        <v>93</v>
      </c>
      <c r="F3229" s="256"/>
      <c r="G3229" s="255"/>
      <c r="H3229" s="255"/>
      <c r="I3229" s="268"/>
      <c r="J3229" s="255"/>
      <c r="K3229" s="264"/>
      <c r="L3229" s="205"/>
      <c r="M3229" s="198">
        <f>ROUND(SUM(M3230:M3232),6)</f>
        <v>0</v>
      </c>
      <c r="N3229" s="212">
        <f>'02 项目基础信息（输入）'!$C$84</f>
        <v>0</v>
      </c>
      <c r="O3229" s="203">
        <f t="shared" si="371"/>
        <v>0</v>
      </c>
      <c r="P3229" s="203">
        <f t="shared" si="373"/>
        <v>0</v>
      </c>
      <c r="Q3229" s="271">
        <f t="shared" si="372"/>
        <v>0</v>
      </c>
      <c r="R3229" s="188"/>
      <c r="S3229" s="280"/>
      <c r="T3229" s="222"/>
      <c r="U3229" s="232" t="s">
        <v>5465</v>
      </c>
    </row>
    <row r="3230" spans="1:21" s="181" customFormat="1" ht="0" hidden="1" customHeight="1" outlineLevel="5">
      <c r="A3230" s="253" t="s">
        <v>4191</v>
      </c>
      <c r="B3230" s="254"/>
      <c r="C3230" s="250" t="s">
        <v>1609</v>
      </c>
      <c r="D3230" s="203">
        <f>'02 项目基础信息（输入）'!$C$84</f>
        <v>0</v>
      </c>
      <c r="E3230" s="204" t="s">
        <v>93</v>
      </c>
      <c r="F3230" s="250" t="s">
        <v>1637</v>
      </c>
      <c r="G3230" s="257"/>
      <c r="H3230" s="204" t="s">
        <v>1524</v>
      </c>
      <c r="I3230" s="265">
        <f>D3230*G3230</f>
        <v>0</v>
      </c>
      <c r="J3230" s="204" t="s">
        <v>1525</v>
      </c>
      <c r="K3230" s="269"/>
      <c r="L3230" s="210" t="s">
        <v>979</v>
      </c>
      <c r="M3230" s="198">
        <f>ROUND(K3230*I3230/10000,6)</f>
        <v>0</v>
      </c>
      <c r="N3230" s="212">
        <f>'02 项目基础信息（输入）'!$C$84</f>
        <v>0</v>
      </c>
      <c r="O3230" s="203">
        <f t="shared" si="371"/>
        <v>0</v>
      </c>
      <c r="P3230" s="203">
        <f t="shared" si="373"/>
        <v>0</v>
      </c>
      <c r="Q3230" s="271">
        <f t="shared" si="372"/>
        <v>0</v>
      </c>
      <c r="R3230" s="188"/>
      <c r="S3230" s="280"/>
      <c r="T3230" s="222"/>
      <c r="U3230" s="232" t="s">
        <v>5466</v>
      </c>
    </row>
    <row r="3231" spans="1:21" s="181" customFormat="1" ht="0" hidden="1" customHeight="1" outlineLevel="5">
      <c r="A3231" s="253" t="s">
        <v>4420</v>
      </c>
      <c r="B3231" s="254"/>
      <c r="C3231" s="250" t="s">
        <v>4397</v>
      </c>
      <c r="D3231" s="203">
        <f>$D$3216</f>
        <v>0</v>
      </c>
      <c r="E3231" s="204" t="s">
        <v>93</v>
      </c>
      <c r="F3231" s="250" t="s">
        <v>1637</v>
      </c>
      <c r="G3231" s="257"/>
      <c r="H3231" s="204" t="s">
        <v>1524</v>
      </c>
      <c r="I3231" s="265">
        <f>D3231*G3231</f>
        <v>0</v>
      </c>
      <c r="J3231" s="204" t="s">
        <v>1525</v>
      </c>
      <c r="K3231" s="269"/>
      <c r="L3231" s="210" t="s">
        <v>979</v>
      </c>
      <c r="M3231" s="198">
        <f>ROUND(K3231*I3231/10000,6)</f>
        <v>0</v>
      </c>
      <c r="N3231" s="212">
        <f>'02 项目基础信息（输入）'!$C$84</f>
        <v>0</v>
      </c>
      <c r="O3231" s="203">
        <f t="shared" si="371"/>
        <v>0</v>
      </c>
      <c r="P3231" s="203">
        <f t="shared" si="373"/>
        <v>0</v>
      </c>
      <c r="Q3231" s="271">
        <f t="shared" si="372"/>
        <v>0</v>
      </c>
      <c r="R3231" s="188"/>
      <c r="S3231" s="280"/>
      <c r="T3231" s="222"/>
      <c r="U3231" s="232" t="s">
        <v>5467</v>
      </c>
    </row>
    <row r="3232" spans="1:21" s="181" customFormat="1" ht="0" hidden="1" customHeight="1" outlineLevel="5">
      <c r="A3232" s="253" t="s">
        <v>4422</v>
      </c>
      <c r="B3232" s="254"/>
      <c r="C3232" s="250" t="s">
        <v>1609</v>
      </c>
      <c r="D3232" s="203">
        <f>'02 项目基础信息（输入）'!$C$84</f>
        <v>0</v>
      </c>
      <c r="E3232" s="204" t="s">
        <v>93</v>
      </c>
      <c r="F3232" s="250" t="s">
        <v>1637</v>
      </c>
      <c r="G3232" s="257"/>
      <c r="H3232" s="204" t="s">
        <v>1524</v>
      </c>
      <c r="I3232" s="265">
        <f>D3232*G3232</f>
        <v>0</v>
      </c>
      <c r="J3232" s="204" t="s">
        <v>1525</v>
      </c>
      <c r="K3232" s="269"/>
      <c r="L3232" s="210" t="s">
        <v>979</v>
      </c>
      <c r="M3232" s="198">
        <f>ROUND(K3232*I3232/10000,6)</f>
        <v>0</v>
      </c>
      <c r="N3232" s="212">
        <f>'02 项目基础信息（输入）'!$C$84</f>
        <v>0</v>
      </c>
      <c r="O3232" s="203">
        <f t="shared" si="371"/>
        <v>0</v>
      </c>
      <c r="P3232" s="203">
        <f t="shared" si="373"/>
        <v>0</v>
      </c>
      <c r="Q3232" s="271">
        <f t="shared" si="372"/>
        <v>0</v>
      </c>
      <c r="R3232" s="188"/>
      <c r="S3232" s="280"/>
      <c r="T3232" s="222"/>
      <c r="U3232" s="232" t="s">
        <v>5468</v>
      </c>
    </row>
    <row r="3233" spans="1:21" s="181" customFormat="1" ht="0" hidden="1" customHeight="1" outlineLevel="4">
      <c r="A3233" s="253" t="s">
        <v>4193</v>
      </c>
      <c r="B3233" s="254"/>
      <c r="C3233" s="250" t="s">
        <v>1609</v>
      </c>
      <c r="D3233" s="203">
        <f>'02 项目基础信息（输入）'!$C$84</f>
        <v>0</v>
      </c>
      <c r="E3233" s="204" t="s">
        <v>93</v>
      </c>
      <c r="F3233" s="250" t="s">
        <v>1609</v>
      </c>
      <c r="G3233" s="255">
        <v>1</v>
      </c>
      <c r="H3233" s="204" t="s">
        <v>298</v>
      </c>
      <c r="I3233" s="265">
        <f>D3233*G3233</f>
        <v>0</v>
      </c>
      <c r="J3233" s="204" t="s">
        <v>93</v>
      </c>
      <c r="K3233" s="269"/>
      <c r="L3233" s="210" t="s">
        <v>675</v>
      </c>
      <c r="M3233" s="198">
        <f>ROUND(K3233*I3233/10000,6)</f>
        <v>0</v>
      </c>
      <c r="N3233" s="212">
        <f>'02 项目基础信息（输入）'!$C$84</f>
        <v>0</v>
      </c>
      <c r="O3233" s="203">
        <f t="shared" si="371"/>
        <v>0</v>
      </c>
      <c r="P3233" s="203">
        <f t="shared" si="373"/>
        <v>0</v>
      </c>
      <c r="Q3233" s="271">
        <f t="shared" si="372"/>
        <v>0</v>
      </c>
      <c r="R3233" s="188"/>
      <c r="S3233" s="280"/>
      <c r="T3233" s="222"/>
      <c r="U3233" s="232" t="s">
        <v>5469</v>
      </c>
    </row>
    <row r="3234" spans="1:21" s="181" customFormat="1" ht="0" hidden="1" customHeight="1" outlineLevel="4">
      <c r="A3234" s="253" t="s">
        <v>4195</v>
      </c>
      <c r="B3234" s="254"/>
      <c r="C3234" s="250" t="s">
        <v>1609</v>
      </c>
      <c r="D3234" s="203">
        <f>'02 项目基础信息（输入）'!$C$84</f>
        <v>0</v>
      </c>
      <c r="E3234" s="204" t="s">
        <v>93</v>
      </c>
      <c r="F3234" s="250" t="s">
        <v>1609</v>
      </c>
      <c r="G3234" s="255">
        <v>1</v>
      </c>
      <c r="H3234" s="204" t="s">
        <v>298</v>
      </c>
      <c r="I3234" s="265">
        <f>D3234*G3234</f>
        <v>0</v>
      </c>
      <c r="J3234" s="204" t="s">
        <v>93</v>
      </c>
      <c r="K3234" s="269"/>
      <c r="L3234" s="210" t="s">
        <v>675</v>
      </c>
      <c r="M3234" s="198">
        <f>ROUND(K3234*I3234/10000,6)</f>
        <v>0</v>
      </c>
      <c r="N3234" s="212">
        <f>'02 项目基础信息（输入）'!$C$84</f>
        <v>0</v>
      </c>
      <c r="O3234" s="203">
        <f t="shared" si="371"/>
        <v>0</v>
      </c>
      <c r="P3234" s="203">
        <f t="shared" si="373"/>
        <v>0</v>
      </c>
      <c r="Q3234" s="271">
        <f t="shared" si="372"/>
        <v>0</v>
      </c>
      <c r="R3234" s="188"/>
      <c r="S3234" s="280"/>
      <c r="T3234" s="222"/>
      <c r="U3234" s="232" t="s">
        <v>5470</v>
      </c>
    </row>
    <row r="3235" spans="1:21" s="181" customFormat="1" ht="0" hidden="1" customHeight="1" outlineLevel="4">
      <c r="A3235" s="253" t="s">
        <v>4197</v>
      </c>
      <c r="B3235" s="254"/>
      <c r="C3235" s="250" t="s">
        <v>1665</v>
      </c>
      <c r="D3235" s="203">
        <f>ROUND(M3214+M3218+M3223+M3229+M3233+M3234,6)*10000</f>
        <v>0</v>
      </c>
      <c r="E3235" s="204" t="s">
        <v>1666</v>
      </c>
      <c r="F3235" s="202" t="s">
        <v>1667</v>
      </c>
      <c r="G3235" s="258">
        <f>IFERROR(I3235*100/D3235,0)</f>
        <v>0</v>
      </c>
      <c r="H3235" s="204" t="s">
        <v>123</v>
      </c>
      <c r="I3235" s="265">
        <f>N3235*K3235</f>
        <v>0</v>
      </c>
      <c r="J3235" s="204" t="s">
        <v>1666</v>
      </c>
      <c r="K3235" s="269"/>
      <c r="L3235" s="210" t="s">
        <v>675</v>
      </c>
      <c r="M3235" s="231">
        <f>ROUND(I3235/10000,6)</f>
        <v>0</v>
      </c>
      <c r="N3235" s="212">
        <f>'02 项目基础信息（输入）'!$C$84</f>
        <v>0</v>
      </c>
      <c r="O3235" s="203">
        <f t="shared" si="371"/>
        <v>0</v>
      </c>
      <c r="P3235" s="203">
        <f t="shared" si="373"/>
        <v>0</v>
      </c>
      <c r="Q3235" s="271">
        <f t="shared" si="372"/>
        <v>0</v>
      </c>
      <c r="R3235" s="188"/>
      <c r="S3235" s="280"/>
      <c r="T3235" s="222"/>
      <c r="U3235" s="232" t="s">
        <v>5471</v>
      </c>
    </row>
    <row r="3236" spans="1:21" s="181" customFormat="1" ht="0" hidden="1" customHeight="1" outlineLevel="3">
      <c r="A3236" s="253" t="s">
        <v>4211</v>
      </c>
      <c r="B3236" s="254"/>
      <c r="C3236" s="250" t="s">
        <v>1609</v>
      </c>
      <c r="D3236" s="203">
        <f>'02 项目基础信息（输入）'!$C$84</f>
        <v>0</v>
      </c>
      <c r="E3236" s="204" t="s">
        <v>93</v>
      </c>
      <c r="F3236" s="202"/>
      <c r="G3236" s="255"/>
      <c r="H3236" s="204"/>
      <c r="I3236" s="265"/>
      <c r="J3236" s="204"/>
      <c r="K3236" s="202"/>
      <c r="L3236" s="210"/>
      <c r="M3236" s="198">
        <f>ROUND(M3237+M3240+M3243+M3246+M3249+M3252+M3255,6)</f>
        <v>0</v>
      </c>
      <c r="N3236" s="212">
        <f>'02 项目基础信息（输入）'!$C$84</f>
        <v>0</v>
      </c>
      <c r="O3236" s="203">
        <f t="shared" si="371"/>
        <v>0</v>
      </c>
      <c r="P3236" s="203">
        <f t="shared" si="373"/>
        <v>0</v>
      </c>
      <c r="Q3236" s="271">
        <f t="shared" si="372"/>
        <v>0</v>
      </c>
      <c r="R3236" s="188"/>
      <c r="S3236" s="280"/>
      <c r="T3236" s="222"/>
      <c r="U3236" s="232" t="s">
        <v>5472</v>
      </c>
    </row>
    <row r="3237" spans="1:21" s="181" customFormat="1" ht="0" hidden="1" customHeight="1" outlineLevel="4">
      <c r="A3237" s="253" t="s">
        <v>4213</v>
      </c>
      <c r="B3237" s="254"/>
      <c r="C3237" s="250" t="s">
        <v>1609</v>
      </c>
      <c r="D3237" s="203">
        <f>'02 项目基础信息（输入）'!$C$84</f>
        <v>0</v>
      </c>
      <c r="E3237" s="204" t="s">
        <v>93</v>
      </c>
      <c r="F3237" s="202"/>
      <c r="G3237" s="261"/>
      <c r="H3237" s="255"/>
      <c r="I3237" s="264"/>
      <c r="J3237" s="255"/>
      <c r="K3237" s="264"/>
      <c r="L3237" s="205"/>
      <c r="M3237" s="198">
        <f>ROUND(SUM(M3238:M3239),6)</f>
        <v>0</v>
      </c>
      <c r="N3237" s="212">
        <f>'02 项目基础信息（输入）'!$C$84</f>
        <v>0</v>
      </c>
      <c r="O3237" s="203">
        <f t="shared" si="371"/>
        <v>0</v>
      </c>
      <c r="P3237" s="203">
        <f t="shared" si="373"/>
        <v>0</v>
      </c>
      <c r="Q3237" s="271">
        <f t="shared" si="372"/>
        <v>0</v>
      </c>
      <c r="R3237" s="188"/>
      <c r="S3237" s="280"/>
      <c r="T3237" s="222"/>
      <c r="U3237" s="232" t="s">
        <v>5473</v>
      </c>
    </row>
    <row r="3238" spans="1:21" s="181" customFormat="1" ht="0" hidden="1" customHeight="1" outlineLevel="5">
      <c r="A3238" s="253" t="s">
        <v>4429</v>
      </c>
      <c r="B3238" s="254"/>
      <c r="C3238" s="250" t="s">
        <v>4394</v>
      </c>
      <c r="D3238" s="203">
        <f>$D$3215</f>
        <v>0</v>
      </c>
      <c r="E3238" s="204" t="s">
        <v>93</v>
      </c>
      <c r="F3238" s="202" t="s">
        <v>1682</v>
      </c>
      <c r="G3238" s="261">
        <f>IFERROR(I3238/D3238,0)</f>
        <v>0</v>
      </c>
      <c r="H3238" s="204" t="s">
        <v>298</v>
      </c>
      <c r="I3238" s="270"/>
      <c r="J3238" s="204" t="s">
        <v>93</v>
      </c>
      <c r="K3238" s="269"/>
      <c r="L3238" s="210" t="s">
        <v>675</v>
      </c>
      <c r="M3238" s="198">
        <f>ROUND(K3238*I3238/10000,6)</f>
        <v>0</v>
      </c>
      <c r="N3238" s="212">
        <f>'02 项目基础信息（输入）'!$C$84</f>
        <v>0</v>
      </c>
      <c r="O3238" s="203">
        <f t="shared" si="371"/>
        <v>0</v>
      </c>
      <c r="P3238" s="203">
        <f t="shared" si="373"/>
        <v>0</v>
      </c>
      <c r="Q3238" s="271">
        <f t="shared" si="372"/>
        <v>0</v>
      </c>
      <c r="R3238" s="188"/>
      <c r="S3238" s="280"/>
      <c r="T3238" s="222"/>
      <c r="U3238" s="232" t="s">
        <v>5474</v>
      </c>
    </row>
    <row r="3239" spans="1:21" s="181" customFormat="1" ht="0" hidden="1" customHeight="1" outlineLevel="5">
      <c r="A3239" s="253" t="s">
        <v>4431</v>
      </c>
      <c r="B3239" s="254"/>
      <c r="C3239" s="250" t="s">
        <v>4394</v>
      </c>
      <c r="D3239" s="203">
        <f>$D$3215</f>
        <v>0</v>
      </c>
      <c r="E3239" s="204" t="s">
        <v>93</v>
      </c>
      <c r="F3239" s="202" t="s">
        <v>1682</v>
      </c>
      <c r="G3239" s="261">
        <f>IFERROR(I3239/D3239,0)</f>
        <v>0</v>
      </c>
      <c r="H3239" s="204" t="s">
        <v>298</v>
      </c>
      <c r="I3239" s="268">
        <f>I3238</f>
        <v>0</v>
      </c>
      <c r="J3239" s="204" t="s">
        <v>93</v>
      </c>
      <c r="K3239" s="269"/>
      <c r="L3239" s="210" t="s">
        <v>675</v>
      </c>
      <c r="M3239" s="198">
        <f>ROUND(K3239*I3239/10000,6)</f>
        <v>0</v>
      </c>
      <c r="N3239" s="212">
        <f>'02 项目基础信息（输入）'!$C$84</f>
        <v>0</v>
      </c>
      <c r="O3239" s="203">
        <f t="shared" si="371"/>
        <v>0</v>
      </c>
      <c r="P3239" s="203">
        <f t="shared" si="373"/>
        <v>0</v>
      </c>
      <c r="Q3239" s="271">
        <f t="shared" si="372"/>
        <v>0</v>
      </c>
      <c r="R3239" s="188"/>
      <c r="S3239" s="280"/>
      <c r="T3239" s="222"/>
      <c r="U3239" s="232" t="s">
        <v>5475</v>
      </c>
    </row>
    <row r="3240" spans="1:21" s="181" customFormat="1" ht="0" hidden="1" customHeight="1" outlineLevel="4">
      <c r="A3240" s="253" t="s">
        <v>4219</v>
      </c>
      <c r="B3240" s="254"/>
      <c r="C3240" s="250" t="s">
        <v>1609</v>
      </c>
      <c r="D3240" s="203">
        <f>'02 项目基础信息（输入）'!$C$84</f>
        <v>0</v>
      </c>
      <c r="E3240" s="204" t="s">
        <v>93</v>
      </c>
      <c r="F3240" s="202"/>
      <c r="G3240" s="261"/>
      <c r="H3240" s="255"/>
      <c r="I3240" s="264"/>
      <c r="J3240" s="255"/>
      <c r="K3240" s="264"/>
      <c r="L3240" s="205"/>
      <c r="M3240" s="198">
        <f>ROUND(SUM(M3241:M3242),6)</f>
        <v>0</v>
      </c>
      <c r="N3240" s="212">
        <f>'02 项目基础信息（输入）'!$C$84</f>
        <v>0</v>
      </c>
      <c r="O3240" s="203">
        <f t="shared" si="371"/>
        <v>0</v>
      </c>
      <c r="P3240" s="203">
        <f t="shared" si="373"/>
        <v>0</v>
      </c>
      <c r="Q3240" s="271">
        <f t="shared" si="372"/>
        <v>0</v>
      </c>
      <c r="R3240" s="188"/>
      <c r="S3240" s="280"/>
      <c r="T3240" s="222"/>
      <c r="U3240" s="232" t="s">
        <v>5476</v>
      </c>
    </row>
    <row r="3241" spans="1:21" s="181" customFormat="1" ht="0" hidden="1" customHeight="1" outlineLevel="5">
      <c r="A3241" s="253" t="s">
        <v>4434</v>
      </c>
      <c r="B3241" s="254"/>
      <c r="C3241" s="250" t="s">
        <v>4394</v>
      </c>
      <c r="D3241" s="203">
        <f>$D$3215</f>
        <v>0</v>
      </c>
      <c r="E3241" s="204" t="s">
        <v>93</v>
      </c>
      <c r="F3241" s="202" t="s">
        <v>1682</v>
      </c>
      <c r="G3241" s="261">
        <f>IFERROR(I3241/D3241,0)</f>
        <v>0</v>
      </c>
      <c r="H3241" s="204" t="s">
        <v>298</v>
      </c>
      <c r="I3241" s="270"/>
      <c r="J3241" s="204" t="s">
        <v>93</v>
      </c>
      <c r="K3241" s="269"/>
      <c r="L3241" s="210" t="s">
        <v>675</v>
      </c>
      <c r="M3241" s="198">
        <f>ROUND(K3241*I3241/10000,6)</f>
        <v>0</v>
      </c>
      <c r="N3241" s="212">
        <f>'02 项目基础信息（输入）'!$C$84</f>
        <v>0</v>
      </c>
      <c r="O3241" s="203">
        <f t="shared" si="371"/>
        <v>0</v>
      </c>
      <c r="P3241" s="203">
        <f t="shared" si="373"/>
        <v>0</v>
      </c>
      <c r="Q3241" s="271">
        <f t="shared" si="372"/>
        <v>0</v>
      </c>
      <c r="R3241" s="188"/>
      <c r="S3241" s="280"/>
      <c r="T3241" s="222"/>
      <c r="U3241" s="232" t="s">
        <v>5477</v>
      </c>
    </row>
    <row r="3242" spans="1:21" s="181" customFormat="1" ht="0" hidden="1" customHeight="1" outlineLevel="5">
      <c r="A3242" s="253" t="s">
        <v>4436</v>
      </c>
      <c r="B3242" s="254"/>
      <c r="C3242" s="250" t="s">
        <v>4394</v>
      </c>
      <c r="D3242" s="203">
        <f>$D$3215</f>
        <v>0</v>
      </c>
      <c r="E3242" s="204" t="s">
        <v>93</v>
      </c>
      <c r="F3242" s="202" t="s">
        <v>1682</v>
      </c>
      <c r="G3242" s="261">
        <f>IFERROR(I3242/D3242,0)</f>
        <v>0</v>
      </c>
      <c r="H3242" s="204" t="s">
        <v>298</v>
      </c>
      <c r="I3242" s="268">
        <f>I3241</f>
        <v>0</v>
      </c>
      <c r="J3242" s="204" t="s">
        <v>93</v>
      </c>
      <c r="K3242" s="269"/>
      <c r="L3242" s="210" t="s">
        <v>675</v>
      </c>
      <c r="M3242" s="198">
        <f>ROUND(K3242*I3242/10000,6)</f>
        <v>0</v>
      </c>
      <c r="N3242" s="212">
        <f>'02 项目基础信息（输入）'!$C$84</f>
        <v>0</v>
      </c>
      <c r="O3242" s="203">
        <f t="shared" si="371"/>
        <v>0</v>
      </c>
      <c r="P3242" s="203">
        <f t="shared" si="373"/>
        <v>0</v>
      </c>
      <c r="Q3242" s="271">
        <f t="shared" si="372"/>
        <v>0</v>
      </c>
      <c r="R3242" s="188"/>
      <c r="S3242" s="280"/>
      <c r="T3242" s="222"/>
      <c r="U3242" s="232" t="s">
        <v>5478</v>
      </c>
    </row>
    <row r="3243" spans="1:21" s="181" customFormat="1" ht="0" hidden="1" customHeight="1" outlineLevel="4">
      <c r="A3243" s="253" t="s">
        <v>4438</v>
      </c>
      <c r="B3243" s="254"/>
      <c r="C3243" s="250" t="s">
        <v>1609</v>
      </c>
      <c r="D3243" s="203">
        <f>'02 项目基础信息（输入）'!$C$84</f>
        <v>0</v>
      </c>
      <c r="E3243" s="204" t="s">
        <v>93</v>
      </c>
      <c r="F3243" s="202"/>
      <c r="G3243" s="261"/>
      <c r="H3243" s="255"/>
      <c r="I3243" s="264"/>
      <c r="J3243" s="255"/>
      <c r="K3243" s="264"/>
      <c r="L3243" s="205"/>
      <c r="M3243" s="198">
        <f>ROUND(SUM(M3244:M3245),6)</f>
        <v>0</v>
      </c>
      <c r="N3243" s="212">
        <f>'02 项目基础信息（输入）'!$C$84</f>
        <v>0</v>
      </c>
      <c r="O3243" s="203">
        <f t="shared" si="371"/>
        <v>0</v>
      </c>
      <c r="P3243" s="203">
        <f t="shared" si="373"/>
        <v>0</v>
      </c>
      <c r="Q3243" s="271">
        <f t="shared" si="372"/>
        <v>0</v>
      </c>
      <c r="R3243" s="188"/>
      <c r="S3243" s="280"/>
      <c r="T3243" s="222"/>
      <c r="U3243" s="232" t="s">
        <v>5479</v>
      </c>
    </row>
    <row r="3244" spans="1:21" s="181" customFormat="1" ht="0" hidden="1" customHeight="1" outlineLevel="5">
      <c r="A3244" s="253" t="s">
        <v>4440</v>
      </c>
      <c r="B3244" s="254"/>
      <c r="C3244" s="250" t="s">
        <v>4397</v>
      </c>
      <c r="D3244" s="203">
        <f>$D$3216</f>
        <v>0</v>
      </c>
      <c r="E3244" s="204" t="s">
        <v>93</v>
      </c>
      <c r="F3244" s="202" t="s">
        <v>1682</v>
      </c>
      <c r="G3244" s="261">
        <f>IFERROR(I3244/D3244,0)</f>
        <v>0</v>
      </c>
      <c r="H3244" s="204" t="s">
        <v>298</v>
      </c>
      <c r="I3244" s="270"/>
      <c r="J3244" s="204" t="s">
        <v>93</v>
      </c>
      <c r="K3244" s="269"/>
      <c r="L3244" s="210" t="s">
        <v>675</v>
      </c>
      <c r="M3244" s="198">
        <f>ROUND(K3244*I3244/10000,6)</f>
        <v>0</v>
      </c>
      <c r="N3244" s="212">
        <f>'02 项目基础信息（输入）'!$C$84</f>
        <v>0</v>
      </c>
      <c r="O3244" s="203">
        <f t="shared" si="371"/>
        <v>0</v>
      </c>
      <c r="P3244" s="203">
        <f t="shared" si="373"/>
        <v>0</v>
      </c>
      <c r="Q3244" s="271">
        <f t="shared" si="372"/>
        <v>0</v>
      </c>
      <c r="R3244" s="188"/>
      <c r="S3244" s="280"/>
      <c r="T3244" s="222"/>
      <c r="U3244" s="232" t="s">
        <v>5480</v>
      </c>
    </row>
    <row r="3245" spans="1:21" s="181" customFormat="1" ht="0" hidden="1" customHeight="1" outlineLevel="5">
      <c r="A3245" s="253" t="s">
        <v>4442</v>
      </c>
      <c r="B3245" s="254"/>
      <c r="C3245" s="250" t="s">
        <v>4397</v>
      </c>
      <c r="D3245" s="203">
        <f>$D$3216</f>
        <v>0</v>
      </c>
      <c r="E3245" s="204" t="s">
        <v>93</v>
      </c>
      <c r="F3245" s="202" t="s">
        <v>1682</v>
      </c>
      <c r="G3245" s="261">
        <f>IFERROR(I3245/D3245,0)</f>
        <v>0</v>
      </c>
      <c r="H3245" s="204" t="s">
        <v>298</v>
      </c>
      <c r="I3245" s="268">
        <f>I3244</f>
        <v>0</v>
      </c>
      <c r="J3245" s="204" t="s">
        <v>93</v>
      </c>
      <c r="K3245" s="269"/>
      <c r="L3245" s="210" t="s">
        <v>675</v>
      </c>
      <c r="M3245" s="198">
        <f>ROUND(K3245*I3245/10000,6)</f>
        <v>0</v>
      </c>
      <c r="N3245" s="212">
        <f>'02 项目基础信息（输入）'!$C$84</f>
        <v>0</v>
      </c>
      <c r="O3245" s="203">
        <f t="shared" si="371"/>
        <v>0</v>
      </c>
      <c r="P3245" s="203">
        <f t="shared" si="373"/>
        <v>0</v>
      </c>
      <c r="Q3245" s="271">
        <f t="shared" si="372"/>
        <v>0</v>
      </c>
      <c r="R3245" s="188"/>
      <c r="S3245" s="280"/>
      <c r="T3245" s="222"/>
      <c r="U3245" s="232" t="s">
        <v>5481</v>
      </c>
    </row>
    <row r="3246" spans="1:21" s="181" customFormat="1" ht="0" hidden="1" customHeight="1" outlineLevel="4">
      <c r="A3246" s="253" t="s">
        <v>4444</v>
      </c>
      <c r="B3246" s="254"/>
      <c r="C3246" s="250" t="s">
        <v>1609</v>
      </c>
      <c r="D3246" s="203">
        <f>'02 项目基础信息（输入）'!$C$84</f>
        <v>0</v>
      </c>
      <c r="E3246" s="204" t="s">
        <v>93</v>
      </c>
      <c r="F3246" s="202"/>
      <c r="G3246" s="261"/>
      <c r="H3246" s="255"/>
      <c r="I3246" s="264"/>
      <c r="J3246" s="255"/>
      <c r="K3246" s="264"/>
      <c r="L3246" s="205"/>
      <c r="M3246" s="198">
        <f>ROUND(SUM(M3247:M3248),6)</f>
        <v>0</v>
      </c>
      <c r="N3246" s="212">
        <f>'02 项目基础信息（输入）'!$C$84</f>
        <v>0</v>
      </c>
      <c r="O3246" s="203">
        <f t="shared" si="371"/>
        <v>0</v>
      </c>
      <c r="P3246" s="203">
        <f t="shared" si="373"/>
        <v>0</v>
      </c>
      <c r="Q3246" s="271">
        <f t="shared" si="372"/>
        <v>0</v>
      </c>
      <c r="R3246" s="188"/>
      <c r="S3246" s="280"/>
      <c r="T3246" s="222"/>
      <c r="U3246" s="232" t="s">
        <v>5482</v>
      </c>
    </row>
    <row r="3247" spans="1:21" s="181" customFormat="1" ht="0" hidden="1" customHeight="1" outlineLevel="5">
      <c r="A3247" s="253" t="s">
        <v>4446</v>
      </c>
      <c r="B3247" s="254"/>
      <c r="C3247" s="250" t="s">
        <v>1609</v>
      </c>
      <c r="D3247" s="203">
        <f>'02 项目基础信息（输入）'!$C$84</f>
        <v>0</v>
      </c>
      <c r="E3247" s="204" t="s">
        <v>93</v>
      </c>
      <c r="F3247" s="202" t="s">
        <v>1682</v>
      </c>
      <c r="G3247" s="261">
        <f>IFERROR(I3247/D3247,0)</f>
        <v>0</v>
      </c>
      <c r="H3247" s="204" t="s">
        <v>298</v>
      </c>
      <c r="I3247" s="285"/>
      <c r="J3247" s="204" t="s">
        <v>93</v>
      </c>
      <c r="K3247" s="269"/>
      <c r="L3247" s="210" t="s">
        <v>675</v>
      </c>
      <c r="M3247" s="198">
        <f>ROUND(K3247*I3247/10000,6)</f>
        <v>0</v>
      </c>
      <c r="N3247" s="212">
        <f>'02 项目基础信息（输入）'!$C$84</f>
        <v>0</v>
      </c>
      <c r="O3247" s="203">
        <f t="shared" si="371"/>
        <v>0</v>
      </c>
      <c r="P3247" s="203">
        <f t="shared" si="373"/>
        <v>0</v>
      </c>
      <c r="Q3247" s="271">
        <f t="shared" si="372"/>
        <v>0</v>
      </c>
      <c r="R3247" s="188"/>
      <c r="S3247" s="280"/>
      <c r="T3247" s="222"/>
      <c r="U3247" s="232" t="s">
        <v>5483</v>
      </c>
    </row>
    <row r="3248" spans="1:21" s="181" customFormat="1" ht="0" hidden="1" customHeight="1" outlineLevel="5">
      <c r="A3248" s="253" t="s">
        <v>4448</v>
      </c>
      <c r="B3248" s="254"/>
      <c r="C3248" s="250" t="s">
        <v>1609</v>
      </c>
      <c r="D3248" s="203">
        <f>'02 项目基础信息（输入）'!$C$84</f>
        <v>0</v>
      </c>
      <c r="E3248" s="204" t="s">
        <v>93</v>
      </c>
      <c r="F3248" s="202" t="s">
        <v>1682</v>
      </c>
      <c r="G3248" s="261">
        <f>IFERROR(I3248/D3248,0)</f>
        <v>0</v>
      </c>
      <c r="H3248" s="204" t="s">
        <v>298</v>
      </c>
      <c r="I3248" s="268">
        <f>I3247</f>
        <v>0</v>
      </c>
      <c r="J3248" s="204" t="s">
        <v>93</v>
      </c>
      <c r="K3248" s="269"/>
      <c r="L3248" s="210" t="s">
        <v>675</v>
      </c>
      <c r="M3248" s="198">
        <f>ROUND(K3248*I3248/10000,6)</f>
        <v>0</v>
      </c>
      <c r="N3248" s="212">
        <f>'02 项目基础信息（输入）'!$C$84</f>
        <v>0</v>
      </c>
      <c r="O3248" s="203">
        <f t="shared" si="371"/>
        <v>0</v>
      </c>
      <c r="P3248" s="203">
        <f t="shared" si="373"/>
        <v>0</v>
      </c>
      <c r="Q3248" s="271">
        <f t="shared" si="372"/>
        <v>0</v>
      </c>
      <c r="R3248" s="188"/>
      <c r="S3248" s="280"/>
      <c r="T3248" s="222"/>
      <c r="U3248" s="232" t="s">
        <v>5484</v>
      </c>
    </row>
    <row r="3249" spans="1:21" s="181" customFormat="1" ht="0" hidden="1" customHeight="1" outlineLevel="4">
      <c r="A3249" s="253" t="s">
        <v>4450</v>
      </c>
      <c r="B3249" s="254"/>
      <c r="C3249" s="250" t="s">
        <v>1609</v>
      </c>
      <c r="D3249" s="203">
        <f>'02 项目基础信息（输入）'!$C$84</f>
        <v>0</v>
      </c>
      <c r="E3249" s="204" t="s">
        <v>93</v>
      </c>
      <c r="F3249" s="202"/>
      <c r="G3249" s="261"/>
      <c r="H3249" s="255"/>
      <c r="I3249" s="268"/>
      <c r="J3249" s="255"/>
      <c r="K3249" s="264"/>
      <c r="L3249" s="205"/>
      <c r="M3249" s="198">
        <f>ROUND(SUM(M3250:M3251),6)</f>
        <v>0</v>
      </c>
      <c r="N3249" s="212">
        <f>'02 项目基础信息（输入）'!$C$84</f>
        <v>0</v>
      </c>
      <c r="O3249" s="203">
        <f t="shared" si="371"/>
        <v>0</v>
      </c>
      <c r="P3249" s="203">
        <f t="shared" si="373"/>
        <v>0</v>
      </c>
      <c r="Q3249" s="271">
        <f t="shared" si="372"/>
        <v>0</v>
      </c>
      <c r="R3249" s="188"/>
      <c r="S3249" s="280"/>
      <c r="T3249" s="222"/>
      <c r="U3249" s="232" t="s">
        <v>5485</v>
      </c>
    </row>
    <row r="3250" spans="1:21" s="181" customFormat="1" ht="0" hidden="1" customHeight="1" outlineLevel="5">
      <c r="A3250" s="253" t="s">
        <v>4452</v>
      </c>
      <c r="B3250" s="254"/>
      <c r="C3250" s="250" t="s">
        <v>1609</v>
      </c>
      <c r="D3250" s="203">
        <f>'02 项目基础信息（输入）'!$C$84</f>
        <v>0</v>
      </c>
      <c r="E3250" s="204" t="s">
        <v>93</v>
      </c>
      <c r="F3250" s="202" t="s">
        <v>1682</v>
      </c>
      <c r="G3250" s="261">
        <f>IFERROR(I3250/D3250,0)</f>
        <v>0</v>
      </c>
      <c r="H3250" s="204" t="s">
        <v>298</v>
      </c>
      <c r="I3250" s="285"/>
      <c r="J3250" s="204" t="s">
        <v>93</v>
      </c>
      <c r="K3250" s="269"/>
      <c r="L3250" s="210" t="s">
        <v>675</v>
      </c>
      <c r="M3250" s="198">
        <f>ROUND(K3250*I3250/10000,6)</f>
        <v>0</v>
      </c>
      <c r="N3250" s="212">
        <f>'02 项目基础信息（输入）'!$C$84</f>
        <v>0</v>
      </c>
      <c r="O3250" s="203">
        <f t="shared" si="371"/>
        <v>0</v>
      </c>
      <c r="P3250" s="203">
        <f t="shared" si="373"/>
        <v>0</v>
      </c>
      <c r="Q3250" s="271">
        <f t="shared" si="372"/>
        <v>0</v>
      </c>
      <c r="R3250" s="188"/>
      <c r="S3250" s="280"/>
      <c r="T3250" s="222"/>
      <c r="U3250" s="232" t="s">
        <v>5486</v>
      </c>
    </row>
    <row r="3251" spans="1:21" s="181" customFormat="1" ht="0" hidden="1" customHeight="1" outlineLevel="5">
      <c r="A3251" s="253" t="s">
        <v>4454</v>
      </c>
      <c r="B3251" s="254"/>
      <c r="C3251" s="250" t="s">
        <v>1609</v>
      </c>
      <c r="D3251" s="203">
        <f>'02 项目基础信息（输入）'!$C$84</f>
        <v>0</v>
      </c>
      <c r="E3251" s="204" t="s">
        <v>93</v>
      </c>
      <c r="F3251" s="202" t="s">
        <v>1682</v>
      </c>
      <c r="G3251" s="261">
        <f>IFERROR(I3251/D3251,0)</f>
        <v>0</v>
      </c>
      <c r="H3251" s="204" t="s">
        <v>298</v>
      </c>
      <c r="I3251" s="268">
        <f>I3250</f>
        <v>0</v>
      </c>
      <c r="J3251" s="204" t="s">
        <v>93</v>
      </c>
      <c r="K3251" s="269"/>
      <c r="L3251" s="210" t="s">
        <v>675</v>
      </c>
      <c r="M3251" s="198">
        <f>ROUND(K3251*I3251/10000,6)</f>
        <v>0</v>
      </c>
      <c r="N3251" s="212">
        <f>'02 项目基础信息（输入）'!$C$84</f>
        <v>0</v>
      </c>
      <c r="O3251" s="203">
        <f t="shared" si="371"/>
        <v>0</v>
      </c>
      <c r="P3251" s="203">
        <f t="shared" si="373"/>
        <v>0</v>
      </c>
      <c r="Q3251" s="271">
        <f t="shared" si="372"/>
        <v>0</v>
      </c>
      <c r="R3251" s="188"/>
      <c r="S3251" s="280"/>
      <c r="T3251" s="222"/>
      <c r="U3251" s="232" t="s">
        <v>5487</v>
      </c>
    </row>
    <row r="3252" spans="1:21" s="181" customFormat="1" ht="0" hidden="1" customHeight="1" outlineLevel="4">
      <c r="A3252" s="253" t="s">
        <v>4456</v>
      </c>
      <c r="B3252" s="254"/>
      <c r="C3252" s="250" t="s">
        <v>1609</v>
      </c>
      <c r="D3252" s="203">
        <f>'02 项目基础信息（输入）'!$C$84</f>
        <v>0</v>
      </c>
      <c r="E3252" s="204" t="s">
        <v>93</v>
      </c>
      <c r="F3252" s="202"/>
      <c r="G3252" s="261"/>
      <c r="H3252" s="255"/>
      <c r="I3252" s="268"/>
      <c r="J3252" s="255"/>
      <c r="K3252" s="264"/>
      <c r="L3252" s="205"/>
      <c r="M3252" s="198">
        <f>ROUND(SUM(M3253:M3254),6)</f>
        <v>0</v>
      </c>
      <c r="N3252" s="212">
        <f>'02 项目基础信息（输入）'!$C$84</f>
        <v>0</v>
      </c>
      <c r="O3252" s="203">
        <f t="shared" si="371"/>
        <v>0</v>
      </c>
      <c r="P3252" s="203">
        <f t="shared" si="373"/>
        <v>0</v>
      </c>
      <c r="Q3252" s="271">
        <f t="shared" si="372"/>
        <v>0</v>
      </c>
      <c r="R3252" s="188"/>
      <c r="S3252" s="280"/>
      <c r="T3252" s="222"/>
      <c r="U3252" s="232" t="s">
        <v>5488</v>
      </c>
    </row>
    <row r="3253" spans="1:21" s="181" customFormat="1" ht="0" hidden="1" customHeight="1" outlineLevel="5">
      <c r="A3253" s="253" t="s">
        <v>4458</v>
      </c>
      <c r="B3253" s="254"/>
      <c r="C3253" s="250" t="s">
        <v>1609</v>
      </c>
      <c r="D3253" s="203">
        <f>'02 项目基础信息（输入）'!$C$84</f>
        <v>0</v>
      </c>
      <c r="E3253" s="204" t="s">
        <v>93</v>
      </c>
      <c r="F3253" s="202" t="s">
        <v>1682</v>
      </c>
      <c r="G3253" s="261">
        <f>IFERROR(I3253/D3253,0)</f>
        <v>0</v>
      </c>
      <c r="H3253" s="204" t="s">
        <v>298</v>
      </c>
      <c r="I3253" s="285"/>
      <c r="J3253" s="204" t="s">
        <v>93</v>
      </c>
      <c r="K3253" s="269"/>
      <c r="L3253" s="210" t="s">
        <v>675</v>
      </c>
      <c r="M3253" s="198">
        <f>ROUND(K3253*I3253/10000,6)</f>
        <v>0</v>
      </c>
      <c r="N3253" s="212">
        <f>'02 项目基础信息（输入）'!$C$84</f>
        <v>0</v>
      </c>
      <c r="O3253" s="203">
        <f t="shared" si="371"/>
        <v>0</v>
      </c>
      <c r="P3253" s="203">
        <f t="shared" si="373"/>
        <v>0</v>
      </c>
      <c r="Q3253" s="271">
        <f t="shared" si="372"/>
        <v>0</v>
      </c>
      <c r="R3253" s="188"/>
      <c r="S3253" s="280"/>
      <c r="T3253" s="222"/>
      <c r="U3253" s="232" t="s">
        <v>5489</v>
      </c>
    </row>
    <row r="3254" spans="1:21" s="181" customFormat="1" ht="0" hidden="1" customHeight="1" outlineLevel="5">
      <c r="A3254" s="253" t="s">
        <v>4460</v>
      </c>
      <c r="B3254" s="254"/>
      <c r="C3254" s="250" t="s">
        <v>1609</v>
      </c>
      <c r="D3254" s="203">
        <f>'02 项目基础信息（输入）'!$C$84</f>
        <v>0</v>
      </c>
      <c r="E3254" s="204" t="s">
        <v>93</v>
      </c>
      <c r="F3254" s="202" t="s">
        <v>1682</v>
      </c>
      <c r="G3254" s="261">
        <f>IFERROR(I3254/D3254,0)</f>
        <v>0</v>
      </c>
      <c r="H3254" s="204" t="s">
        <v>298</v>
      </c>
      <c r="I3254" s="268">
        <f>I3253</f>
        <v>0</v>
      </c>
      <c r="J3254" s="204" t="s">
        <v>93</v>
      </c>
      <c r="K3254" s="269"/>
      <c r="L3254" s="210" t="s">
        <v>675</v>
      </c>
      <c r="M3254" s="198">
        <f>ROUND(K3254*I3254/10000,6)</f>
        <v>0</v>
      </c>
      <c r="N3254" s="212">
        <f>'02 项目基础信息（输入）'!$C$84</f>
        <v>0</v>
      </c>
      <c r="O3254" s="203">
        <f t="shared" si="371"/>
        <v>0</v>
      </c>
      <c r="P3254" s="203">
        <f t="shared" si="373"/>
        <v>0</v>
      </c>
      <c r="Q3254" s="271">
        <f t="shared" si="372"/>
        <v>0</v>
      </c>
      <c r="R3254" s="188"/>
      <c r="S3254" s="280"/>
      <c r="T3254" s="222"/>
      <c r="U3254" s="232" t="s">
        <v>5490</v>
      </c>
    </row>
    <row r="3255" spans="1:21" s="181" customFormat="1" ht="0" hidden="1" customHeight="1" outlineLevel="4">
      <c r="A3255" s="253" t="s">
        <v>4231</v>
      </c>
      <c r="B3255" s="254"/>
      <c r="C3255" s="250" t="s">
        <v>1609</v>
      </c>
      <c r="D3255" s="203">
        <f>'02 项目基础信息（输入）'!$C$84</f>
        <v>0</v>
      </c>
      <c r="E3255" s="204" t="s">
        <v>93</v>
      </c>
      <c r="F3255" s="202"/>
      <c r="G3255" s="261"/>
      <c r="H3255" s="255"/>
      <c r="I3255" s="268"/>
      <c r="J3255" s="255"/>
      <c r="K3255" s="264"/>
      <c r="L3255" s="205"/>
      <c r="M3255" s="198">
        <f>ROUND(SUM(M3256:M3257),6)</f>
        <v>0</v>
      </c>
      <c r="N3255" s="212">
        <f>'02 项目基础信息（输入）'!$C$84</f>
        <v>0</v>
      </c>
      <c r="O3255" s="203">
        <f t="shared" si="371"/>
        <v>0</v>
      </c>
      <c r="P3255" s="203">
        <f t="shared" si="373"/>
        <v>0</v>
      </c>
      <c r="Q3255" s="271">
        <f t="shared" si="372"/>
        <v>0</v>
      </c>
      <c r="R3255" s="188"/>
      <c r="S3255" s="280"/>
      <c r="T3255" s="222"/>
      <c r="U3255" s="232" t="s">
        <v>5491</v>
      </c>
    </row>
    <row r="3256" spans="1:21" s="181" customFormat="1" ht="0" hidden="1" customHeight="1" outlineLevel="5">
      <c r="A3256" s="253" t="s">
        <v>4233</v>
      </c>
      <c r="B3256" s="254"/>
      <c r="C3256" s="250" t="s">
        <v>1609</v>
      </c>
      <c r="D3256" s="203">
        <f>'02 项目基础信息（输入）'!$C$84</f>
        <v>0</v>
      </c>
      <c r="E3256" s="204" t="s">
        <v>93</v>
      </c>
      <c r="F3256" s="202" t="s">
        <v>1682</v>
      </c>
      <c r="G3256" s="261">
        <f>IFERROR(I3256/D3256,0)</f>
        <v>0</v>
      </c>
      <c r="H3256" s="204" t="s">
        <v>298</v>
      </c>
      <c r="I3256" s="285"/>
      <c r="J3256" s="204" t="s">
        <v>93</v>
      </c>
      <c r="K3256" s="269"/>
      <c r="L3256" s="210" t="s">
        <v>675</v>
      </c>
      <c r="M3256" s="198">
        <f>ROUND(K3256*I3256/10000,6)</f>
        <v>0</v>
      </c>
      <c r="N3256" s="212">
        <f>'02 项目基础信息（输入）'!$C$84</f>
        <v>0</v>
      </c>
      <c r="O3256" s="203">
        <f t="shared" si="371"/>
        <v>0</v>
      </c>
      <c r="P3256" s="203">
        <f t="shared" si="373"/>
        <v>0</v>
      </c>
      <c r="Q3256" s="271">
        <f t="shared" si="372"/>
        <v>0</v>
      </c>
      <c r="R3256" s="188"/>
      <c r="S3256" s="280"/>
      <c r="T3256" s="222"/>
      <c r="U3256" s="232" t="s">
        <v>5492</v>
      </c>
    </row>
    <row r="3257" spans="1:21" s="181" customFormat="1" ht="0" hidden="1" customHeight="1" outlineLevel="5">
      <c r="A3257" s="253" t="s">
        <v>4235</v>
      </c>
      <c r="B3257" s="254"/>
      <c r="C3257" s="250" t="s">
        <v>1609</v>
      </c>
      <c r="D3257" s="203">
        <f>'02 项目基础信息（输入）'!$C$84</f>
        <v>0</v>
      </c>
      <c r="E3257" s="204" t="s">
        <v>93</v>
      </c>
      <c r="F3257" s="202" t="s">
        <v>1682</v>
      </c>
      <c r="G3257" s="261">
        <f>IFERROR(I3257/D3257,0)</f>
        <v>0</v>
      </c>
      <c r="H3257" s="204" t="s">
        <v>298</v>
      </c>
      <c r="I3257" s="268">
        <f>I3256</f>
        <v>0</v>
      </c>
      <c r="J3257" s="204" t="s">
        <v>93</v>
      </c>
      <c r="K3257" s="269"/>
      <c r="L3257" s="210" t="s">
        <v>675</v>
      </c>
      <c r="M3257" s="198">
        <f>ROUND(K3257*I3257/10000,6)</f>
        <v>0</v>
      </c>
      <c r="N3257" s="212">
        <f>'02 项目基础信息（输入）'!$C$84</f>
        <v>0</v>
      </c>
      <c r="O3257" s="203">
        <f t="shared" si="371"/>
        <v>0</v>
      </c>
      <c r="P3257" s="203">
        <f t="shared" si="373"/>
        <v>0</v>
      </c>
      <c r="Q3257" s="271">
        <f t="shared" si="372"/>
        <v>0</v>
      </c>
      <c r="R3257" s="188"/>
      <c r="S3257" s="280"/>
      <c r="T3257" s="222"/>
      <c r="U3257" s="232" t="s">
        <v>5493</v>
      </c>
    </row>
    <row r="3258" spans="1:21" s="181" customFormat="1" ht="0" hidden="1" customHeight="1" outlineLevel="3">
      <c r="A3258" s="253" t="s">
        <v>4237</v>
      </c>
      <c r="B3258" s="254"/>
      <c r="C3258" s="250" t="s">
        <v>1609</v>
      </c>
      <c r="D3258" s="203">
        <f>'02 项目基础信息（输入）'!$C$84</f>
        <v>0</v>
      </c>
      <c r="E3258" s="204" t="s">
        <v>93</v>
      </c>
      <c r="F3258" s="202"/>
      <c r="G3258" s="255"/>
      <c r="H3258" s="204"/>
      <c r="I3258" s="265"/>
      <c r="J3258" s="204"/>
      <c r="K3258" s="203"/>
      <c r="L3258" s="210"/>
      <c r="M3258" s="198">
        <f>ROUND(SUM(M3259:M3261),6)</f>
        <v>0</v>
      </c>
      <c r="N3258" s="212">
        <f>'02 项目基础信息（输入）'!$C$84</f>
        <v>0</v>
      </c>
      <c r="O3258" s="203">
        <f t="shared" si="371"/>
        <v>0</v>
      </c>
      <c r="P3258" s="203">
        <f t="shared" si="373"/>
        <v>0</v>
      </c>
      <c r="Q3258" s="271">
        <f t="shared" si="372"/>
        <v>0</v>
      </c>
      <c r="R3258" s="188"/>
      <c r="S3258" s="280"/>
      <c r="T3258" s="222"/>
      <c r="U3258" s="232" t="s">
        <v>5494</v>
      </c>
    </row>
    <row r="3259" spans="1:21" s="181" customFormat="1" ht="0" hidden="1" customHeight="1" outlineLevel="4">
      <c r="A3259" s="253" t="s">
        <v>4239</v>
      </c>
      <c r="B3259" s="254"/>
      <c r="C3259" s="250" t="s">
        <v>1609</v>
      </c>
      <c r="D3259" s="203">
        <f>'02 项目基础信息（输入）'!$C$84</f>
        <v>0</v>
      </c>
      <c r="E3259" s="204" t="s">
        <v>93</v>
      </c>
      <c r="F3259" s="202" t="s">
        <v>1701</v>
      </c>
      <c r="G3259" s="261">
        <f>IFERROR(I3259/D3259,0)</f>
        <v>0</v>
      </c>
      <c r="H3259" s="204" t="s">
        <v>298</v>
      </c>
      <c r="I3259" s="270"/>
      <c r="J3259" s="204" t="s">
        <v>93</v>
      </c>
      <c r="K3259" s="269"/>
      <c r="L3259" s="210" t="s">
        <v>675</v>
      </c>
      <c r="M3259" s="198">
        <f>ROUND(K3259*I3259/10000,6)</f>
        <v>0</v>
      </c>
      <c r="N3259" s="212">
        <f>'02 项目基础信息（输入）'!$C$84</f>
        <v>0</v>
      </c>
      <c r="O3259" s="203">
        <f t="shared" si="371"/>
        <v>0</v>
      </c>
      <c r="P3259" s="203">
        <f t="shared" si="373"/>
        <v>0</v>
      </c>
      <c r="Q3259" s="271">
        <f t="shared" si="372"/>
        <v>0</v>
      </c>
      <c r="R3259" s="188"/>
      <c r="S3259" s="280"/>
      <c r="T3259" s="222"/>
      <c r="U3259" s="232" t="s">
        <v>5495</v>
      </c>
    </row>
    <row r="3260" spans="1:21" s="181" customFormat="1" ht="0" hidden="1" customHeight="1" outlineLevel="4">
      <c r="A3260" s="253" t="s">
        <v>4241</v>
      </c>
      <c r="B3260" s="254"/>
      <c r="C3260" s="250" t="s">
        <v>1609</v>
      </c>
      <c r="D3260" s="203">
        <f>'02 项目基础信息（输入）'!$C$84</f>
        <v>0</v>
      </c>
      <c r="E3260" s="204" t="s">
        <v>93</v>
      </c>
      <c r="F3260" s="202" t="s">
        <v>1704</v>
      </c>
      <c r="G3260" s="261">
        <f>IFERROR(I3260/D3260,0)</f>
        <v>0</v>
      </c>
      <c r="H3260" s="204" t="s">
        <v>298</v>
      </c>
      <c r="I3260" s="270"/>
      <c r="J3260" s="204" t="s">
        <v>93</v>
      </c>
      <c r="K3260" s="269"/>
      <c r="L3260" s="210" t="s">
        <v>675</v>
      </c>
      <c r="M3260" s="198">
        <f>ROUND(K3260*I3260/10000,6)</f>
        <v>0</v>
      </c>
      <c r="N3260" s="212">
        <f>'02 项目基础信息（输入）'!$C$84</f>
        <v>0</v>
      </c>
      <c r="O3260" s="203">
        <f t="shared" si="371"/>
        <v>0</v>
      </c>
      <c r="P3260" s="203">
        <f t="shared" si="373"/>
        <v>0</v>
      </c>
      <c r="Q3260" s="271">
        <f t="shared" si="372"/>
        <v>0</v>
      </c>
      <c r="R3260" s="188"/>
      <c r="S3260" s="280"/>
      <c r="T3260" s="222"/>
      <c r="U3260" s="232" t="s">
        <v>5496</v>
      </c>
    </row>
    <row r="3261" spans="1:21" s="181" customFormat="1" ht="0" hidden="1" customHeight="1" outlineLevel="4">
      <c r="A3261" s="253" t="s">
        <v>4243</v>
      </c>
      <c r="B3261" s="254"/>
      <c r="C3261" s="250" t="s">
        <v>1609</v>
      </c>
      <c r="D3261" s="203">
        <f>'02 项目基础信息（输入）'!$C$84</f>
        <v>0</v>
      </c>
      <c r="E3261" s="204" t="s">
        <v>93</v>
      </c>
      <c r="F3261" s="202" t="s">
        <v>4244</v>
      </c>
      <c r="G3261" s="261">
        <f>IFERROR(I3261/D3261,0)</f>
        <v>0</v>
      </c>
      <c r="H3261" s="204" t="s">
        <v>1473</v>
      </c>
      <c r="I3261" s="270"/>
      <c r="J3261" s="204" t="s">
        <v>131</v>
      </c>
      <c r="K3261" s="269"/>
      <c r="L3261" s="210" t="s">
        <v>675</v>
      </c>
      <c r="M3261" s="198">
        <f>ROUND(K3261*I3261/10000,6)</f>
        <v>0</v>
      </c>
      <c r="N3261" s="212">
        <f>'02 项目基础信息（输入）'!$C$84</f>
        <v>0</v>
      </c>
      <c r="O3261" s="203">
        <f t="shared" si="371"/>
        <v>0</v>
      </c>
      <c r="P3261" s="203">
        <f t="shared" si="373"/>
        <v>0</v>
      </c>
      <c r="Q3261" s="271">
        <f t="shared" si="372"/>
        <v>0</v>
      </c>
      <c r="R3261" s="188"/>
      <c r="S3261" s="280"/>
      <c r="T3261" s="222"/>
      <c r="U3261" s="232" t="s">
        <v>5497</v>
      </c>
    </row>
    <row r="3262" spans="1:21" ht="0" hidden="1" customHeight="1" outlineLevel="2">
      <c r="A3262" s="201" t="s">
        <v>4252</v>
      </c>
      <c r="B3262" s="249"/>
      <c r="C3262" s="250" t="s">
        <v>1609</v>
      </c>
      <c r="D3262" s="203">
        <f>'02 项目基础信息（输入）'!$C$84</f>
        <v>0</v>
      </c>
      <c r="E3262" s="204" t="s">
        <v>93</v>
      </c>
      <c r="F3262" s="202"/>
      <c r="G3262" s="204"/>
      <c r="H3262" s="204"/>
      <c r="I3262" s="203"/>
      <c r="J3262" s="204"/>
      <c r="K3262" s="264"/>
      <c r="L3262" s="210"/>
      <c r="M3262" s="198">
        <f>ROUND(M3263+M3267+M3268+M3269+M3270+M3271+M3272+M3273+M3274,6)</f>
        <v>0</v>
      </c>
      <c r="N3262" s="212">
        <f>'02 项目基础信息（输入）'!$C$84</f>
        <v>0</v>
      </c>
      <c r="O3262" s="203">
        <f t="shared" si="371"/>
        <v>0</v>
      </c>
      <c r="P3262" s="203">
        <f t="shared" si="373"/>
        <v>0</v>
      </c>
      <c r="Q3262" s="271">
        <f t="shared" si="372"/>
        <v>0</v>
      </c>
      <c r="S3262" s="280" t="s">
        <v>1313</v>
      </c>
      <c r="T3262" s="222"/>
      <c r="U3262" s="232" t="s">
        <v>5498</v>
      </c>
    </row>
    <row r="3263" spans="1:21" s="181" customFormat="1" ht="0" hidden="1" customHeight="1" outlineLevel="4">
      <c r="A3263" s="253" t="s">
        <v>4254</v>
      </c>
      <c r="B3263" s="254"/>
      <c r="C3263" s="250" t="s">
        <v>1609</v>
      </c>
      <c r="D3263" s="203">
        <f>'02 项目基础信息（输入）'!$C$84</f>
        <v>0</v>
      </c>
      <c r="E3263" s="204" t="s">
        <v>93</v>
      </c>
      <c r="F3263" s="256"/>
      <c r="G3263" s="258"/>
      <c r="H3263" s="255"/>
      <c r="I3263" s="268"/>
      <c r="J3263" s="255"/>
      <c r="K3263" s="264"/>
      <c r="L3263" s="205"/>
      <c r="M3263" s="198">
        <f>ROUND(SUM(M3264:M3266),6)</f>
        <v>0</v>
      </c>
      <c r="N3263" s="212">
        <f>'02 项目基础信息（输入）'!$C$84</f>
        <v>0</v>
      </c>
      <c r="O3263" s="203">
        <f t="shared" si="371"/>
        <v>0</v>
      </c>
      <c r="P3263" s="203">
        <f t="shared" si="373"/>
        <v>0</v>
      </c>
      <c r="Q3263" s="271">
        <f t="shared" si="372"/>
        <v>0</v>
      </c>
      <c r="R3263" s="188"/>
      <c r="S3263" s="280"/>
      <c r="T3263" s="222"/>
      <c r="U3263" s="232" t="s">
        <v>5499</v>
      </c>
    </row>
    <row r="3264" spans="1:21" s="181" customFormat="1" ht="0" hidden="1" customHeight="1" outlineLevel="5">
      <c r="A3264" s="253" t="s">
        <v>4471</v>
      </c>
      <c r="B3264" s="254"/>
      <c r="C3264" s="250" t="s">
        <v>4394</v>
      </c>
      <c r="D3264" s="212">
        <f>$D$3215</f>
        <v>0</v>
      </c>
      <c r="E3264" s="204" t="s">
        <v>93</v>
      </c>
      <c r="F3264" s="202" t="s">
        <v>984</v>
      </c>
      <c r="G3264" s="309"/>
      <c r="H3264" s="204" t="s">
        <v>966</v>
      </c>
      <c r="I3264" s="265">
        <f>D3264*G3264</f>
        <v>0</v>
      </c>
      <c r="J3264" s="204" t="s">
        <v>1617</v>
      </c>
      <c r="K3264" s="214"/>
      <c r="L3264" s="210" t="s">
        <v>664</v>
      </c>
      <c r="M3264" s="198">
        <f t="shared" ref="M3264:M3273" si="374">ROUND(K3264*I3264/10000,6)</f>
        <v>0</v>
      </c>
      <c r="N3264" s="212">
        <f>'02 项目基础信息（输入）'!$C$84</f>
        <v>0</v>
      </c>
      <c r="O3264" s="203">
        <f t="shared" si="371"/>
        <v>0</v>
      </c>
      <c r="P3264" s="203">
        <f t="shared" si="373"/>
        <v>0</v>
      </c>
      <c r="Q3264" s="271">
        <f t="shared" si="372"/>
        <v>0</v>
      </c>
      <c r="R3264" s="188"/>
      <c r="S3264" s="280"/>
      <c r="T3264" s="222"/>
      <c r="U3264" s="232" t="s">
        <v>5500</v>
      </c>
    </row>
    <row r="3265" spans="1:21" s="181" customFormat="1" ht="0" hidden="1" customHeight="1" outlineLevel="5">
      <c r="A3265" s="253" t="s">
        <v>4473</v>
      </c>
      <c r="B3265" s="254"/>
      <c r="C3265" s="250" t="s">
        <v>4397</v>
      </c>
      <c r="D3265" s="203">
        <f>$D$3216</f>
        <v>0</v>
      </c>
      <c r="E3265" s="204" t="s">
        <v>93</v>
      </c>
      <c r="F3265" s="202" t="s">
        <v>984</v>
      </c>
      <c r="G3265" s="309"/>
      <c r="H3265" s="204" t="s">
        <v>966</v>
      </c>
      <c r="I3265" s="265">
        <f>D3265*G3265</f>
        <v>0</v>
      </c>
      <c r="J3265" s="204" t="s">
        <v>1617</v>
      </c>
      <c r="K3265" s="214"/>
      <c r="L3265" s="210" t="s">
        <v>664</v>
      </c>
      <c r="M3265" s="198">
        <f t="shared" si="374"/>
        <v>0</v>
      </c>
      <c r="N3265" s="212">
        <f>'02 项目基础信息（输入）'!$C$84</f>
        <v>0</v>
      </c>
      <c r="O3265" s="203">
        <f t="shared" si="371"/>
        <v>0</v>
      </c>
      <c r="P3265" s="203">
        <f t="shared" si="373"/>
        <v>0</v>
      </c>
      <c r="Q3265" s="271">
        <f t="shared" si="372"/>
        <v>0</v>
      </c>
      <c r="R3265" s="188"/>
      <c r="S3265" s="280"/>
      <c r="T3265" s="222"/>
      <c r="U3265" s="232" t="s">
        <v>5501</v>
      </c>
    </row>
    <row r="3266" spans="1:21" s="181" customFormat="1" ht="0" hidden="1" customHeight="1" outlineLevel="5">
      <c r="A3266" s="253" t="s">
        <v>4258</v>
      </c>
      <c r="B3266" s="254"/>
      <c r="C3266" s="250" t="s">
        <v>1609</v>
      </c>
      <c r="D3266" s="203">
        <f>'02 项目基础信息（输入）'!$C$84</f>
        <v>0</v>
      </c>
      <c r="E3266" s="204" t="s">
        <v>93</v>
      </c>
      <c r="F3266" s="202" t="s">
        <v>984</v>
      </c>
      <c r="G3266" s="258">
        <f>IFERROR(I3266/D3266,0)</f>
        <v>0</v>
      </c>
      <c r="H3266" s="204" t="s">
        <v>966</v>
      </c>
      <c r="I3266" s="265">
        <f>I3264+I3265</f>
        <v>0</v>
      </c>
      <c r="J3266" s="204" t="s">
        <v>1617</v>
      </c>
      <c r="K3266" s="214"/>
      <c r="L3266" s="210" t="s">
        <v>664</v>
      </c>
      <c r="M3266" s="198">
        <f t="shared" si="374"/>
        <v>0</v>
      </c>
      <c r="N3266" s="212">
        <f>'02 项目基础信息（输入）'!$C$84</f>
        <v>0</v>
      </c>
      <c r="O3266" s="203">
        <f t="shared" si="371"/>
        <v>0</v>
      </c>
      <c r="P3266" s="203">
        <f t="shared" si="373"/>
        <v>0</v>
      </c>
      <c r="Q3266" s="271">
        <f t="shared" si="372"/>
        <v>0</v>
      </c>
      <c r="R3266" s="188"/>
      <c r="S3266" s="280"/>
      <c r="T3266" s="222"/>
      <c r="U3266" s="232" t="s">
        <v>5502</v>
      </c>
    </row>
    <row r="3267" spans="1:21" s="181" customFormat="1" ht="0" hidden="1" customHeight="1" outlineLevel="4">
      <c r="A3267" s="253" t="s">
        <v>4260</v>
      </c>
      <c r="B3267" s="254"/>
      <c r="C3267" s="250" t="s">
        <v>1609</v>
      </c>
      <c r="D3267" s="203">
        <f>'02 项目基础信息（输入）'!$C$84</f>
        <v>0</v>
      </c>
      <c r="E3267" s="204" t="s">
        <v>93</v>
      </c>
      <c r="F3267" s="202" t="s">
        <v>984</v>
      </c>
      <c r="G3267" s="258">
        <f>G3266</f>
        <v>0</v>
      </c>
      <c r="H3267" s="204" t="s">
        <v>966</v>
      </c>
      <c r="I3267" s="265">
        <f t="shared" ref="I3267:I3273" si="375">D3267*G3267</f>
        <v>0</v>
      </c>
      <c r="J3267" s="204" t="s">
        <v>1617</v>
      </c>
      <c r="K3267" s="214"/>
      <c r="L3267" s="210" t="s">
        <v>664</v>
      </c>
      <c r="M3267" s="198">
        <f t="shared" si="374"/>
        <v>0</v>
      </c>
      <c r="N3267" s="212">
        <f>'02 项目基础信息（输入）'!$C$84</f>
        <v>0</v>
      </c>
      <c r="O3267" s="203">
        <f t="shared" ref="O3267:O3330" si="376">ROUND(IFERROR(M3267*10000/N3267,0),2)</f>
        <v>0</v>
      </c>
      <c r="P3267" s="203">
        <f t="shared" si="373"/>
        <v>0</v>
      </c>
      <c r="Q3267" s="271">
        <f t="shared" ref="Q3267:Q3330" si="377">ROUND(IFERROR(M3267*10000/P3267,0),2)</f>
        <v>0</v>
      </c>
      <c r="R3267" s="188"/>
      <c r="S3267" s="280"/>
      <c r="T3267" s="222"/>
      <c r="U3267" s="232" t="s">
        <v>5503</v>
      </c>
    </row>
    <row r="3268" spans="1:21" s="181" customFormat="1" ht="0" hidden="1" customHeight="1" outlineLevel="3">
      <c r="A3268" s="253" t="s">
        <v>4477</v>
      </c>
      <c r="B3268" s="254"/>
      <c r="C3268" s="250" t="s">
        <v>4397</v>
      </c>
      <c r="D3268" s="203">
        <f>$D$3216</f>
        <v>0</v>
      </c>
      <c r="E3268" s="204" t="s">
        <v>93</v>
      </c>
      <c r="F3268" s="202" t="s">
        <v>4478</v>
      </c>
      <c r="G3268" s="309"/>
      <c r="H3268" s="204" t="s">
        <v>298</v>
      </c>
      <c r="I3268" s="265">
        <f t="shared" si="375"/>
        <v>0</v>
      </c>
      <c r="J3268" s="204" t="s">
        <v>93</v>
      </c>
      <c r="K3268" s="214"/>
      <c r="L3268" s="210" t="s">
        <v>675</v>
      </c>
      <c r="M3268" s="198">
        <f t="shared" si="374"/>
        <v>0</v>
      </c>
      <c r="N3268" s="212">
        <f>'02 项目基础信息（输入）'!$C$84</f>
        <v>0</v>
      </c>
      <c r="O3268" s="203">
        <f t="shared" si="376"/>
        <v>0</v>
      </c>
      <c r="P3268" s="203">
        <f t="shared" si="373"/>
        <v>0</v>
      </c>
      <c r="Q3268" s="271">
        <f t="shared" si="377"/>
        <v>0</v>
      </c>
      <c r="R3268" s="188"/>
      <c r="S3268" s="280"/>
      <c r="T3268" s="222"/>
      <c r="U3268" s="232" t="s">
        <v>5504</v>
      </c>
    </row>
    <row r="3269" spans="1:21" s="181" customFormat="1" ht="0" hidden="1" customHeight="1" outlineLevel="3">
      <c r="A3269" s="253" t="s">
        <v>4480</v>
      </c>
      <c r="B3269" s="254"/>
      <c r="C3269" s="250" t="s">
        <v>4397</v>
      </c>
      <c r="D3269" s="203">
        <f>$D$3216</f>
        <v>0</v>
      </c>
      <c r="E3269" s="204" t="s">
        <v>93</v>
      </c>
      <c r="F3269" s="202" t="s">
        <v>984</v>
      </c>
      <c r="G3269" s="309"/>
      <c r="H3269" s="204" t="s">
        <v>966</v>
      </c>
      <c r="I3269" s="265">
        <f t="shared" si="375"/>
        <v>0</v>
      </c>
      <c r="J3269" s="204" t="s">
        <v>1617</v>
      </c>
      <c r="K3269" s="214"/>
      <c r="L3269" s="210" t="s">
        <v>664</v>
      </c>
      <c r="M3269" s="198">
        <f t="shared" si="374"/>
        <v>0</v>
      </c>
      <c r="N3269" s="212">
        <f>'02 项目基础信息（输入）'!$C$84</f>
        <v>0</v>
      </c>
      <c r="O3269" s="203">
        <f t="shared" si="376"/>
        <v>0</v>
      </c>
      <c r="P3269" s="203">
        <f t="shared" si="373"/>
        <v>0</v>
      </c>
      <c r="Q3269" s="271">
        <f t="shared" si="377"/>
        <v>0</v>
      </c>
      <c r="R3269" s="188"/>
      <c r="S3269" s="280"/>
      <c r="T3269" s="222"/>
      <c r="U3269" s="232" t="s">
        <v>5505</v>
      </c>
    </row>
    <row r="3270" spans="1:21" s="181" customFormat="1" ht="0" hidden="1" customHeight="1" outlineLevel="3">
      <c r="A3270" s="253" t="s">
        <v>4482</v>
      </c>
      <c r="B3270" s="254"/>
      <c r="C3270" s="250" t="s">
        <v>4397</v>
      </c>
      <c r="D3270" s="203">
        <f>$D$3216</f>
        <v>0</v>
      </c>
      <c r="E3270" s="204" t="s">
        <v>93</v>
      </c>
      <c r="F3270" s="202" t="s">
        <v>984</v>
      </c>
      <c r="G3270" s="309"/>
      <c r="H3270" s="204" t="s">
        <v>966</v>
      </c>
      <c r="I3270" s="265">
        <f t="shared" si="375"/>
        <v>0</v>
      </c>
      <c r="J3270" s="204" t="s">
        <v>1617</v>
      </c>
      <c r="K3270" s="214"/>
      <c r="L3270" s="210" t="s">
        <v>664</v>
      </c>
      <c r="M3270" s="198">
        <f t="shared" si="374"/>
        <v>0</v>
      </c>
      <c r="N3270" s="212">
        <f>'02 项目基础信息（输入）'!$C$84</f>
        <v>0</v>
      </c>
      <c r="O3270" s="203">
        <f t="shared" si="376"/>
        <v>0</v>
      </c>
      <c r="P3270" s="203">
        <f t="shared" si="373"/>
        <v>0</v>
      </c>
      <c r="Q3270" s="271">
        <f t="shared" si="377"/>
        <v>0</v>
      </c>
      <c r="R3270" s="188"/>
      <c r="S3270" s="280"/>
      <c r="T3270" s="222"/>
      <c r="U3270" s="232" t="s">
        <v>5506</v>
      </c>
    </row>
    <row r="3271" spans="1:21" s="181" customFormat="1" ht="0" hidden="1" customHeight="1" outlineLevel="3">
      <c r="A3271" s="253" t="s">
        <v>4484</v>
      </c>
      <c r="B3271" s="254"/>
      <c r="C3271" s="250" t="s">
        <v>4397</v>
      </c>
      <c r="D3271" s="203">
        <f>$D$3216</f>
        <v>0</v>
      </c>
      <c r="E3271" s="204" t="s">
        <v>93</v>
      </c>
      <c r="F3271" s="282" t="s">
        <v>1609</v>
      </c>
      <c r="G3271" s="283">
        <v>1</v>
      </c>
      <c r="H3271" s="204" t="s">
        <v>298</v>
      </c>
      <c r="I3271" s="265">
        <f t="shared" si="375"/>
        <v>0</v>
      </c>
      <c r="J3271" s="204" t="s">
        <v>93</v>
      </c>
      <c r="K3271" s="214"/>
      <c r="L3271" s="210" t="s">
        <v>675</v>
      </c>
      <c r="M3271" s="198">
        <f t="shared" si="374"/>
        <v>0</v>
      </c>
      <c r="N3271" s="212">
        <f>'02 项目基础信息（输入）'!$C$84</f>
        <v>0</v>
      </c>
      <c r="O3271" s="203">
        <f t="shared" si="376"/>
        <v>0</v>
      </c>
      <c r="P3271" s="203">
        <f t="shared" si="373"/>
        <v>0</v>
      </c>
      <c r="Q3271" s="271">
        <f t="shared" si="377"/>
        <v>0</v>
      </c>
      <c r="R3271" s="188"/>
      <c r="S3271" s="280"/>
      <c r="T3271" s="222"/>
      <c r="U3271" s="232" t="s">
        <v>5507</v>
      </c>
    </row>
    <row r="3272" spans="1:21" s="181" customFormat="1" ht="0" hidden="1" customHeight="1" outlineLevel="3">
      <c r="A3272" s="253" t="s">
        <v>4262</v>
      </c>
      <c r="B3272" s="254"/>
      <c r="C3272" s="250" t="s">
        <v>1609</v>
      </c>
      <c r="D3272" s="203">
        <f>'02 项目基础信息（输入）'!$C$84</f>
        <v>0</v>
      </c>
      <c r="E3272" s="204" t="s">
        <v>93</v>
      </c>
      <c r="F3272" s="202" t="s">
        <v>984</v>
      </c>
      <c r="G3272" s="284"/>
      <c r="H3272" s="204" t="s">
        <v>966</v>
      </c>
      <c r="I3272" s="265">
        <f t="shared" si="375"/>
        <v>0</v>
      </c>
      <c r="J3272" s="204" t="s">
        <v>1617</v>
      </c>
      <c r="K3272" s="214"/>
      <c r="L3272" s="210" t="s">
        <v>664</v>
      </c>
      <c r="M3272" s="198">
        <f t="shared" si="374"/>
        <v>0</v>
      </c>
      <c r="N3272" s="212">
        <f>'02 项目基础信息（输入）'!$C$84</f>
        <v>0</v>
      </c>
      <c r="O3272" s="203">
        <f t="shared" si="376"/>
        <v>0</v>
      </c>
      <c r="P3272" s="203">
        <f t="shared" si="373"/>
        <v>0</v>
      </c>
      <c r="Q3272" s="271">
        <f t="shared" si="377"/>
        <v>0</v>
      </c>
      <c r="R3272" s="188"/>
      <c r="S3272" s="280"/>
      <c r="T3272" s="222"/>
      <c r="U3272" s="232" t="s">
        <v>5508</v>
      </c>
    </row>
    <row r="3273" spans="1:21" s="181" customFormat="1" ht="0" hidden="1" customHeight="1" outlineLevel="3">
      <c r="A3273" s="253" t="s">
        <v>4264</v>
      </c>
      <c r="B3273" s="254"/>
      <c r="C3273" s="250" t="s">
        <v>1609</v>
      </c>
      <c r="D3273" s="203">
        <f>'02 项目基础信息（输入）'!$C$84</f>
        <v>0</v>
      </c>
      <c r="E3273" s="204" t="s">
        <v>93</v>
      </c>
      <c r="F3273" s="202" t="s">
        <v>984</v>
      </c>
      <c r="G3273" s="258">
        <f>G3265+G3268+G3269+G3270+G3272</f>
        <v>0</v>
      </c>
      <c r="H3273" s="204" t="s">
        <v>966</v>
      </c>
      <c r="I3273" s="265">
        <f t="shared" si="375"/>
        <v>0</v>
      </c>
      <c r="J3273" s="204" t="s">
        <v>1617</v>
      </c>
      <c r="K3273" s="214"/>
      <c r="L3273" s="210" t="s">
        <v>664</v>
      </c>
      <c r="M3273" s="198">
        <f t="shared" si="374"/>
        <v>0</v>
      </c>
      <c r="N3273" s="212">
        <f>'02 项目基础信息（输入）'!$C$84</f>
        <v>0</v>
      </c>
      <c r="O3273" s="203">
        <f t="shared" si="376"/>
        <v>0</v>
      </c>
      <c r="P3273" s="203">
        <f t="shared" si="373"/>
        <v>0</v>
      </c>
      <c r="Q3273" s="271">
        <f t="shared" si="377"/>
        <v>0</v>
      </c>
      <c r="R3273" s="188"/>
      <c r="S3273" s="280"/>
      <c r="T3273" s="222"/>
      <c r="U3273" s="232" t="s">
        <v>5509</v>
      </c>
    </row>
    <row r="3274" spans="1:21" s="181" customFormat="1" ht="0" hidden="1" customHeight="1" outlineLevel="3">
      <c r="A3274" s="253" t="s">
        <v>4266</v>
      </c>
      <c r="B3274" s="254"/>
      <c r="C3274" s="250" t="s">
        <v>1665</v>
      </c>
      <c r="D3274" s="203">
        <f>ROUND(M3263+M3267+M3268+M3269+M3270+M3271+M3272,6)*10000</f>
        <v>0</v>
      </c>
      <c r="E3274" s="204" t="s">
        <v>1666</v>
      </c>
      <c r="F3274" s="202" t="s">
        <v>1667</v>
      </c>
      <c r="G3274" s="258">
        <f>IFERROR(I3274*100/D3274,0)</f>
        <v>0</v>
      </c>
      <c r="H3274" s="204" t="s">
        <v>123</v>
      </c>
      <c r="I3274" s="265">
        <f>N3274*K3274</f>
        <v>0</v>
      </c>
      <c r="J3274" s="204" t="s">
        <v>1666</v>
      </c>
      <c r="K3274" s="269"/>
      <c r="L3274" s="210" t="s">
        <v>675</v>
      </c>
      <c r="M3274" s="231">
        <f>ROUND(I3274/10000,6)</f>
        <v>0</v>
      </c>
      <c r="N3274" s="212">
        <f>'02 项目基础信息（输入）'!$C$84</f>
        <v>0</v>
      </c>
      <c r="O3274" s="203">
        <f t="shared" si="376"/>
        <v>0</v>
      </c>
      <c r="P3274" s="203">
        <f t="shared" ref="P3274:P3337" si="378">N3274</f>
        <v>0</v>
      </c>
      <c r="Q3274" s="271">
        <f t="shared" si="377"/>
        <v>0</v>
      </c>
      <c r="R3274" s="188"/>
      <c r="S3274" s="280"/>
      <c r="T3274" s="222"/>
      <c r="U3274" s="232" t="s">
        <v>5510</v>
      </c>
    </row>
    <row r="3275" spans="1:21" ht="0" hidden="1" customHeight="1" outlineLevel="2">
      <c r="A3275" s="201" t="s">
        <v>4489</v>
      </c>
      <c r="B3275" s="249"/>
      <c r="C3275" s="250" t="s">
        <v>1609</v>
      </c>
      <c r="D3275" s="203">
        <f>'02 项目基础信息（输入）'!$C$84</f>
        <v>0</v>
      </c>
      <c r="E3275" s="204" t="s">
        <v>93</v>
      </c>
      <c r="F3275" s="202"/>
      <c r="G3275" s="255"/>
      <c r="H3275" s="204"/>
      <c r="I3275" s="203"/>
      <c r="J3275" s="204"/>
      <c r="K3275" s="264"/>
      <c r="L3275" s="210"/>
      <c r="M3275" s="198">
        <f>ROUND(M3276+M3291+M3294,6)</f>
        <v>0</v>
      </c>
      <c r="N3275" s="212">
        <f>'02 项目基础信息（输入）'!$C$84</f>
        <v>0</v>
      </c>
      <c r="O3275" s="203">
        <f t="shared" si="376"/>
        <v>0</v>
      </c>
      <c r="P3275" s="203">
        <f t="shared" si="378"/>
        <v>0</v>
      </c>
      <c r="Q3275" s="271">
        <f t="shared" si="377"/>
        <v>0</v>
      </c>
      <c r="S3275" s="280" t="s">
        <v>1314</v>
      </c>
      <c r="T3275" s="222"/>
      <c r="U3275" s="232" t="s">
        <v>5511</v>
      </c>
    </row>
    <row r="3276" spans="1:21" s="181" customFormat="1" ht="0" hidden="1" customHeight="1" outlineLevel="3">
      <c r="A3276" s="253" t="s">
        <v>4491</v>
      </c>
      <c r="B3276" s="254"/>
      <c r="C3276" s="250" t="s">
        <v>1609</v>
      </c>
      <c r="D3276" s="203">
        <f>'02 项目基础信息（输入）'!$C$84</f>
        <v>0</v>
      </c>
      <c r="E3276" s="204" t="s">
        <v>93</v>
      </c>
      <c r="F3276" s="202"/>
      <c r="G3276" s="204"/>
      <c r="H3276" s="204"/>
      <c r="I3276" s="265"/>
      <c r="J3276" s="204"/>
      <c r="K3276" s="203"/>
      <c r="L3276" s="210"/>
      <c r="M3276" s="198">
        <f>ROUND(M3277+M3280+M3281+M3282+M3283+M3286+M3287+M3288+M3289+M3290,6)</f>
        <v>0</v>
      </c>
      <c r="N3276" s="212">
        <f>'02 项目基础信息（输入）'!$C$84</f>
        <v>0</v>
      </c>
      <c r="O3276" s="203">
        <f t="shared" si="376"/>
        <v>0</v>
      </c>
      <c r="P3276" s="203">
        <f t="shared" si="378"/>
        <v>0</v>
      </c>
      <c r="Q3276" s="271">
        <f t="shared" si="377"/>
        <v>0</v>
      </c>
      <c r="R3276" s="188"/>
      <c r="S3276" s="280"/>
      <c r="T3276" s="222"/>
      <c r="U3276" s="232" t="s">
        <v>5512</v>
      </c>
    </row>
    <row r="3277" spans="1:21" s="181" customFormat="1" ht="0" hidden="1" customHeight="1" outlineLevel="4">
      <c r="A3277" s="253" t="s">
        <v>4493</v>
      </c>
      <c r="B3277" s="254"/>
      <c r="C3277" s="250" t="s">
        <v>1609</v>
      </c>
      <c r="D3277" s="203">
        <f>'02 项目基础信息（输入）'!$C$84</f>
        <v>0</v>
      </c>
      <c r="E3277" s="204" t="s">
        <v>93</v>
      </c>
      <c r="F3277" s="202"/>
      <c r="G3277" s="221"/>
      <c r="H3277" s="204"/>
      <c r="I3277" s="265"/>
      <c r="J3277" s="204"/>
      <c r="K3277" s="266"/>
      <c r="L3277" s="210"/>
      <c r="M3277" s="198">
        <f>ROUND(SUM(M3278:M3279),6)</f>
        <v>0</v>
      </c>
      <c r="N3277" s="212">
        <f>'02 项目基础信息（输入）'!$C$84</f>
        <v>0</v>
      </c>
      <c r="O3277" s="203">
        <f t="shared" si="376"/>
        <v>0</v>
      </c>
      <c r="P3277" s="203">
        <f t="shared" si="378"/>
        <v>0</v>
      </c>
      <c r="Q3277" s="271">
        <f t="shared" si="377"/>
        <v>0</v>
      </c>
      <c r="R3277" s="188"/>
      <c r="S3277" s="280"/>
      <c r="T3277" s="222"/>
      <c r="U3277" s="232" t="s">
        <v>5513</v>
      </c>
    </row>
    <row r="3278" spans="1:21" s="181" customFormat="1" ht="0" hidden="1" customHeight="1" outlineLevel="5">
      <c r="A3278" s="253" t="s">
        <v>4495</v>
      </c>
      <c r="B3278" s="254"/>
      <c r="C3278" s="250" t="s">
        <v>4397</v>
      </c>
      <c r="D3278" s="203">
        <f>$D$3216</f>
        <v>0</v>
      </c>
      <c r="E3278" s="204" t="s">
        <v>93</v>
      </c>
      <c r="F3278" s="202" t="s">
        <v>4496</v>
      </c>
      <c r="G3278" s="281">
        <f>IFERROR('02 项目基础信息（输入）'!BX84/'02 项目基础信息（输入）'!D84,0)</f>
        <v>0</v>
      </c>
      <c r="H3278" s="204" t="s">
        <v>298</v>
      </c>
      <c r="I3278" s="265">
        <f>D3278*G3278</f>
        <v>0</v>
      </c>
      <c r="J3278" s="204" t="s">
        <v>93</v>
      </c>
      <c r="K3278" s="269"/>
      <c r="L3278" s="210" t="s">
        <v>675</v>
      </c>
      <c r="M3278" s="198">
        <f>ROUND(K3278*I3278/10000,6)</f>
        <v>0</v>
      </c>
      <c r="N3278" s="212">
        <f>'02 项目基础信息（输入）'!$C$84</f>
        <v>0</v>
      </c>
      <c r="O3278" s="203">
        <f t="shared" si="376"/>
        <v>0</v>
      </c>
      <c r="P3278" s="203">
        <f t="shared" si="378"/>
        <v>0</v>
      </c>
      <c r="Q3278" s="271">
        <f t="shared" si="377"/>
        <v>0</v>
      </c>
      <c r="R3278" s="188"/>
      <c r="S3278" s="280"/>
      <c r="T3278" s="222"/>
      <c r="U3278" s="232" t="s">
        <v>5514</v>
      </c>
    </row>
    <row r="3279" spans="1:21" s="181" customFormat="1" ht="0" hidden="1" customHeight="1" outlineLevel="5">
      <c r="A3279" s="253" t="s">
        <v>4498</v>
      </c>
      <c r="B3279" s="254"/>
      <c r="C3279" s="250" t="s">
        <v>4397</v>
      </c>
      <c r="D3279" s="203">
        <f>$D$3216</f>
        <v>0</v>
      </c>
      <c r="E3279" s="204" t="s">
        <v>93</v>
      </c>
      <c r="F3279" s="202" t="s">
        <v>4496</v>
      </c>
      <c r="G3279" s="221">
        <f>G3278</f>
        <v>0</v>
      </c>
      <c r="H3279" s="204" t="s">
        <v>298</v>
      </c>
      <c r="I3279" s="265">
        <f>D3279*G3279</f>
        <v>0</v>
      </c>
      <c r="J3279" s="204" t="s">
        <v>93</v>
      </c>
      <c r="K3279" s="269"/>
      <c r="L3279" s="210" t="s">
        <v>675</v>
      </c>
      <c r="M3279" s="198">
        <f>ROUND(K3279*I3279/10000,6)</f>
        <v>0</v>
      </c>
      <c r="N3279" s="212">
        <f>'02 项目基础信息（输入）'!$C$84</f>
        <v>0</v>
      </c>
      <c r="O3279" s="203">
        <f t="shared" si="376"/>
        <v>0</v>
      </c>
      <c r="P3279" s="203">
        <f t="shared" si="378"/>
        <v>0</v>
      </c>
      <c r="Q3279" s="271">
        <f t="shared" si="377"/>
        <v>0</v>
      </c>
      <c r="R3279" s="188"/>
      <c r="S3279" s="280"/>
      <c r="T3279" s="222"/>
      <c r="U3279" s="232" t="s">
        <v>5515</v>
      </c>
    </row>
    <row r="3280" spans="1:21" s="181" customFormat="1" ht="0" hidden="1" customHeight="1" outlineLevel="4">
      <c r="A3280" s="253" t="s">
        <v>4500</v>
      </c>
      <c r="B3280" s="254"/>
      <c r="C3280" s="250" t="s">
        <v>4397</v>
      </c>
      <c r="D3280" s="203">
        <f>$D$3216</f>
        <v>0</v>
      </c>
      <c r="E3280" s="204" t="s">
        <v>93</v>
      </c>
      <c r="F3280" s="202" t="s">
        <v>4501</v>
      </c>
      <c r="G3280" s="281">
        <f>IFERROR('02 项目基础信息（输入）'!BW84/'02 项目基础信息（输入）'!D84,0)</f>
        <v>0</v>
      </c>
      <c r="H3280" s="204" t="s">
        <v>298</v>
      </c>
      <c r="I3280" s="265">
        <f>D3280*G3280</f>
        <v>0</v>
      </c>
      <c r="J3280" s="204" t="s">
        <v>93</v>
      </c>
      <c r="K3280" s="269"/>
      <c r="L3280" s="210" t="s">
        <v>675</v>
      </c>
      <c r="M3280" s="198">
        <f>ROUND(K3280*I3280/10000,6)</f>
        <v>0</v>
      </c>
      <c r="N3280" s="212">
        <f>'02 项目基础信息（输入）'!$C$84</f>
        <v>0</v>
      </c>
      <c r="O3280" s="203">
        <f t="shared" si="376"/>
        <v>0</v>
      </c>
      <c r="P3280" s="203">
        <f t="shared" si="378"/>
        <v>0</v>
      </c>
      <c r="Q3280" s="271">
        <f t="shared" si="377"/>
        <v>0</v>
      </c>
      <c r="R3280" s="188"/>
      <c r="S3280" s="280"/>
      <c r="T3280" s="222"/>
      <c r="U3280" s="232" t="s">
        <v>5516</v>
      </c>
    </row>
    <row r="3281" spans="1:21" s="181" customFormat="1" ht="0" hidden="1" customHeight="1" outlineLevel="4">
      <c r="A3281" s="253" t="s">
        <v>4503</v>
      </c>
      <c r="B3281" s="254"/>
      <c r="C3281" s="250" t="s">
        <v>4397</v>
      </c>
      <c r="D3281" s="203">
        <f>$D$3216</f>
        <v>0</v>
      </c>
      <c r="E3281" s="204" t="s">
        <v>93</v>
      </c>
      <c r="F3281" s="202" t="s">
        <v>4504</v>
      </c>
      <c r="G3281" s="281">
        <f>IFERROR('02 项目基础信息（输入）'!BY84/'02 项目基础信息（输入）'!D84,0)</f>
        <v>0</v>
      </c>
      <c r="H3281" s="204" t="s">
        <v>298</v>
      </c>
      <c r="I3281" s="265">
        <f>D3281*G3281</f>
        <v>0</v>
      </c>
      <c r="J3281" s="204" t="s">
        <v>93</v>
      </c>
      <c r="K3281" s="269"/>
      <c r="L3281" s="210" t="s">
        <v>675</v>
      </c>
      <c r="M3281" s="198">
        <f>ROUND(K3281*I3281/10000,6)</f>
        <v>0</v>
      </c>
      <c r="N3281" s="212">
        <f>'02 项目基础信息（输入）'!$C$84</f>
        <v>0</v>
      </c>
      <c r="O3281" s="203">
        <f t="shared" si="376"/>
        <v>0</v>
      </c>
      <c r="P3281" s="203">
        <f t="shared" si="378"/>
        <v>0</v>
      </c>
      <c r="Q3281" s="271">
        <f t="shared" si="377"/>
        <v>0</v>
      </c>
      <c r="R3281" s="188"/>
      <c r="S3281" s="280"/>
      <c r="T3281" s="222"/>
      <c r="U3281" s="232" t="s">
        <v>5517</v>
      </c>
    </row>
    <row r="3282" spans="1:21" s="181" customFormat="1" ht="0" hidden="1" customHeight="1" outlineLevel="4">
      <c r="A3282" s="253" t="s">
        <v>4506</v>
      </c>
      <c r="B3282" s="254"/>
      <c r="C3282" s="250" t="s">
        <v>4397</v>
      </c>
      <c r="D3282" s="203">
        <f>$D$3216</f>
        <v>0</v>
      </c>
      <c r="E3282" s="204" t="s">
        <v>93</v>
      </c>
      <c r="F3282" s="202" t="s">
        <v>475</v>
      </c>
      <c r="G3282" s="281">
        <f>IFERROR('02 项目基础信息（输入）'!BZ84/'02 项目基础信息（输入）'!D84,0)</f>
        <v>0</v>
      </c>
      <c r="H3282" s="204" t="s">
        <v>298</v>
      </c>
      <c r="I3282" s="265">
        <f>D3282*G3282</f>
        <v>0</v>
      </c>
      <c r="J3282" s="204" t="s">
        <v>93</v>
      </c>
      <c r="K3282" s="269"/>
      <c r="L3282" s="210" t="s">
        <v>675</v>
      </c>
      <c r="M3282" s="198">
        <f>ROUND(K3282*I3282/10000,6)</f>
        <v>0</v>
      </c>
      <c r="N3282" s="212">
        <f>'02 项目基础信息（输入）'!$C$84</f>
        <v>0</v>
      </c>
      <c r="O3282" s="203">
        <f t="shared" si="376"/>
        <v>0</v>
      </c>
      <c r="P3282" s="203">
        <f t="shared" si="378"/>
        <v>0</v>
      </c>
      <c r="Q3282" s="271">
        <f t="shared" si="377"/>
        <v>0</v>
      </c>
      <c r="R3282" s="188"/>
      <c r="S3282" s="280"/>
      <c r="T3282" s="222"/>
      <c r="U3282" s="232" t="s">
        <v>5518</v>
      </c>
    </row>
    <row r="3283" spans="1:21" s="181" customFormat="1" ht="0" hidden="1" customHeight="1" outlineLevel="4">
      <c r="A3283" s="253" t="s">
        <v>4508</v>
      </c>
      <c r="B3283" s="254"/>
      <c r="C3283" s="250" t="s">
        <v>1609</v>
      </c>
      <c r="D3283" s="203">
        <f>'02 项目基础信息（输入）'!$C$84</f>
        <v>0</v>
      </c>
      <c r="E3283" s="204" t="s">
        <v>93</v>
      </c>
      <c r="F3283" s="202"/>
      <c r="G3283" s="210"/>
      <c r="H3283" s="204"/>
      <c r="I3283" s="265"/>
      <c r="J3283" s="204"/>
      <c r="K3283" s="266"/>
      <c r="L3283" s="210"/>
      <c r="M3283" s="198">
        <f>ROUND(SUM(M3284:M3285),6)</f>
        <v>0</v>
      </c>
      <c r="N3283" s="212">
        <f>'02 项目基础信息（输入）'!$C$84</f>
        <v>0</v>
      </c>
      <c r="O3283" s="203">
        <f t="shared" si="376"/>
        <v>0</v>
      </c>
      <c r="P3283" s="203">
        <f t="shared" si="378"/>
        <v>0</v>
      </c>
      <c r="Q3283" s="271">
        <f t="shared" si="377"/>
        <v>0</v>
      </c>
      <c r="R3283" s="188"/>
      <c r="S3283" s="280"/>
      <c r="T3283" s="222"/>
      <c r="U3283" s="232" t="s">
        <v>5519</v>
      </c>
    </row>
    <row r="3284" spans="1:21" s="181" customFormat="1" ht="0" hidden="1" customHeight="1" outlineLevel="5">
      <c r="A3284" s="253" t="s">
        <v>4510</v>
      </c>
      <c r="B3284" s="254"/>
      <c r="C3284" s="250" t="s">
        <v>4397</v>
      </c>
      <c r="D3284" s="203">
        <f t="shared" ref="D3284:D3289" si="379">$D$3216</f>
        <v>0</v>
      </c>
      <c r="E3284" s="204" t="s">
        <v>93</v>
      </c>
      <c r="F3284" s="202" t="s">
        <v>4511</v>
      </c>
      <c r="G3284" s="309"/>
      <c r="H3284" s="204" t="s">
        <v>298</v>
      </c>
      <c r="I3284" s="265">
        <f>D3284*G3284</f>
        <v>0</v>
      </c>
      <c r="J3284" s="204" t="s">
        <v>93</v>
      </c>
      <c r="K3284" s="269"/>
      <c r="L3284" s="210" t="s">
        <v>675</v>
      </c>
      <c r="M3284" s="198">
        <f t="shared" ref="M3284:M3289" si="380">ROUND(K3284*I3284/10000,6)</f>
        <v>0</v>
      </c>
      <c r="N3284" s="212">
        <f>'02 项目基础信息（输入）'!$C$84</f>
        <v>0</v>
      </c>
      <c r="O3284" s="203">
        <f t="shared" si="376"/>
        <v>0</v>
      </c>
      <c r="P3284" s="203">
        <f t="shared" si="378"/>
        <v>0</v>
      </c>
      <c r="Q3284" s="271">
        <f t="shared" si="377"/>
        <v>0</v>
      </c>
      <c r="R3284" s="188"/>
      <c r="S3284" s="280"/>
      <c r="T3284" s="222"/>
      <c r="U3284" s="232" t="s">
        <v>5520</v>
      </c>
    </row>
    <row r="3285" spans="1:21" s="181" customFormat="1" ht="0" hidden="1" customHeight="1" outlineLevel="5">
      <c r="A3285" s="253" t="s">
        <v>4513</v>
      </c>
      <c r="B3285" s="254"/>
      <c r="C3285" s="250" t="s">
        <v>4397</v>
      </c>
      <c r="D3285" s="203">
        <f t="shared" si="379"/>
        <v>0</v>
      </c>
      <c r="E3285" s="204" t="s">
        <v>93</v>
      </c>
      <c r="F3285" s="202" t="s">
        <v>4511</v>
      </c>
      <c r="G3285" s="221">
        <f>G3284</f>
        <v>0</v>
      </c>
      <c r="H3285" s="204" t="s">
        <v>298</v>
      </c>
      <c r="I3285" s="265">
        <f>D3285*G3285</f>
        <v>0</v>
      </c>
      <c r="J3285" s="204" t="s">
        <v>93</v>
      </c>
      <c r="K3285" s="269"/>
      <c r="L3285" s="210" t="s">
        <v>675</v>
      </c>
      <c r="M3285" s="198">
        <f t="shared" si="380"/>
        <v>0</v>
      </c>
      <c r="N3285" s="212">
        <f>'02 项目基础信息（输入）'!$C$84</f>
        <v>0</v>
      </c>
      <c r="O3285" s="203">
        <f t="shared" si="376"/>
        <v>0</v>
      </c>
      <c r="P3285" s="203">
        <f t="shared" si="378"/>
        <v>0</v>
      </c>
      <c r="Q3285" s="271">
        <f t="shared" si="377"/>
        <v>0</v>
      </c>
      <c r="R3285" s="188"/>
      <c r="S3285" s="280"/>
      <c r="T3285" s="222"/>
      <c r="U3285" s="232" t="s">
        <v>5521</v>
      </c>
    </row>
    <row r="3286" spans="1:21" s="181" customFormat="1" ht="0" hidden="1" customHeight="1" outlineLevel="4">
      <c r="A3286" s="253" t="s">
        <v>4515</v>
      </c>
      <c r="B3286" s="254"/>
      <c r="C3286" s="250" t="s">
        <v>4397</v>
      </c>
      <c r="D3286" s="203">
        <f t="shared" si="379"/>
        <v>0</v>
      </c>
      <c r="E3286" s="204" t="s">
        <v>93</v>
      </c>
      <c r="F3286" s="202" t="s">
        <v>4516</v>
      </c>
      <c r="G3286" s="261">
        <f>IFERROR(I3286/D3286,0)</f>
        <v>0</v>
      </c>
      <c r="H3286" s="204" t="s">
        <v>298</v>
      </c>
      <c r="I3286" s="270"/>
      <c r="J3286" s="204" t="s">
        <v>93</v>
      </c>
      <c r="K3286" s="269"/>
      <c r="L3286" s="210" t="s">
        <v>675</v>
      </c>
      <c r="M3286" s="198">
        <f t="shared" si="380"/>
        <v>0</v>
      </c>
      <c r="N3286" s="212">
        <f>'02 项目基础信息（输入）'!$C$84</f>
        <v>0</v>
      </c>
      <c r="O3286" s="203">
        <f t="shared" si="376"/>
        <v>0</v>
      </c>
      <c r="P3286" s="203">
        <f t="shared" si="378"/>
        <v>0</v>
      </c>
      <c r="Q3286" s="271">
        <f t="shared" si="377"/>
        <v>0</v>
      </c>
      <c r="R3286" s="188"/>
      <c r="S3286" s="280"/>
      <c r="T3286" s="222"/>
      <c r="U3286" s="232" t="s">
        <v>5522</v>
      </c>
    </row>
    <row r="3287" spans="1:21" s="181" customFormat="1" ht="0" hidden="1" customHeight="1" outlineLevel="4">
      <c r="A3287" s="253" t="s">
        <v>4518</v>
      </c>
      <c r="B3287" s="254"/>
      <c r="C3287" s="250" t="s">
        <v>4397</v>
      </c>
      <c r="D3287" s="203">
        <f t="shared" si="379"/>
        <v>0</v>
      </c>
      <c r="E3287" s="204" t="s">
        <v>93</v>
      </c>
      <c r="F3287" s="202" t="s">
        <v>4519</v>
      </c>
      <c r="G3287" s="261">
        <f>IFERROR(I3287/D3287,0)</f>
        <v>0</v>
      </c>
      <c r="H3287" s="204" t="s">
        <v>298</v>
      </c>
      <c r="I3287" s="270"/>
      <c r="J3287" s="204" t="s">
        <v>93</v>
      </c>
      <c r="K3287" s="269"/>
      <c r="L3287" s="210" t="s">
        <v>675</v>
      </c>
      <c r="M3287" s="198">
        <f t="shared" si="380"/>
        <v>0</v>
      </c>
      <c r="N3287" s="212">
        <f>'02 项目基础信息（输入）'!$C$84</f>
        <v>0</v>
      </c>
      <c r="O3287" s="203">
        <f t="shared" si="376"/>
        <v>0</v>
      </c>
      <c r="P3287" s="203">
        <f t="shared" si="378"/>
        <v>0</v>
      </c>
      <c r="Q3287" s="271">
        <f t="shared" si="377"/>
        <v>0</v>
      </c>
      <c r="R3287" s="188"/>
      <c r="S3287" s="280"/>
      <c r="T3287" s="222"/>
      <c r="U3287" s="232" t="s">
        <v>5523</v>
      </c>
    </row>
    <row r="3288" spans="1:21" s="181" customFormat="1" ht="0" hidden="1" customHeight="1" outlineLevel="4">
      <c r="A3288" s="253" t="s">
        <v>4521</v>
      </c>
      <c r="B3288" s="254"/>
      <c r="C3288" s="250" t="s">
        <v>4397</v>
      </c>
      <c r="D3288" s="203">
        <f t="shared" si="379"/>
        <v>0</v>
      </c>
      <c r="E3288" s="204" t="s">
        <v>93</v>
      </c>
      <c r="F3288" s="202" t="s">
        <v>4522</v>
      </c>
      <c r="G3288" s="261">
        <f>IFERROR(I3288/D3288,0)</f>
        <v>0</v>
      </c>
      <c r="H3288" s="204" t="s">
        <v>298</v>
      </c>
      <c r="I3288" s="270"/>
      <c r="J3288" s="204" t="s">
        <v>93</v>
      </c>
      <c r="K3288" s="269"/>
      <c r="L3288" s="210" t="s">
        <v>675</v>
      </c>
      <c r="M3288" s="198">
        <f t="shared" si="380"/>
        <v>0</v>
      </c>
      <c r="N3288" s="212">
        <f>'02 项目基础信息（输入）'!$C$84</f>
        <v>0</v>
      </c>
      <c r="O3288" s="203">
        <f t="shared" si="376"/>
        <v>0</v>
      </c>
      <c r="P3288" s="203">
        <f t="shared" si="378"/>
        <v>0</v>
      </c>
      <c r="Q3288" s="271">
        <f t="shared" si="377"/>
        <v>0</v>
      </c>
      <c r="R3288" s="188"/>
      <c r="S3288" s="280"/>
      <c r="T3288" s="222"/>
      <c r="U3288" s="232" t="s">
        <v>5524</v>
      </c>
    </row>
    <row r="3289" spans="1:21" s="181" customFormat="1" ht="0" hidden="1" customHeight="1" outlineLevel="4">
      <c r="A3289" s="253" t="s">
        <v>4524</v>
      </c>
      <c r="B3289" s="254"/>
      <c r="C3289" s="250" t="s">
        <v>4397</v>
      </c>
      <c r="D3289" s="203">
        <f t="shared" si="379"/>
        <v>0</v>
      </c>
      <c r="E3289" s="204" t="s">
        <v>93</v>
      </c>
      <c r="F3289" s="202" t="s">
        <v>4525</v>
      </c>
      <c r="G3289" s="286"/>
      <c r="H3289" s="204" t="s">
        <v>298</v>
      </c>
      <c r="I3289" s="265">
        <f>D3289*G3289</f>
        <v>0</v>
      </c>
      <c r="J3289" s="204" t="s">
        <v>93</v>
      </c>
      <c r="K3289" s="269"/>
      <c r="L3289" s="210" t="s">
        <v>675</v>
      </c>
      <c r="M3289" s="198">
        <f t="shared" si="380"/>
        <v>0</v>
      </c>
      <c r="N3289" s="212">
        <f>'02 项目基础信息（输入）'!$C$84</f>
        <v>0</v>
      </c>
      <c r="O3289" s="203">
        <f t="shared" si="376"/>
        <v>0</v>
      </c>
      <c r="P3289" s="203">
        <f t="shared" si="378"/>
        <v>0</v>
      </c>
      <c r="Q3289" s="271">
        <f t="shared" si="377"/>
        <v>0</v>
      </c>
      <c r="R3289" s="188"/>
      <c r="S3289" s="280"/>
      <c r="T3289" s="222"/>
      <c r="U3289" s="232" t="s">
        <v>5525</v>
      </c>
    </row>
    <row r="3290" spans="1:21" s="181" customFormat="1" ht="0" hidden="1" customHeight="1" outlineLevel="4">
      <c r="A3290" s="253" t="s">
        <v>4527</v>
      </c>
      <c r="B3290" s="254"/>
      <c r="C3290" s="250" t="s">
        <v>1665</v>
      </c>
      <c r="D3290" s="203">
        <f>ROUND(M3277+M3280+M3281+M3282+M3283+M3286+M3287+M3288+M3289,6)*10000</f>
        <v>0</v>
      </c>
      <c r="E3290" s="204" t="s">
        <v>1666</v>
      </c>
      <c r="F3290" s="202" t="s">
        <v>1667</v>
      </c>
      <c r="G3290" s="258">
        <f>IFERROR(I3290*100/D3290,0)</f>
        <v>0</v>
      </c>
      <c r="H3290" s="204" t="s">
        <v>123</v>
      </c>
      <c r="I3290" s="265">
        <f>N3290*K3290</f>
        <v>0</v>
      </c>
      <c r="J3290" s="204" t="s">
        <v>1666</v>
      </c>
      <c r="K3290" s="269"/>
      <c r="L3290" s="210" t="s">
        <v>675</v>
      </c>
      <c r="M3290" s="231">
        <f>ROUND(I3290/10000,6)</f>
        <v>0</v>
      </c>
      <c r="N3290" s="212">
        <f>'02 项目基础信息（输入）'!$C$84</f>
        <v>0</v>
      </c>
      <c r="O3290" s="203">
        <f t="shared" si="376"/>
        <v>0</v>
      </c>
      <c r="P3290" s="203">
        <f t="shared" si="378"/>
        <v>0</v>
      </c>
      <c r="Q3290" s="271">
        <f t="shared" si="377"/>
        <v>0</v>
      </c>
      <c r="R3290" s="188"/>
      <c r="S3290" s="280"/>
      <c r="T3290" s="222"/>
      <c r="U3290" s="232" t="s">
        <v>5526</v>
      </c>
    </row>
    <row r="3291" spans="1:21" s="181" customFormat="1" ht="0" hidden="1" customHeight="1" outlineLevel="3">
      <c r="A3291" s="253" t="s">
        <v>4529</v>
      </c>
      <c r="B3291" s="254"/>
      <c r="C3291" s="250" t="s">
        <v>1609</v>
      </c>
      <c r="D3291" s="203">
        <f>'02 项目基础信息（输入）'!$C$84</f>
        <v>0</v>
      </c>
      <c r="E3291" s="204" t="s">
        <v>93</v>
      </c>
      <c r="F3291" s="202"/>
      <c r="G3291" s="204"/>
      <c r="H3291" s="204"/>
      <c r="I3291" s="265"/>
      <c r="J3291" s="204"/>
      <c r="K3291" s="203"/>
      <c r="L3291" s="210"/>
      <c r="M3291" s="198">
        <f>ROUND(SUM(M3292:M3293),6)</f>
        <v>0</v>
      </c>
      <c r="N3291" s="212">
        <f>'02 项目基础信息（输入）'!$C$84</f>
        <v>0</v>
      </c>
      <c r="O3291" s="203">
        <f t="shared" si="376"/>
        <v>0</v>
      </c>
      <c r="P3291" s="203">
        <f t="shared" si="378"/>
        <v>0</v>
      </c>
      <c r="Q3291" s="271">
        <f t="shared" si="377"/>
        <v>0</v>
      </c>
      <c r="R3291" s="188"/>
      <c r="S3291" s="280"/>
      <c r="T3291" s="222"/>
      <c r="U3291" s="232" t="s">
        <v>5527</v>
      </c>
    </row>
    <row r="3292" spans="1:21" s="181" customFormat="1" ht="0" hidden="1" customHeight="1" outlineLevel="4">
      <c r="A3292" s="253" t="s">
        <v>4531</v>
      </c>
      <c r="B3292" s="254"/>
      <c r="C3292" s="250" t="s">
        <v>4397</v>
      </c>
      <c r="D3292" s="203">
        <f>$D$3216</f>
        <v>0</v>
      </c>
      <c r="E3292" s="204" t="s">
        <v>93</v>
      </c>
      <c r="F3292" s="202" t="s">
        <v>4532</v>
      </c>
      <c r="G3292" s="286"/>
      <c r="H3292" s="204" t="s">
        <v>298</v>
      </c>
      <c r="I3292" s="265">
        <f>D3292*G3292</f>
        <v>0</v>
      </c>
      <c r="J3292" s="204" t="s">
        <v>93</v>
      </c>
      <c r="K3292" s="269"/>
      <c r="L3292" s="210" t="s">
        <v>675</v>
      </c>
      <c r="M3292" s="198">
        <f>ROUND(K3292*I3292/10000,6)</f>
        <v>0</v>
      </c>
      <c r="N3292" s="212">
        <f>'02 项目基础信息（输入）'!$C$84</f>
        <v>0</v>
      </c>
      <c r="O3292" s="203">
        <f t="shared" si="376"/>
        <v>0</v>
      </c>
      <c r="P3292" s="203">
        <f t="shared" si="378"/>
        <v>0</v>
      </c>
      <c r="Q3292" s="271">
        <f t="shared" si="377"/>
        <v>0</v>
      </c>
      <c r="R3292" s="188"/>
      <c r="S3292" s="280"/>
      <c r="T3292" s="222"/>
      <c r="U3292" s="232" t="s">
        <v>5528</v>
      </c>
    </row>
    <row r="3293" spans="1:21" s="181" customFormat="1" ht="0" hidden="1" customHeight="1" outlineLevel="4">
      <c r="A3293" s="253" t="s">
        <v>4534</v>
      </c>
      <c r="B3293" s="254"/>
      <c r="C3293" s="250" t="s">
        <v>4397</v>
      </c>
      <c r="D3293" s="203">
        <f>$D$3216</f>
        <v>0</v>
      </c>
      <c r="E3293" s="204" t="s">
        <v>93</v>
      </c>
      <c r="F3293" s="250" t="s">
        <v>4535</v>
      </c>
      <c r="G3293" s="204">
        <v>1</v>
      </c>
      <c r="H3293" s="204" t="s">
        <v>298</v>
      </c>
      <c r="I3293" s="265">
        <f>D3293*G3293</f>
        <v>0</v>
      </c>
      <c r="J3293" s="204" t="s">
        <v>93</v>
      </c>
      <c r="K3293" s="269"/>
      <c r="L3293" s="210" t="s">
        <v>675</v>
      </c>
      <c r="M3293" s="198">
        <f>ROUND(K3293*I3293/10000,6)</f>
        <v>0</v>
      </c>
      <c r="N3293" s="212">
        <f>'02 项目基础信息（输入）'!$C$84</f>
        <v>0</v>
      </c>
      <c r="O3293" s="203">
        <f t="shared" si="376"/>
        <v>0</v>
      </c>
      <c r="P3293" s="203">
        <f t="shared" si="378"/>
        <v>0</v>
      </c>
      <c r="Q3293" s="271">
        <f t="shared" si="377"/>
        <v>0</v>
      </c>
      <c r="R3293" s="188"/>
      <c r="S3293" s="280"/>
      <c r="T3293" s="222"/>
      <c r="U3293" s="232" t="s">
        <v>5529</v>
      </c>
    </row>
    <row r="3294" spans="1:21" s="181" customFormat="1" ht="0" hidden="1" customHeight="1" outlineLevel="3">
      <c r="A3294" s="253" t="s">
        <v>4537</v>
      </c>
      <c r="B3294" s="254"/>
      <c r="C3294" s="250" t="s">
        <v>1609</v>
      </c>
      <c r="D3294" s="203">
        <f>'02 项目基础信息（输入）'!$C$84</f>
        <v>0</v>
      </c>
      <c r="E3294" s="204" t="s">
        <v>93</v>
      </c>
      <c r="F3294" s="202"/>
      <c r="G3294" s="204"/>
      <c r="H3294" s="204"/>
      <c r="I3294" s="265"/>
      <c r="J3294" s="204"/>
      <c r="K3294" s="203"/>
      <c r="L3294" s="210"/>
      <c r="M3294" s="198">
        <f>ROUND(SUM(M3295),6)</f>
        <v>0</v>
      </c>
      <c r="N3294" s="212">
        <f>'02 项目基础信息（输入）'!$C$84</f>
        <v>0</v>
      </c>
      <c r="O3294" s="203">
        <f t="shared" si="376"/>
        <v>0</v>
      </c>
      <c r="P3294" s="203">
        <f t="shared" si="378"/>
        <v>0</v>
      </c>
      <c r="Q3294" s="271">
        <f t="shared" si="377"/>
        <v>0</v>
      </c>
      <c r="R3294" s="188"/>
      <c r="S3294" s="280"/>
      <c r="T3294" s="222"/>
      <c r="U3294" s="232" t="s">
        <v>5530</v>
      </c>
    </row>
    <row r="3295" spans="1:21" s="181" customFormat="1" ht="0" hidden="1" customHeight="1" outlineLevel="4">
      <c r="A3295" s="253" t="s">
        <v>4539</v>
      </c>
      <c r="B3295" s="254"/>
      <c r="C3295" s="250" t="s">
        <v>4397</v>
      </c>
      <c r="D3295" s="203">
        <f>$D$3216</f>
        <v>0</v>
      </c>
      <c r="E3295" s="204" t="s">
        <v>93</v>
      </c>
      <c r="F3295" s="202" t="s">
        <v>4540</v>
      </c>
      <c r="G3295" s="286"/>
      <c r="H3295" s="204" t="s">
        <v>298</v>
      </c>
      <c r="I3295" s="265">
        <f>D3295*G3295</f>
        <v>0</v>
      </c>
      <c r="J3295" s="204" t="s">
        <v>93</v>
      </c>
      <c r="K3295" s="269"/>
      <c r="L3295" s="210" t="s">
        <v>675</v>
      </c>
      <c r="M3295" s="198">
        <f>ROUND(K3295*I3295/10000,6)</f>
        <v>0</v>
      </c>
      <c r="N3295" s="212">
        <f>'02 项目基础信息（输入）'!$C$84</f>
        <v>0</v>
      </c>
      <c r="O3295" s="203">
        <f t="shared" si="376"/>
        <v>0</v>
      </c>
      <c r="P3295" s="203">
        <f t="shared" si="378"/>
        <v>0</v>
      </c>
      <c r="Q3295" s="271">
        <f t="shared" si="377"/>
        <v>0</v>
      </c>
      <c r="R3295" s="188"/>
      <c r="S3295" s="280"/>
      <c r="T3295" s="222"/>
      <c r="U3295" s="232" t="s">
        <v>5531</v>
      </c>
    </row>
    <row r="3296" spans="1:21" ht="0" hidden="1" customHeight="1" outlineLevel="2">
      <c r="A3296" s="201" t="s">
        <v>4542</v>
      </c>
      <c r="B3296" s="201"/>
      <c r="C3296" s="202" t="s">
        <v>1609</v>
      </c>
      <c r="D3296" s="203">
        <f>'02 项目基础信息（输入）'!$C$84</f>
        <v>0</v>
      </c>
      <c r="E3296" s="204" t="s">
        <v>93</v>
      </c>
      <c r="F3296" s="202"/>
      <c r="G3296" s="204"/>
      <c r="H3296" s="204"/>
      <c r="I3296" s="203"/>
      <c r="J3296" s="255"/>
      <c r="K3296" s="264"/>
      <c r="L3296" s="205"/>
      <c r="M3296" s="198">
        <f>ROUND(M3297+M3304+M3305+M3310+M3313+M3314+M3315+M3316+M3309,6)</f>
        <v>0</v>
      </c>
      <c r="N3296" s="212">
        <f>'02 项目基础信息（输入）'!$C$84</f>
        <v>0</v>
      </c>
      <c r="O3296" s="203">
        <f t="shared" si="376"/>
        <v>0</v>
      </c>
      <c r="P3296" s="203">
        <f t="shared" si="378"/>
        <v>0</v>
      </c>
      <c r="Q3296" s="271">
        <f t="shared" si="377"/>
        <v>0</v>
      </c>
      <c r="S3296" s="280" t="s">
        <v>1314</v>
      </c>
      <c r="T3296" s="222"/>
      <c r="U3296" s="232" t="s">
        <v>5532</v>
      </c>
    </row>
    <row r="3297" spans="1:21" s="181" customFormat="1" ht="0" hidden="1" customHeight="1" outlineLevel="3">
      <c r="A3297" s="253" t="s">
        <v>4544</v>
      </c>
      <c r="B3297" s="254"/>
      <c r="C3297" s="250" t="s">
        <v>1609</v>
      </c>
      <c r="D3297" s="203">
        <f>'02 项目基础信息（输入）'!$C$84</f>
        <v>0</v>
      </c>
      <c r="E3297" s="204" t="s">
        <v>93</v>
      </c>
      <c r="F3297" s="202"/>
      <c r="G3297" s="280"/>
      <c r="H3297" s="204"/>
      <c r="I3297" s="265"/>
      <c r="J3297" s="204"/>
      <c r="K3297" s="266"/>
      <c r="L3297" s="210"/>
      <c r="M3297" s="198">
        <f>ROUND(M3298+M3302+M3303,6)</f>
        <v>0</v>
      </c>
      <c r="N3297" s="212">
        <f>'02 项目基础信息（输入）'!$C$84</f>
        <v>0</v>
      </c>
      <c r="O3297" s="203">
        <f t="shared" si="376"/>
        <v>0</v>
      </c>
      <c r="P3297" s="203">
        <f t="shared" si="378"/>
        <v>0</v>
      </c>
      <c r="Q3297" s="271">
        <f t="shared" si="377"/>
        <v>0</v>
      </c>
      <c r="R3297" s="188"/>
      <c r="S3297" s="280"/>
      <c r="T3297" s="222"/>
      <c r="U3297" s="232" t="s">
        <v>5533</v>
      </c>
    </row>
    <row r="3298" spans="1:21" s="181" customFormat="1" ht="0" hidden="1" customHeight="1" outlineLevel="4">
      <c r="A3298" s="253" t="s">
        <v>4546</v>
      </c>
      <c r="B3298" s="254"/>
      <c r="C3298" s="250" t="s">
        <v>1609</v>
      </c>
      <c r="D3298" s="203">
        <f>'02 项目基础信息（输入）'!$C$84</f>
        <v>0</v>
      </c>
      <c r="E3298" s="204" t="s">
        <v>93</v>
      </c>
      <c r="F3298" s="250"/>
      <c r="G3298" s="277"/>
      <c r="H3298" s="204"/>
      <c r="I3298" s="268"/>
      <c r="J3298" s="204"/>
      <c r="K3298" s="266"/>
      <c r="L3298" s="210"/>
      <c r="M3298" s="198">
        <f>ROUND(SUM(M3299:M3301),6)</f>
        <v>0</v>
      </c>
      <c r="N3298" s="212">
        <f>'02 项目基础信息（输入）'!$C$84</f>
        <v>0</v>
      </c>
      <c r="O3298" s="203">
        <f t="shared" si="376"/>
        <v>0</v>
      </c>
      <c r="P3298" s="203">
        <f t="shared" si="378"/>
        <v>0</v>
      </c>
      <c r="Q3298" s="271">
        <f t="shared" si="377"/>
        <v>0</v>
      </c>
      <c r="R3298" s="188"/>
      <c r="S3298" s="280"/>
      <c r="T3298" s="222"/>
      <c r="U3298" s="232" t="s">
        <v>5534</v>
      </c>
    </row>
    <row r="3299" spans="1:21" s="182" customFormat="1" ht="0" hidden="1" customHeight="1" outlineLevel="5">
      <c r="A3299" s="253" t="s">
        <v>4548</v>
      </c>
      <c r="B3299" s="254"/>
      <c r="C3299" s="250" t="s">
        <v>1609</v>
      </c>
      <c r="D3299" s="203">
        <f>'02 项目基础信息（输入）'!$C$84</f>
        <v>0</v>
      </c>
      <c r="E3299" s="204" t="s">
        <v>93</v>
      </c>
      <c r="F3299" s="250" t="s">
        <v>1960</v>
      </c>
      <c r="G3299" s="318">
        <f>IFERROR('02 项目基础信息（输入）'!AD84*100/'02 项目基础信息（输入）'!C84,0)</f>
        <v>0</v>
      </c>
      <c r="H3299" s="204" t="s">
        <v>123</v>
      </c>
      <c r="I3299" s="265">
        <f>D3299*G3299/100</f>
        <v>0</v>
      </c>
      <c r="J3299" s="204" t="s">
        <v>93</v>
      </c>
      <c r="K3299" s="269"/>
      <c r="L3299" s="210" t="s">
        <v>675</v>
      </c>
      <c r="M3299" s="198">
        <f t="shared" ref="M3299:M3304" si="381">ROUND(K3299*I3299/10000,6)</f>
        <v>0</v>
      </c>
      <c r="N3299" s="212">
        <f>'02 项目基础信息（输入）'!$C$84</f>
        <v>0</v>
      </c>
      <c r="O3299" s="203">
        <f t="shared" si="376"/>
        <v>0</v>
      </c>
      <c r="P3299" s="203">
        <f t="shared" si="378"/>
        <v>0</v>
      </c>
      <c r="Q3299" s="271">
        <f t="shared" si="377"/>
        <v>0</v>
      </c>
      <c r="R3299" s="188"/>
      <c r="S3299" s="280"/>
      <c r="T3299" s="222"/>
      <c r="U3299" s="232" t="s">
        <v>5535</v>
      </c>
    </row>
    <row r="3300" spans="1:21" s="182" customFormat="1" ht="0" hidden="1" customHeight="1" outlineLevel="5">
      <c r="A3300" s="253" t="s">
        <v>4550</v>
      </c>
      <c r="B3300" s="254"/>
      <c r="C3300" s="250" t="s">
        <v>1609</v>
      </c>
      <c r="D3300" s="203">
        <f>'02 项目基础信息（输入）'!$C$84</f>
        <v>0</v>
      </c>
      <c r="E3300" s="204" t="s">
        <v>93</v>
      </c>
      <c r="F3300" s="250" t="s">
        <v>1960</v>
      </c>
      <c r="G3300" s="319">
        <f>G3299</f>
        <v>0</v>
      </c>
      <c r="H3300" s="204" t="s">
        <v>123</v>
      </c>
      <c r="I3300" s="265">
        <f>D3300*G3300/100</f>
        <v>0</v>
      </c>
      <c r="J3300" s="204" t="s">
        <v>93</v>
      </c>
      <c r="K3300" s="269"/>
      <c r="L3300" s="210" t="s">
        <v>675</v>
      </c>
      <c r="M3300" s="198">
        <f t="shared" si="381"/>
        <v>0</v>
      </c>
      <c r="N3300" s="212">
        <f>'02 项目基础信息（输入）'!$C$84</f>
        <v>0</v>
      </c>
      <c r="O3300" s="203">
        <f t="shared" si="376"/>
        <v>0</v>
      </c>
      <c r="P3300" s="203">
        <f t="shared" si="378"/>
        <v>0</v>
      </c>
      <c r="Q3300" s="271">
        <f t="shared" si="377"/>
        <v>0</v>
      </c>
      <c r="R3300" s="188"/>
      <c r="S3300" s="280"/>
      <c r="T3300" s="222"/>
      <c r="U3300" s="232" t="s">
        <v>5536</v>
      </c>
    </row>
    <row r="3301" spans="1:21" s="182" customFormat="1" ht="0" hidden="1" customHeight="1" outlineLevel="5">
      <c r="A3301" s="320" t="s">
        <v>4552</v>
      </c>
      <c r="B3301" s="321"/>
      <c r="C3301" s="322" t="s">
        <v>1609</v>
      </c>
      <c r="D3301" s="323">
        <f>'02 项目基础信息（输入）'!$C$84</f>
        <v>0</v>
      </c>
      <c r="E3301" s="324" t="s">
        <v>93</v>
      </c>
      <c r="F3301" s="322" t="s">
        <v>1960</v>
      </c>
      <c r="G3301" s="325">
        <f>G3300</f>
        <v>0</v>
      </c>
      <c r="H3301" s="324" t="s">
        <v>123</v>
      </c>
      <c r="I3301" s="265">
        <f>D3301*G3301/100</f>
        <v>0</v>
      </c>
      <c r="J3301" s="324" t="s">
        <v>93</v>
      </c>
      <c r="K3301" s="333"/>
      <c r="L3301" s="334" t="s">
        <v>675</v>
      </c>
      <c r="M3301" s="335">
        <f t="shared" si="381"/>
        <v>0</v>
      </c>
      <c r="N3301" s="336">
        <f>'02 项目基础信息（输入）'!$C$84</f>
        <v>0</v>
      </c>
      <c r="O3301" s="323">
        <f t="shared" si="376"/>
        <v>0</v>
      </c>
      <c r="P3301" s="323">
        <f t="shared" si="378"/>
        <v>0</v>
      </c>
      <c r="Q3301" s="342">
        <f t="shared" si="377"/>
        <v>0</v>
      </c>
      <c r="R3301" s="188"/>
      <c r="S3301" s="343"/>
      <c r="T3301" s="222"/>
      <c r="U3301" s="344" t="s">
        <v>5537</v>
      </c>
    </row>
    <row r="3302" spans="1:21" s="184" customFormat="1" ht="0" hidden="1" customHeight="1" outlineLevel="4">
      <c r="A3302" s="253" t="s">
        <v>4554</v>
      </c>
      <c r="B3302" s="321"/>
      <c r="C3302" s="322" t="s">
        <v>1609</v>
      </c>
      <c r="D3302" s="323">
        <f>'02 项目基础信息（输入）'!$C$84</f>
        <v>0</v>
      </c>
      <c r="E3302" s="324" t="s">
        <v>93</v>
      </c>
      <c r="F3302" s="202" t="s">
        <v>4555</v>
      </c>
      <c r="G3302" s="210">
        <f>IFERROR(I3302/D3302,0)</f>
        <v>0</v>
      </c>
      <c r="H3302" s="204" t="s">
        <v>4385</v>
      </c>
      <c r="I3302" s="292"/>
      <c r="J3302" s="204" t="s">
        <v>400</v>
      </c>
      <c r="K3302" s="269"/>
      <c r="L3302" s="210" t="s">
        <v>1749</v>
      </c>
      <c r="M3302" s="335">
        <f t="shared" si="381"/>
        <v>0</v>
      </c>
      <c r="N3302" s="212">
        <f>'02 项目基础信息（输入）'!$C$84</f>
        <v>0</v>
      </c>
      <c r="O3302" s="203">
        <f t="shared" si="376"/>
        <v>0</v>
      </c>
      <c r="P3302" s="203">
        <f t="shared" si="378"/>
        <v>0</v>
      </c>
      <c r="Q3302" s="203">
        <f t="shared" si="377"/>
        <v>0</v>
      </c>
      <c r="R3302" s="188"/>
      <c r="S3302" s="280"/>
      <c r="T3302" s="222"/>
      <c r="U3302" s="345" t="s">
        <v>5538</v>
      </c>
    </row>
    <row r="3303" spans="1:21" s="181" customFormat="1" ht="0" hidden="1" customHeight="1" outlineLevel="4">
      <c r="A3303" s="253" t="s">
        <v>4557</v>
      </c>
      <c r="B3303" s="253"/>
      <c r="C3303" s="202" t="s">
        <v>1609</v>
      </c>
      <c r="D3303" s="203">
        <f>'02 项目基础信息（输入）'!$C$84</f>
        <v>0</v>
      </c>
      <c r="E3303" s="204" t="s">
        <v>93</v>
      </c>
      <c r="F3303" s="202" t="s">
        <v>1960</v>
      </c>
      <c r="G3303" s="326"/>
      <c r="H3303" s="278" t="s">
        <v>123</v>
      </c>
      <c r="I3303" s="268">
        <f>G3303*D3303/100</f>
        <v>0</v>
      </c>
      <c r="J3303" s="204" t="s">
        <v>93</v>
      </c>
      <c r="K3303" s="269"/>
      <c r="L3303" s="210" t="s">
        <v>675</v>
      </c>
      <c r="M3303" s="198">
        <f t="shared" si="381"/>
        <v>0</v>
      </c>
      <c r="N3303" s="212">
        <f>'02 项目基础信息（输入）'!$C$84</f>
        <v>0</v>
      </c>
      <c r="O3303" s="203">
        <f t="shared" si="376"/>
        <v>0</v>
      </c>
      <c r="P3303" s="203">
        <f t="shared" si="378"/>
        <v>0</v>
      </c>
      <c r="Q3303" s="203">
        <f t="shared" si="377"/>
        <v>0</v>
      </c>
      <c r="R3303" s="188"/>
      <c r="S3303" s="280"/>
      <c r="T3303" s="222"/>
      <c r="U3303" s="346" t="s">
        <v>5539</v>
      </c>
    </row>
    <row r="3304" spans="1:21" s="181" customFormat="1" ht="0" hidden="1" customHeight="1" outlineLevel="3">
      <c r="A3304" s="253" t="s">
        <v>4559</v>
      </c>
      <c r="B3304" s="253"/>
      <c r="C3304" s="202" t="s">
        <v>4560</v>
      </c>
      <c r="D3304" s="273">
        <f>'02 项目基础信息（输入）'!BB84</f>
        <v>0</v>
      </c>
      <c r="E3304" s="204" t="s">
        <v>1082</v>
      </c>
      <c r="F3304" s="202" t="s">
        <v>4560</v>
      </c>
      <c r="G3304" s="204">
        <v>1</v>
      </c>
      <c r="H3304" s="204" t="s">
        <v>1918</v>
      </c>
      <c r="I3304" s="265">
        <f>D3304*G3304</f>
        <v>0</v>
      </c>
      <c r="J3304" s="204" t="s">
        <v>1082</v>
      </c>
      <c r="K3304" s="270"/>
      <c r="L3304" s="210" t="s">
        <v>1087</v>
      </c>
      <c r="M3304" s="198">
        <f t="shared" si="381"/>
        <v>0</v>
      </c>
      <c r="N3304" s="212">
        <f>'02 项目基础信息（输入）'!$C$84</f>
        <v>0</v>
      </c>
      <c r="O3304" s="203">
        <f t="shared" si="376"/>
        <v>0</v>
      </c>
      <c r="P3304" s="203">
        <f t="shared" si="378"/>
        <v>0</v>
      </c>
      <c r="Q3304" s="203">
        <f t="shared" si="377"/>
        <v>0</v>
      </c>
      <c r="R3304" s="188"/>
      <c r="S3304" s="280"/>
      <c r="T3304" s="222"/>
      <c r="U3304" s="223" t="s">
        <v>5540</v>
      </c>
    </row>
    <row r="3305" spans="1:21" s="181" customFormat="1" ht="0" hidden="1" customHeight="1" outlineLevel="3">
      <c r="A3305" s="274" t="s">
        <v>4562</v>
      </c>
      <c r="B3305" s="327"/>
      <c r="C3305" s="328" t="s">
        <v>1609</v>
      </c>
      <c r="D3305" s="329">
        <f>'02 项目基础信息（输入）'!$C$84</f>
        <v>0</v>
      </c>
      <c r="E3305" s="276" t="s">
        <v>93</v>
      </c>
      <c r="F3305" s="330"/>
      <c r="G3305" s="331"/>
      <c r="H3305" s="332"/>
      <c r="I3305" s="337"/>
      <c r="J3305" s="332"/>
      <c r="K3305" s="338"/>
      <c r="L3305" s="339"/>
      <c r="M3305" s="340">
        <f>ROUND(SUM(M3306:M3308),6)</f>
        <v>0</v>
      </c>
      <c r="N3305" s="341">
        <f>'02 项目基础信息（输入）'!$C$84</f>
        <v>0</v>
      </c>
      <c r="O3305" s="329">
        <f t="shared" si="376"/>
        <v>0</v>
      </c>
      <c r="P3305" s="329">
        <f t="shared" si="378"/>
        <v>0</v>
      </c>
      <c r="Q3305" s="347">
        <f t="shared" si="377"/>
        <v>0</v>
      </c>
      <c r="R3305" s="188"/>
      <c r="S3305" s="348"/>
      <c r="T3305" s="222"/>
      <c r="U3305" s="232" t="s">
        <v>5541</v>
      </c>
    </row>
    <row r="3306" spans="1:21" s="181" customFormat="1" ht="0" hidden="1" customHeight="1" outlineLevel="4">
      <c r="A3306" s="253" t="s">
        <v>4564</v>
      </c>
      <c r="B3306" s="254"/>
      <c r="C3306" s="250" t="s">
        <v>1609</v>
      </c>
      <c r="D3306" s="203">
        <f>'02 项目基础信息（输入）'!$C$84</f>
        <v>0</v>
      </c>
      <c r="E3306" s="204" t="s">
        <v>93</v>
      </c>
      <c r="F3306" s="250" t="s">
        <v>1960</v>
      </c>
      <c r="G3306" s="318">
        <f>IFERROR('02 项目基础信息（输入）'!AG84*100/'02 项目基础信息（输入）'!C84,0)</f>
        <v>0</v>
      </c>
      <c r="H3306" s="204" t="s">
        <v>123</v>
      </c>
      <c r="I3306" s="268">
        <f>G3306*D3306/100</f>
        <v>0</v>
      </c>
      <c r="J3306" s="204" t="s">
        <v>93</v>
      </c>
      <c r="K3306" s="269"/>
      <c r="L3306" s="210" t="s">
        <v>675</v>
      </c>
      <c r="M3306" s="198">
        <f>ROUND(K3306*I3306/10000,6)</f>
        <v>0</v>
      </c>
      <c r="N3306" s="212">
        <f>'02 项目基础信息（输入）'!$C$84</f>
        <v>0</v>
      </c>
      <c r="O3306" s="203">
        <f t="shared" si="376"/>
        <v>0</v>
      </c>
      <c r="P3306" s="203">
        <f t="shared" si="378"/>
        <v>0</v>
      </c>
      <c r="Q3306" s="271">
        <f t="shared" si="377"/>
        <v>0</v>
      </c>
      <c r="R3306" s="188"/>
      <c r="S3306" s="280"/>
      <c r="T3306" s="222"/>
      <c r="U3306" s="232" t="s">
        <v>5542</v>
      </c>
    </row>
    <row r="3307" spans="1:21" s="181" customFormat="1" ht="0" hidden="1" customHeight="1" outlineLevel="4">
      <c r="A3307" s="253" t="s">
        <v>4566</v>
      </c>
      <c r="B3307" s="254"/>
      <c r="C3307" s="250" t="s">
        <v>1609</v>
      </c>
      <c r="D3307" s="203">
        <f>'02 项目基础信息（输入）'!$C$84</f>
        <v>0</v>
      </c>
      <c r="E3307" s="204" t="s">
        <v>93</v>
      </c>
      <c r="F3307" s="250" t="s">
        <v>1960</v>
      </c>
      <c r="G3307" s="319">
        <f>G3306</f>
        <v>0</v>
      </c>
      <c r="H3307" s="204" t="s">
        <v>123</v>
      </c>
      <c r="I3307" s="268">
        <f>G3307*D3307/100</f>
        <v>0</v>
      </c>
      <c r="J3307" s="204" t="s">
        <v>93</v>
      </c>
      <c r="K3307" s="269"/>
      <c r="L3307" s="210" t="s">
        <v>675</v>
      </c>
      <c r="M3307" s="198">
        <f>ROUND(K3307*I3307/10000,6)</f>
        <v>0</v>
      </c>
      <c r="N3307" s="212">
        <f>'02 项目基础信息（输入）'!$C$84</f>
        <v>0</v>
      </c>
      <c r="O3307" s="203">
        <f t="shared" si="376"/>
        <v>0</v>
      </c>
      <c r="P3307" s="203">
        <f t="shared" si="378"/>
        <v>0</v>
      </c>
      <c r="Q3307" s="271">
        <f t="shared" si="377"/>
        <v>0</v>
      </c>
      <c r="R3307" s="188"/>
      <c r="S3307" s="280"/>
      <c r="T3307" s="222"/>
      <c r="U3307" s="232" t="s">
        <v>5543</v>
      </c>
    </row>
    <row r="3308" spans="1:21" s="181" customFormat="1" ht="0" hidden="1" customHeight="1" outlineLevel="4">
      <c r="A3308" s="253" t="s">
        <v>4568</v>
      </c>
      <c r="B3308" s="254"/>
      <c r="C3308" s="250" t="s">
        <v>1609</v>
      </c>
      <c r="D3308" s="203">
        <f>'02 项目基础信息（输入）'!$C$84</f>
        <v>0</v>
      </c>
      <c r="E3308" s="204" t="s">
        <v>93</v>
      </c>
      <c r="F3308" s="250" t="s">
        <v>1960</v>
      </c>
      <c r="G3308" s="319">
        <f>G3307</f>
        <v>0</v>
      </c>
      <c r="H3308" s="204" t="s">
        <v>123</v>
      </c>
      <c r="I3308" s="268">
        <f>G3308*D3308/100</f>
        <v>0</v>
      </c>
      <c r="J3308" s="204" t="s">
        <v>93</v>
      </c>
      <c r="K3308" s="269"/>
      <c r="L3308" s="210" t="s">
        <v>675</v>
      </c>
      <c r="M3308" s="198">
        <f>ROUND(K3308*I3308/10000,6)</f>
        <v>0</v>
      </c>
      <c r="N3308" s="212">
        <f>'02 项目基础信息（输入）'!$C$84</f>
        <v>0</v>
      </c>
      <c r="O3308" s="203">
        <f t="shared" si="376"/>
        <v>0</v>
      </c>
      <c r="P3308" s="203">
        <f t="shared" si="378"/>
        <v>0</v>
      </c>
      <c r="Q3308" s="271">
        <f t="shared" si="377"/>
        <v>0</v>
      </c>
      <c r="R3308" s="188"/>
      <c r="S3308" s="280"/>
      <c r="T3308" s="222"/>
      <c r="U3308" s="232" t="s">
        <v>5544</v>
      </c>
    </row>
    <row r="3309" spans="1:21" s="181" customFormat="1" ht="0" hidden="1" customHeight="1" outlineLevel="3">
      <c r="A3309" s="253" t="s">
        <v>4570</v>
      </c>
      <c r="B3309" s="254"/>
      <c r="C3309" s="250" t="s">
        <v>1609</v>
      </c>
      <c r="D3309" s="203">
        <f>'02 项目基础信息（输入）'!$C$84</f>
        <v>0</v>
      </c>
      <c r="E3309" s="204" t="s">
        <v>93</v>
      </c>
      <c r="F3309" s="250" t="s">
        <v>1960</v>
      </c>
      <c r="G3309" s="237"/>
      <c r="H3309" s="278" t="s">
        <v>123</v>
      </c>
      <c r="I3309" s="268">
        <f>G3309*D3309/100</f>
        <v>0</v>
      </c>
      <c r="J3309" s="204" t="s">
        <v>93</v>
      </c>
      <c r="K3309" s="269"/>
      <c r="L3309" s="210" t="s">
        <v>675</v>
      </c>
      <c r="M3309" s="198">
        <f>ROUND(K3309*I3309/10000,6)</f>
        <v>0</v>
      </c>
      <c r="N3309" s="212">
        <f>'02 项目基础信息（输入）'!$C$84</f>
        <v>0</v>
      </c>
      <c r="O3309" s="203">
        <f t="shared" si="376"/>
        <v>0</v>
      </c>
      <c r="P3309" s="203">
        <f t="shared" si="378"/>
        <v>0</v>
      </c>
      <c r="Q3309" s="271">
        <f t="shared" si="377"/>
        <v>0</v>
      </c>
      <c r="R3309" s="188"/>
      <c r="S3309" s="280"/>
      <c r="T3309" s="222"/>
      <c r="U3309" s="232" t="s">
        <v>5545</v>
      </c>
    </row>
    <row r="3310" spans="1:21" s="181" customFormat="1" ht="0" hidden="1" customHeight="1" outlineLevel="3">
      <c r="A3310" s="253" t="s">
        <v>4572</v>
      </c>
      <c r="B3310" s="254"/>
      <c r="C3310" s="250" t="s">
        <v>1609</v>
      </c>
      <c r="D3310" s="203">
        <f>'02 项目基础信息（输入）'!$C$84</f>
        <v>0</v>
      </c>
      <c r="E3310" s="204" t="s">
        <v>93</v>
      </c>
      <c r="F3310" s="288"/>
      <c r="G3310" s="277"/>
      <c r="H3310" s="255"/>
      <c r="I3310" s="268"/>
      <c r="J3310" s="255"/>
      <c r="K3310" s="264"/>
      <c r="L3310" s="205"/>
      <c r="M3310" s="198">
        <f>ROUND(SUM(M3311:M3312),6)</f>
        <v>0</v>
      </c>
      <c r="N3310" s="212">
        <f>'02 项目基础信息（输入）'!$C$84</f>
        <v>0</v>
      </c>
      <c r="O3310" s="203">
        <f t="shared" si="376"/>
        <v>0</v>
      </c>
      <c r="P3310" s="203">
        <f t="shared" si="378"/>
        <v>0</v>
      </c>
      <c r="Q3310" s="271">
        <f t="shared" si="377"/>
        <v>0</v>
      </c>
      <c r="R3310" s="188"/>
      <c r="S3310" s="280"/>
      <c r="T3310" s="222"/>
      <c r="U3310" s="232" t="s">
        <v>5546</v>
      </c>
    </row>
    <row r="3311" spans="1:21" s="181" customFormat="1" ht="0" hidden="1" customHeight="1" outlineLevel="4">
      <c r="A3311" s="253" t="s">
        <v>4574</v>
      </c>
      <c r="B3311" s="254"/>
      <c r="C3311" s="250" t="s">
        <v>4575</v>
      </c>
      <c r="D3311" s="273">
        <f>'02 项目基础信息（输入）'!AQ84</f>
        <v>0</v>
      </c>
      <c r="E3311" s="204" t="s">
        <v>93</v>
      </c>
      <c r="F3311" s="202" t="s">
        <v>4576</v>
      </c>
      <c r="G3311" s="204">
        <v>1</v>
      </c>
      <c r="H3311" s="204" t="s">
        <v>298</v>
      </c>
      <c r="I3311" s="265">
        <f>D3311*G3311</f>
        <v>0</v>
      </c>
      <c r="J3311" s="204" t="s">
        <v>93</v>
      </c>
      <c r="K3311" s="269"/>
      <c r="L3311" s="210" t="s">
        <v>1749</v>
      </c>
      <c r="M3311" s="198">
        <f>ROUND(K3311*I3311/10000,6)</f>
        <v>0</v>
      </c>
      <c r="N3311" s="212">
        <f>'02 项目基础信息（输入）'!$C$84</f>
        <v>0</v>
      </c>
      <c r="O3311" s="203">
        <f t="shared" si="376"/>
        <v>0</v>
      </c>
      <c r="P3311" s="203">
        <f t="shared" si="378"/>
        <v>0</v>
      </c>
      <c r="Q3311" s="271">
        <f t="shared" si="377"/>
        <v>0</v>
      </c>
      <c r="R3311" s="188"/>
      <c r="S3311" s="280"/>
      <c r="T3311" s="222"/>
      <c r="U3311" s="232" t="s">
        <v>5547</v>
      </c>
    </row>
    <row r="3312" spans="1:21" s="181" customFormat="1" ht="0" hidden="1" customHeight="1" outlineLevel="4">
      <c r="A3312" s="253" t="s">
        <v>4578</v>
      </c>
      <c r="B3312" s="254"/>
      <c r="C3312" s="250" t="s">
        <v>4575</v>
      </c>
      <c r="D3312" s="212">
        <f>D3311</f>
        <v>0</v>
      </c>
      <c r="E3312" s="204" t="s">
        <v>93</v>
      </c>
      <c r="F3312" s="202" t="s">
        <v>4576</v>
      </c>
      <c r="G3312" s="204">
        <v>1</v>
      </c>
      <c r="H3312" s="204" t="s">
        <v>298</v>
      </c>
      <c r="I3312" s="265">
        <f>D3312*G3312</f>
        <v>0</v>
      </c>
      <c r="J3312" s="204" t="s">
        <v>93</v>
      </c>
      <c r="K3312" s="269"/>
      <c r="L3312" s="210" t="s">
        <v>1749</v>
      </c>
      <c r="M3312" s="198">
        <f>ROUND(K3312*I3312/10000,6)</f>
        <v>0</v>
      </c>
      <c r="N3312" s="212">
        <f>'02 项目基础信息（输入）'!$C$84</f>
        <v>0</v>
      </c>
      <c r="O3312" s="203">
        <f t="shared" si="376"/>
        <v>0</v>
      </c>
      <c r="P3312" s="203">
        <f t="shared" si="378"/>
        <v>0</v>
      </c>
      <c r="Q3312" s="271">
        <f t="shared" si="377"/>
        <v>0</v>
      </c>
      <c r="R3312" s="188"/>
      <c r="S3312" s="280"/>
      <c r="T3312" s="222"/>
      <c r="U3312" s="232" t="s">
        <v>5548</v>
      </c>
    </row>
    <row r="3313" spans="1:21" s="181" customFormat="1" ht="0" hidden="1" customHeight="1" outlineLevel="3">
      <c r="A3313" s="253" t="s">
        <v>4580</v>
      </c>
      <c r="B3313" s="254"/>
      <c r="C3313" s="250" t="s">
        <v>4581</v>
      </c>
      <c r="D3313" s="289">
        <f>'02 项目基础信息（输入）'!BA84</f>
        <v>0</v>
      </c>
      <c r="E3313" s="204" t="s">
        <v>1082</v>
      </c>
      <c r="F3313" s="250" t="s">
        <v>4581</v>
      </c>
      <c r="G3313" s="204">
        <v>1</v>
      </c>
      <c r="H3313" s="204" t="s">
        <v>1918</v>
      </c>
      <c r="I3313" s="265">
        <f>D3313*G3313</f>
        <v>0</v>
      </c>
      <c r="J3313" s="204" t="s">
        <v>1082</v>
      </c>
      <c r="K3313" s="269"/>
      <c r="L3313" s="210" t="s">
        <v>1087</v>
      </c>
      <c r="M3313" s="198">
        <f>ROUND(K3313*I3313/10000,6)</f>
        <v>0</v>
      </c>
      <c r="N3313" s="212">
        <f>'02 项目基础信息（输入）'!$C$84</f>
        <v>0</v>
      </c>
      <c r="O3313" s="203">
        <f t="shared" si="376"/>
        <v>0</v>
      </c>
      <c r="P3313" s="203">
        <f t="shared" si="378"/>
        <v>0</v>
      </c>
      <c r="Q3313" s="271">
        <f t="shared" si="377"/>
        <v>0</v>
      </c>
      <c r="R3313" s="188"/>
      <c r="S3313" s="280"/>
      <c r="T3313" s="222"/>
      <c r="U3313" s="232" t="s">
        <v>5549</v>
      </c>
    </row>
    <row r="3314" spans="1:21" s="181" customFormat="1" ht="0" hidden="1" customHeight="1" outlineLevel="3">
      <c r="A3314" s="253" t="s">
        <v>4583</v>
      </c>
      <c r="B3314" s="254"/>
      <c r="C3314" s="250" t="s">
        <v>1609</v>
      </c>
      <c r="D3314" s="203">
        <f>'02 项目基础信息（输入）'!$C$84</f>
        <v>0</v>
      </c>
      <c r="E3314" s="204" t="s">
        <v>93</v>
      </c>
      <c r="F3314" s="250" t="s">
        <v>4584</v>
      </c>
      <c r="G3314" s="210">
        <f>IFERROR(I3314/D3314,0)</f>
        <v>0</v>
      </c>
      <c r="H3314" s="204" t="s">
        <v>298</v>
      </c>
      <c r="I3314" s="285"/>
      <c r="J3314" s="204" t="s">
        <v>93</v>
      </c>
      <c r="K3314" s="269"/>
      <c r="L3314" s="210" t="s">
        <v>675</v>
      </c>
      <c r="M3314" s="198">
        <f>ROUND(K3314*I3314/10000,6)</f>
        <v>0</v>
      </c>
      <c r="N3314" s="212">
        <f>'02 项目基础信息（输入）'!$C$84</f>
        <v>0</v>
      </c>
      <c r="O3314" s="203">
        <f t="shared" si="376"/>
        <v>0</v>
      </c>
      <c r="P3314" s="203">
        <f t="shared" si="378"/>
        <v>0</v>
      </c>
      <c r="Q3314" s="271">
        <f t="shared" si="377"/>
        <v>0</v>
      </c>
      <c r="R3314" s="188"/>
      <c r="S3314" s="280"/>
      <c r="T3314" s="222"/>
      <c r="U3314" s="223" t="s">
        <v>5550</v>
      </c>
    </row>
    <row r="3315" spans="1:21" s="181" customFormat="1" ht="0" hidden="1" customHeight="1" outlineLevel="3">
      <c r="A3315" s="253" t="s">
        <v>4586</v>
      </c>
      <c r="B3315" s="254"/>
      <c r="C3315" s="250" t="s">
        <v>1609</v>
      </c>
      <c r="D3315" s="203">
        <f>'02 项目基础信息（输入）'!$C$84</f>
        <v>0</v>
      </c>
      <c r="E3315" s="204" t="s">
        <v>93</v>
      </c>
      <c r="F3315" s="250" t="s">
        <v>1960</v>
      </c>
      <c r="G3315" s="237"/>
      <c r="H3315" s="278" t="s">
        <v>123</v>
      </c>
      <c r="I3315" s="268">
        <f>G3315*D3315/100</f>
        <v>0</v>
      </c>
      <c r="J3315" s="204" t="s">
        <v>93</v>
      </c>
      <c r="K3315" s="269"/>
      <c r="L3315" s="210" t="s">
        <v>675</v>
      </c>
      <c r="M3315" s="198">
        <f>ROUND(K3315*I3315/10000,6)</f>
        <v>0</v>
      </c>
      <c r="N3315" s="212">
        <f>'02 项目基础信息（输入）'!$C$84</f>
        <v>0</v>
      </c>
      <c r="O3315" s="203">
        <f t="shared" si="376"/>
        <v>0</v>
      </c>
      <c r="P3315" s="203">
        <f t="shared" si="378"/>
        <v>0</v>
      </c>
      <c r="Q3315" s="271">
        <f t="shared" si="377"/>
        <v>0</v>
      </c>
      <c r="R3315" s="188"/>
      <c r="S3315" s="280"/>
      <c r="T3315" s="222"/>
      <c r="U3315" s="223" t="s">
        <v>5551</v>
      </c>
    </row>
    <row r="3316" spans="1:21" s="181" customFormat="1" ht="0" hidden="1" customHeight="1" outlineLevel="3">
      <c r="A3316" s="253" t="s">
        <v>4588</v>
      </c>
      <c r="B3316" s="254"/>
      <c r="C3316" s="250" t="s">
        <v>1665</v>
      </c>
      <c r="D3316" s="203">
        <f>ROUND(M3297+M3304+M3305+M3310+M3313+M3314+M3315,6)*10000</f>
        <v>0</v>
      </c>
      <c r="E3316" s="204" t="s">
        <v>1666</v>
      </c>
      <c r="F3316" s="202" t="s">
        <v>1667</v>
      </c>
      <c r="G3316" s="258">
        <f>IFERROR(I3316*100/D3316,0)</f>
        <v>0</v>
      </c>
      <c r="H3316" s="204" t="s">
        <v>123</v>
      </c>
      <c r="I3316" s="265">
        <f>N3316*K3316</f>
        <v>0</v>
      </c>
      <c r="J3316" s="204" t="s">
        <v>1666</v>
      </c>
      <c r="K3316" s="269"/>
      <c r="L3316" s="210" t="s">
        <v>675</v>
      </c>
      <c r="M3316" s="231">
        <f>ROUND(I3316/10000,6)</f>
        <v>0</v>
      </c>
      <c r="N3316" s="212">
        <f>'02 项目基础信息（输入）'!$C$84</f>
        <v>0</v>
      </c>
      <c r="O3316" s="203">
        <f t="shared" si="376"/>
        <v>0</v>
      </c>
      <c r="P3316" s="203">
        <f t="shared" si="378"/>
        <v>0</v>
      </c>
      <c r="Q3316" s="271">
        <f t="shared" si="377"/>
        <v>0</v>
      </c>
      <c r="R3316" s="188"/>
      <c r="S3316" s="280"/>
      <c r="T3316" s="222"/>
      <c r="U3316" s="223" t="s">
        <v>5552</v>
      </c>
    </row>
    <row r="3317" spans="1:21" ht="0" hidden="1" customHeight="1" outlineLevel="2">
      <c r="A3317" s="201" t="s">
        <v>4590</v>
      </c>
      <c r="B3317" s="201"/>
      <c r="C3317" s="202" t="s">
        <v>1609</v>
      </c>
      <c r="D3317" s="203">
        <f>'02 项目基础信息（输入）'!$C$84</f>
        <v>0</v>
      </c>
      <c r="E3317" s="204" t="s">
        <v>93</v>
      </c>
      <c r="F3317" s="256"/>
      <c r="G3317" s="255"/>
      <c r="H3317" s="255"/>
      <c r="I3317" s="212"/>
      <c r="J3317" s="255"/>
      <c r="K3317" s="264"/>
      <c r="L3317" s="205"/>
      <c r="M3317" s="198">
        <f>M3318+M3326</f>
        <v>0</v>
      </c>
      <c r="N3317" s="212">
        <f>'02 项目基础信息（输入）'!$C$84</f>
        <v>0</v>
      </c>
      <c r="O3317" s="203">
        <f t="shared" si="376"/>
        <v>0</v>
      </c>
      <c r="P3317" s="203">
        <f t="shared" si="378"/>
        <v>0</v>
      </c>
      <c r="Q3317" s="271">
        <f t="shared" si="377"/>
        <v>0</v>
      </c>
      <c r="S3317" s="280" t="s">
        <v>1314</v>
      </c>
      <c r="T3317" s="222"/>
      <c r="U3317" s="223" t="s">
        <v>5553</v>
      </c>
    </row>
    <row r="3318" spans="1:21" ht="0" hidden="1" customHeight="1" outlineLevel="3">
      <c r="A3318" s="201" t="s">
        <v>4592</v>
      </c>
      <c r="B3318" s="201"/>
      <c r="C3318" s="202" t="s">
        <v>1609</v>
      </c>
      <c r="D3318" s="203">
        <f>'02 项目基础信息（输入）'!$C$84</f>
        <v>0</v>
      </c>
      <c r="E3318" s="204" t="s">
        <v>93</v>
      </c>
      <c r="F3318" s="202"/>
      <c r="G3318" s="204"/>
      <c r="H3318" s="204"/>
      <c r="I3318" s="203"/>
      <c r="J3318" s="255"/>
      <c r="K3318" s="264"/>
      <c r="L3318" s="205"/>
      <c r="M3318" s="198">
        <f>ROUND(M3319+M3322+M3325,6)</f>
        <v>0</v>
      </c>
      <c r="N3318" s="212">
        <f>'02 项目基础信息（输入）'!$C$84</f>
        <v>0</v>
      </c>
      <c r="O3318" s="203">
        <f t="shared" si="376"/>
        <v>0</v>
      </c>
      <c r="P3318" s="203">
        <f t="shared" si="378"/>
        <v>0</v>
      </c>
      <c r="Q3318" s="271">
        <f t="shared" si="377"/>
        <v>0</v>
      </c>
      <c r="S3318" s="280"/>
      <c r="T3318" s="222"/>
      <c r="U3318" s="223" t="s">
        <v>5554</v>
      </c>
    </row>
    <row r="3319" spans="1:21" s="181" customFormat="1" ht="0" hidden="1" customHeight="1" outlineLevel="4">
      <c r="A3319" s="253" t="s">
        <v>4594</v>
      </c>
      <c r="B3319" s="254"/>
      <c r="C3319" s="250" t="s">
        <v>1609</v>
      </c>
      <c r="D3319" s="203">
        <f>'02 项目基础信息（输入）'!$C$84</f>
        <v>0</v>
      </c>
      <c r="E3319" s="204" t="s">
        <v>93</v>
      </c>
      <c r="F3319" s="202"/>
      <c r="G3319" s="280"/>
      <c r="H3319" s="204"/>
      <c r="I3319" s="268"/>
      <c r="J3319" s="204"/>
      <c r="K3319" s="203"/>
      <c r="L3319" s="210"/>
      <c r="M3319" s="198">
        <f>ROUND(SUM(M3320:M3321),6)</f>
        <v>0</v>
      </c>
      <c r="N3319" s="212">
        <f>'02 项目基础信息（输入）'!$C$84</f>
        <v>0</v>
      </c>
      <c r="O3319" s="203">
        <f t="shared" si="376"/>
        <v>0</v>
      </c>
      <c r="P3319" s="203">
        <f t="shared" si="378"/>
        <v>0</v>
      </c>
      <c r="Q3319" s="271">
        <f t="shared" si="377"/>
        <v>0</v>
      </c>
      <c r="R3319" s="188"/>
      <c r="S3319" s="280"/>
      <c r="T3319" s="222"/>
      <c r="U3319" s="223" t="s">
        <v>5555</v>
      </c>
    </row>
    <row r="3320" spans="1:21" s="181" customFormat="1" ht="0" hidden="1" customHeight="1" outlineLevel="5">
      <c r="A3320" s="253" t="s">
        <v>4596</v>
      </c>
      <c r="B3320" s="254"/>
      <c r="C3320" s="250" t="s">
        <v>1609</v>
      </c>
      <c r="D3320" s="203">
        <f>'02 项目基础信息（输入）'!$C$84</f>
        <v>0</v>
      </c>
      <c r="E3320" s="204" t="s">
        <v>93</v>
      </c>
      <c r="F3320" s="202" t="s">
        <v>4597</v>
      </c>
      <c r="G3320" s="210">
        <f>IFERROR(I3320/D3320,0)</f>
        <v>0</v>
      </c>
      <c r="H3320" s="204" t="s">
        <v>4598</v>
      </c>
      <c r="I3320" s="292"/>
      <c r="J3320" s="204" t="s">
        <v>1052</v>
      </c>
      <c r="K3320" s="292"/>
      <c r="L3320" s="210" t="s">
        <v>746</v>
      </c>
      <c r="M3320" s="198">
        <f>ROUND(K3320*I3320/10000,6)</f>
        <v>0</v>
      </c>
      <c r="N3320" s="212">
        <f>'02 项目基础信息（输入）'!$C$84</f>
        <v>0</v>
      </c>
      <c r="O3320" s="203">
        <f t="shared" si="376"/>
        <v>0</v>
      </c>
      <c r="P3320" s="203">
        <f t="shared" si="378"/>
        <v>0</v>
      </c>
      <c r="Q3320" s="271">
        <f t="shared" si="377"/>
        <v>0</v>
      </c>
      <c r="R3320" s="188"/>
      <c r="S3320" s="280"/>
      <c r="T3320" s="222"/>
      <c r="U3320" s="223" t="s">
        <v>5556</v>
      </c>
    </row>
    <row r="3321" spans="1:21" s="181" customFormat="1" ht="0" hidden="1" customHeight="1" outlineLevel="5">
      <c r="A3321" s="253" t="s">
        <v>4600</v>
      </c>
      <c r="B3321" s="254"/>
      <c r="C3321" s="250" t="s">
        <v>1609</v>
      </c>
      <c r="D3321" s="203">
        <f>'02 项目基础信息（输入）'!$C$84</f>
        <v>0</v>
      </c>
      <c r="E3321" s="204" t="s">
        <v>93</v>
      </c>
      <c r="F3321" s="202" t="s">
        <v>4597</v>
      </c>
      <c r="G3321" s="210">
        <f>IFERROR(I3321/D3321,0)</f>
        <v>0</v>
      </c>
      <c r="H3321" s="204" t="s">
        <v>4598</v>
      </c>
      <c r="I3321" s="212">
        <f>I3320</f>
        <v>0</v>
      </c>
      <c r="J3321" s="204" t="s">
        <v>1052</v>
      </c>
      <c r="K3321" s="292"/>
      <c r="L3321" s="210" t="s">
        <v>746</v>
      </c>
      <c r="M3321" s="198">
        <f>ROUND(K3321*I3321/10000,6)</f>
        <v>0</v>
      </c>
      <c r="N3321" s="212">
        <f>'02 项目基础信息（输入）'!$C$84</f>
        <v>0</v>
      </c>
      <c r="O3321" s="203">
        <f t="shared" si="376"/>
        <v>0</v>
      </c>
      <c r="P3321" s="203">
        <f t="shared" si="378"/>
        <v>0</v>
      </c>
      <c r="Q3321" s="271">
        <f t="shared" si="377"/>
        <v>0</v>
      </c>
      <c r="R3321" s="188"/>
      <c r="S3321" s="280"/>
      <c r="T3321" s="222"/>
      <c r="U3321" s="223" t="s">
        <v>5557</v>
      </c>
    </row>
    <row r="3322" spans="1:21" s="181" customFormat="1" ht="0" hidden="1" customHeight="1" outlineLevel="4">
      <c r="A3322" s="253" t="s">
        <v>4602</v>
      </c>
      <c r="B3322" s="254"/>
      <c r="C3322" s="250" t="s">
        <v>1609</v>
      </c>
      <c r="D3322" s="203">
        <f>'02 项目基础信息（输入）'!$C$84</f>
        <v>0</v>
      </c>
      <c r="E3322" s="204" t="s">
        <v>93</v>
      </c>
      <c r="F3322" s="202"/>
      <c r="G3322" s="280"/>
      <c r="H3322" s="204"/>
      <c r="I3322" s="268"/>
      <c r="J3322" s="204"/>
      <c r="K3322" s="203"/>
      <c r="L3322" s="210"/>
      <c r="M3322" s="198">
        <f>ROUND(SUM(M3323:M3324),6)</f>
        <v>0</v>
      </c>
      <c r="N3322" s="212">
        <f>'02 项目基础信息（输入）'!$C$84</f>
        <v>0</v>
      </c>
      <c r="O3322" s="203">
        <f t="shared" si="376"/>
        <v>0</v>
      </c>
      <c r="P3322" s="203">
        <f t="shared" si="378"/>
        <v>0</v>
      </c>
      <c r="Q3322" s="271">
        <f t="shared" si="377"/>
        <v>0</v>
      </c>
      <c r="R3322" s="188"/>
      <c r="S3322" s="280"/>
      <c r="T3322" s="222"/>
      <c r="U3322" s="223" t="s">
        <v>5558</v>
      </c>
    </row>
    <row r="3323" spans="1:21" s="181" customFormat="1" ht="0" hidden="1" customHeight="1" outlineLevel="5">
      <c r="A3323" s="253" t="s">
        <v>4604</v>
      </c>
      <c r="B3323" s="254"/>
      <c r="C3323" s="250" t="s">
        <v>1609</v>
      </c>
      <c r="D3323" s="203">
        <f>'02 项目基础信息（输入）'!$C$84</f>
        <v>0</v>
      </c>
      <c r="E3323" s="204" t="s">
        <v>93</v>
      </c>
      <c r="F3323" s="202" t="s">
        <v>4605</v>
      </c>
      <c r="G3323" s="210">
        <f>IFERROR(I3323/D3323,0)</f>
        <v>0</v>
      </c>
      <c r="H3323" s="204" t="s">
        <v>4606</v>
      </c>
      <c r="I3323" s="292"/>
      <c r="J3323" s="204" t="s">
        <v>1946</v>
      </c>
      <c r="K3323" s="292"/>
      <c r="L3323" s="210" t="s">
        <v>1948</v>
      </c>
      <c r="M3323" s="198">
        <f>ROUND(K3323*I3323/10000,6)</f>
        <v>0</v>
      </c>
      <c r="N3323" s="212">
        <f>'02 项目基础信息（输入）'!$C$84</f>
        <v>0</v>
      </c>
      <c r="O3323" s="203">
        <f t="shared" si="376"/>
        <v>0</v>
      </c>
      <c r="P3323" s="203">
        <f t="shared" si="378"/>
        <v>0</v>
      </c>
      <c r="Q3323" s="271">
        <f t="shared" si="377"/>
        <v>0</v>
      </c>
      <c r="R3323" s="188"/>
      <c r="S3323" s="280"/>
      <c r="T3323" s="222"/>
      <c r="U3323" s="223" t="s">
        <v>5559</v>
      </c>
    </row>
    <row r="3324" spans="1:21" s="181" customFormat="1" ht="0" hidden="1" customHeight="1" outlineLevel="5">
      <c r="A3324" s="253" t="s">
        <v>4608</v>
      </c>
      <c r="B3324" s="254"/>
      <c r="C3324" s="250" t="s">
        <v>1609</v>
      </c>
      <c r="D3324" s="203">
        <f>'02 项目基础信息（输入）'!$C$84</f>
        <v>0</v>
      </c>
      <c r="E3324" s="204" t="s">
        <v>93</v>
      </c>
      <c r="F3324" s="202" t="s">
        <v>4605</v>
      </c>
      <c r="G3324" s="210">
        <f>IFERROR(I3324/D3324,0)</f>
        <v>0</v>
      </c>
      <c r="H3324" s="204" t="s">
        <v>4606</v>
      </c>
      <c r="I3324" s="212">
        <f>I3323</f>
        <v>0</v>
      </c>
      <c r="J3324" s="204" t="s">
        <v>1946</v>
      </c>
      <c r="K3324" s="292"/>
      <c r="L3324" s="210" t="s">
        <v>1948</v>
      </c>
      <c r="M3324" s="198">
        <f>ROUND(K3324*I3324/10000,6)</f>
        <v>0</v>
      </c>
      <c r="N3324" s="212">
        <f>'02 项目基础信息（输入）'!$C$84</f>
        <v>0</v>
      </c>
      <c r="O3324" s="203">
        <f t="shared" si="376"/>
        <v>0</v>
      </c>
      <c r="P3324" s="203">
        <f t="shared" si="378"/>
        <v>0</v>
      </c>
      <c r="Q3324" s="271">
        <f t="shared" si="377"/>
        <v>0</v>
      </c>
      <c r="R3324" s="188"/>
      <c r="S3324" s="280"/>
      <c r="T3324" s="222"/>
      <c r="U3324" s="223" t="s">
        <v>5560</v>
      </c>
    </row>
    <row r="3325" spans="1:21" s="181" customFormat="1" ht="0" hidden="1" customHeight="1" outlineLevel="4">
      <c r="A3325" s="253" t="s">
        <v>4610</v>
      </c>
      <c r="B3325" s="254"/>
      <c r="C3325" s="250" t="s">
        <v>1609</v>
      </c>
      <c r="D3325" s="203">
        <f>'02 项目基础信息（输入）'!$C$84</f>
        <v>0</v>
      </c>
      <c r="E3325" s="204" t="s">
        <v>93</v>
      </c>
      <c r="F3325" s="202" t="s">
        <v>1648</v>
      </c>
      <c r="G3325" s="290">
        <v>1</v>
      </c>
      <c r="H3325" s="204" t="s">
        <v>298</v>
      </c>
      <c r="I3325" s="265">
        <f>D3325*G3325</f>
        <v>0</v>
      </c>
      <c r="J3325" s="204" t="s">
        <v>93</v>
      </c>
      <c r="K3325" s="292"/>
      <c r="L3325" s="210" t="s">
        <v>675</v>
      </c>
      <c r="M3325" s="198">
        <f>ROUND(K3325*I3325/10000,6)</f>
        <v>0</v>
      </c>
      <c r="N3325" s="212">
        <f>'02 项目基础信息（输入）'!$C$84</f>
        <v>0</v>
      </c>
      <c r="O3325" s="203">
        <f t="shared" si="376"/>
        <v>0</v>
      </c>
      <c r="P3325" s="203">
        <f t="shared" si="378"/>
        <v>0</v>
      </c>
      <c r="Q3325" s="271">
        <f t="shared" si="377"/>
        <v>0</v>
      </c>
      <c r="R3325" s="188"/>
      <c r="S3325" s="280"/>
      <c r="T3325" s="222"/>
      <c r="U3325" s="223" t="s">
        <v>5561</v>
      </c>
    </row>
    <row r="3326" spans="1:21" ht="0" hidden="1" customHeight="1" outlineLevel="3">
      <c r="A3326" s="201" t="s">
        <v>4612</v>
      </c>
      <c r="B3326" s="201"/>
      <c r="C3326" s="202" t="s">
        <v>1609</v>
      </c>
      <c r="D3326" s="203">
        <f>'02 项目基础信息（输入）'!$C$84</f>
        <v>0</v>
      </c>
      <c r="E3326" s="204" t="s">
        <v>93</v>
      </c>
      <c r="F3326" s="202"/>
      <c r="G3326" s="204"/>
      <c r="H3326" s="204"/>
      <c r="I3326" s="212"/>
      <c r="J3326" s="255"/>
      <c r="K3326" s="264"/>
      <c r="L3326" s="205"/>
      <c r="M3326" s="198">
        <f>ROUND(SUM(M3327:M3329),6)</f>
        <v>0</v>
      </c>
      <c r="N3326" s="212">
        <f>'02 项目基础信息（输入）'!$C$84</f>
        <v>0</v>
      </c>
      <c r="O3326" s="203">
        <f t="shared" si="376"/>
        <v>0</v>
      </c>
      <c r="P3326" s="203">
        <f t="shared" si="378"/>
        <v>0</v>
      </c>
      <c r="Q3326" s="271">
        <f t="shared" si="377"/>
        <v>0</v>
      </c>
      <c r="S3326" s="280"/>
      <c r="T3326" s="222"/>
      <c r="U3326" s="223" t="s">
        <v>5562</v>
      </c>
    </row>
    <row r="3327" spans="1:21" s="181" customFormat="1" ht="0" hidden="1" customHeight="1" outlineLevel="5">
      <c r="A3327" s="253" t="s">
        <v>4614</v>
      </c>
      <c r="B3327" s="253"/>
      <c r="C3327" s="202" t="s">
        <v>1609</v>
      </c>
      <c r="D3327" s="203">
        <f>'02 项目基础信息（输入）'!$C$84</f>
        <v>0</v>
      </c>
      <c r="E3327" s="204" t="s">
        <v>93</v>
      </c>
      <c r="F3327" s="202" t="s">
        <v>4615</v>
      </c>
      <c r="G3327" s="210">
        <f>IFERROR(I3327/D3327,0)</f>
        <v>0</v>
      </c>
      <c r="H3327" s="204" t="s">
        <v>4598</v>
      </c>
      <c r="I3327" s="286"/>
      <c r="J3327" s="204" t="s">
        <v>1052</v>
      </c>
      <c r="K3327" s="269"/>
      <c r="L3327" s="210" t="s">
        <v>746</v>
      </c>
      <c r="M3327" s="198">
        <f>ROUND(K3327*I3327/10000,6)</f>
        <v>0</v>
      </c>
      <c r="N3327" s="212">
        <f>'02 项目基础信息（输入）'!$C$84</f>
        <v>0</v>
      </c>
      <c r="O3327" s="203">
        <f t="shared" si="376"/>
        <v>0</v>
      </c>
      <c r="P3327" s="203">
        <f t="shared" si="378"/>
        <v>0</v>
      </c>
      <c r="Q3327" s="271">
        <f t="shared" si="377"/>
        <v>0</v>
      </c>
      <c r="R3327" s="188"/>
      <c r="S3327" s="280"/>
      <c r="T3327" s="222"/>
      <c r="U3327" s="223" t="s">
        <v>5563</v>
      </c>
    </row>
    <row r="3328" spans="1:21" s="181" customFormat="1" ht="0" hidden="1" customHeight="1" outlineLevel="5">
      <c r="A3328" s="253" t="s">
        <v>4617</v>
      </c>
      <c r="B3328" s="253"/>
      <c r="C3328" s="202" t="s">
        <v>1609</v>
      </c>
      <c r="D3328" s="203">
        <f>'02 项目基础信息（输入）'!$C$84</f>
        <v>0</v>
      </c>
      <c r="E3328" s="204" t="s">
        <v>93</v>
      </c>
      <c r="F3328" s="202" t="s">
        <v>4618</v>
      </c>
      <c r="G3328" s="210">
        <f>IFERROR(I3328/D3328,0)</f>
        <v>0</v>
      </c>
      <c r="H3328" s="204" t="s">
        <v>4598</v>
      </c>
      <c r="I3328" s="286"/>
      <c r="J3328" s="204" t="s">
        <v>1052</v>
      </c>
      <c r="K3328" s="269"/>
      <c r="L3328" s="210" t="s">
        <v>746</v>
      </c>
      <c r="M3328" s="198">
        <f>ROUND(K3328*I3328/10000,6)</f>
        <v>0</v>
      </c>
      <c r="N3328" s="212">
        <f>'02 项目基础信息（输入）'!$C$84</f>
        <v>0</v>
      </c>
      <c r="O3328" s="203">
        <f t="shared" si="376"/>
        <v>0</v>
      </c>
      <c r="P3328" s="203">
        <f t="shared" si="378"/>
        <v>0</v>
      </c>
      <c r="Q3328" s="271">
        <f t="shared" si="377"/>
        <v>0</v>
      </c>
      <c r="R3328" s="188"/>
      <c r="S3328" s="280"/>
      <c r="T3328" s="222"/>
      <c r="U3328" s="223" t="s">
        <v>5564</v>
      </c>
    </row>
    <row r="3329" spans="1:21" s="181" customFormat="1" ht="0" hidden="1" customHeight="1" outlineLevel="5">
      <c r="A3329" s="253" t="s">
        <v>4620</v>
      </c>
      <c r="B3329" s="253"/>
      <c r="C3329" s="202" t="s">
        <v>1609</v>
      </c>
      <c r="D3329" s="203">
        <f>'02 项目基础信息（输入）'!$C$84</f>
        <v>0</v>
      </c>
      <c r="E3329" s="204" t="s">
        <v>93</v>
      </c>
      <c r="F3329" s="202" t="s">
        <v>4621</v>
      </c>
      <c r="G3329" s="210">
        <f>IFERROR(I3329/D3329,0)</f>
        <v>0</v>
      </c>
      <c r="H3329" s="204" t="s">
        <v>4598</v>
      </c>
      <c r="I3329" s="286"/>
      <c r="J3329" s="204" t="s">
        <v>1052</v>
      </c>
      <c r="K3329" s="269"/>
      <c r="L3329" s="210" t="s">
        <v>746</v>
      </c>
      <c r="M3329" s="198">
        <f>ROUND(K3329*I3329/10000,6)</f>
        <v>0</v>
      </c>
      <c r="N3329" s="212">
        <f>'02 项目基础信息（输入）'!$C$84</f>
        <v>0</v>
      </c>
      <c r="O3329" s="203">
        <f t="shared" si="376"/>
        <v>0</v>
      </c>
      <c r="P3329" s="203">
        <f t="shared" si="378"/>
        <v>0</v>
      </c>
      <c r="Q3329" s="271">
        <f t="shared" si="377"/>
        <v>0</v>
      </c>
      <c r="R3329" s="188"/>
      <c r="S3329" s="280"/>
      <c r="T3329" s="222"/>
      <c r="U3329" s="223" t="s">
        <v>5565</v>
      </c>
    </row>
    <row r="3330" spans="1:21" ht="0" hidden="1" customHeight="1" outlineLevel="2">
      <c r="A3330" s="201" t="s">
        <v>4623</v>
      </c>
      <c r="B3330" s="201"/>
      <c r="C3330" s="202" t="s">
        <v>1609</v>
      </c>
      <c r="D3330" s="203">
        <f>'02 项目基础信息（输入）'!$C$84</f>
        <v>0</v>
      </c>
      <c r="E3330" s="204" t="s">
        <v>93</v>
      </c>
      <c r="F3330" s="256"/>
      <c r="G3330" s="255"/>
      <c r="H3330" s="255"/>
      <c r="I3330" s="212"/>
      <c r="J3330" s="255"/>
      <c r="K3330" s="264"/>
      <c r="L3330" s="205"/>
      <c r="M3330" s="198">
        <f>ROUND(SUM(M3331:M3333),6)</f>
        <v>0</v>
      </c>
      <c r="N3330" s="212">
        <f>'02 项目基础信息（输入）'!$C$84</f>
        <v>0</v>
      </c>
      <c r="O3330" s="203">
        <f t="shared" si="376"/>
        <v>0</v>
      </c>
      <c r="P3330" s="203">
        <f t="shared" si="378"/>
        <v>0</v>
      </c>
      <c r="Q3330" s="271">
        <f t="shared" si="377"/>
        <v>0</v>
      </c>
      <c r="S3330" s="280" t="s">
        <v>1314</v>
      </c>
      <c r="T3330" s="222"/>
      <c r="U3330" s="223" t="s">
        <v>5566</v>
      </c>
    </row>
    <row r="3331" spans="1:21" s="181" customFormat="1" ht="0" hidden="1" customHeight="1" outlineLevel="3">
      <c r="A3331" s="253" t="s">
        <v>4625</v>
      </c>
      <c r="B3331" s="254"/>
      <c r="C3331" s="250" t="s">
        <v>1609</v>
      </c>
      <c r="D3331" s="203">
        <f>'02 项目基础信息（输入）'!$C$84</f>
        <v>0</v>
      </c>
      <c r="E3331" s="204" t="s">
        <v>93</v>
      </c>
      <c r="F3331" s="202" t="s">
        <v>694</v>
      </c>
      <c r="G3331" s="261">
        <f>IFERROR(I3331/D3331,0)</f>
        <v>0</v>
      </c>
      <c r="H3331" s="204" t="s">
        <v>1473</v>
      </c>
      <c r="I3331" s="270"/>
      <c r="J3331" s="204" t="s">
        <v>131</v>
      </c>
      <c r="K3331" s="269"/>
      <c r="L3331" s="210" t="s">
        <v>792</v>
      </c>
      <c r="M3331" s="198">
        <f>ROUND(K3331*I3331/10000,6)</f>
        <v>0</v>
      </c>
      <c r="N3331" s="212">
        <f>'02 项目基础信息（输入）'!$C$84</f>
        <v>0</v>
      </c>
      <c r="O3331" s="203">
        <f t="shared" ref="O3331:O3394" si="382">ROUND(IFERROR(M3331*10000/N3331,0),2)</f>
        <v>0</v>
      </c>
      <c r="P3331" s="203">
        <f t="shared" si="378"/>
        <v>0</v>
      </c>
      <c r="Q3331" s="271">
        <f t="shared" ref="Q3331:Q3394" si="383">ROUND(IFERROR(M3331*10000/P3331,0),2)</f>
        <v>0</v>
      </c>
      <c r="R3331" s="188"/>
      <c r="S3331" s="280"/>
      <c r="T3331" s="222"/>
      <c r="U3331" s="223" t="s">
        <v>5567</v>
      </c>
    </row>
    <row r="3332" spans="1:21" s="181" customFormat="1" ht="0" hidden="1" customHeight="1" outlineLevel="3">
      <c r="A3332" s="253" t="s">
        <v>4627</v>
      </c>
      <c r="B3332" s="254"/>
      <c r="C3332" s="250" t="s">
        <v>1609</v>
      </c>
      <c r="D3332" s="203">
        <f>'02 项目基础信息（输入）'!$C$84</f>
        <v>0</v>
      </c>
      <c r="E3332" s="204" t="s">
        <v>93</v>
      </c>
      <c r="F3332" s="202" t="s">
        <v>694</v>
      </c>
      <c r="G3332" s="261">
        <f>IFERROR(I3332/D3332,0)</f>
        <v>0</v>
      </c>
      <c r="H3332" s="204" t="s">
        <v>1473</v>
      </c>
      <c r="I3332" s="270"/>
      <c r="J3332" s="204" t="s">
        <v>131</v>
      </c>
      <c r="K3332" s="269"/>
      <c r="L3332" s="210" t="s">
        <v>792</v>
      </c>
      <c r="M3332" s="198">
        <f>ROUND(K3332*I3332/10000,6)</f>
        <v>0</v>
      </c>
      <c r="N3332" s="212">
        <f>'02 项目基础信息（输入）'!$C$84</f>
        <v>0</v>
      </c>
      <c r="O3332" s="203">
        <f t="shared" si="382"/>
        <v>0</v>
      </c>
      <c r="P3332" s="203">
        <f t="shared" si="378"/>
        <v>0</v>
      </c>
      <c r="Q3332" s="271">
        <f t="shared" si="383"/>
        <v>0</v>
      </c>
      <c r="R3332" s="188"/>
      <c r="S3332" s="280"/>
      <c r="T3332" s="222"/>
      <c r="U3332" s="223" t="s">
        <v>5568</v>
      </c>
    </row>
    <row r="3333" spans="1:21" s="181" customFormat="1" ht="0" hidden="1" customHeight="1" outlineLevel="3">
      <c r="A3333" s="253" t="s">
        <v>4629</v>
      </c>
      <c r="B3333" s="254"/>
      <c r="C3333" s="250" t="s">
        <v>1609</v>
      </c>
      <c r="D3333" s="203">
        <f>'02 项目基础信息（输入）'!$C$84</f>
        <v>0</v>
      </c>
      <c r="E3333" s="204" t="s">
        <v>131</v>
      </c>
      <c r="F3333" s="202" t="s">
        <v>694</v>
      </c>
      <c r="G3333" s="261">
        <f>IFERROR(I3333/D3333,0)</f>
        <v>0</v>
      </c>
      <c r="H3333" s="204" t="s">
        <v>1473</v>
      </c>
      <c r="I3333" s="270"/>
      <c r="J3333" s="204" t="s">
        <v>131</v>
      </c>
      <c r="K3333" s="269"/>
      <c r="L3333" s="210" t="s">
        <v>792</v>
      </c>
      <c r="M3333" s="198">
        <f>ROUND(K3333*I3333/10000,6)</f>
        <v>0</v>
      </c>
      <c r="N3333" s="212">
        <f>'02 项目基础信息（输入）'!$C$84</f>
        <v>0</v>
      </c>
      <c r="O3333" s="203">
        <f t="shared" si="382"/>
        <v>0</v>
      </c>
      <c r="P3333" s="203">
        <f t="shared" si="378"/>
        <v>0</v>
      </c>
      <c r="Q3333" s="271">
        <f t="shared" si="383"/>
        <v>0</v>
      </c>
      <c r="R3333" s="188"/>
      <c r="S3333" s="280"/>
      <c r="T3333" s="222"/>
      <c r="U3333" s="223" t="s">
        <v>5569</v>
      </c>
    </row>
    <row r="3334" spans="1:21" ht="0" hidden="1" customHeight="1" outlineLevel="2">
      <c r="A3334" s="201" t="s">
        <v>4631</v>
      </c>
      <c r="B3334" s="201"/>
      <c r="C3334" s="202" t="s">
        <v>1609</v>
      </c>
      <c r="D3334" s="203">
        <f>'02 项目基础信息（输入）'!$C$84</f>
        <v>0</v>
      </c>
      <c r="E3334" s="204" t="s">
        <v>93</v>
      </c>
      <c r="F3334" s="202"/>
      <c r="G3334" s="204"/>
      <c r="H3334" s="204"/>
      <c r="I3334" s="203"/>
      <c r="J3334" s="204"/>
      <c r="K3334" s="264"/>
      <c r="L3334" s="205"/>
      <c r="M3334" s="198">
        <f>ROUND(SUM(M3335:M3340),6)</f>
        <v>0</v>
      </c>
      <c r="N3334" s="212">
        <f>'02 项目基础信息（输入）'!$C$84</f>
        <v>0</v>
      </c>
      <c r="O3334" s="203">
        <f t="shared" si="382"/>
        <v>0</v>
      </c>
      <c r="P3334" s="203">
        <f t="shared" si="378"/>
        <v>0</v>
      </c>
      <c r="Q3334" s="271">
        <f t="shared" si="383"/>
        <v>0</v>
      </c>
      <c r="S3334" s="280" t="s">
        <v>1314</v>
      </c>
      <c r="T3334" s="222"/>
      <c r="U3334" s="223" t="s">
        <v>5570</v>
      </c>
    </row>
    <row r="3335" spans="1:21" ht="0" hidden="1" customHeight="1" outlineLevel="3">
      <c r="A3335" s="253" t="s">
        <v>4633</v>
      </c>
      <c r="B3335" s="253"/>
      <c r="C3335" s="202" t="s">
        <v>1081</v>
      </c>
      <c r="D3335" s="289">
        <f>'02 项目基础信息（输入）'!AX84</f>
        <v>0</v>
      </c>
      <c r="E3335" s="204" t="s">
        <v>1082</v>
      </c>
      <c r="F3335" s="202" t="s">
        <v>1081</v>
      </c>
      <c r="G3335" s="204">
        <v>1</v>
      </c>
      <c r="H3335" s="204" t="s">
        <v>1918</v>
      </c>
      <c r="I3335" s="293">
        <f t="shared" ref="I3335:I3340" si="384">D3335*G3335</f>
        <v>0</v>
      </c>
      <c r="J3335" s="204" t="s">
        <v>1082</v>
      </c>
      <c r="K3335" s="214"/>
      <c r="L3335" s="210" t="s">
        <v>1087</v>
      </c>
      <c r="M3335" s="198">
        <f t="shared" ref="M3335:M3340" si="385">ROUND(K3335*I3335/10000,6)</f>
        <v>0</v>
      </c>
      <c r="N3335" s="212">
        <f>'02 项目基础信息（输入）'!$C$84</f>
        <v>0</v>
      </c>
      <c r="O3335" s="203">
        <f t="shared" si="382"/>
        <v>0</v>
      </c>
      <c r="P3335" s="203">
        <f t="shared" si="378"/>
        <v>0</v>
      </c>
      <c r="Q3335" s="271">
        <f t="shared" si="383"/>
        <v>0</v>
      </c>
      <c r="S3335" s="280"/>
      <c r="T3335" s="222"/>
      <c r="U3335" s="223" t="s">
        <v>5571</v>
      </c>
    </row>
    <row r="3336" spans="1:21" ht="0" hidden="1" customHeight="1" outlineLevel="3">
      <c r="A3336" s="253" t="s">
        <v>4635</v>
      </c>
      <c r="B3336" s="253"/>
      <c r="C3336" s="202" t="s">
        <v>1081</v>
      </c>
      <c r="D3336" s="291">
        <f>D3335</f>
        <v>0</v>
      </c>
      <c r="E3336" s="204" t="s">
        <v>1082</v>
      </c>
      <c r="F3336" s="202" t="s">
        <v>1081</v>
      </c>
      <c r="G3336" s="204">
        <v>1</v>
      </c>
      <c r="H3336" s="204" t="s">
        <v>1918</v>
      </c>
      <c r="I3336" s="293">
        <f t="shared" si="384"/>
        <v>0</v>
      </c>
      <c r="J3336" s="204" t="s">
        <v>1082</v>
      </c>
      <c r="K3336" s="214"/>
      <c r="L3336" s="210" t="s">
        <v>1087</v>
      </c>
      <c r="M3336" s="198">
        <f t="shared" si="385"/>
        <v>0</v>
      </c>
      <c r="N3336" s="212">
        <f>'02 项目基础信息（输入）'!$C$84</f>
        <v>0</v>
      </c>
      <c r="O3336" s="203">
        <f t="shared" si="382"/>
        <v>0</v>
      </c>
      <c r="P3336" s="203">
        <f t="shared" si="378"/>
        <v>0</v>
      </c>
      <c r="Q3336" s="271">
        <f t="shared" si="383"/>
        <v>0</v>
      </c>
      <c r="S3336" s="280"/>
      <c r="T3336" s="222"/>
      <c r="U3336" s="223" t="s">
        <v>5572</v>
      </c>
    </row>
    <row r="3337" spans="1:21" ht="0" hidden="1" customHeight="1" outlineLevel="3">
      <c r="A3337" s="253" t="s">
        <v>4637</v>
      </c>
      <c r="B3337" s="253"/>
      <c r="C3337" s="202" t="s">
        <v>1091</v>
      </c>
      <c r="D3337" s="289">
        <f>'02 项目基础信息（输入）'!AY84</f>
        <v>0</v>
      </c>
      <c r="E3337" s="204" t="s">
        <v>1082</v>
      </c>
      <c r="F3337" s="202" t="s">
        <v>1091</v>
      </c>
      <c r="G3337" s="204">
        <v>1</v>
      </c>
      <c r="H3337" s="204" t="s">
        <v>1918</v>
      </c>
      <c r="I3337" s="293">
        <f t="shared" si="384"/>
        <v>0</v>
      </c>
      <c r="J3337" s="204" t="s">
        <v>1082</v>
      </c>
      <c r="K3337" s="214"/>
      <c r="L3337" s="210" t="s">
        <v>1087</v>
      </c>
      <c r="M3337" s="198">
        <f t="shared" si="385"/>
        <v>0</v>
      </c>
      <c r="N3337" s="212">
        <f>'02 项目基础信息（输入）'!$C$84</f>
        <v>0</v>
      </c>
      <c r="O3337" s="203">
        <f t="shared" si="382"/>
        <v>0</v>
      </c>
      <c r="P3337" s="203">
        <f t="shared" si="378"/>
        <v>0</v>
      </c>
      <c r="Q3337" s="271">
        <f t="shared" si="383"/>
        <v>0</v>
      </c>
      <c r="S3337" s="280"/>
      <c r="T3337" s="222"/>
      <c r="U3337" s="223" t="s">
        <v>5573</v>
      </c>
    </row>
    <row r="3338" spans="1:21" ht="0" hidden="1" customHeight="1" outlineLevel="3">
      <c r="A3338" s="253" t="s">
        <v>4639</v>
      </c>
      <c r="B3338" s="253"/>
      <c r="C3338" s="202" t="s">
        <v>1091</v>
      </c>
      <c r="D3338" s="291">
        <f>D3337</f>
        <v>0</v>
      </c>
      <c r="E3338" s="204" t="s">
        <v>1082</v>
      </c>
      <c r="F3338" s="202" t="s">
        <v>1091</v>
      </c>
      <c r="G3338" s="204">
        <v>1</v>
      </c>
      <c r="H3338" s="204" t="s">
        <v>1918</v>
      </c>
      <c r="I3338" s="293">
        <f t="shared" si="384"/>
        <v>0</v>
      </c>
      <c r="J3338" s="204" t="s">
        <v>1082</v>
      </c>
      <c r="K3338" s="214"/>
      <c r="L3338" s="210" t="s">
        <v>1087</v>
      </c>
      <c r="M3338" s="198">
        <f t="shared" si="385"/>
        <v>0</v>
      </c>
      <c r="N3338" s="212">
        <f>'02 项目基础信息（输入）'!$C$84</f>
        <v>0</v>
      </c>
      <c r="O3338" s="203">
        <f t="shared" si="382"/>
        <v>0</v>
      </c>
      <c r="P3338" s="203">
        <f t="shared" ref="P3338:P3401" si="386">N3338</f>
        <v>0</v>
      </c>
      <c r="Q3338" s="271">
        <f t="shared" si="383"/>
        <v>0</v>
      </c>
      <c r="S3338" s="280"/>
      <c r="T3338" s="222"/>
      <c r="U3338" s="223" t="s">
        <v>5574</v>
      </c>
    </row>
    <row r="3339" spans="1:21" ht="0" hidden="1" customHeight="1" outlineLevel="3">
      <c r="A3339" s="253" t="s">
        <v>4641</v>
      </c>
      <c r="B3339" s="253"/>
      <c r="C3339" s="202" t="s">
        <v>1099</v>
      </c>
      <c r="D3339" s="289">
        <f>'02 项目基础信息（输入）'!AZ84</f>
        <v>0</v>
      </c>
      <c r="E3339" s="204" t="s">
        <v>1082</v>
      </c>
      <c r="F3339" s="202" t="s">
        <v>1099</v>
      </c>
      <c r="G3339" s="204">
        <v>1</v>
      </c>
      <c r="H3339" s="204" t="s">
        <v>1918</v>
      </c>
      <c r="I3339" s="293">
        <f t="shared" si="384"/>
        <v>0</v>
      </c>
      <c r="J3339" s="204" t="s">
        <v>1082</v>
      </c>
      <c r="K3339" s="214"/>
      <c r="L3339" s="210" t="s">
        <v>1087</v>
      </c>
      <c r="M3339" s="198">
        <f t="shared" si="385"/>
        <v>0</v>
      </c>
      <c r="N3339" s="212">
        <f>'02 项目基础信息（输入）'!$C$84</f>
        <v>0</v>
      </c>
      <c r="O3339" s="203">
        <f t="shared" si="382"/>
        <v>0</v>
      </c>
      <c r="P3339" s="203">
        <f t="shared" si="386"/>
        <v>0</v>
      </c>
      <c r="Q3339" s="271">
        <f t="shared" si="383"/>
        <v>0</v>
      </c>
      <c r="S3339" s="280"/>
      <c r="T3339" s="222"/>
      <c r="U3339" s="223" t="s">
        <v>5575</v>
      </c>
    </row>
    <row r="3340" spans="1:21" ht="0" hidden="1" customHeight="1" outlineLevel="3">
      <c r="A3340" s="253" t="s">
        <v>4643</v>
      </c>
      <c r="B3340" s="253"/>
      <c r="C3340" s="202" t="s">
        <v>1099</v>
      </c>
      <c r="D3340" s="291">
        <f>D3339</f>
        <v>0</v>
      </c>
      <c r="E3340" s="204" t="s">
        <v>1082</v>
      </c>
      <c r="F3340" s="202" t="s">
        <v>1099</v>
      </c>
      <c r="G3340" s="204">
        <v>1</v>
      </c>
      <c r="H3340" s="204" t="s">
        <v>1918</v>
      </c>
      <c r="I3340" s="293">
        <f t="shared" si="384"/>
        <v>0</v>
      </c>
      <c r="J3340" s="204" t="s">
        <v>1082</v>
      </c>
      <c r="K3340" s="214"/>
      <c r="L3340" s="210" t="s">
        <v>1087</v>
      </c>
      <c r="M3340" s="198">
        <f t="shared" si="385"/>
        <v>0</v>
      </c>
      <c r="N3340" s="212">
        <f>'02 项目基础信息（输入）'!$C$84</f>
        <v>0</v>
      </c>
      <c r="O3340" s="203">
        <f t="shared" si="382"/>
        <v>0</v>
      </c>
      <c r="P3340" s="203">
        <f t="shared" si="386"/>
        <v>0</v>
      </c>
      <c r="Q3340" s="271">
        <f t="shared" si="383"/>
        <v>0</v>
      </c>
      <c r="S3340" s="280"/>
      <c r="T3340" s="222"/>
      <c r="U3340" s="223" t="s">
        <v>5576</v>
      </c>
    </row>
    <row r="3341" spans="1:21" ht="0" hidden="1" customHeight="1" outlineLevel="2">
      <c r="A3341" s="201" t="s">
        <v>4268</v>
      </c>
      <c r="B3341" s="201"/>
      <c r="C3341" s="202" t="s">
        <v>1609</v>
      </c>
      <c r="D3341" s="203">
        <f>'02 项目基础信息（输入）'!$C$84</f>
        <v>0</v>
      </c>
      <c r="E3341" s="204" t="s">
        <v>93</v>
      </c>
      <c r="F3341" s="202"/>
      <c r="G3341" s="204"/>
      <c r="H3341" s="255"/>
      <c r="I3341" s="212"/>
      <c r="J3341" s="255"/>
      <c r="K3341" s="264"/>
      <c r="L3341" s="205"/>
      <c r="M3341" s="198">
        <f>ROUND(M3342+M3349+M3359+M3360+M3361+M3362,6)</f>
        <v>0</v>
      </c>
      <c r="N3341" s="212">
        <f>'02 项目基础信息（输入）'!$C$84</f>
        <v>0</v>
      </c>
      <c r="O3341" s="203">
        <f t="shared" si="382"/>
        <v>0</v>
      </c>
      <c r="P3341" s="203">
        <f t="shared" si="386"/>
        <v>0</v>
      </c>
      <c r="Q3341" s="271">
        <f t="shared" si="383"/>
        <v>0</v>
      </c>
      <c r="S3341" s="280" t="s">
        <v>1313</v>
      </c>
      <c r="T3341" s="222"/>
      <c r="U3341" s="223" t="s">
        <v>5577</v>
      </c>
    </row>
    <row r="3342" spans="1:21" ht="0" hidden="1" customHeight="1" outlineLevel="3">
      <c r="A3342" s="253" t="s">
        <v>4270</v>
      </c>
      <c r="B3342" s="253"/>
      <c r="C3342" s="202" t="s">
        <v>1609</v>
      </c>
      <c r="D3342" s="203">
        <f>'02 项目基础信息（输入）'!$C$84</f>
        <v>0</v>
      </c>
      <c r="E3342" s="204" t="s">
        <v>93</v>
      </c>
      <c r="F3342" s="202"/>
      <c r="G3342" s="204"/>
      <c r="H3342" s="255"/>
      <c r="I3342" s="212"/>
      <c r="J3342" s="255"/>
      <c r="K3342" s="264"/>
      <c r="L3342" s="205"/>
      <c r="M3342" s="198">
        <f>ROUND(SUM(M3343:M3348),6)</f>
        <v>0</v>
      </c>
      <c r="N3342" s="212">
        <f>'02 项目基础信息（输入）'!$C$84</f>
        <v>0</v>
      </c>
      <c r="O3342" s="203">
        <f t="shared" si="382"/>
        <v>0</v>
      </c>
      <c r="P3342" s="203">
        <f t="shared" si="386"/>
        <v>0</v>
      </c>
      <c r="Q3342" s="271">
        <f t="shared" si="383"/>
        <v>0</v>
      </c>
      <c r="S3342" s="280"/>
      <c r="T3342" s="222"/>
      <c r="U3342" s="223" t="s">
        <v>5578</v>
      </c>
    </row>
    <row r="3343" spans="1:21" ht="0" hidden="1" customHeight="1" outlineLevel="4">
      <c r="A3343" s="253" t="s">
        <v>4272</v>
      </c>
      <c r="B3343" s="253"/>
      <c r="C3343" s="202" t="s">
        <v>1609</v>
      </c>
      <c r="D3343" s="203">
        <f>'02 项目基础信息（输入）'!$C$84</f>
        <v>0</v>
      </c>
      <c r="E3343" s="204" t="s">
        <v>93</v>
      </c>
      <c r="F3343" s="202" t="s">
        <v>1609</v>
      </c>
      <c r="G3343" s="204">
        <v>1</v>
      </c>
      <c r="H3343" s="204" t="s">
        <v>298</v>
      </c>
      <c r="I3343" s="265">
        <f t="shared" ref="I3343:I3348" si="387">D3343*G3343</f>
        <v>0</v>
      </c>
      <c r="J3343" s="204" t="s">
        <v>93</v>
      </c>
      <c r="K3343" s="214"/>
      <c r="L3343" s="210" t="s">
        <v>675</v>
      </c>
      <c r="M3343" s="198">
        <f t="shared" ref="M3343:M3348" si="388">ROUND(K3343*I3343/10000,6)</f>
        <v>0</v>
      </c>
      <c r="N3343" s="212">
        <f>'02 项目基础信息（输入）'!$C$84</f>
        <v>0</v>
      </c>
      <c r="O3343" s="203">
        <f t="shared" si="382"/>
        <v>0</v>
      </c>
      <c r="P3343" s="203">
        <f t="shared" si="386"/>
        <v>0</v>
      </c>
      <c r="Q3343" s="271">
        <f t="shared" si="383"/>
        <v>0</v>
      </c>
      <c r="S3343" s="280"/>
      <c r="T3343" s="222"/>
      <c r="U3343" s="223" t="s">
        <v>5579</v>
      </c>
    </row>
    <row r="3344" spans="1:21" ht="0" hidden="1" customHeight="1" outlineLevel="4">
      <c r="A3344" s="253" t="s">
        <v>4274</v>
      </c>
      <c r="B3344" s="253"/>
      <c r="C3344" s="202" t="s">
        <v>1609</v>
      </c>
      <c r="D3344" s="203">
        <f>'02 项目基础信息（输入）'!$C$84</f>
        <v>0</v>
      </c>
      <c r="E3344" s="204" t="s">
        <v>93</v>
      </c>
      <c r="F3344" s="202" t="s">
        <v>1609</v>
      </c>
      <c r="G3344" s="204">
        <v>1</v>
      </c>
      <c r="H3344" s="204" t="s">
        <v>298</v>
      </c>
      <c r="I3344" s="265">
        <f t="shared" si="387"/>
        <v>0</v>
      </c>
      <c r="J3344" s="204" t="s">
        <v>93</v>
      </c>
      <c r="K3344" s="214"/>
      <c r="L3344" s="210" t="s">
        <v>675</v>
      </c>
      <c r="M3344" s="198">
        <f t="shared" si="388"/>
        <v>0</v>
      </c>
      <c r="N3344" s="212">
        <f>'02 项目基础信息（输入）'!$C$84</f>
        <v>0</v>
      </c>
      <c r="O3344" s="203">
        <f t="shared" si="382"/>
        <v>0</v>
      </c>
      <c r="P3344" s="203">
        <f t="shared" si="386"/>
        <v>0</v>
      </c>
      <c r="Q3344" s="271">
        <f t="shared" si="383"/>
        <v>0</v>
      </c>
      <c r="S3344" s="280"/>
      <c r="T3344" s="222"/>
      <c r="U3344" s="223" t="s">
        <v>5580</v>
      </c>
    </row>
    <row r="3345" spans="1:21" ht="0" hidden="1" customHeight="1" outlineLevel="4">
      <c r="A3345" s="253" t="s">
        <v>4276</v>
      </c>
      <c r="B3345" s="253"/>
      <c r="C3345" s="202" t="s">
        <v>1609</v>
      </c>
      <c r="D3345" s="203">
        <f>'02 项目基础信息（输入）'!$C$84</f>
        <v>0</v>
      </c>
      <c r="E3345" s="204" t="s">
        <v>93</v>
      </c>
      <c r="F3345" s="202" t="s">
        <v>1609</v>
      </c>
      <c r="G3345" s="204">
        <v>1</v>
      </c>
      <c r="H3345" s="204" t="s">
        <v>298</v>
      </c>
      <c r="I3345" s="265">
        <f t="shared" si="387"/>
        <v>0</v>
      </c>
      <c r="J3345" s="204" t="s">
        <v>93</v>
      </c>
      <c r="K3345" s="214"/>
      <c r="L3345" s="210" t="s">
        <v>675</v>
      </c>
      <c r="M3345" s="198">
        <f t="shared" si="388"/>
        <v>0</v>
      </c>
      <c r="N3345" s="212">
        <f>'02 项目基础信息（输入）'!$C$84</f>
        <v>0</v>
      </c>
      <c r="O3345" s="203">
        <f t="shared" si="382"/>
        <v>0</v>
      </c>
      <c r="P3345" s="203">
        <f t="shared" si="386"/>
        <v>0</v>
      </c>
      <c r="Q3345" s="271">
        <f t="shared" si="383"/>
        <v>0</v>
      </c>
      <c r="S3345" s="280"/>
      <c r="T3345" s="222"/>
      <c r="U3345" s="223" t="s">
        <v>5581</v>
      </c>
    </row>
    <row r="3346" spans="1:21" ht="0" hidden="1" customHeight="1" outlineLevel="4">
      <c r="A3346" s="253" t="s">
        <v>4278</v>
      </c>
      <c r="B3346" s="253"/>
      <c r="C3346" s="202" t="s">
        <v>1609</v>
      </c>
      <c r="D3346" s="203">
        <f>'02 项目基础信息（输入）'!$C$84</f>
        <v>0</v>
      </c>
      <c r="E3346" s="204" t="s">
        <v>93</v>
      </c>
      <c r="F3346" s="202" t="s">
        <v>1609</v>
      </c>
      <c r="G3346" s="204">
        <v>1</v>
      </c>
      <c r="H3346" s="204" t="s">
        <v>298</v>
      </c>
      <c r="I3346" s="265">
        <f t="shared" si="387"/>
        <v>0</v>
      </c>
      <c r="J3346" s="204" t="s">
        <v>93</v>
      </c>
      <c r="K3346" s="214"/>
      <c r="L3346" s="210" t="s">
        <v>675</v>
      </c>
      <c r="M3346" s="198">
        <f t="shared" si="388"/>
        <v>0</v>
      </c>
      <c r="N3346" s="212">
        <f>'02 项目基础信息（输入）'!$C$84</f>
        <v>0</v>
      </c>
      <c r="O3346" s="203">
        <f t="shared" si="382"/>
        <v>0</v>
      </c>
      <c r="P3346" s="203">
        <f t="shared" si="386"/>
        <v>0</v>
      </c>
      <c r="Q3346" s="271">
        <f t="shared" si="383"/>
        <v>0</v>
      </c>
      <c r="S3346" s="280"/>
      <c r="T3346" s="222"/>
      <c r="U3346" s="223" t="s">
        <v>5582</v>
      </c>
    </row>
    <row r="3347" spans="1:21" ht="0" hidden="1" customHeight="1" outlineLevel="4">
      <c r="A3347" s="253" t="s">
        <v>4280</v>
      </c>
      <c r="B3347" s="253"/>
      <c r="C3347" s="202" t="s">
        <v>1609</v>
      </c>
      <c r="D3347" s="203">
        <f>'02 项目基础信息（输入）'!$C$84</f>
        <v>0</v>
      </c>
      <c r="E3347" s="204" t="s">
        <v>93</v>
      </c>
      <c r="F3347" s="202" t="s">
        <v>1609</v>
      </c>
      <c r="G3347" s="204">
        <v>1</v>
      </c>
      <c r="H3347" s="204" t="s">
        <v>298</v>
      </c>
      <c r="I3347" s="265">
        <f t="shared" si="387"/>
        <v>0</v>
      </c>
      <c r="J3347" s="204" t="s">
        <v>93</v>
      </c>
      <c r="K3347" s="214"/>
      <c r="L3347" s="210" t="s">
        <v>675</v>
      </c>
      <c r="M3347" s="198">
        <f t="shared" si="388"/>
        <v>0</v>
      </c>
      <c r="N3347" s="212">
        <f>'02 项目基础信息（输入）'!$C$84</f>
        <v>0</v>
      </c>
      <c r="O3347" s="203">
        <f t="shared" si="382"/>
        <v>0</v>
      </c>
      <c r="P3347" s="203">
        <f t="shared" si="386"/>
        <v>0</v>
      </c>
      <c r="Q3347" s="271">
        <f t="shared" si="383"/>
        <v>0</v>
      </c>
      <c r="S3347" s="280"/>
      <c r="T3347" s="222"/>
      <c r="U3347" s="223" t="s">
        <v>5583</v>
      </c>
    </row>
    <row r="3348" spans="1:21" ht="0" hidden="1" customHeight="1" outlineLevel="4">
      <c r="A3348" s="253" t="s">
        <v>4282</v>
      </c>
      <c r="B3348" s="253"/>
      <c r="C3348" s="202" t="s">
        <v>1609</v>
      </c>
      <c r="D3348" s="203">
        <f>'02 项目基础信息（输入）'!$C$84</f>
        <v>0</v>
      </c>
      <c r="E3348" s="204" t="s">
        <v>93</v>
      </c>
      <c r="F3348" s="202" t="s">
        <v>1609</v>
      </c>
      <c r="G3348" s="204">
        <v>1</v>
      </c>
      <c r="H3348" s="204" t="s">
        <v>298</v>
      </c>
      <c r="I3348" s="265">
        <f t="shared" si="387"/>
        <v>0</v>
      </c>
      <c r="J3348" s="204" t="s">
        <v>93</v>
      </c>
      <c r="K3348" s="214"/>
      <c r="L3348" s="210" t="s">
        <v>675</v>
      </c>
      <c r="M3348" s="198">
        <f t="shared" si="388"/>
        <v>0</v>
      </c>
      <c r="N3348" s="212">
        <f>'02 项目基础信息（输入）'!$C$84</f>
        <v>0</v>
      </c>
      <c r="O3348" s="203">
        <f t="shared" si="382"/>
        <v>0</v>
      </c>
      <c r="P3348" s="203">
        <f t="shared" si="386"/>
        <v>0</v>
      </c>
      <c r="Q3348" s="271">
        <f t="shared" si="383"/>
        <v>0</v>
      </c>
      <c r="S3348" s="280"/>
      <c r="T3348" s="222"/>
      <c r="U3348" s="223" t="s">
        <v>5584</v>
      </c>
    </row>
    <row r="3349" spans="1:21" ht="0" hidden="1" customHeight="1" outlineLevel="3">
      <c r="A3349" s="201" t="s">
        <v>4284</v>
      </c>
      <c r="B3349" s="201"/>
      <c r="C3349" s="202" t="s">
        <v>1609</v>
      </c>
      <c r="D3349" s="203">
        <f>'02 项目基础信息（输入）'!$C$84</f>
        <v>0</v>
      </c>
      <c r="E3349" s="204" t="s">
        <v>93</v>
      </c>
      <c r="F3349" s="202"/>
      <c r="G3349" s="204"/>
      <c r="H3349" s="204"/>
      <c r="I3349" s="203"/>
      <c r="J3349" s="255"/>
      <c r="K3349" s="264"/>
      <c r="L3349" s="205"/>
      <c r="M3349" s="198">
        <f>ROUND(SUM(M3350:M3358),6)</f>
        <v>0</v>
      </c>
      <c r="N3349" s="212">
        <f>'02 项目基础信息（输入）'!$C$84</f>
        <v>0</v>
      </c>
      <c r="O3349" s="203">
        <f t="shared" si="382"/>
        <v>0</v>
      </c>
      <c r="P3349" s="203">
        <f t="shared" si="386"/>
        <v>0</v>
      </c>
      <c r="Q3349" s="271">
        <f t="shared" si="383"/>
        <v>0</v>
      </c>
      <c r="S3349" s="280"/>
      <c r="T3349" s="222"/>
      <c r="U3349" s="223" t="s">
        <v>5585</v>
      </c>
    </row>
    <row r="3350" spans="1:21" ht="0" hidden="1" customHeight="1" outlineLevel="4">
      <c r="A3350" s="201" t="s">
        <v>4286</v>
      </c>
      <c r="B3350" s="201"/>
      <c r="C3350" s="202" t="s">
        <v>1609</v>
      </c>
      <c r="D3350" s="203">
        <f>'02 项目基础信息（输入）'!$C$84</f>
        <v>0</v>
      </c>
      <c r="E3350" s="204" t="s">
        <v>93</v>
      </c>
      <c r="F3350" s="202" t="s">
        <v>1609</v>
      </c>
      <c r="G3350" s="204">
        <v>1</v>
      </c>
      <c r="H3350" s="204" t="s">
        <v>298</v>
      </c>
      <c r="I3350" s="265">
        <f t="shared" ref="I3350:I3361" si="389">D3350*G3350</f>
        <v>0</v>
      </c>
      <c r="J3350" s="204" t="s">
        <v>93</v>
      </c>
      <c r="K3350" s="214"/>
      <c r="L3350" s="210" t="s">
        <v>675</v>
      </c>
      <c r="M3350" s="198">
        <f t="shared" ref="M3350:M3361" si="390">ROUND(K3350*I3350/10000,6)</f>
        <v>0</v>
      </c>
      <c r="N3350" s="212">
        <f>'02 项目基础信息（输入）'!$C$84</f>
        <v>0</v>
      </c>
      <c r="O3350" s="203">
        <f t="shared" si="382"/>
        <v>0</v>
      </c>
      <c r="P3350" s="203">
        <f t="shared" si="386"/>
        <v>0</v>
      </c>
      <c r="Q3350" s="271">
        <f t="shared" si="383"/>
        <v>0</v>
      </c>
      <c r="S3350" s="280"/>
      <c r="T3350" s="222"/>
      <c r="U3350" s="223" t="s">
        <v>5586</v>
      </c>
    </row>
    <row r="3351" spans="1:21" ht="0" hidden="1" customHeight="1" outlineLevel="4">
      <c r="A3351" s="201" t="s">
        <v>4288</v>
      </c>
      <c r="B3351" s="201"/>
      <c r="C3351" s="202" t="s">
        <v>1609</v>
      </c>
      <c r="D3351" s="203">
        <f>'02 项目基础信息（输入）'!$C$84</f>
        <v>0</v>
      </c>
      <c r="E3351" s="204" t="s">
        <v>93</v>
      </c>
      <c r="F3351" s="202" t="s">
        <v>1609</v>
      </c>
      <c r="G3351" s="204">
        <v>1</v>
      </c>
      <c r="H3351" s="204" t="s">
        <v>298</v>
      </c>
      <c r="I3351" s="265">
        <f t="shared" si="389"/>
        <v>0</v>
      </c>
      <c r="J3351" s="204" t="s">
        <v>93</v>
      </c>
      <c r="K3351" s="214"/>
      <c r="L3351" s="210" t="s">
        <v>675</v>
      </c>
      <c r="M3351" s="198">
        <f t="shared" si="390"/>
        <v>0</v>
      </c>
      <c r="N3351" s="212">
        <f>'02 项目基础信息（输入）'!$C$84</f>
        <v>0</v>
      </c>
      <c r="O3351" s="203">
        <f t="shared" si="382"/>
        <v>0</v>
      </c>
      <c r="P3351" s="203">
        <f t="shared" si="386"/>
        <v>0</v>
      </c>
      <c r="Q3351" s="271">
        <f t="shared" si="383"/>
        <v>0</v>
      </c>
      <c r="S3351" s="280"/>
      <c r="T3351" s="222"/>
      <c r="U3351" s="223" t="s">
        <v>5587</v>
      </c>
    </row>
    <row r="3352" spans="1:21" ht="0" hidden="1" customHeight="1" outlineLevel="4">
      <c r="A3352" s="201" t="s">
        <v>4290</v>
      </c>
      <c r="B3352" s="201"/>
      <c r="C3352" s="202" t="s">
        <v>1609</v>
      </c>
      <c r="D3352" s="203">
        <f>'02 项目基础信息（输入）'!$C$84</f>
        <v>0</v>
      </c>
      <c r="E3352" s="204" t="s">
        <v>93</v>
      </c>
      <c r="F3352" s="202" t="s">
        <v>1609</v>
      </c>
      <c r="G3352" s="204">
        <v>1</v>
      </c>
      <c r="H3352" s="204" t="s">
        <v>298</v>
      </c>
      <c r="I3352" s="265">
        <f t="shared" si="389"/>
        <v>0</v>
      </c>
      <c r="J3352" s="204" t="s">
        <v>93</v>
      </c>
      <c r="K3352" s="214"/>
      <c r="L3352" s="210" t="s">
        <v>675</v>
      </c>
      <c r="M3352" s="198">
        <f t="shared" si="390"/>
        <v>0</v>
      </c>
      <c r="N3352" s="212">
        <f>'02 项目基础信息（输入）'!$C$84</f>
        <v>0</v>
      </c>
      <c r="O3352" s="203">
        <f t="shared" si="382"/>
        <v>0</v>
      </c>
      <c r="P3352" s="203">
        <f t="shared" si="386"/>
        <v>0</v>
      </c>
      <c r="Q3352" s="271">
        <f t="shared" si="383"/>
        <v>0</v>
      </c>
      <c r="S3352" s="280"/>
      <c r="T3352" s="222"/>
      <c r="U3352" s="223" t="s">
        <v>5588</v>
      </c>
    </row>
    <row r="3353" spans="1:21" ht="0" hidden="1" customHeight="1" outlineLevel="4">
      <c r="A3353" s="201" t="s">
        <v>4657</v>
      </c>
      <c r="B3353" s="201"/>
      <c r="C3353" s="202" t="s">
        <v>1609</v>
      </c>
      <c r="D3353" s="203">
        <f>'02 项目基础信息（输入）'!$C$84</f>
        <v>0</v>
      </c>
      <c r="E3353" s="204" t="s">
        <v>93</v>
      </c>
      <c r="F3353" s="202" t="s">
        <v>1609</v>
      </c>
      <c r="G3353" s="204">
        <v>1</v>
      </c>
      <c r="H3353" s="204" t="s">
        <v>298</v>
      </c>
      <c r="I3353" s="265">
        <f t="shared" si="389"/>
        <v>0</v>
      </c>
      <c r="J3353" s="204" t="s">
        <v>93</v>
      </c>
      <c r="K3353" s="214"/>
      <c r="L3353" s="210" t="s">
        <v>675</v>
      </c>
      <c r="M3353" s="198">
        <f t="shared" si="390"/>
        <v>0</v>
      </c>
      <c r="N3353" s="212">
        <f>'02 项目基础信息（输入）'!$C$84</f>
        <v>0</v>
      </c>
      <c r="O3353" s="203">
        <f t="shared" si="382"/>
        <v>0</v>
      </c>
      <c r="P3353" s="203">
        <f t="shared" si="386"/>
        <v>0</v>
      </c>
      <c r="Q3353" s="271">
        <f t="shared" si="383"/>
        <v>0</v>
      </c>
      <c r="S3353" s="280"/>
      <c r="T3353" s="222"/>
      <c r="U3353" s="223" t="s">
        <v>5589</v>
      </c>
    </row>
    <row r="3354" spans="1:21" ht="0" hidden="1" customHeight="1" outlineLevel="4">
      <c r="A3354" s="201" t="s">
        <v>4292</v>
      </c>
      <c r="B3354" s="201"/>
      <c r="C3354" s="202" t="s">
        <v>1609</v>
      </c>
      <c r="D3354" s="203">
        <f>'02 项目基础信息（输入）'!$C$84</f>
        <v>0</v>
      </c>
      <c r="E3354" s="204" t="s">
        <v>93</v>
      </c>
      <c r="F3354" s="202" t="s">
        <v>1609</v>
      </c>
      <c r="G3354" s="204">
        <v>1</v>
      </c>
      <c r="H3354" s="204" t="s">
        <v>298</v>
      </c>
      <c r="I3354" s="265">
        <f t="shared" si="389"/>
        <v>0</v>
      </c>
      <c r="J3354" s="204" t="s">
        <v>93</v>
      </c>
      <c r="K3354" s="214"/>
      <c r="L3354" s="210" t="s">
        <v>675</v>
      </c>
      <c r="M3354" s="198">
        <f t="shared" si="390"/>
        <v>0</v>
      </c>
      <c r="N3354" s="212">
        <f>'02 项目基础信息（输入）'!$C$84</f>
        <v>0</v>
      </c>
      <c r="O3354" s="203">
        <f t="shared" si="382"/>
        <v>0</v>
      </c>
      <c r="P3354" s="203">
        <f t="shared" si="386"/>
        <v>0</v>
      </c>
      <c r="Q3354" s="271">
        <f t="shared" si="383"/>
        <v>0</v>
      </c>
      <c r="S3354" s="280"/>
      <c r="T3354" s="222"/>
      <c r="U3354" s="223" t="s">
        <v>5590</v>
      </c>
    </row>
    <row r="3355" spans="1:21" ht="0" hidden="1" customHeight="1" outlineLevel="4">
      <c r="A3355" s="201" t="s">
        <v>4294</v>
      </c>
      <c r="B3355" s="201"/>
      <c r="C3355" s="202" t="s">
        <v>1609</v>
      </c>
      <c r="D3355" s="203">
        <f>'02 项目基础信息（输入）'!$C$84</f>
        <v>0</v>
      </c>
      <c r="E3355" s="204" t="s">
        <v>93</v>
      </c>
      <c r="F3355" s="202" t="s">
        <v>1609</v>
      </c>
      <c r="G3355" s="204">
        <v>1</v>
      </c>
      <c r="H3355" s="204" t="s">
        <v>298</v>
      </c>
      <c r="I3355" s="265">
        <f t="shared" si="389"/>
        <v>0</v>
      </c>
      <c r="J3355" s="204" t="s">
        <v>93</v>
      </c>
      <c r="K3355" s="214"/>
      <c r="L3355" s="210" t="s">
        <v>675</v>
      </c>
      <c r="M3355" s="198">
        <f t="shared" si="390"/>
        <v>0</v>
      </c>
      <c r="N3355" s="212">
        <f>'02 项目基础信息（输入）'!$C$84</f>
        <v>0</v>
      </c>
      <c r="O3355" s="203">
        <f t="shared" si="382"/>
        <v>0</v>
      </c>
      <c r="P3355" s="203">
        <f t="shared" si="386"/>
        <v>0</v>
      </c>
      <c r="Q3355" s="271">
        <f t="shared" si="383"/>
        <v>0</v>
      </c>
      <c r="S3355" s="280"/>
      <c r="T3355" s="222"/>
      <c r="U3355" s="223" t="s">
        <v>5591</v>
      </c>
    </row>
    <row r="3356" spans="1:21" ht="0" hidden="1" customHeight="1" outlineLevel="4">
      <c r="A3356" s="201" t="s">
        <v>4296</v>
      </c>
      <c r="B3356" s="201"/>
      <c r="C3356" s="202" t="s">
        <v>1609</v>
      </c>
      <c r="D3356" s="203">
        <f>'02 项目基础信息（输入）'!$C$84</f>
        <v>0</v>
      </c>
      <c r="E3356" s="204" t="s">
        <v>93</v>
      </c>
      <c r="F3356" s="202" t="s">
        <v>1609</v>
      </c>
      <c r="G3356" s="204">
        <v>1</v>
      </c>
      <c r="H3356" s="204" t="s">
        <v>298</v>
      </c>
      <c r="I3356" s="265">
        <f t="shared" si="389"/>
        <v>0</v>
      </c>
      <c r="J3356" s="204" t="s">
        <v>93</v>
      </c>
      <c r="K3356" s="214"/>
      <c r="L3356" s="210" t="s">
        <v>675</v>
      </c>
      <c r="M3356" s="198">
        <f t="shared" si="390"/>
        <v>0</v>
      </c>
      <c r="N3356" s="212">
        <f>'02 项目基础信息（输入）'!$C$84</f>
        <v>0</v>
      </c>
      <c r="O3356" s="203">
        <f t="shared" si="382"/>
        <v>0</v>
      </c>
      <c r="P3356" s="203">
        <f t="shared" si="386"/>
        <v>0</v>
      </c>
      <c r="Q3356" s="271">
        <f t="shared" si="383"/>
        <v>0</v>
      </c>
      <c r="S3356" s="280"/>
      <c r="T3356" s="222"/>
      <c r="U3356" s="223" t="s">
        <v>5592</v>
      </c>
    </row>
    <row r="3357" spans="1:21" ht="0" hidden="1" customHeight="1" outlineLevel="4">
      <c r="A3357" s="201" t="s">
        <v>4298</v>
      </c>
      <c r="B3357" s="201"/>
      <c r="C3357" s="202" t="s">
        <v>1609</v>
      </c>
      <c r="D3357" s="203">
        <f>'02 项目基础信息（输入）'!$C$84</f>
        <v>0</v>
      </c>
      <c r="E3357" s="204" t="s">
        <v>93</v>
      </c>
      <c r="F3357" s="202" t="s">
        <v>1609</v>
      </c>
      <c r="G3357" s="204">
        <v>1</v>
      </c>
      <c r="H3357" s="204" t="s">
        <v>298</v>
      </c>
      <c r="I3357" s="265">
        <f t="shared" si="389"/>
        <v>0</v>
      </c>
      <c r="J3357" s="204" t="s">
        <v>93</v>
      </c>
      <c r="K3357" s="214"/>
      <c r="L3357" s="210" t="s">
        <v>675</v>
      </c>
      <c r="M3357" s="198">
        <f t="shared" si="390"/>
        <v>0</v>
      </c>
      <c r="N3357" s="212">
        <f>'02 项目基础信息（输入）'!$C$84</f>
        <v>0</v>
      </c>
      <c r="O3357" s="203">
        <f t="shared" si="382"/>
        <v>0</v>
      </c>
      <c r="P3357" s="203">
        <f t="shared" si="386"/>
        <v>0</v>
      </c>
      <c r="Q3357" s="271">
        <f t="shared" si="383"/>
        <v>0</v>
      </c>
      <c r="S3357" s="280"/>
      <c r="T3357" s="222"/>
      <c r="U3357" s="223" t="s">
        <v>5593</v>
      </c>
    </row>
    <row r="3358" spans="1:21" ht="0" hidden="1" customHeight="1" outlineLevel="4">
      <c r="A3358" s="201" t="s">
        <v>4300</v>
      </c>
      <c r="B3358" s="201"/>
      <c r="C3358" s="202" t="s">
        <v>1609</v>
      </c>
      <c r="D3358" s="203">
        <f>'02 项目基础信息（输入）'!$C$84</f>
        <v>0</v>
      </c>
      <c r="E3358" s="204" t="s">
        <v>93</v>
      </c>
      <c r="F3358" s="202" t="s">
        <v>1609</v>
      </c>
      <c r="G3358" s="204">
        <v>1</v>
      </c>
      <c r="H3358" s="204" t="s">
        <v>298</v>
      </c>
      <c r="I3358" s="265">
        <f t="shared" si="389"/>
        <v>0</v>
      </c>
      <c r="J3358" s="204" t="s">
        <v>93</v>
      </c>
      <c r="K3358" s="214"/>
      <c r="L3358" s="210" t="s">
        <v>675</v>
      </c>
      <c r="M3358" s="198">
        <f t="shared" si="390"/>
        <v>0</v>
      </c>
      <c r="N3358" s="212">
        <f>'02 项目基础信息（输入）'!$C$84</f>
        <v>0</v>
      </c>
      <c r="O3358" s="203">
        <f t="shared" si="382"/>
        <v>0</v>
      </c>
      <c r="P3358" s="203">
        <f t="shared" si="386"/>
        <v>0</v>
      </c>
      <c r="Q3358" s="271">
        <f t="shared" si="383"/>
        <v>0</v>
      </c>
      <c r="S3358" s="280"/>
      <c r="T3358" s="222"/>
      <c r="U3358" s="223" t="s">
        <v>5594</v>
      </c>
    </row>
    <row r="3359" spans="1:21" ht="0" hidden="1" customHeight="1" outlineLevel="3">
      <c r="A3359" s="201" t="s">
        <v>4302</v>
      </c>
      <c r="B3359" s="201"/>
      <c r="C3359" s="202" t="s">
        <v>1609</v>
      </c>
      <c r="D3359" s="203">
        <f>'02 项目基础信息（输入）'!$C$84</f>
        <v>0</v>
      </c>
      <c r="E3359" s="204" t="s">
        <v>93</v>
      </c>
      <c r="F3359" s="202" t="s">
        <v>1609</v>
      </c>
      <c r="G3359" s="204">
        <v>1</v>
      </c>
      <c r="H3359" s="204" t="s">
        <v>298</v>
      </c>
      <c r="I3359" s="265">
        <f t="shared" si="389"/>
        <v>0</v>
      </c>
      <c r="J3359" s="204" t="s">
        <v>93</v>
      </c>
      <c r="K3359" s="214"/>
      <c r="L3359" s="210" t="s">
        <v>675</v>
      </c>
      <c r="M3359" s="198">
        <f t="shared" si="390"/>
        <v>0</v>
      </c>
      <c r="N3359" s="212">
        <f>'02 项目基础信息（输入）'!$C$84</f>
        <v>0</v>
      </c>
      <c r="O3359" s="203">
        <f t="shared" si="382"/>
        <v>0</v>
      </c>
      <c r="P3359" s="203">
        <f t="shared" si="386"/>
        <v>0</v>
      </c>
      <c r="Q3359" s="271">
        <f t="shared" si="383"/>
        <v>0</v>
      </c>
      <c r="S3359" s="280"/>
      <c r="T3359" s="222"/>
      <c r="U3359" s="223" t="s">
        <v>5595</v>
      </c>
    </row>
    <row r="3360" spans="1:21" ht="0" hidden="1" customHeight="1" outlineLevel="3">
      <c r="A3360" s="201" t="s">
        <v>4306</v>
      </c>
      <c r="B3360" s="201"/>
      <c r="C3360" s="202" t="s">
        <v>1609</v>
      </c>
      <c r="D3360" s="203">
        <f>'02 项目基础信息（输入）'!$C$84</f>
        <v>0</v>
      </c>
      <c r="E3360" s="204" t="s">
        <v>93</v>
      </c>
      <c r="F3360" s="202" t="s">
        <v>1609</v>
      </c>
      <c r="G3360" s="204">
        <v>1</v>
      </c>
      <c r="H3360" s="204" t="s">
        <v>298</v>
      </c>
      <c r="I3360" s="265">
        <f t="shared" si="389"/>
        <v>0</v>
      </c>
      <c r="J3360" s="204" t="s">
        <v>93</v>
      </c>
      <c r="K3360" s="214"/>
      <c r="L3360" s="210" t="s">
        <v>675</v>
      </c>
      <c r="M3360" s="198">
        <f t="shared" si="390"/>
        <v>0</v>
      </c>
      <c r="N3360" s="212">
        <f>'02 项目基础信息（输入）'!$C$84</f>
        <v>0</v>
      </c>
      <c r="O3360" s="203">
        <f t="shared" si="382"/>
        <v>0</v>
      </c>
      <c r="P3360" s="203">
        <f t="shared" si="386"/>
        <v>0</v>
      </c>
      <c r="Q3360" s="271">
        <f t="shared" si="383"/>
        <v>0</v>
      </c>
      <c r="S3360" s="280"/>
      <c r="T3360" s="222"/>
      <c r="U3360" s="223" t="s">
        <v>5596</v>
      </c>
    </row>
    <row r="3361" spans="1:21" ht="0" hidden="1" customHeight="1" outlineLevel="3">
      <c r="A3361" s="201" t="s">
        <v>4308</v>
      </c>
      <c r="B3361" s="201"/>
      <c r="C3361" s="202" t="s">
        <v>1609</v>
      </c>
      <c r="D3361" s="203">
        <f>'02 项目基础信息（输入）'!$C$84</f>
        <v>0</v>
      </c>
      <c r="E3361" s="204" t="s">
        <v>93</v>
      </c>
      <c r="F3361" s="202" t="s">
        <v>1609</v>
      </c>
      <c r="G3361" s="204">
        <v>1</v>
      </c>
      <c r="H3361" s="204" t="s">
        <v>298</v>
      </c>
      <c r="I3361" s="265">
        <f t="shared" si="389"/>
        <v>0</v>
      </c>
      <c r="J3361" s="204" t="s">
        <v>93</v>
      </c>
      <c r="K3361" s="214"/>
      <c r="L3361" s="210" t="s">
        <v>675</v>
      </c>
      <c r="M3361" s="198">
        <f t="shared" si="390"/>
        <v>0</v>
      </c>
      <c r="N3361" s="212">
        <f>'02 项目基础信息（输入）'!$C$84</f>
        <v>0</v>
      </c>
      <c r="O3361" s="203">
        <f t="shared" si="382"/>
        <v>0</v>
      </c>
      <c r="P3361" s="203">
        <f t="shared" si="386"/>
        <v>0</v>
      </c>
      <c r="Q3361" s="271">
        <f t="shared" si="383"/>
        <v>0</v>
      </c>
      <c r="S3361" s="280"/>
      <c r="T3361" s="222"/>
      <c r="U3361" s="223" t="s">
        <v>5597</v>
      </c>
    </row>
    <row r="3362" spans="1:21" ht="0" hidden="1" customHeight="1" outlineLevel="3">
      <c r="A3362" s="201" t="s">
        <v>4310</v>
      </c>
      <c r="B3362" s="201"/>
      <c r="C3362" s="202" t="s">
        <v>1665</v>
      </c>
      <c r="D3362" s="203">
        <f>ROUND(M3342+M3349+M3359+M3360+M3361,6)*10000</f>
        <v>0</v>
      </c>
      <c r="E3362" s="204" t="s">
        <v>1666</v>
      </c>
      <c r="F3362" s="202" t="s">
        <v>1667</v>
      </c>
      <c r="G3362" s="258">
        <f>IFERROR(I3362*100/D3362,0)</f>
        <v>0</v>
      </c>
      <c r="H3362" s="204" t="s">
        <v>123</v>
      </c>
      <c r="I3362" s="265">
        <f>N3362*K3362</f>
        <v>0</v>
      </c>
      <c r="J3362" s="204" t="s">
        <v>1666</v>
      </c>
      <c r="K3362" s="269"/>
      <c r="L3362" s="210" t="s">
        <v>675</v>
      </c>
      <c r="M3362" s="231">
        <f>ROUND(I3362/10000,6)</f>
        <v>0</v>
      </c>
      <c r="N3362" s="212">
        <f>'02 项目基础信息（输入）'!$C$84</f>
        <v>0</v>
      </c>
      <c r="O3362" s="203">
        <f t="shared" si="382"/>
        <v>0</v>
      </c>
      <c r="P3362" s="203">
        <f t="shared" si="386"/>
        <v>0</v>
      </c>
      <c r="Q3362" s="271">
        <f t="shared" si="383"/>
        <v>0</v>
      </c>
      <c r="S3362" s="280"/>
      <c r="T3362" s="222"/>
      <c r="U3362" s="223" t="s">
        <v>5598</v>
      </c>
    </row>
    <row r="3363" spans="1:21" ht="0" hidden="1" customHeight="1" outlineLevel="2">
      <c r="A3363" s="201" t="s">
        <v>4312</v>
      </c>
      <c r="B3363" s="201"/>
      <c r="C3363" s="202" t="s">
        <v>1609</v>
      </c>
      <c r="D3363" s="203">
        <f>'02 项目基础信息（输入）'!$C$84</f>
        <v>0</v>
      </c>
      <c r="E3363" s="204" t="s">
        <v>93</v>
      </c>
      <c r="F3363" s="202"/>
      <c r="G3363" s="221"/>
      <c r="H3363" s="204"/>
      <c r="I3363" s="203"/>
      <c r="J3363" s="204"/>
      <c r="K3363" s="266"/>
      <c r="L3363" s="210"/>
      <c r="M3363" s="198">
        <f>ROUND(M3364+M3365+M3366+M3367+M3377+M3378+M3379,6)</f>
        <v>0</v>
      </c>
      <c r="N3363" s="212">
        <f>'02 项目基础信息（输入）'!$C$84</f>
        <v>0</v>
      </c>
      <c r="O3363" s="203">
        <f t="shared" si="382"/>
        <v>0</v>
      </c>
      <c r="P3363" s="203">
        <f t="shared" si="386"/>
        <v>0</v>
      </c>
      <c r="Q3363" s="271">
        <f t="shared" si="383"/>
        <v>0</v>
      </c>
      <c r="S3363" s="280" t="s">
        <v>1314</v>
      </c>
      <c r="T3363" s="222"/>
      <c r="U3363" s="223" t="s">
        <v>5599</v>
      </c>
    </row>
    <row r="3364" spans="1:21" ht="0" hidden="1" customHeight="1" outlineLevel="3">
      <c r="A3364" s="253" t="s">
        <v>4314</v>
      </c>
      <c r="B3364" s="253"/>
      <c r="C3364" s="202" t="s">
        <v>1609</v>
      </c>
      <c r="D3364" s="203">
        <f>'02 项目基础信息（输入）'!$C$84</f>
        <v>0</v>
      </c>
      <c r="E3364" s="204" t="s">
        <v>93</v>
      </c>
      <c r="F3364" s="202" t="s">
        <v>4315</v>
      </c>
      <c r="G3364" s="258">
        <f>IFERROR(I3364/D3364,0)</f>
        <v>0</v>
      </c>
      <c r="H3364" s="204" t="s">
        <v>298</v>
      </c>
      <c r="I3364" s="285"/>
      <c r="J3364" s="204" t="s">
        <v>93</v>
      </c>
      <c r="K3364" s="214"/>
      <c r="L3364" s="210" t="s">
        <v>675</v>
      </c>
      <c r="M3364" s="198">
        <f>ROUND(K3364*I3364/10000,6)</f>
        <v>0</v>
      </c>
      <c r="N3364" s="212">
        <f>'02 项目基础信息（输入）'!$C$84</f>
        <v>0</v>
      </c>
      <c r="O3364" s="203">
        <f t="shared" si="382"/>
        <v>0</v>
      </c>
      <c r="P3364" s="203">
        <f t="shared" si="386"/>
        <v>0</v>
      </c>
      <c r="Q3364" s="271">
        <f t="shared" si="383"/>
        <v>0</v>
      </c>
      <c r="S3364" s="280"/>
      <c r="T3364" s="222"/>
      <c r="U3364" s="223" t="s">
        <v>5600</v>
      </c>
    </row>
    <row r="3365" spans="1:21" ht="0" hidden="1" customHeight="1" outlineLevel="3">
      <c r="A3365" s="253" t="s">
        <v>4317</v>
      </c>
      <c r="B3365" s="253"/>
      <c r="C3365" s="202" t="s">
        <v>1609</v>
      </c>
      <c r="D3365" s="203">
        <f>'02 项目基础信息（输入）'!$C$84</f>
        <v>0</v>
      </c>
      <c r="E3365" s="204" t="s">
        <v>93</v>
      </c>
      <c r="F3365" s="202" t="s">
        <v>1609</v>
      </c>
      <c r="G3365" s="255">
        <v>1</v>
      </c>
      <c r="H3365" s="204" t="s">
        <v>298</v>
      </c>
      <c r="I3365" s="265">
        <f>D3365*G3365</f>
        <v>0</v>
      </c>
      <c r="J3365" s="204" t="s">
        <v>93</v>
      </c>
      <c r="K3365" s="214"/>
      <c r="L3365" s="210" t="s">
        <v>675</v>
      </c>
      <c r="M3365" s="198">
        <f>ROUND(K3365*I3365/10000,6)</f>
        <v>0</v>
      </c>
      <c r="N3365" s="212">
        <f>'02 项目基础信息（输入）'!$C$84</f>
        <v>0</v>
      </c>
      <c r="O3365" s="203">
        <f t="shared" si="382"/>
        <v>0</v>
      </c>
      <c r="P3365" s="203">
        <f t="shared" si="386"/>
        <v>0</v>
      </c>
      <c r="Q3365" s="271">
        <f t="shared" si="383"/>
        <v>0</v>
      </c>
      <c r="S3365" s="280"/>
      <c r="T3365" s="222"/>
      <c r="U3365" s="223" t="s">
        <v>5601</v>
      </c>
    </row>
    <row r="3366" spans="1:21" ht="0" hidden="1" customHeight="1" outlineLevel="3">
      <c r="A3366" s="253" t="s">
        <v>4319</v>
      </c>
      <c r="B3366" s="253"/>
      <c r="C3366" s="202" t="s">
        <v>1609</v>
      </c>
      <c r="D3366" s="203">
        <f>'02 项目基础信息（输入）'!$C$84</f>
        <v>0</v>
      </c>
      <c r="E3366" s="204" t="s">
        <v>93</v>
      </c>
      <c r="F3366" s="202" t="s">
        <v>1609</v>
      </c>
      <c r="G3366" s="204">
        <v>1</v>
      </c>
      <c r="H3366" s="204" t="s">
        <v>298</v>
      </c>
      <c r="I3366" s="265">
        <f>D3366*G3366</f>
        <v>0</v>
      </c>
      <c r="J3366" s="204" t="s">
        <v>93</v>
      </c>
      <c r="K3366" s="214"/>
      <c r="L3366" s="210" t="s">
        <v>675</v>
      </c>
      <c r="M3366" s="198">
        <f>ROUND(K3366*I3366/10000,6)</f>
        <v>0</v>
      </c>
      <c r="N3366" s="212">
        <f>'02 项目基础信息（输入）'!$C$84</f>
        <v>0</v>
      </c>
      <c r="O3366" s="203">
        <f t="shared" si="382"/>
        <v>0</v>
      </c>
      <c r="P3366" s="203">
        <f t="shared" si="386"/>
        <v>0</v>
      </c>
      <c r="Q3366" s="271">
        <f t="shared" si="383"/>
        <v>0</v>
      </c>
      <c r="S3366" s="280"/>
      <c r="T3366" s="222"/>
      <c r="U3366" s="223" t="s">
        <v>5602</v>
      </c>
    </row>
    <row r="3367" spans="1:21" ht="0" hidden="1" customHeight="1" outlineLevel="3">
      <c r="A3367" s="253" t="s">
        <v>4321</v>
      </c>
      <c r="B3367" s="253"/>
      <c r="C3367" s="202" t="s">
        <v>1609</v>
      </c>
      <c r="D3367" s="203">
        <f>'02 项目基础信息（输入）'!$C$84</f>
        <v>0</v>
      </c>
      <c r="E3367" s="204" t="s">
        <v>93</v>
      </c>
      <c r="F3367" s="202"/>
      <c r="G3367" s="255"/>
      <c r="H3367" s="204"/>
      <c r="I3367" s="212"/>
      <c r="J3367" s="255"/>
      <c r="K3367" s="264"/>
      <c r="L3367" s="205"/>
      <c r="M3367" s="198">
        <f>ROUND(SUM(M3368:M3376),6)</f>
        <v>0</v>
      </c>
      <c r="N3367" s="212">
        <f>'02 项目基础信息（输入）'!$C$84</f>
        <v>0</v>
      </c>
      <c r="O3367" s="203">
        <f t="shared" si="382"/>
        <v>0</v>
      </c>
      <c r="P3367" s="203">
        <f t="shared" si="386"/>
        <v>0</v>
      </c>
      <c r="Q3367" s="271">
        <f t="shared" si="383"/>
        <v>0</v>
      </c>
      <c r="S3367" s="280"/>
      <c r="T3367" s="222"/>
      <c r="U3367" s="223" t="s">
        <v>5603</v>
      </c>
    </row>
    <row r="3368" spans="1:21" ht="0" hidden="1" customHeight="1" outlineLevel="4">
      <c r="A3368" s="253" t="s">
        <v>4673</v>
      </c>
      <c r="B3368" s="253"/>
      <c r="C3368" s="202" t="s">
        <v>1609</v>
      </c>
      <c r="D3368" s="203">
        <f>'02 项目基础信息（输入）'!$C$84</f>
        <v>0</v>
      </c>
      <c r="E3368" s="204" t="s">
        <v>93</v>
      </c>
      <c r="F3368" s="202" t="s">
        <v>4324</v>
      </c>
      <c r="G3368" s="258">
        <f t="shared" ref="G3368:G3376" si="391">IFERROR(I3368/D3368,0)</f>
        <v>0</v>
      </c>
      <c r="H3368" s="204" t="s">
        <v>298</v>
      </c>
      <c r="I3368" s="285"/>
      <c r="J3368" s="204" t="s">
        <v>93</v>
      </c>
      <c r="K3368" s="214"/>
      <c r="L3368" s="210" t="s">
        <v>675</v>
      </c>
      <c r="M3368" s="198">
        <f t="shared" ref="M3368:M3378" si="392">ROUND(K3368*I3368/10000,6)</f>
        <v>0</v>
      </c>
      <c r="N3368" s="212">
        <f>'02 项目基础信息（输入）'!$C$84</f>
        <v>0</v>
      </c>
      <c r="O3368" s="203">
        <f t="shared" si="382"/>
        <v>0</v>
      </c>
      <c r="P3368" s="203">
        <f t="shared" si="386"/>
        <v>0</v>
      </c>
      <c r="Q3368" s="271">
        <f t="shared" si="383"/>
        <v>0</v>
      </c>
      <c r="S3368" s="280"/>
      <c r="T3368" s="222"/>
      <c r="U3368" s="223" t="s">
        <v>5604</v>
      </c>
    </row>
    <row r="3369" spans="1:21" ht="0" hidden="1" customHeight="1" outlineLevel="4">
      <c r="A3369" s="253" t="s">
        <v>4675</v>
      </c>
      <c r="B3369" s="253"/>
      <c r="C3369" s="202" t="s">
        <v>1609</v>
      </c>
      <c r="D3369" s="203">
        <f>'02 项目基础信息（输入）'!$C$84</f>
        <v>0</v>
      </c>
      <c r="E3369" s="204" t="s">
        <v>93</v>
      </c>
      <c r="F3369" s="202" t="s">
        <v>4324</v>
      </c>
      <c r="G3369" s="258">
        <f t="shared" si="391"/>
        <v>0</v>
      </c>
      <c r="H3369" s="204" t="s">
        <v>298</v>
      </c>
      <c r="I3369" s="265">
        <f t="shared" ref="I3369:I3376" si="393">I$3368</f>
        <v>0</v>
      </c>
      <c r="J3369" s="204" t="s">
        <v>93</v>
      </c>
      <c r="K3369" s="214"/>
      <c r="L3369" s="210" t="s">
        <v>675</v>
      </c>
      <c r="M3369" s="198">
        <f t="shared" si="392"/>
        <v>0</v>
      </c>
      <c r="N3369" s="212">
        <f>'02 项目基础信息（输入）'!$C$84</f>
        <v>0</v>
      </c>
      <c r="O3369" s="203">
        <f t="shared" si="382"/>
        <v>0</v>
      </c>
      <c r="P3369" s="203">
        <f t="shared" si="386"/>
        <v>0</v>
      </c>
      <c r="Q3369" s="271">
        <f t="shared" si="383"/>
        <v>0</v>
      </c>
      <c r="S3369" s="280"/>
      <c r="T3369" s="222"/>
      <c r="U3369" s="223" t="s">
        <v>5605</v>
      </c>
    </row>
    <row r="3370" spans="1:21" ht="0" hidden="1" customHeight="1" outlineLevel="4">
      <c r="A3370" s="253" t="s">
        <v>4677</v>
      </c>
      <c r="B3370" s="253"/>
      <c r="C3370" s="202" t="s">
        <v>1609</v>
      </c>
      <c r="D3370" s="203">
        <f>'02 项目基础信息（输入）'!$C$84</f>
        <v>0</v>
      </c>
      <c r="E3370" s="204" t="s">
        <v>93</v>
      </c>
      <c r="F3370" s="202" t="s">
        <v>4324</v>
      </c>
      <c r="G3370" s="258">
        <f t="shared" si="391"/>
        <v>0</v>
      </c>
      <c r="H3370" s="204" t="s">
        <v>298</v>
      </c>
      <c r="I3370" s="265">
        <f t="shared" si="393"/>
        <v>0</v>
      </c>
      <c r="J3370" s="204" t="s">
        <v>93</v>
      </c>
      <c r="K3370" s="214"/>
      <c r="L3370" s="210" t="s">
        <v>675</v>
      </c>
      <c r="M3370" s="198">
        <f t="shared" si="392"/>
        <v>0</v>
      </c>
      <c r="N3370" s="212">
        <f>'02 项目基础信息（输入）'!$C$84</f>
        <v>0</v>
      </c>
      <c r="O3370" s="203">
        <f t="shared" si="382"/>
        <v>0</v>
      </c>
      <c r="P3370" s="203">
        <f t="shared" si="386"/>
        <v>0</v>
      </c>
      <c r="Q3370" s="271">
        <f t="shared" si="383"/>
        <v>0</v>
      </c>
      <c r="S3370" s="280"/>
      <c r="T3370" s="222"/>
      <c r="U3370" s="223" t="s">
        <v>5606</v>
      </c>
    </row>
    <row r="3371" spans="1:21" ht="0" hidden="1" customHeight="1" outlineLevel="4">
      <c r="A3371" s="253" t="s">
        <v>4679</v>
      </c>
      <c r="B3371" s="253"/>
      <c r="C3371" s="202" t="s">
        <v>1609</v>
      </c>
      <c r="D3371" s="203">
        <f>'02 项目基础信息（输入）'!$C$84</f>
        <v>0</v>
      </c>
      <c r="E3371" s="204" t="s">
        <v>93</v>
      </c>
      <c r="F3371" s="202" t="s">
        <v>4324</v>
      </c>
      <c r="G3371" s="258">
        <f t="shared" si="391"/>
        <v>0</v>
      </c>
      <c r="H3371" s="204" t="s">
        <v>298</v>
      </c>
      <c r="I3371" s="265">
        <f t="shared" si="393"/>
        <v>0</v>
      </c>
      <c r="J3371" s="204" t="s">
        <v>93</v>
      </c>
      <c r="K3371" s="214"/>
      <c r="L3371" s="210" t="s">
        <v>675</v>
      </c>
      <c r="M3371" s="198">
        <f t="shared" si="392"/>
        <v>0</v>
      </c>
      <c r="N3371" s="212">
        <f>'02 项目基础信息（输入）'!$C$84</f>
        <v>0</v>
      </c>
      <c r="O3371" s="203">
        <f t="shared" si="382"/>
        <v>0</v>
      </c>
      <c r="P3371" s="203">
        <f t="shared" si="386"/>
        <v>0</v>
      </c>
      <c r="Q3371" s="271">
        <f t="shared" si="383"/>
        <v>0</v>
      </c>
      <c r="S3371" s="280"/>
      <c r="T3371" s="222"/>
      <c r="U3371" s="223" t="s">
        <v>5607</v>
      </c>
    </row>
    <row r="3372" spans="1:21" ht="0" hidden="1" customHeight="1" outlineLevel="4">
      <c r="A3372" s="253" t="s">
        <v>4681</v>
      </c>
      <c r="B3372" s="253"/>
      <c r="C3372" s="202" t="s">
        <v>1609</v>
      </c>
      <c r="D3372" s="203">
        <f>'02 项目基础信息（输入）'!$C$84</f>
        <v>0</v>
      </c>
      <c r="E3372" s="204" t="s">
        <v>93</v>
      </c>
      <c r="F3372" s="202" t="s">
        <v>4324</v>
      </c>
      <c r="G3372" s="258">
        <f t="shared" si="391"/>
        <v>0</v>
      </c>
      <c r="H3372" s="204" t="s">
        <v>298</v>
      </c>
      <c r="I3372" s="265">
        <f t="shared" si="393"/>
        <v>0</v>
      </c>
      <c r="J3372" s="204" t="s">
        <v>93</v>
      </c>
      <c r="K3372" s="214"/>
      <c r="L3372" s="210" t="s">
        <v>675</v>
      </c>
      <c r="M3372" s="198">
        <f t="shared" si="392"/>
        <v>0</v>
      </c>
      <c r="N3372" s="212">
        <f>'02 项目基础信息（输入）'!$C$84</f>
        <v>0</v>
      </c>
      <c r="O3372" s="203">
        <f t="shared" si="382"/>
        <v>0</v>
      </c>
      <c r="P3372" s="203">
        <f t="shared" si="386"/>
        <v>0</v>
      </c>
      <c r="Q3372" s="271">
        <f t="shared" si="383"/>
        <v>0</v>
      </c>
      <c r="S3372" s="280"/>
      <c r="T3372" s="222"/>
      <c r="U3372" s="223" t="s">
        <v>5608</v>
      </c>
    </row>
    <row r="3373" spans="1:21" ht="0" hidden="1" customHeight="1" outlineLevel="4">
      <c r="A3373" s="253" t="s">
        <v>4683</v>
      </c>
      <c r="B3373" s="253"/>
      <c r="C3373" s="202" t="s">
        <v>1609</v>
      </c>
      <c r="D3373" s="203">
        <f>'02 项目基础信息（输入）'!$C$84</f>
        <v>0</v>
      </c>
      <c r="E3373" s="204" t="s">
        <v>93</v>
      </c>
      <c r="F3373" s="202" t="s">
        <v>4324</v>
      </c>
      <c r="G3373" s="258">
        <f t="shared" si="391"/>
        <v>0</v>
      </c>
      <c r="H3373" s="204" t="s">
        <v>298</v>
      </c>
      <c r="I3373" s="265">
        <f t="shared" si="393"/>
        <v>0</v>
      </c>
      <c r="J3373" s="204" t="s">
        <v>93</v>
      </c>
      <c r="K3373" s="214"/>
      <c r="L3373" s="210" t="s">
        <v>675</v>
      </c>
      <c r="M3373" s="198">
        <f t="shared" si="392"/>
        <v>0</v>
      </c>
      <c r="N3373" s="212">
        <f>'02 项目基础信息（输入）'!$C$84</f>
        <v>0</v>
      </c>
      <c r="O3373" s="203">
        <f t="shared" si="382"/>
        <v>0</v>
      </c>
      <c r="P3373" s="203">
        <f t="shared" si="386"/>
        <v>0</v>
      </c>
      <c r="Q3373" s="271">
        <f t="shared" si="383"/>
        <v>0</v>
      </c>
      <c r="S3373" s="280"/>
      <c r="T3373" s="222"/>
      <c r="U3373" s="223" t="s">
        <v>5609</v>
      </c>
    </row>
    <row r="3374" spans="1:21" ht="0" hidden="1" customHeight="1" outlineLevel="4">
      <c r="A3374" s="253" t="s">
        <v>4323</v>
      </c>
      <c r="B3374" s="253"/>
      <c r="C3374" s="202" t="s">
        <v>1609</v>
      </c>
      <c r="D3374" s="203">
        <f>'02 项目基础信息（输入）'!$C$84</f>
        <v>0</v>
      </c>
      <c r="E3374" s="204" t="s">
        <v>93</v>
      </c>
      <c r="F3374" s="202" t="s">
        <v>4324</v>
      </c>
      <c r="G3374" s="258">
        <f t="shared" si="391"/>
        <v>0</v>
      </c>
      <c r="H3374" s="204" t="s">
        <v>298</v>
      </c>
      <c r="I3374" s="265">
        <f t="shared" si="393"/>
        <v>0</v>
      </c>
      <c r="J3374" s="204" t="s">
        <v>93</v>
      </c>
      <c r="K3374" s="214"/>
      <c r="L3374" s="210" t="s">
        <v>675</v>
      </c>
      <c r="M3374" s="198">
        <f t="shared" si="392"/>
        <v>0</v>
      </c>
      <c r="N3374" s="212">
        <f>'02 项目基础信息（输入）'!$C$84</f>
        <v>0</v>
      </c>
      <c r="O3374" s="203">
        <f t="shared" si="382"/>
        <v>0</v>
      </c>
      <c r="P3374" s="203">
        <f t="shared" si="386"/>
        <v>0</v>
      </c>
      <c r="Q3374" s="271">
        <f t="shared" si="383"/>
        <v>0</v>
      </c>
      <c r="S3374" s="280"/>
      <c r="T3374" s="222"/>
      <c r="U3374" s="223" t="s">
        <v>5610</v>
      </c>
    </row>
    <row r="3375" spans="1:21" ht="0" hidden="1" customHeight="1" outlineLevel="4">
      <c r="A3375" s="253" t="s">
        <v>4326</v>
      </c>
      <c r="B3375" s="253"/>
      <c r="C3375" s="202" t="s">
        <v>1609</v>
      </c>
      <c r="D3375" s="203">
        <f>'02 项目基础信息（输入）'!$C$84</f>
        <v>0</v>
      </c>
      <c r="E3375" s="204" t="s">
        <v>93</v>
      </c>
      <c r="F3375" s="202" t="s">
        <v>4324</v>
      </c>
      <c r="G3375" s="258">
        <f t="shared" si="391"/>
        <v>0</v>
      </c>
      <c r="H3375" s="204" t="s">
        <v>298</v>
      </c>
      <c r="I3375" s="265">
        <f t="shared" si="393"/>
        <v>0</v>
      </c>
      <c r="J3375" s="204" t="s">
        <v>93</v>
      </c>
      <c r="K3375" s="214"/>
      <c r="L3375" s="210" t="s">
        <v>675</v>
      </c>
      <c r="M3375" s="198">
        <f t="shared" si="392"/>
        <v>0</v>
      </c>
      <c r="N3375" s="212">
        <f>'02 项目基础信息（输入）'!$C$84</f>
        <v>0</v>
      </c>
      <c r="O3375" s="203">
        <f t="shared" si="382"/>
        <v>0</v>
      </c>
      <c r="P3375" s="203">
        <f t="shared" si="386"/>
        <v>0</v>
      </c>
      <c r="Q3375" s="271">
        <f t="shared" si="383"/>
        <v>0</v>
      </c>
      <c r="S3375" s="280"/>
      <c r="T3375" s="222"/>
      <c r="U3375" s="223" t="s">
        <v>5611</v>
      </c>
    </row>
    <row r="3376" spans="1:21" ht="0" hidden="1" customHeight="1" outlineLevel="4">
      <c r="A3376" s="253" t="s">
        <v>4328</v>
      </c>
      <c r="B3376" s="253"/>
      <c r="C3376" s="202" t="s">
        <v>1609</v>
      </c>
      <c r="D3376" s="203">
        <f>'02 项目基础信息（输入）'!$C$84</f>
        <v>0</v>
      </c>
      <c r="E3376" s="204" t="s">
        <v>93</v>
      </c>
      <c r="F3376" s="202" t="s">
        <v>4324</v>
      </c>
      <c r="G3376" s="258">
        <f t="shared" si="391"/>
        <v>0</v>
      </c>
      <c r="H3376" s="204" t="s">
        <v>298</v>
      </c>
      <c r="I3376" s="265">
        <f t="shared" si="393"/>
        <v>0</v>
      </c>
      <c r="J3376" s="204" t="s">
        <v>93</v>
      </c>
      <c r="K3376" s="214"/>
      <c r="L3376" s="210" t="s">
        <v>675</v>
      </c>
      <c r="M3376" s="198">
        <f t="shared" si="392"/>
        <v>0</v>
      </c>
      <c r="N3376" s="212">
        <f>'02 项目基础信息（输入）'!$C$84</f>
        <v>0</v>
      </c>
      <c r="O3376" s="203">
        <f t="shared" si="382"/>
        <v>0</v>
      </c>
      <c r="P3376" s="203">
        <f t="shared" si="386"/>
        <v>0</v>
      </c>
      <c r="Q3376" s="271">
        <f t="shared" si="383"/>
        <v>0</v>
      </c>
      <c r="S3376" s="280"/>
      <c r="T3376" s="222"/>
      <c r="U3376" s="223" t="s">
        <v>5612</v>
      </c>
    </row>
    <row r="3377" spans="1:21" ht="0" hidden="1" customHeight="1" outlineLevel="3">
      <c r="A3377" s="253" t="s">
        <v>4330</v>
      </c>
      <c r="B3377" s="253"/>
      <c r="C3377" s="202" t="s">
        <v>1609</v>
      </c>
      <c r="D3377" s="203">
        <f>'02 项目基础信息（输入）'!$C$84</f>
        <v>0</v>
      </c>
      <c r="E3377" s="204" t="s">
        <v>93</v>
      </c>
      <c r="F3377" s="202" t="s">
        <v>1609</v>
      </c>
      <c r="G3377" s="255">
        <v>1</v>
      </c>
      <c r="H3377" s="204" t="s">
        <v>298</v>
      </c>
      <c r="I3377" s="265">
        <f>D3377*G3377</f>
        <v>0</v>
      </c>
      <c r="J3377" s="204" t="s">
        <v>93</v>
      </c>
      <c r="K3377" s="214"/>
      <c r="L3377" s="210" t="s">
        <v>675</v>
      </c>
      <c r="M3377" s="198">
        <f t="shared" si="392"/>
        <v>0</v>
      </c>
      <c r="N3377" s="212">
        <f>'02 项目基础信息（输入）'!$C$84</f>
        <v>0</v>
      </c>
      <c r="O3377" s="203">
        <f t="shared" si="382"/>
        <v>0</v>
      </c>
      <c r="P3377" s="203">
        <f t="shared" si="386"/>
        <v>0</v>
      </c>
      <c r="Q3377" s="271">
        <f t="shared" si="383"/>
        <v>0</v>
      </c>
      <c r="S3377" s="280"/>
      <c r="T3377" s="222"/>
      <c r="U3377" s="223" t="s">
        <v>5613</v>
      </c>
    </row>
    <row r="3378" spans="1:21" ht="0" hidden="1" customHeight="1" outlineLevel="3">
      <c r="A3378" s="253" t="s">
        <v>4332</v>
      </c>
      <c r="B3378" s="253"/>
      <c r="C3378" s="202" t="s">
        <v>1609</v>
      </c>
      <c r="D3378" s="203">
        <f>'02 项目基础信息（输入）'!$C$84</f>
        <v>0</v>
      </c>
      <c r="E3378" s="204" t="s">
        <v>93</v>
      </c>
      <c r="F3378" s="202" t="s">
        <v>1609</v>
      </c>
      <c r="G3378" s="255">
        <v>1</v>
      </c>
      <c r="H3378" s="204" t="s">
        <v>298</v>
      </c>
      <c r="I3378" s="265">
        <f>D3378*G3378</f>
        <v>0</v>
      </c>
      <c r="J3378" s="204" t="s">
        <v>93</v>
      </c>
      <c r="K3378" s="214"/>
      <c r="L3378" s="210" t="s">
        <v>675</v>
      </c>
      <c r="M3378" s="198">
        <f t="shared" si="392"/>
        <v>0</v>
      </c>
      <c r="N3378" s="212">
        <f>'02 项目基础信息（输入）'!$C$84</f>
        <v>0</v>
      </c>
      <c r="O3378" s="203">
        <f t="shared" si="382"/>
        <v>0</v>
      </c>
      <c r="P3378" s="203">
        <f t="shared" si="386"/>
        <v>0</v>
      </c>
      <c r="Q3378" s="271">
        <f t="shared" si="383"/>
        <v>0</v>
      </c>
      <c r="S3378" s="280"/>
      <c r="T3378" s="222"/>
      <c r="U3378" s="223" t="s">
        <v>5614</v>
      </c>
    </row>
    <row r="3379" spans="1:21" ht="0" hidden="1" customHeight="1" outlineLevel="3">
      <c r="A3379" s="253" t="s">
        <v>4334</v>
      </c>
      <c r="B3379" s="253"/>
      <c r="C3379" s="202" t="s">
        <v>1665</v>
      </c>
      <c r="D3379" s="203">
        <f>ROUND(M3364+M3365+M3366+M3367+M3378,6)*10000</f>
        <v>0</v>
      </c>
      <c r="E3379" s="204" t="s">
        <v>1666</v>
      </c>
      <c r="F3379" s="202" t="s">
        <v>1667</v>
      </c>
      <c r="G3379" s="258">
        <f>IFERROR(I3379*100/D3379,0)</f>
        <v>0</v>
      </c>
      <c r="H3379" s="204" t="s">
        <v>123</v>
      </c>
      <c r="I3379" s="265">
        <f>N3379*K3379</f>
        <v>0</v>
      </c>
      <c r="J3379" s="204" t="s">
        <v>1666</v>
      </c>
      <c r="K3379" s="269"/>
      <c r="L3379" s="210" t="s">
        <v>675</v>
      </c>
      <c r="M3379" s="231">
        <f>ROUND(I3379/10000,6)</f>
        <v>0</v>
      </c>
      <c r="N3379" s="212">
        <f>'02 项目基础信息（输入）'!$C$84</f>
        <v>0</v>
      </c>
      <c r="O3379" s="203">
        <f t="shared" si="382"/>
        <v>0</v>
      </c>
      <c r="P3379" s="203">
        <f t="shared" si="386"/>
        <v>0</v>
      </c>
      <c r="Q3379" s="271">
        <f t="shared" si="383"/>
        <v>0</v>
      </c>
      <c r="S3379" s="280"/>
      <c r="T3379" s="222"/>
      <c r="U3379" s="223" t="s">
        <v>5615</v>
      </c>
    </row>
    <row r="3380" spans="1:21" ht="0" hidden="1" customHeight="1" outlineLevel="2">
      <c r="A3380" s="201" t="s">
        <v>4336</v>
      </c>
      <c r="B3380" s="201"/>
      <c r="C3380" s="202" t="s">
        <v>1609</v>
      </c>
      <c r="D3380" s="203">
        <f>'02 项目基础信息（输入）'!$C$84</f>
        <v>0</v>
      </c>
      <c r="E3380" s="204" t="s">
        <v>93</v>
      </c>
      <c r="F3380" s="202"/>
      <c r="G3380" s="204"/>
      <c r="H3380" s="204"/>
      <c r="I3380" s="203"/>
      <c r="J3380" s="204"/>
      <c r="K3380" s="264"/>
      <c r="L3380" s="210"/>
      <c r="M3380" s="198">
        <f>ROUND(M3381+M3384+M3389+M3390+M3391+M3392,6)</f>
        <v>0</v>
      </c>
      <c r="N3380" s="212">
        <f>'02 项目基础信息（输入）'!$C$84</f>
        <v>0</v>
      </c>
      <c r="O3380" s="203">
        <f t="shared" si="382"/>
        <v>0</v>
      </c>
      <c r="P3380" s="203">
        <f t="shared" si="386"/>
        <v>0</v>
      </c>
      <c r="Q3380" s="271">
        <f t="shared" si="383"/>
        <v>0</v>
      </c>
      <c r="S3380" s="280" t="s">
        <v>1313</v>
      </c>
      <c r="T3380" s="222"/>
      <c r="U3380" s="223" t="s">
        <v>5616</v>
      </c>
    </row>
    <row r="3381" spans="1:21" ht="0" hidden="1" customHeight="1" outlineLevel="3">
      <c r="A3381" s="253" t="s">
        <v>4338</v>
      </c>
      <c r="B3381" s="253"/>
      <c r="C3381" s="202" t="s">
        <v>1609</v>
      </c>
      <c r="D3381" s="203">
        <f>'02 项目基础信息（输入）'!$C$84</f>
        <v>0</v>
      </c>
      <c r="E3381" s="204" t="s">
        <v>93</v>
      </c>
      <c r="F3381" s="202"/>
      <c r="G3381" s="204"/>
      <c r="H3381" s="204"/>
      <c r="I3381" s="203"/>
      <c r="J3381" s="204"/>
      <c r="K3381" s="264"/>
      <c r="L3381" s="210"/>
      <c r="M3381" s="198">
        <f>ROUND(SUM(M3382:M3383),6)</f>
        <v>0</v>
      </c>
      <c r="N3381" s="212">
        <f>'02 项目基础信息（输入）'!$C$84</f>
        <v>0</v>
      </c>
      <c r="O3381" s="203">
        <f t="shared" si="382"/>
        <v>0</v>
      </c>
      <c r="P3381" s="203">
        <f t="shared" si="386"/>
        <v>0</v>
      </c>
      <c r="Q3381" s="271">
        <f t="shared" si="383"/>
        <v>0</v>
      </c>
      <c r="S3381" s="280"/>
      <c r="T3381" s="222"/>
      <c r="U3381" s="223" t="s">
        <v>5617</v>
      </c>
    </row>
    <row r="3382" spans="1:21" ht="0" hidden="1" customHeight="1" outlineLevel="4">
      <c r="A3382" s="253" t="s">
        <v>4340</v>
      </c>
      <c r="B3382" s="253"/>
      <c r="C3382" s="202" t="s">
        <v>1609</v>
      </c>
      <c r="D3382" s="203">
        <f>'02 项目基础信息（输入）'!$C$84</f>
        <v>0</v>
      </c>
      <c r="E3382" s="204" t="s">
        <v>93</v>
      </c>
      <c r="F3382" s="202" t="s">
        <v>1609</v>
      </c>
      <c r="G3382" s="204">
        <v>1</v>
      </c>
      <c r="H3382" s="204" t="s">
        <v>298</v>
      </c>
      <c r="I3382" s="265">
        <f>D3382*G3382</f>
        <v>0</v>
      </c>
      <c r="J3382" s="204" t="s">
        <v>93</v>
      </c>
      <c r="K3382" s="214"/>
      <c r="L3382" s="210" t="s">
        <v>675</v>
      </c>
      <c r="M3382" s="198">
        <f>ROUND(K3382*I3382/10000,6)</f>
        <v>0</v>
      </c>
      <c r="N3382" s="212">
        <f>'02 项目基础信息（输入）'!$C$84</f>
        <v>0</v>
      </c>
      <c r="O3382" s="203">
        <f t="shared" si="382"/>
        <v>0</v>
      </c>
      <c r="P3382" s="203">
        <f t="shared" si="386"/>
        <v>0</v>
      </c>
      <c r="Q3382" s="271">
        <f t="shared" si="383"/>
        <v>0</v>
      </c>
      <c r="S3382" s="280"/>
      <c r="T3382" s="222"/>
      <c r="U3382" s="223" t="s">
        <v>5618</v>
      </c>
    </row>
    <row r="3383" spans="1:21" ht="0" hidden="1" customHeight="1" outlineLevel="4">
      <c r="A3383" s="253" t="s">
        <v>4342</v>
      </c>
      <c r="B3383" s="253"/>
      <c r="C3383" s="202" t="s">
        <v>1609</v>
      </c>
      <c r="D3383" s="203">
        <f>'02 项目基础信息（输入）'!$C$84</f>
        <v>0</v>
      </c>
      <c r="E3383" s="204" t="s">
        <v>93</v>
      </c>
      <c r="F3383" s="202" t="s">
        <v>1609</v>
      </c>
      <c r="G3383" s="204">
        <v>1</v>
      </c>
      <c r="H3383" s="204" t="s">
        <v>298</v>
      </c>
      <c r="I3383" s="265">
        <f>D3383*G3383</f>
        <v>0</v>
      </c>
      <c r="J3383" s="204" t="s">
        <v>93</v>
      </c>
      <c r="K3383" s="214"/>
      <c r="L3383" s="210" t="s">
        <v>675</v>
      </c>
      <c r="M3383" s="198">
        <f>ROUND(K3383*I3383/10000,6)</f>
        <v>0</v>
      </c>
      <c r="N3383" s="212">
        <f>'02 项目基础信息（输入）'!$C$84</f>
        <v>0</v>
      </c>
      <c r="O3383" s="203">
        <f t="shared" si="382"/>
        <v>0</v>
      </c>
      <c r="P3383" s="203">
        <f t="shared" si="386"/>
        <v>0</v>
      </c>
      <c r="Q3383" s="271">
        <f t="shared" si="383"/>
        <v>0</v>
      </c>
      <c r="S3383" s="280"/>
      <c r="T3383" s="222"/>
      <c r="U3383" s="223" t="s">
        <v>5619</v>
      </c>
    </row>
    <row r="3384" spans="1:21" ht="0" hidden="1" customHeight="1" outlineLevel="3">
      <c r="A3384" s="253" t="s">
        <v>4344</v>
      </c>
      <c r="B3384" s="253"/>
      <c r="C3384" s="202" t="s">
        <v>1609</v>
      </c>
      <c r="D3384" s="203">
        <f>'02 项目基础信息（输入）'!$C$84</f>
        <v>0</v>
      </c>
      <c r="E3384" s="204" t="s">
        <v>93</v>
      </c>
      <c r="F3384" s="202"/>
      <c r="G3384" s="204"/>
      <c r="H3384" s="204"/>
      <c r="I3384" s="203"/>
      <c r="J3384" s="204"/>
      <c r="K3384" s="264"/>
      <c r="L3384" s="210"/>
      <c r="M3384" s="198">
        <f>ROUND(SUM(M3385:M3388),6)</f>
        <v>0</v>
      </c>
      <c r="N3384" s="212">
        <f>'02 项目基础信息（输入）'!$C$84</f>
        <v>0</v>
      </c>
      <c r="O3384" s="203">
        <f t="shared" si="382"/>
        <v>0</v>
      </c>
      <c r="P3384" s="203">
        <f t="shared" si="386"/>
        <v>0</v>
      </c>
      <c r="Q3384" s="271">
        <f t="shared" si="383"/>
        <v>0</v>
      </c>
      <c r="S3384" s="280"/>
      <c r="T3384" s="222"/>
      <c r="U3384" s="223" t="s">
        <v>5620</v>
      </c>
    </row>
    <row r="3385" spans="1:21" ht="0" hidden="1" customHeight="1" outlineLevel="4">
      <c r="A3385" s="253" t="s">
        <v>4346</v>
      </c>
      <c r="B3385" s="253"/>
      <c r="C3385" s="202" t="s">
        <v>1609</v>
      </c>
      <c r="D3385" s="203">
        <f>'02 项目基础信息（输入）'!$C$84</f>
        <v>0</v>
      </c>
      <c r="E3385" s="204" t="s">
        <v>93</v>
      </c>
      <c r="F3385" s="202" t="s">
        <v>1609</v>
      </c>
      <c r="G3385" s="204">
        <v>1</v>
      </c>
      <c r="H3385" s="204" t="s">
        <v>298</v>
      </c>
      <c r="I3385" s="265">
        <f t="shared" ref="I3385:I3391" si="394">D3385*G3385</f>
        <v>0</v>
      </c>
      <c r="J3385" s="204" t="s">
        <v>93</v>
      </c>
      <c r="K3385" s="214"/>
      <c r="L3385" s="210" t="s">
        <v>675</v>
      </c>
      <c r="M3385" s="198">
        <f t="shared" ref="M3385:M3391" si="395">ROUND(K3385*I3385/10000,6)</f>
        <v>0</v>
      </c>
      <c r="N3385" s="212">
        <f>'02 项目基础信息（输入）'!$C$84</f>
        <v>0</v>
      </c>
      <c r="O3385" s="203">
        <f t="shared" si="382"/>
        <v>0</v>
      </c>
      <c r="P3385" s="203">
        <f t="shared" si="386"/>
        <v>0</v>
      </c>
      <c r="Q3385" s="271">
        <f t="shared" si="383"/>
        <v>0</v>
      </c>
      <c r="S3385" s="280"/>
      <c r="T3385" s="222"/>
      <c r="U3385" s="223" t="s">
        <v>5621</v>
      </c>
    </row>
    <row r="3386" spans="1:21" ht="0" hidden="1" customHeight="1" outlineLevel="4">
      <c r="A3386" s="253" t="s">
        <v>4348</v>
      </c>
      <c r="B3386" s="253"/>
      <c r="C3386" s="202" t="s">
        <v>1609</v>
      </c>
      <c r="D3386" s="203">
        <f>'02 项目基础信息（输入）'!$C$84</f>
        <v>0</v>
      </c>
      <c r="E3386" s="204" t="s">
        <v>93</v>
      </c>
      <c r="F3386" s="202" t="s">
        <v>1609</v>
      </c>
      <c r="G3386" s="204">
        <v>1</v>
      </c>
      <c r="H3386" s="204" t="s">
        <v>298</v>
      </c>
      <c r="I3386" s="265">
        <f t="shared" si="394"/>
        <v>0</v>
      </c>
      <c r="J3386" s="204" t="s">
        <v>93</v>
      </c>
      <c r="K3386" s="214"/>
      <c r="L3386" s="210" t="s">
        <v>675</v>
      </c>
      <c r="M3386" s="198">
        <f t="shared" si="395"/>
        <v>0</v>
      </c>
      <c r="N3386" s="212">
        <f>'02 项目基础信息（输入）'!$C$84</f>
        <v>0</v>
      </c>
      <c r="O3386" s="203">
        <f t="shared" si="382"/>
        <v>0</v>
      </c>
      <c r="P3386" s="203">
        <f t="shared" si="386"/>
        <v>0</v>
      </c>
      <c r="Q3386" s="271">
        <f t="shared" si="383"/>
        <v>0</v>
      </c>
      <c r="S3386" s="280"/>
      <c r="T3386" s="222"/>
      <c r="U3386" s="223" t="s">
        <v>5622</v>
      </c>
    </row>
    <row r="3387" spans="1:21" ht="0" hidden="1" customHeight="1" outlineLevel="4">
      <c r="A3387" s="253" t="s">
        <v>4350</v>
      </c>
      <c r="B3387" s="253"/>
      <c r="C3387" s="202" t="s">
        <v>1609</v>
      </c>
      <c r="D3387" s="203">
        <f>'02 项目基础信息（输入）'!$C$84</f>
        <v>0</v>
      </c>
      <c r="E3387" s="204" t="s">
        <v>93</v>
      </c>
      <c r="F3387" s="202" t="s">
        <v>1609</v>
      </c>
      <c r="G3387" s="204">
        <v>1</v>
      </c>
      <c r="H3387" s="204" t="s">
        <v>298</v>
      </c>
      <c r="I3387" s="265">
        <f t="shared" si="394"/>
        <v>0</v>
      </c>
      <c r="J3387" s="204" t="s">
        <v>93</v>
      </c>
      <c r="K3387" s="214"/>
      <c r="L3387" s="210" t="s">
        <v>675</v>
      </c>
      <c r="M3387" s="198">
        <f t="shared" si="395"/>
        <v>0</v>
      </c>
      <c r="N3387" s="212">
        <f>'02 项目基础信息（输入）'!$C$84</f>
        <v>0</v>
      </c>
      <c r="O3387" s="203">
        <f t="shared" si="382"/>
        <v>0</v>
      </c>
      <c r="P3387" s="203">
        <f t="shared" si="386"/>
        <v>0</v>
      </c>
      <c r="Q3387" s="271">
        <f t="shared" si="383"/>
        <v>0</v>
      </c>
      <c r="S3387" s="280"/>
      <c r="T3387" s="222"/>
      <c r="U3387" s="223" t="s">
        <v>5623</v>
      </c>
    </row>
    <row r="3388" spans="1:21" ht="0" hidden="1" customHeight="1" outlineLevel="4">
      <c r="A3388" s="253" t="s">
        <v>4352</v>
      </c>
      <c r="B3388" s="253"/>
      <c r="C3388" s="202" t="s">
        <v>1609</v>
      </c>
      <c r="D3388" s="203">
        <f>'02 项目基础信息（输入）'!$C$84</f>
        <v>0</v>
      </c>
      <c r="E3388" s="204" t="s">
        <v>93</v>
      </c>
      <c r="F3388" s="202" t="s">
        <v>1609</v>
      </c>
      <c r="G3388" s="204">
        <v>1</v>
      </c>
      <c r="H3388" s="204" t="s">
        <v>298</v>
      </c>
      <c r="I3388" s="265">
        <f t="shared" si="394"/>
        <v>0</v>
      </c>
      <c r="J3388" s="204" t="s">
        <v>93</v>
      </c>
      <c r="K3388" s="214"/>
      <c r="L3388" s="210" t="s">
        <v>675</v>
      </c>
      <c r="M3388" s="198">
        <f t="shared" si="395"/>
        <v>0</v>
      </c>
      <c r="N3388" s="212">
        <f>'02 项目基础信息（输入）'!$C$84</f>
        <v>0</v>
      </c>
      <c r="O3388" s="203">
        <f t="shared" si="382"/>
        <v>0</v>
      </c>
      <c r="P3388" s="203">
        <f t="shared" si="386"/>
        <v>0</v>
      </c>
      <c r="Q3388" s="271">
        <f t="shared" si="383"/>
        <v>0</v>
      </c>
      <c r="S3388" s="280"/>
      <c r="T3388" s="222"/>
      <c r="U3388" s="223" t="s">
        <v>5624</v>
      </c>
    </row>
    <row r="3389" spans="1:21" ht="0" hidden="1" customHeight="1" outlineLevel="3">
      <c r="A3389" s="253" t="s">
        <v>4354</v>
      </c>
      <c r="B3389" s="253"/>
      <c r="C3389" s="202" t="s">
        <v>1609</v>
      </c>
      <c r="D3389" s="203">
        <f>'02 项目基础信息（输入）'!$C$84</f>
        <v>0</v>
      </c>
      <c r="E3389" s="204" t="s">
        <v>93</v>
      </c>
      <c r="F3389" s="202" t="s">
        <v>1609</v>
      </c>
      <c r="G3389" s="204">
        <v>1</v>
      </c>
      <c r="H3389" s="204" t="s">
        <v>298</v>
      </c>
      <c r="I3389" s="265">
        <f t="shared" si="394"/>
        <v>0</v>
      </c>
      <c r="J3389" s="204" t="s">
        <v>93</v>
      </c>
      <c r="K3389" s="214"/>
      <c r="L3389" s="210" t="s">
        <v>675</v>
      </c>
      <c r="M3389" s="198">
        <f t="shared" si="395"/>
        <v>0</v>
      </c>
      <c r="N3389" s="212">
        <f>'02 项目基础信息（输入）'!$C$84</f>
        <v>0</v>
      </c>
      <c r="O3389" s="203">
        <f t="shared" si="382"/>
        <v>0</v>
      </c>
      <c r="P3389" s="203">
        <f t="shared" si="386"/>
        <v>0</v>
      </c>
      <c r="Q3389" s="271">
        <f t="shared" si="383"/>
        <v>0</v>
      </c>
      <c r="S3389" s="280"/>
      <c r="T3389" s="222"/>
      <c r="U3389" s="223" t="s">
        <v>5625</v>
      </c>
    </row>
    <row r="3390" spans="1:21" ht="0" hidden="1" customHeight="1" outlineLevel="3">
      <c r="A3390" s="253" t="s">
        <v>4356</v>
      </c>
      <c r="B3390" s="253"/>
      <c r="C3390" s="202" t="s">
        <v>1609</v>
      </c>
      <c r="D3390" s="203">
        <f>'02 项目基础信息（输入）'!$C$84</f>
        <v>0</v>
      </c>
      <c r="E3390" s="204" t="s">
        <v>93</v>
      </c>
      <c r="F3390" s="202" t="s">
        <v>1609</v>
      </c>
      <c r="G3390" s="255">
        <v>1</v>
      </c>
      <c r="H3390" s="204" t="s">
        <v>298</v>
      </c>
      <c r="I3390" s="265">
        <f t="shared" si="394"/>
        <v>0</v>
      </c>
      <c r="J3390" s="204" t="s">
        <v>93</v>
      </c>
      <c r="K3390" s="214"/>
      <c r="L3390" s="210" t="s">
        <v>675</v>
      </c>
      <c r="M3390" s="198">
        <f t="shared" si="395"/>
        <v>0</v>
      </c>
      <c r="N3390" s="212">
        <f>'02 项目基础信息（输入）'!$C$84</f>
        <v>0</v>
      </c>
      <c r="O3390" s="203">
        <f t="shared" si="382"/>
        <v>0</v>
      </c>
      <c r="P3390" s="203">
        <f t="shared" si="386"/>
        <v>0</v>
      </c>
      <c r="Q3390" s="271">
        <f t="shared" si="383"/>
        <v>0</v>
      </c>
      <c r="S3390" s="280"/>
      <c r="T3390" s="222"/>
      <c r="U3390" s="223" t="s">
        <v>5626</v>
      </c>
    </row>
    <row r="3391" spans="1:21" ht="0" hidden="1" customHeight="1" outlineLevel="3">
      <c r="A3391" s="253" t="s">
        <v>4358</v>
      </c>
      <c r="B3391" s="253"/>
      <c r="C3391" s="202" t="s">
        <v>1609</v>
      </c>
      <c r="D3391" s="203">
        <f>'02 项目基础信息（输入）'!$C$84</f>
        <v>0</v>
      </c>
      <c r="E3391" s="204" t="s">
        <v>93</v>
      </c>
      <c r="F3391" s="202" t="s">
        <v>1609</v>
      </c>
      <c r="G3391" s="255">
        <v>1</v>
      </c>
      <c r="H3391" s="204" t="s">
        <v>298</v>
      </c>
      <c r="I3391" s="265">
        <f t="shared" si="394"/>
        <v>0</v>
      </c>
      <c r="J3391" s="204" t="s">
        <v>93</v>
      </c>
      <c r="K3391" s="214"/>
      <c r="L3391" s="210" t="s">
        <v>675</v>
      </c>
      <c r="M3391" s="198">
        <f t="shared" si="395"/>
        <v>0</v>
      </c>
      <c r="N3391" s="212">
        <f>'02 项目基础信息（输入）'!$C$84</f>
        <v>0</v>
      </c>
      <c r="O3391" s="203">
        <f t="shared" si="382"/>
        <v>0</v>
      </c>
      <c r="P3391" s="203">
        <f t="shared" si="386"/>
        <v>0</v>
      </c>
      <c r="Q3391" s="271">
        <f t="shared" si="383"/>
        <v>0</v>
      </c>
      <c r="S3391" s="280"/>
      <c r="T3391" s="222"/>
      <c r="U3391" s="223" t="s">
        <v>5627</v>
      </c>
    </row>
    <row r="3392" spans="1:21" ht="0" hidden="1" customHeight="1" outlineLevel="3">
      <c r="A3392" s="253" t="s">
        <v>4360</v>
      </c>
      <c r="B3392" s="253"/>
      <c r="C3392" s="202" t="s">
        <v>1665</v>
      </c>
      <c r="D3392" s="203">
        <f>ROUND(M3381+M3384+M3389+M3390+M3391,0)*10000</f>
        <v>0</v>
      </c>
      <c r="E3392" s="204" t="s">
        <v>1666</v>
      </c>
      <c r="F3392" s="202" t="s">
        <v>1667</v>
      </c>
      <c r="G3392" s="258">
        <f>IFERROR(I3392*100/D3392,0)</f>
        <v>0</v>
      </c>
      <c r="H3392" s="204" t="s">
        <v>123</v>
      </c>
      <c r="I3392" s="265">
        <f>N3392*K3392</f>
        <v>0</v>
      </c>
      <c r="J3392" s="204" t="s">
        <v>1666</v>
      </c>
      <c r="K3392" s="269"/>
      <c r="L3392" s="210" t="s">
        <v>675</v>
      </c>
      <c r="M3392" s="231">
        <f>ROUND(I3392/10000,6)</f>
        <v>0</v>
      </c>
      <c r="N3392" s="212">
        <f>'02 项目基础信息（输入）'!$C$84</f>
        <v>0</v>
      </c>
      <c r="O3392" s="203">
        <f t="shared" si="382"/>
        <v>0</v>
      </c>
      <c r="P3392" s="203">
        <f t="shared" si="386"/>
        <v>0</v>
      </c>
      <c r="Q3392" s="271">
        <f t="shared" si="383"/>
        <v>0</v>
      </c>
      <c r="S3392" s="280"/>
      <c r="T3392" s="222"/>
      <c r="U3392" s="223" t="s">
        <v>5628</v>
      </c>
    </row>
    <row r="3393" spans="1:21" ht="0" hidden="1" customHeight="1" outlineLevel="2">
      <c r="A3393" s="201" t="s">
        <v>4362</v>
      </c>
      <c r="B3393" s="201"/>
      <c r="C3393" s="202" t="s">
        <v>1609</v>
      </c>
      <c r="D3393" s="203">
        <f>'02 项目基础信息（输入）'!$C$84</f>
        <v>0</v>
      </c>
      <c r="E3393" s="204" t="s">
        <v>93</v>
      </c>
      <c r="F3393" s="202"/>
      <c r="G3393" s="255"/>
      <c r="H3393" s="204"/>
      <c r="I3393" s="203"/>
      <c r="J3393" s="204"/>
      <c r="K3393" s="264"/>
      <c r="L3393" s="210"/>
      <c r="M3393" s="198">
        <f>ROUND(M3394+M3397+M3402+M3409+M3410+M3413+M3414+M3415+M3416+M3417+M3418+M3422+M3423,6)</f>
        <v>0</v>
      </c>
      <c r="N3393" s="212">
        <f>'02 项目基础信息（输入）'!$C$84</f>
        <v>0</v>
      </c>
      <c r="O3393" s="203">
        <f t="shared" si="382"/>
        <v>0</v>
      </c>
      <c r="P3393" s="203">
        <f t="shared" si="386"/>
        <v>0</v>
      </c>
      <c r="Q3393" s="271">
        <f t="shared" si="383"/>
        <v>0</v>
      </c>
      <c r="S3393" s="280" t="s">
        <v>1314</v>
      </c>
      <c r="T3393" s="222"/>
      <c r="U3393" s="223" t="s">
        <v>5629</v>
      </c>
    </row>
    <row r="3394" spans="1:21" ht="0" hidden="1" customHeight="1" outlineLevel="3">
      <c r="A3394" s="253" t="s">
        <v>4705</v>
      </c>
      <c r="B3394" s="253"/>
      <c r="C3394" s="202" t="s">
        <v>1609</v>
      </c>
      <c r="D3394" s="203">
        <f>'02 项目基础信息（输入）'!$C$84</f>
        <v>0</v>
      </c>
      <c r="E3394" s="204" t="s">
        <v>93</v>
      </c>
      <c r="F3394" s="202"/>
      <c r="G3394" s="204"/>
      <c r="H3394" s="204"/>
      <c r="I3394" s="265"/>
      <c r="J3394" s="204"/>
      <c r="K3394" s="264"/>
      <c r="L3394" s="210"/>
      <c r="M3394" s="198">
        <f>ROUND(SUM(M3395:M3396),6)</f>
        <v>0</v>
      </c>
      <c r="N3394" s="212">
        <f>'02 项目基础信息（输入）'!$C$84</f>
        <v>0</v>
      </c>
      <c r="O3394" s="203">
        <f t="shared" si="382"/>
        <v>0</v>
      </c>
      <c r="P3394" s="203">
        <f t="shared" si="386"/>
        <v>0</v>
      </c>
      <c r="Q3394" s="271">
        <f t="shared" si="383"/>
        <v>0</v>
      </c>
      <c r="S3394" s="280"/>
      <c r="T3394" s="222"/>
      <c r="U3394" s="223" t="s">
        <v>5630</v>
      </c>
    </row>
    <row r="3395" spans="1:21" ht="0" hidden="1" customHeight="1" outlineLevel="4">
      <c r="A3395" s="253" t="s">
        <v>4707</v>
      </c>
      <c r="B3395" s="253"/>
      <c r="C3395" s="202" t="s">
        <v>1609</v>
      </c>
      <c r="D3395" s="203">
        <f>'02 项目基础信息（输入）'!$C$84</f>
        <v>0</v>
      </c>
      <c r="E3395" s="204" t="s">
        <v>93</v>
      </c>
      <c r="F3395" s="202" t="s">
        <v>1609</v>
      </c>
      <c r="G3395" s="204">
        <v>1</v>
      </c>
      <c r="H3395" s="204" t="s">
        <v>298</v>
      </c>
      <c r="I3395" s="265">
        <f>D3395*G3395</f>
        <v>0</v>
      </c>
      <c r="J3395" s="204" t="s">
        <v>93</v>
      </c>
      <c r="K3395" s="214"/>
      <c r="L3395" s="210" t="s">
        <v>675</v>
      </c>
      <c r="M3395" s="198">
        <f>ROUND(K3395*I3395/10000,6)</f>
        <v>0</v>
      </c>
      <c r="N3395" s="212">
        <f>'02 项目基础信息（输入）'!$C$84</f>
        <v>0</v>
      </c>
      <c r="O3395" s="203">
        <f t="shared" ref="O3395:O3458" si="396">ROUND(IFERROR(M3395*10000/N3395,0),2)</f>
        <v>0</v>
      </c>
      <c r="P3395" s="203">
        <f t="shared" si="386"/>
        <v>0</v>
      </c>
      <c r="Q3395" s="271">
        <f t="shared" ref="Q3395:Q3458" si="397">ROUND(IFERROR(M3395*10000/P3395,0),2)</f>
        <v>0</v>
      </c>
      <c r="S3395" s="280"/>
      <c r="T3395" s="222"/>
      <c r="U3395" s="223" t="s">
        <v>5631</v>
      </c>
    </row>
    <row r="3396" spans="1:21" ht="0" hidden="1" customHeight="1" outlineLevel="4">
      <c r="A3396" s="253" t="s">
        <v>4709</v>
      </c>
      <c r="B3396" s="253"/>
      <c r="C3396" s="202" t="s">
        <v>1609</v>
      </c>
      <c r="D3396" s="203">
        <f>'02 项目基础信息（输入）'!$C$84</f>
        <v>0</v>
      </c>
      <c r="E3396" s="204" t="s">
        <v>93</v>
      </c>
      <c r="F3396" s="202" t="s">
        <v>1609</v>
      </c>
      <c r="G3396" s="204">
        <v>1</v>
      </c>
      <c r="H3396" s="204" t="s">
        <v>298</v>
      </c>
      <c r="I3396" s="265">
        <f>D3396*G3396</f>
        <v>0</v>
      </c>
      <c r="J3396" s="204" t="s">
        <v>93</v>
      </c>
      <c r="K3396" s="214"/>
      <c r="L3396" s="210" t="s">
        <v>675</v>
      </c>
      <c r="M3396" s="198">
        <f>ROUND(K3396*I3396/10000,6)</f>
        <v>0</v>
      </c>
      <c r="N3396" s="212">
        <f>'02 项目基础信息（输入）'!$C$84</f>
        <v>0</v>
      </c>
      <c r="O3396" s="203">
        <f t="shared" si="396"/>
        <v>0</v>
      </c>
      <c r="P3396" s="203">
        <f t="shared" si="386"/>
        <v>0</v>
      </c>
      <c r="Q3396" s="271">
        <f t="shared" si="397"/>
        <v>0</v>
      </c>
      <c r="S3396" s="280"/>
      <c r="T3396" s="222"/>
      <c r="U3396" s="223" t="s">
        <v>5632</v>
      </c>
    </row>
    <row r="3397" spans="1:21" ht="0" hidden="1" customHeight="1" outlineLevel="3">
      <c r="A3397" s="253" t="s">
        <v>4711</v>
      </c>
      <c r="B3397" s="253"/>
      <c r="C3397" s="202" t="s">
        <v>1609</v>
      </c>
      <c r="D3397" s="203">
        <f>'02 项目基础信息（输入）'!$C$84</f>
        <v>0</v>
      </c>
      <c r="E3397" s="204" t="s">
        <v>93</v>
      </c>
      <c r="F3397" s="202"/>
      <c r="G3397" s="204"/>
      <c r="H3397" s="204"/>
      <c r="I3397" s="203"/>
      <c r="J3397" s="204"/>
      <c r="K3397" s="264"/>
      <c r="L3397" s="210"/>
      <c r="M3397" s="198">
        <f>ROUND(SUM(M3398:M3401),6)</f>
        <v>0</v>
      </c>
      <c r="N3397" s="212">
        <f>'02 项目基础信息（输入）'!$C$84</f>
        <v>0</v>
      </c>
      <c r="O3397" s="203">
        <f t="shared" si="396"/>
        <v>0</v>
      </c>
      <c r="P3397" s="203">
        <f t="shared" si="386"/>
        <v>0</v>
      </c>
      <c r="Q3397" s="271">
        <f t="shared" si="397"/>
        <v>0</v>
      </c>
      <c r="S3397" s="280"/>
      <c r="T3397" s="222"/>
      <c r="U3397" s="223" t="s">
        <v>5633</v>
      </c>
    </row>
    <row r="3398" spans="1:21" ht="0" hidden="1" customHeight="1" outlineLevel="4">
      <c r="A3398" s="253" t="s">
        <v>4713</v>
      </c>
      <c r="B3398" s="253"/>
      <c r="C3398" s="202" t="s">
        <v>1609</v>
      </c>
      <c r="D3398" s="203">
        <f>'02 项目基础信息（输入）'!$C$84</f>
        <v>0</v>
      </c>
      <c r="E3398" s="204" t="s">
        <v>93</v>
      </c>
      <c r="F3398" s="202" t="s">
        <v>1609</v>
      </c>
      <c r="G3398" s="204">
        <v>1</v>
      </c>
      <c r="H3398" s="204" t="s">
        <v>298</v>
      </c>
      <c r="I3398" s="265">
        <f>D3398*G3398</f>
        <v>0</v>
      </c>
      <c r="J3398" s="204" t="s">
        <v>93</v>
      </c>
      <c r="K3398" s="214"/>
      <c r="L3398" s="210" t="s">
        <v>675</v>
      </c>
      <c r="M3398" s="198">
        <f>ROUND(K3398*I3398/10000,6)</f>
        <v>0</v>
      </c>
      <c r="N3398" s="212">
        <f>'02 项目基础信息（输入）'!$C$84</f>
        <v>0</v>
      </c>
      <c r="O3398" s="203">
        <f t="shared" si="396"/>
        <v>0</v>
      </c>
      <c r="P3398" s="203">
        <f t="shared" si="386"/>
        <v>0</v>
      </c>
      <c r="Q3398" s="271">
        <f t="shared" si="397"/>
        <v>0</v>
      </c>
      <c r="S3398" s="280"/>
      <c r="T3398" s="222"/>
      <c r="U3398" s="223" t="s">
        <v>5634</v>
      </c>
    </row>
    <row r="3399" spans="1:21" ht="0" hidden="1" customHeight="1" outlineLevel="4">
      <c r="A3399" s="253" t="s">
        <v>4715</v>
      </c>
      <c r="B3399" s="253"/>
      <c r="C3399" s="202" t="s">
        <v>1609</v>
      </c>
      <c r="D3399" s="203">
        <f>'02 项目基础信息（输入）'!$C$84</f>
        <v>0</v>
      </c>
      <c r="E3399" s="204" t="s">
        <v>93</v>
      </c>
      <c r="F3399" s="202" t="s">
        <v>1609</v>
      </c>
      <c r="G3399" s="204">
        <v>1</v>
      </c>
      <c r="H3399" s="204" t="s">
        <v>298</v>
      </c>
      <c r="I3399" s="265">
        <f>D3399*G3399</f>
        <v>0</v>
      </c>
      <c r="J3399" s="204" t="s">
        <v>93</v>
      </c>
      <c r="K3399" s="214"/>
      <c r="L3399" s="210" t="s">
        <v>675</v>
      </c>
      <c r="M3399" s="198">
        <f>ROUND(K3399*I3399/10000,6)</f>
        <v>0</v>
      </c>
      <c r="N3399" s="212">
        <f>'02 项目基础信息（输入）'!$C$84</f>
        <v>0</v>
      </c>
      <c r="O3399" s="203">
        <f t="shared" si="396"/>
        <v>0</v>
      </c>
      <c r="P3399" s="203">
        <f t="shared" si="386"/>
        <v>0</v>
      </c>
      <c r="Q3399" s="271">
        <f t="shared" si="397"/>
        <v>0</v>
      </c>
      <c r="S3399" s="280"/>
      <c r="T3399" s="222"/>
      <c r="U3399" s="223" t="s">
        <v>5635</v>
      </c>
    </row>
    <row r="3400" spans="1:21" ht="0" hidden="1" customHeight="1" outlineLevel="4">
      <c r="A3400" s="253" t="s">
        <v>4717</v>
      </c>
      <c r="B3400" s="253"/>
      <c r="C3400" s="202" t="s">
        <v>1609</v>
      </c>
      <c r="D3400" s="203">
        <f>'02 项目基础信息（输入）'!$C$84</f>
        <v>0</v>
      </c>
      <c r="E3400" s="204" t="s">
        <v>93</v>
      </c>
      <c r="F3400" s="202" t="s">
        <v>1609</v>
      </c>
      <c r="G3400" s="204">
        <v>1</v>
      </c>
      <c r="H3400" s="204" t="s">
        <v>298</v>
      </c>
      <c r="I3400" s="265">
        <f>D3400*G3400</f>
        <v>0</v>
      </c>
      <c r="J3400" s="204" t="s">
        <v>93</v>
      </c>
      <c r="K3400" s="214"/>
      <c r="L3400" s="210" t="s">
        <v>675</v>
      </c>
      <c r="M3400" s="198">
        <f>ROUND(K3400*I3400/10000,6)</f>
        <v>0</v>
      </c>
      <c r="N3400" s="212">
        <f>'02 项目基础信息（输入）'!$C$84</f>
        <v>0</v>
      </c>
      <c r="O3400" s="203">
        <f t="shared" si="396"/>
        <v>0</v>
      </c>
      <c r="P3400" s="203">
        <f t="shared" si="386"/>
        <v>0</v>
      </c>
      <c r="Q3400" s="271">
        <f t="shared" si="397"/>
        <v>0</v>
      </c>
      <c r="S3400" s="280"/>
      <c r="T3400" s="222"/>
      <c r="U3400" s="223" t="s">
        <v>5636</v>
      </c>
    </row>
    <row r="3401" spans="1:21" ht="0" hidden="1" customHeight="1" outlineLevel="4">
      <c r="A3401" s="253" t="s">
        <v>4719</v>
      </c>
      <c r="B3401" s="253"/>
      <c r="C3401" s="202" t="s">
        <v>1609</v>
      </c>
      <c r="D3401" s="203">
        <f>'02 项目基础信息（输入）'!$C$84</f>
        <v>0</v>
      </c>
      <c r="E3401" s="204" t="s">
        <v>93</v>
      </c>
      <c r="F3401" s="202" t="s">
        <v>1609</v>
      </c>
      <c r="G3401" s="204">
        <v>1</v>
      </c>
      <c r="H3401" s="204" t="s">
        <v>298</v>
      </c>
      <c r="I3401" s="265">
        <f>D3401*G3401</f>
        <v>0</v>
      </c>
      <c r="J3401" s="204" t="s">
        <v>93</v>
      </c>
      <c r="K3401" s="214"/>
      <c r="L3401" s="210" t="s">
        <v>675</v>
      </c>
      <c r="M3401" s="198">
        <f>ROUND(K3401*I3401/10000,6)</f>
        <v>0</v>
      </c>
      <c r="N3401" s="212">
        <f>'02 项目基础信息（输入）'!$C$84</f>
        <v>0</v>
      </c>
      <c r="O3401" s="203">
        <f t="shared" si="396"/>
        <v>0</v>
      </c>
      <c r="P3401" s="203">
        <f t="shared" si="386"/>
        <v>0</v>
      </c>
      <c r="Q3401" s="271">
        <f t="shared" si="397"/>
        <v>0</v>
      </c>
      <c r="S3401" s="280"/>
      <c r="T3401" s="222"/>
      <c r="U3401" s="223" t="s">
        <v>5637</v>
      </c>
    </row>
    <row r="3402" spans="1:21" ht="0" hidden="1" customHeight="1" outlineLevel="3">
      <c r="A3402" s="253" t="s">
        <v>4721</v>
      </c>
      <c r="B3402" s="253"/>
      <c r="C3402" s="202" t="s">
        <v>1609</v>
      </c>
      <c r="D3402" s="203">
        <f>'02 项目基础信息（输入）'!$C$84</f>
        <v>0</v>
      </c>
      <c r="E3402" s="204" t="s">
        <v>93</v>
      </c>
      <c r="F3402" s="202"/>
      <c r="G3402" s="204"/>
      <c r="H3402" s="204"/>
      <c r="I3402" s="203"/>
      <c r="J3402" s="204"/>
      <c r="K3402" s="264"/>
      <c r="L3402" s="210"/>
      <c r="M3402" s="198">
        <f>ROUND(SUM(M3403:M3408),6)</f>
        <v>0</v>
      </c>
      <c r="N3402" s="212">
        <f>'02 项目基础信息（输入）'!$C$84</f>
        <v>0</v>
      </c>
      <c r="O3402" s="203">
        <f t="shared" si="396"/>
        <v>0</v>
      </c>
      <c r="P3402" s="203">
        <f t="shared" ref="P3402:P3465" si="398">N3402</f>
        <v>0</v>
      </c>
      <c r="Q3402" s="271">
        <f t="shared" si="397"/>
        <v>0</v>
      </c>
      <c r="S3402" s="280"/>
      <c r="T3402" s="222"/>
      <c r="U3402" s="223" t="s">
        <v>5638</v>
      </c>
    </row>
    <row r="3403" spans="1:21" ht="0" hidden="1" customHeight="1" outlineLevel="4">
      <c r="A3403" s="253" t="s">
        <v>4723</v>
      </c>
      <c r="B3403" s="253"/>
      <c r="C3403" s="202" t="s">
        <v>1609</v>
      </c>
      <c r="D3403" s="203">
        <f>'02 项目基础信息（输入）'!$C$84</f>
        <v>0</v>
      </c>
      <c r="E3403" s="204" t="s">
        <v>93</v>
      </c>
      <c r="F3403" s="202" t="s">
        <v>1609</v>
      </c>
      <c r="G3403" s="204">
        <v>1</v>
      </c>
      <c r="H3403" s="204" t="s">
        <v>298</v>
      </c>
      <c r="I3403" s="265">
        <f t="shared" ref="I3403:I3409" si="399">D3403*G3403</f>
        <v>0</v>
      </c>
      <c r="J3403" s="204" t="s">
        <v>93</v>
      </c>
      <c r="K3403" s="214"/>
      <c r="L3403" s="210" t="s">
        <v>675</v>
      </c>
      <c r="M3403" s="198">
        <f t="shared" ref="M3403:M3409" si="400">ROUND(K3403*I3403/10000,6)</f>
        <v>0</v>
      </c>
      <c r="N3403" s="212">
        <f>'02 项目基础信息（输入）'!$C$84</f>
        <v>0</v>
      </c>
      <c r="O3403" s="203">
        <f t="shared" si="396"/>
        <v>0</v>
      </c>
      <c r="P3403" s="203">
        <f t="shared" si="398"/>
        <v>0</v>
      </c>
      <c r="Q3403" s="271">
        <f t="shared" si="397"/>
        <v>0</v>
      </c>
      <c r="S3403" s="280"/>
      <c r="T3403" s="222"/>
      <c r="U3403" s="223" t="s">
        <v>5639</v>
      </c>
    </row>
    <row r="3404" spans="1:21" ht="0" hidden="1" customHeight="1" outlineLevel="4">
      <c r="A3404" s="253" t="s">
        <v>4725</v>
      </c>
      <c r="B3404" s="253"/>
      <c r="C3404" s="202" t="s">
        <v>1609</v>
      </c>
      <c r="D3404" s="203">
        <f>'02 项目基础信息（输入）'!$C$84</f>
        <v>0</v>
      </c>
      <c r="E3404" s="204" t="s">
        <v>93</v>
      </c>
      <c r="F3404" s="202" t="s">
        <v>1609</v>
      </c>
      <c r="G3404" s="204">
        <v>1</v>
      </c>
      <c r="H3404" s="204" t="s">
        <v>298</v>
      </c>
      <c r="I3404" s="265">
        <f t="shared" si="399"/>
        <v>0</v>
      </c>
      <c r="J3404" s="204" t="s">
        <v>93</v>
      </c>
      <c r="K3404" s="214"/>
      <c r="L3404" s="210" t="s">
        <v>675</v>
      </c>
      <c r="M3404" s="198">
        <f t="shared" si="400"/>
        <v>0</v>
      </c>
      <c r="N3404" s="212">
        <f>'02 项目基础信息（输入）'!$C$84</f>
        <v>0</v>
      </c>
      <c r="O3404" s="203">
        <f t="shared" si="396"/>
        <v>0</v>
      </c>
      <c r="P3404" s="203">
        <f t="shared" si="398"/>
        <v>0</v>
      </c>
      <c r="Q3404" s="271">
        <f t="shared" si="397"/>
        <v>0</v>
      </c>
      <c r="S3404" s="280"/>
      <c r="T3404" s="222"/>
      <c r="U3404" s="223" t="s">
        <v>5640</v>
      </c>
    </row>
    <row r="3405" spans="1:21" ht="0" hidden="1" customHeight="1" outlineLevel="4">
      <c r="A3405" s="253" t="s">
        <v>4727</v>
      </c>
      <c r="B3405" s="253"/>
      <c r="C3405" s="202" t="s">
        <v>1609</v>
      </c>
      <c r="D3405" s="203">
        <f>'02 项目基础信息（输入）'!$C$84</f>
        <v>0</v>
      </c>
      <c r="E3405" s="204" t="s">
        <v>93</v>
      </c>
      <c r="F3405" s="202" t="s">
        <v>1609</v>
      </c>
      <c r="G3405" s="204">
        <v>1</v>
      </c>
      <c r="H3405" s="204" t="s">
        <v>298</v>
      </c>
      <c r="I3405" s="265">
        <f t="shared" si="399"/>
        <v>0</v>
      </c>
      <c r="J3405" s="204" t="s">
        <v>93</v>
      </c>
      <c r="K3405" s="214"/>
      <c r="L3405" s="210" t="s">
        <v>675</v>
      </c>
      <c r="M3405" s="198">
        <f t="shared" si="400"/>
        <v>0</v>
      </c>
      <c r="N3405" s="212">
        <f>'02 项目基础信息（输入）'!$C$84</f>
        <v>0</v>
      </c>
      <c r="O3405" s="203">
        <f t="shared" si="396"/>
        <v>0</v>
      </c>
      <c r="P3405" s="203">
        <f t="shared" si="398"/>
        <v>0</v>
      </c>
      <c r="Q3405" s="271">
        <f t="shared" si="397"/>
        <v>0</v>
      </c>
      <c r="S3405" s="280"/>
      <c r="T3405" s="222"/>
      <c r="U3405" s="223" t="s">
        <v>5641</v>
      </c>
    </row>
    <row r="3406" spans="1:21" ht="0" hidden="1" customHeight="1" outlineLevel="4">
      <c r="A3406" s="253" t="s">
        <v>4729</v>
      </c>
      <c r="B3406" s="253"/>
      <c r="C3406" s="202" t="s">
        <v>1609</v>
      </c>
      <c r="D3406" s="203">
        <f>'02 项目基础信息（输入）'!$C$84</f>
        <v>0</v>
      </c>
      <c r="E3406" s="204" t="s">
        <v>93</v>
      </c>
      <c r="F3406" s="202" t="s">
        <v>1609</v>
      </c>
      <c r="G3406" s="204">
        <v>1</v>
      </c>
      <c r="H3406" s="204" t="s">
        <v>298</v>
      </c>
      <c r="I3406" s="265">
        <f t="shared" si="399"/>
        <v>0</v>
      </c>
      <c r="J3406" s="204" t="s">
        <v>93</v>
      </c>
      <c r="K3406" s="214"/>
      <c r="L3406" s="210" t="s">
        <v>675</v>
      </c>
      <c r="M3406" s="198">
        <f t="shared" si="400"/>
        <v>0</v>
      </c>
      <c r="N3406" s="212">
        <f>'02 项目基础信息（输入）'!$C$84</f>
        <v>0</v>
      </c>
      <c r="O3406" s="203">
        <f t="shared" si="396"/>
        <v>0</v>
      </c>
      <c r="P3406" s="203">
        <f t="shared" si="398"/>
        <v>0</v>
      </c>
      <c r="Q3406" s="271">
        <f t="shared" si="397"/>
        <v>0</v>
      </c>
      <c r="S3406" s="280"/>
      <c r="T3406" s="222"/>
      <c r="U3406" s="223" t="s">
        <v>5642</v>
      </c>
    </row>
    <row r="3407" spans="1:21" ht="0" hidden="1" customHeight="1" outlineLevel="4">
      <c r="A3407" s="253" t="s">
        <v>4731</v>
      </c>
      <c r="B3407" s="253"/>
      <c r="C3407" s="202" t="s">
        <v>1609</v>
      </c>
      <c r="D3407" s="203">
        <f>'02 项目基础信息（输入）'!$C$84</f>
        <v>0</v>
      </c>
      <c r="E3407" s="204" t="s">
        <v>93</v>
      </c>
      <c r="F3407" s="202" t="s">
        <v>1609</v>
      </c>
      <c r="G3407" s="204">
        <v>1</v>
      </c>
      <c r="H3407" s="204" t="s">
        <v>298</v>
      </c>
      <c r="I3407" s="265">
        <f t="shared" si="399"/>
        <v>0</v>
      </c>
      <c r="J3407" s="204" t="s">
        <v>93</v>
      </c>
      <c r="K3407" s="214"/>
      <c r="L3407" s="210" t="s">
        <v>675</v>
      </c>
      <c r="M3407" s="198">
        <f t="shared" si="400"/>
        <v>0</v>
      </c>
      <c r="N3407" s="212">
        <f>'02 项目基础信息（输入）'!$C$84</f>
        <v>0</v>
      </c>
      <c r="O3407" s="203">
        <f t="shared" si="396"/>
        <v>0</v>
      </c>
      <c r="P3407" s="203">
        <f t="shared" si="398"/>
        <v>0</v>
      </c>
      <c r="Q3407" s="271">
        <f t="shared" si="397"/>
        <v>0</v>
      </c>
      <c r="S3407" s="280"/>
      <c r="T3407" s="222"/>
      <c r="U3407" s="223" t="s">
        <v>5643</v>
      </c>
    </row>
    <row r="3408" spans="1:21" ht="0" hidden="1" customHeight="1" outlineLevel="4">
      <c r="A3408" s="253" t="s">
        <v>4733</v>
      </c>
      <c r="B3408" s="253"/>
      <c r="C3408" s="202" t="s">
        <v>1609</v>
      </c>
      <c r="D3408" s="203">
        <f>'02 项目基础信息（输入）'!$C$84</f>
        <v>0</v>
      </c>
      <c r="E3408" s="204" t="s">
        <v>93</v>
      </c>
      <c r="F3408" s="202" t="s">
        <v>1609</v>
      </c>
      <c r="G3408" s="204">
        <v>1</v>
      </c>
      <c r="H3408" s="204" t="s">
        <v>298</v>
      </c>
      <c r="I3408" s="265">
        <f t="shared" si="399"/>
        <v>0</v>
      </c>
      <c r="J3408" s="204" t="s">
        <v>93</v>
      </c>
      <c r="K3408" s="214"/>
      <c r="L3408" s="210" t="s">
        <v>675</v>
      </c>
      <c r="M3408" s="198">
        <f t="shared" si="400"/>
        <v>0</v>
      </c>
      <c r="N3408" s="212">
        <f>'02 项目基础信息（输入）'!$C$84</f>
        <v>0</v>
      </c>
      <c r="O3408" s="203">
        <f t="shared" si="396"/>
        <v>0</v>
      </c>
      <c r="P3408" s="203">
        <f t="shared" si="398"/>
        <v>0</v>
      </c>
      <c r="Q3408" s="271">
        <f t="shared" si="397"/>
        <v>0</v>
      </c>
      <c r="S3408" s="280"/>
      <c r="T3408" s="222"/>
      <c r="U3408" s="223" t="s">
        <v>5644</v>
      </c>
    </row>
    <row r="3409" spans="1:21" ht="0" hidden="1" customHeight="1" outlineLevel="3">
      <c r="A3409" s="253" t="s">
        <v>4735</v>
      </c>
      <c r="B3409" s="253"/>
      <c r="C3409" s="202" t="s">
        <v>1609</v>
      </c>
      <c r="D3409" s="203">
        <f>'02 项目基础信息（输入）'!$C$84</f>
        <v>0</v>
      </c>
      <c r="E3409" s="204" t="s">
        <v>93</v>
      </c>
      <c r="F3409" s="202" t="s">
        <v>1609</v>
      </c>
      <c r="G3409" s="204">
        <v>1</v>
      </c>
      <c r="H3409" s="204" t="s">
        <v>298</v>
      </c>
      <c r="I3409" s="265">
        <f t="shared" si="399"/>
        <v>0</v>
      </c>
      <c r="J3409" s="204" t="s">
        <v>93</v>
      </c>
      <c r="K3409" s="214"/>
      <c r="L3409" s="210" t="s">
        <v>675</v>
      </c>
      <c r="M3409" s="198">
        <f t="shared" si="400"/>
        <v>0</v>
      </c>
      <c r="N3409" s="212">
        <f>'02 项目基础信息（输入）'!$C$84</f>
        <v>0</v>
      </c>
      <c r="O3409" s="203">
        <f t="shared" si="396"/>
        <v>0</v>
      </c>
      <c r="P3409" s="203">
        <f t="shared" si="398"/>
        <v>0</v>
      </c>
      <c r="Q3409" s="271">
        <f t="shared" si="397"/>
        <v>0</v>
      </c>
      <c r="S3409" s="280"/>
      <c r="T3409" s="222"/>
      <c r="U3409" s="223" t="s">
        <v>5645</v>
      </c>
    </row>
    <row r="3410" spans="1:21" ht="0" hidden="1" customHeight="1" outlineLevel="3">
      <c r="A3410" s="253" t="s">
        <v>4737</v>
      </c>
      <c r="B3410" s="253"/>
      <c r="C3410" s="202" t="s">
        <v>1609</v>
      </c>
      <c r="D3410" s="203">
        <f>'02 项目基础信息（输入）'!$C$84</f>
        <v>0</v>
      </c>
      <c r="E3410" s="204" t="s">
        <v>93</v>
      </c>
      <c r="F3410" s="256"/>
      <c r="G3410" s="255"/>
      <c r="H3410" s="255"/>
      <c r="I3410" s="212"/>
      <c r="J3410" s="255"/>
      <c r="K3410" s="264"/>
      <c r="L3410" s="205"/>
      <c r="M3410" s="198">
        <f>SUM(M3411:M3412)</f>
        <v>0</v>
      </c>
      <c r="N3410" s="212">
        <f>'02 项目基础信息（输入）'!$C$84</f>
        <v>0</v>
      </c>
      <c r="O3410" s="203">
        <f t="shared" si="396"/>
        <v>0</v>
      </c>
      <c r="P3410" s="203">
        <f t="shared" si="398"/>
        <v>0</v>
      </c>
      <c r="Q3410" s="271">
        <f t="shared" si="397"/>
        <v>0</v>
      </c>
      <c r="S3410" s="280"/>
      <c r="T3410" s="222"/>
      <c r="U3410" s="223" t="s">
        <v>5646</v>
      </c>
    </row>
    <row r="3411" spans="1:21" ht="0" hidden="1" customHeight="1" outlineLevel="4">
      <c r="A3411" s="253" t="s">
        <v>4739</v>
      </c>
      <c r="B3411" s="253"/>
      <c r="C3411" s="202" t="s">
        <v>1609</v>
      </c>
      <c r="D3411" s="203">
        <f>'02 项目基础信息（输入）'!$C$84</f>
        <v>0</v>
      </c>
      <c r="E3411" s="204" t="s">
        <v>93</v>
      </c>
      <c r="F3411" s="256" t="s">
        <v>4740</v>
      </c>
      <c r="G3411" s="205">
        <f>IFERROR(I3411/D3411,0)</f>
        <v>0</v>
      </c>
      <c r="H3411" s="255" t="s">
        <v>298</v>
      </c>
      <c r="I3411" s="285"/>
      <c r="J3411" s="255" t="s">
        <v>93</v>
      </c>
      <c r="K3411" s="349"/>
      <c r="L3411" s="205" t="s">
        <v>675</v>
      </c>
      <c r="M3411" s="198">
        <f>ROUND(I3411*K3411/10000,6)</f>
        <v>0</v>
      </c>
      <c r="N3411" s="212">
        <f>'02 项目基础信息（输入）'!$C$84</f>
        <v>0</v>
      </c>
      <c r="O3411" s="203">
        <f t="shared" si="396"/>
        <v>0</v>
      </c>
      <c r="P3411" s="203">
        <f t="shared" si="398"/>
        <v>0</v>
      </c>
      <c r="Q3411" s="271">
        <f t="shared" si="397"/>
        <v>0</v>
      </c>
      <c r="S3411" s="280"/>
      <c r="T3411" s="222"/>
      <c r="U3411" s="223" t="s">
        <v>5647</v>
      </c>
    </row>
    <row r="3412" spans="1:21" ht="0" hidden="1" customHeight="1" outlineLevel="4">
      <c r="A3412" s="253" t="s">
        <v>4742</v>
      </c>
      <c r="B3412" s="253"/>
      <c r="C3412" s="202" t="s">
        <v>1609</v>
      </c>
      <c r="D3412" s="203">
        <f>'02 项目基础信息（输入）'!$C$84</f>
        <v>0</v>
      </c>
      <c r="E3412" s="204" t="s">
        <v>93</v>
      </c>
      <c r="F3412" s="256" t="s">
        <v>4740</v>
      </c>
      <c r="G3412" s="205">
        <f>IFERROR(I3412/D3412,0)</f>
        <v>0</v>
      </c>
      <c r="H3412" s="255" t="s">
        <v>298</v>
      </c>
      <c r="I3412" s="285"/>
      <c r="J3412" s="255" t="s">
        <v>93</v>
      </c>
      <c r="K3412" s="349"/>
      <c r="L3412" s="205" t="s">
        <v>675</v>
      </c>
      <c r="M3412" s="198">
        <f>ROUND(I3412*K3412/10000,6)</f>
        <v>0</v>
      </c>
      <c r="N3412" s="212">
        <f>'02 项目基础信息（输入）'!$C$84</f>
        <v>0</v>
      </c>
      <c r="O3412" s="203">
        <f t="shared" si="396"/>
        <v>0</v>
      </c>
      <c r="P3412" s="203">
        <f t="shared" si="398"/>
        <v>0</v>
      </c>
      <c r="Q3412" s="271">
        <f t="shared" si="397"/>
        <v>0</v>
      </c>
      <c r="S3412" s="280"/>
      <c r="T3412" s="222"/>
      <c r="U3412" s="223" t="s">
        <v>5648</v>
      </c>
    </row>
    <row r="3413" spans="1:21" ht="0" hidden="1" customHeight="1" outlineLevel="3">
      <c r="A3413" s="253" t="s">
        <v>4744</v>
      </c>
      <c r="B3413" s="253"/>
      <c r="C3413" s="202" t="s">
        <v>1609</v>
      </c>
      <c r="D3413" s="203">
        <f>'02 项目基础信息（输入）'!$C$84</f>
        <v>0</v>
      </c>
      <c r="E3413" s="204" t="s">
        <v>93</v>
      </c>
      <c r="F3413" s="202" t="s">
        <v>1609</v>
      </c>
      <c r="G3413" s="204">
        <v>1</v>
      </c>
      <c r="H3413" s="204" t="s">
        <v>298</v>
      </c>
      <c r="I3413" s="265">
        <f>D3413*G3413</f>
        <v>0</v>
      </c>
      <c r="J3413" s="204" t="s">
        <v>93</v>
      </c>
      <c r="K3413" s="214"/>
      <c r="L3413" s="210" t="s">
        <v>675</v>
      </c>
      <c r="M3413" s="198">
        <f>ROUND(K3413*I3413/10000,6)</f>
        <v>0</v>
      </c>
      <c r="N3413" s="212">
        <f>'02 项目基础信息（输入）'!$C$84</f>
        <v>0</v>
      </c>
      <c r="O3413" s="203">
        <f t="shared" si="396"/>
        <v>0</v>
      </c>
      <c r="P3413" s="203">
        <f t="shared" si="398"/>
        <v>0</v>
      </c>
      <c r="Q3413" s="271">
        <f t="shared" si="397"/>
        <v>0</v>
      </c>
      <c r="S3413" s="280"/>
      <c r="T3413" s="222"/>
      <c r="U3413" s="223" t="s">
        <v>5649</v>
      </c>
    </row>
    <row r="3414" spans="1:21" ht="0" hidden="1" customHeight="1" outlineLevel="3">
      <c r="A3414" s="253" t="s">
        <v>4746</v>
      </c>
      <c r="B3414" s="253"/>
      <c r="C3414" s="202" t="s">
        <v>1609</v>
      </c>
      <c r="D3414" s="203">
        <f>'02 项目基础信息（输入）'!$C$84</f>
        <v>0</v>
      </c>
      <c r="E3414" s="204" t="s">
        <v>93</v>
      </c>
      <c r="F3414" s="202" t="s">
        <v>1609</v>
      </c>
      <c r="G3414" s="204">
        <v>1</v>
      </c>
      <c r="H3414" s="204" t="s">
        <v>298</v>
      </c>
      <c r="I3414" s="265">
        <f>D3414*G3414</f>
        <v>0</v>
      </c>
      <c r="J3414" s="204" t="s">
        <v>93</v>
      </c>
      <c r="K3414" s="214"/>
      <c r="L3414" s="210" t="s">
        <v>675</v>
      </c>
      <c r="M3414" s="198">
        <f>ROUND(K3414*I3414/10000,6)</f>
        <v>0</v>
      </c>
      <c r="N3414" s="212">
        <f>'02 项目基础信息（输入）'!$C$84</f>
        <v>0</v>
      </c>
      <c r="O3414" s="203">
        <f t="shared" si="396"/>
        <v>0</v>
      </c>
      <c r="P3414" s="203">
        <f t="shared" si="398"/>
        <v>0</v>
      </c>
      <c r="Q3414" s="271">
        <f t="shared" si="397"/>
        <v>0</v>
      </c>
      <c r="S3414" s="280"/>
      <c r="T3414" s="222"/>
      <c r="U3414" s="223" t="s">
        <v>5650</v>
      </c>
    </row>
    <row r="3415" spans="1:21" ht="0" hidden="1" customHeight="1" outlineLevel="3">
      <c r="A3415" s="253" t="s">
        <v>4748</v>
      </c>
      <c r="B3415" s="253"/>
      <c r="C3415" s="202" t="s">
        <v>1609</v>
      </c>
      <c r="D3415" s="203">
        <f>'02 项目基础信息（输入）'!$C$84</f>
        <v>0</v>
      </c>
      <c r="E3415" s="204" t="s">
        <v>93</v>
      </c>
      <c r="F3415" s="202" t="s">
        <v>1609</v>
      </c>
      <c r="G3415" s="204">
        <v>1</v>
      </c>
      <c r="H3415" s="204" t="s">
        <v>298</v>
      </c>
      <c r="I3415" s="265">
        <f>D3415*G3415</f>
        <v>0</v>
      </c>
      <c r="J3415" s="204" t="s">
        <v>93</v>
      </c>
      <c r="K3415" s="214"/>
      <c r="L3415" s="210" t="s">
        <v>675</v>
      </c>
      <c r="M3415" s="198">
        <f>ROUND(K3415*I3415/10000,6)</f>
        <v>0</v>
      </c>
      <c r="N3415" s="212">
        <f>'02 项目基础信息（输入）'!$C$84</f>
        <v>0</v>
      </c>
      <c r="O3415" s="203">
        <f t="shared" si="396"/>
        <v>0</v>
      </c>
      <c r="P3415" s="203">
        <f t="shared" si="398"/>
        <v>0</v>
      </c>
      <c r="Q3415" s="271">
        <f t="shared" si="397"/>
        <v>0</v>
      </c>
      <c r="S3415" s="280"/>
      <c r="T3415" s="222"/>
      <c r="U3415" s="223" t="s">
        <v>5651</v>
      </c>
    </row>
    <row r="3416" spans="1:21" ht="0" hidden="1" customHeight="1" outlineLevel="3">
      <c r="A3416" s="253" t="s">
        <v>4750</v>
      </c>
      <c r="B3416" s="253"/>
      <c r="C3416" s="202" t="s">
        <v>1609</v>
      </c>
      <c r="D3416" s="203">
        <f>'02 项目基础信息（输入）'!$C$84</f>
        <v>0</v>
      </c>
      <c r="E3416" s="204" t="s">
        <v>93</v>
      </c>
      <c r="F3416" s="202" t="s">
        <v>1609</v>
      </c>
      <c r="G3416" s="204">
        <v>1</v>
      </c>
      <c r="H3416" s="204" t="s">
        <v>298</v>
      </c>
      <c r="I3416" s="265">
        <f>D3416*G3416</f>
        <v>0</v>
      </c>
      <c r="J3416" s="204" t="s">
        <v>93</v>
      </c>
      <c r="K3416" s="214"/>
      <c r="L3416" s="210" t="s">
        <v>675</v>
      </c>
      <c r="M3416" s="198">
        <f>ROUND(K3416*I3416/10000,6)</f>
        <v>0</v>
      </c>
      <c r="N3416" s="212">
        <f>'02 项目基础信息（输入）'!$C$84</f>
        <v>0</v>
      </c>
      <c r="O3416" s="203">
        <f t="shared" si="396"/>
        <v>0</v>
      </c>
      <c r="P3416" s="203">
        <f t="shared" si="398"/>
        <v>0</v>
      </c>
      <c r="Q3416" s="271">
        <f t="shared" si="397"/>
        <v>0</v>
      </c>
      <c r="S3416" s="280"/>
      <c r="T3416" s="222"/>
      <c r="U3416" s="223" t="s">
        <v>5652</v>
      </c>
    </row>
    <row r="3417" spans="1:21" ht="0" hidden="1" customHeight="1" outlineLevel="3">
      <c r="A3417" s="253" t="s">
        <v>4752</v>
      </c>
      <c r="B3417" s="253"/>
      <c r="C3417" s="202" t="s">
        <v>1609</v>
      </c>
      <c r="D3417" s="203">
        <f>'02 项目基础信息（输入）'!$C$84</f>
        <v>0</v>
      </c>
      <c r="E3417" s="204" t="s">
        <v>93</v>
      </c>
      <c r="F3417" s="202" t="s">
        <v>1609</v>
      </c>
      <c r="G3417" s="204">
        <v>1</v>
      </c>
      <c r="H3417" s="204" t="s">
        <v>298</v>
      </c>
      <c r="I3417" s="265">
        <f>D3417*G3417</f>
        <v>0</v>
      </c>
      <c r="J3417" s="204" t="s">
        <v>93</v>
      </c>
      <c r="K3417" s="214"/>
      <c r="L3417" s="210" t="s">
        <v>675</v>
      </c>
      <c r="M3417" s="198">
        <f>ROUND(K3417*I3417/10000,6)</f>
        <v>0</v>
      </c>
      <c r="N3417" s="212">
        <f>'02 项目基础信息（输入）'!$C$84</f>
        <v>0</v>
      </c>
      <c r="O3417" s="203">
        <f t="shared" si="396"/>
        <v>0</v>
      </c>
      <c r="P3417" s="203">
        <f t="shared" si="398"/>
        <v>0</v>
      </c>
      <c r="Q3417" s="271">
        <f t="shared" si="397"/>
        <v>0</v>
      </c>
      <c r="S3417" s="280"/>
      <c r="T3417" s="222"/>
      <c r="U3417" s="223" t="s">
        <v>5653</v>
      </c>
    </row>
    <row r="3418" spans="1:21" ht="0" hidden="1" customHeight="1" outlineLevel="3">
      <c r="A3418" s="253" t="s">
        <v>4754</v>
      </c>
      <c r="B3418" s="253"/>
      <c r="C3418" s="202" t="s">
        <v>1609</v>
      </c>
      <c r="D3418" s="203">
        <f>'02 项目基础信息（输入）'!$C$84</f>
        <v>0</v>
      </c>
      <c r="E3418" s="204" t="s">
        <v>93</v>
      </c>
      <c r="F3418" s="256"/>
      <c r="G3418" s="255"/>
      <c r="H3418" s="255"/>
      <c r="I3418" s="268"/>
      <c r="J3418" s="255"/>
      <c r="K3418" s="264"/>
      <c r="L3418" s="205"/>
      <c r="M3418" s="198">
        <f>SUM(M3419:M3421)</f>
        <v>0</v>
      </c>
      <c r="N3418" s="212">
        <f>'02 项目基础信息（输入）'!$C$84</f>
        <v>0</v>
      </c>
      <c r="O3418" s="203">
        <f t="shared" si="396"/>
        <v>0</v>
      </c>
      <c r="P3418" s="203">
        <f t="shared" si="398"/>
        <v>0</v>
      </c>
      <c r="Q3418" s="271">
        <f t="shared" si="397"/>
        <v>0</v>
      </c>
      <c r="S3418" s="280"/>
      <c r="T3418" s="222"/>
      <c r="U3418" s="223" t="s">
        <v>5654</v>
      </c>
    </row>
    <row r="3419" spans="1:21" ht="0" hidden="1" customHeight="1" outlineLevel="4">
      <c r="A3419" s="253" t="s">
        <v>4756</v>
      </c>
      <c r="B3419" s="253"/>
      <c r="C3419" s="202" t="s">
        <v>1609</v>
      </c>
      <c r="D3419" s="203">
        <f>'02 项目基础信息（输入）'!$C$84</f>
        <v>0</v>
      </c>
      <c r="E3419" s="204" t="s">
        <v>93</v>
      </c>
      <c r="F3419" s="202" t="s">
        <v>1609</v>
      </c>
      <c r="G3419" s="204">
        <v>1</v>
      </c>
      <c r="H3419" s="204" t="s">
        <v>298</v>
      </c>
      <c r="I3419" s="265">
        <f>D3419*G3419</f>
        <v>0</v>
      </c>
      <c r="J3419" s="204" t="s">
        <v>93</v>
      </c>
      <c r="K3419" s="214"/>
      <c r="L3419" s="210" t="s">
        <v>675</v>
      </c>
      <c r="M3419" s="198">
        <f>ROUND(K3419*I3419/10000,6)</f>
        <v>0</v>
      </c>
      <c r="N3419" s="212">
        <f>'02 项目基础信息（输入）'!$C$84</f>
        <v>0</v>
      </c>
      <c r="O3419" s="203">
        <f t="shared" si="396"/>
        <v>0</v>
      </c>
      <c r="P3419" s="203">
        <f t="shared" si="398"/>
        <v>0</v>
      </c>
      <c r="Q3419" s="271">
        <f t="shared" si="397"/>
        <v>0</v>
      </c>
      <c r="S3419" s="280"/>
      <c r="T3419" s="222"/>
      <c r="U3419" s="223" t="s">
        <v>5655</v>
      </c>
    </row>
    <row r="3420" spans="1:21" ht="0" hidden="1" customHeight="1" outlineLevel="4">
      <c r="A3420" s="253" t="s">
        <v>4758</v>
      </c>
      <c r="B3420" s="253"/>
      <c r="C3420" s="202" t="s">
        <v>1609</v>
      </c>
      <c r="D3420" s="203">
        <f>'02 项目基础信息（输入）'!$C$84</f>
        <v>0</v>
      </c>
      <c r="E3420" s="204" t="s">
        <v>93</v>
      </c>
      <c r="F3420" s="202" t="s">
        <v>1609</v>
      </c>
      <c r="G3420" s="204">
        <v>1</v>
      </c>
      <c r="H3420" s="204" t="s">
        <v>298</v>
      </c>
      <c r="I3420" s="265">
        <f>D3420*G3420</f>
        <v>0</v>
      </c>
      <c r="J3420" s="204" t="s">
        <v>93</v>
      </c>
      <c r="K3420" s="214"/>
      <c r="L3420" s="210" t="s">
        <v>675</v>
      </c>
      <c r="M3420" s="198">
        <f>ROUND(K3420*I3420/10000,6)</f>
        <v>0</v>
      </c>
      <c r="N3420" s="212">
        <f>'02 项目基础信息（输入）'!$C$84</f>
        <v>0</v>
      </c>
      <c r="O3420" s="203">
        <f t="shared" si="396"/>
        <v>0</v>
      </c>
      <c r="P3420" s="203">
        <f t="shared" si="398"/>
        <v>0</v>
      </c>
      <c r="Q3420" s="271">
        <f t="shared" si="397"/>
        <v>0</v>
      </c>
      <c r="S3420" s="280"/>
      <c r="T3420" s="222"/>
      <c r="U3420" s="223" t="s">
        <v>5656</v>
      </c>
    </row>
    <row r="3421" spans="1:21" ht="0" hidden="1" customHeight="1" outlineLevel="4">
      <c r="A3421" s="253" t="s">
        <v>4760</v>
      </c>
      <c r="B3421" s="253"/>
      <c r="C3421" s="202" t="s">
        <v>1609</v>
      </c>
      <c r="D3421" s="203">
        <f>'02 项目基础信息（输入）'!$C$84</f>
        <v>0</v>
      </c>
      <c r="E3421" s="204" t="s">
        <v>93</v>
      </c>
      <c r="F3421" s="202" t="s">
        <v>1609</v>
      </c>
      <c r="G3421" s="204">
        <v>1</v>
      </c>
      <c r="H3421" s="204" t="s">
        <v>298</v>
      </c>
      <c r="I3421" s="265">
        <f>D3421*G3421</f>
        <v>0</v>
      </c>
      <c r="J3421" s="204" t="s">
        <v>93</v>
      </c>
      <c r="K3421" s="214"/>
      <c r="L3421" s="210" t="s">
        <v>675</v>
      </c>
      <c r="M3421" s="198">
        <f>ROUND(K3421*I3421/10000,6)</f>
        <v>0</v>
      </c>
      <c r="N3421" s="212">
        <f>'02 项目基础信息（输入）'!$C$84</f>
        <v>0</v>
      </c>
      <c r="O3421" s="203">
        <f t="shared" si="396"/>
        <v>0</v>
      </c>
      <c r="P3421" s="203">
        <f t="shared" si="398"/>
        <v>0</v>
      </c>
      <c r="Q3421" s="271">
        <f t="shared" si="397"/>
        <v>0</v>
      </c>
      <c r="S3421" s="280"/>
      <c r="T3421" s="222"/>
      <c r="U3421" s="223" t="s">
        <v>5657</v>
      </c>
    </row>
    <row r="3422" spans="1:21" ht="0" hidden="1" customHeight="1" outlineLevel="3">
      <c r="A3422" s="253" t="s">
        <v>4762</v>
      </c>
      <c r="B3422" s="253"/>
      <c r="C3422" s="202" t="s">
        <v>1609</v>
      </c>
      <c r="D3422" s="203">
        <f>'02 项目基础信息（输入）'!$C$84</f>
        <v>0</v>
      </c>
      <c r="E3422" s="204" t="s">
        <v>93</v>
      </c>
      <c r="F3422" s="202" t="s">
        <v>1609</v>
      </c>
      <c r="G3422" s="204">
        <v>1</v>
      </c>
      <c r="H3422" s="204" t="s">
        <v>298</v>
      </c>
      <c r="I3422" s="265">
        <f>D3422*G3422</f>
        <v>0</v>
      </c>
      <c r="J3422" s="204" t="s">
        <v>93</v>
      </c>
      <c r="K3422" s="214"/>
      <c r="L3422" s="210" t="s">
        <v>675</v>
      </c>
      <c r="M3422" s="198">
        <f>ROUND(K3422*I3422/10000,6)</f>
        <v>0</v>
      </c>
      <c r="N3422" s="212">
        <f>'02 项目基础信息（输入）'!$C$84</f>
        <v>0</v>
      </c>
      <c r="O3422" s="203">
        <f t="shared" si="396"/>
        <v>0</v>
      </c>
      <c r="P3422" s="203">
        <f t="shared" si="398"/>
        <v>0</v>
      </c>
      <c r="Q3422" s="271">
        <f t="shared" si="397"/>
        <v>0</v>
      </c>
      <c r="S3422" s="280"/>
      <c r="T3422" s="222"/>
      <c r="U3422" s="223" t="s">
        <v>5658</v>
      </c>
    </row>
    <row r="3423" spans="1:21" ht="0" hidden="1" customHeight="1" outlineLevel="3">
      <c r="A3423" s="253" t="s">
        <v>4371</v>
      </c>
      <c r="B3423" s="253"/>
      <c r="C3423" s="202" t="s">
        <v>1609</v>
      </c>
      <c r="D3423" s="203">
        <f>'02 项目基础信息（输入）'!$C$84</f>
        <v>0</v>
      </c>
      <c r="E3423" s="204" t="s">
        <v>93</v>
      </c>
      <c r="F3423" s="202" t="s">
        <v>1609</v>
      </c>
      <c r="G3423" s="204">
        <v>1</v>
      </c>
      <c r="H3423" s="204" t="s">
        <v>298</v>
      </c>
      <c r="I3423" s="265">
        <f>D3423*G3423</f>
        <v>0</v>
      </c>
      <c r="J3423" s="204" t="s">
        <v>93</v>
      </c>
      <c r="K3423" s="214"/>
      <c r="L3423" s="210" t="s">
        <v>675</v>
      </c>
      <c r="M3423" s="198">
        <f>ROUND(K3423*I3423/10000,6)</f>
        <v>0</v>
      </c>
      <c r="N3423" s="212">
        <f>'02 项目基础信息（输入）'!$C$84</f>
        <v>0</v>
      </c>
      <c r="O3423" s="203">
        <f t="shared" si="396"/>
        <v>0</v>
      </c>
      <c r="P3423" s="203">
        <f t="shared" si="398"/>
        <v>0</v>
      </c>
      <c r="Q3423" s="271">
        <f t="shared" si="397"/>
        <v>0</v>
      </c>
      <c r="S3423" s="280"/>
      <c r="T3423" s="222"/>
      <c r="U3423" s="223" t="s">
        <v>5659</v>
      </c>
    </row>
    <row r="3424" spans="1:21" ht="0" hidden="1" customHeight="1" outlineLevel="2">
      <c r="A3424" s="201" t="s">
        <v>4765</v>
      </c>
      <c r="B3424" s="201"/>
      <c r="C3424" s="202" t="s">
        <v>1609</v>
      </c>
      <c r="D3424" s="203">
        <f>'02 项目基础信息（输入）'!$C$84</f>
        <v>0</v>
      </c>
      <c r="E3424" s="204" t="s">
        <v>93</v>
      </c>
      <c r="F3424" s="256"/>
      <c r="G3424" s="255"/>
      <c r="H3424" s="255"/>
      <c r="I3424" s="212"/>
      <c r="J3424" s="255"/>
      <c r="K3424" s="264"/>
      <c r="L3424" s="205"/>
      <c r="M3424" s="198">
        <f>SUM(M3425:M3428)</f>
        <v>0</v>
      </c>
      <c r="N3424" s="212">
        <f>'02 项目基础信息（输入）'!$C$84</f>
        <v>0</v>
      </c>
      <c r="O3424" s="203">
        <f t="shared" si="396"/>
        <v>0</v>
      </c>
      <c r="P3424" s="203">
        <f t="shared" si="398"/>
        <v>0</v>
      </c>
      <c r="Q3424" s="271">
        <f t="shared" si="397"/>
        <v>0</v>
      </c>
      <c r="S3424" s="280" t="s">
        <v>1314</v>
      </c>
      <c r="T3424" s="222"/>
      <c r="U3424" s="223" t="s">
        <v>5660</v>
      </c>
    </row>
    <row r="3425" spans="1:21" ht="0" hidden="1" customHeight="1" outlineLevel="3">
      <c r="A3425" s="253" t="s">
        <v>4767</v>
      </c>
      <c r="B3425" s="253"/>
      <c r="C3425" s="202" t="s">
        <v>4397</v>
      </c>
      <c r="D3425" s="203">
        <f>$D$3216</f>
        <v>0</v>
      </c>
      <c r="E3425" s="255" t="s">
        <v>93</v>
      </c>
      <c r="F3425" s="288" t="s">
        <v>4768</v>
      </c>
      <c r="G3425" s="296">
        <f>'02 项目基础信息（输入）'!CC84</f>
        <v>0</v>
      </c>
      <c r="H3425" s="255" t="s">
        <v>298</v>
      </c>
      <c r="I3425" s="268">
        <f>D3425*G3425</f>
        <v>0</v>
      </c>
      <c r="J3425" s="255" t="s">
        <v>93</v>
      </c>
      <c r="K3425" s="349"/>
      <c r="L3425" s="205" t="s">
        <v>675</v>
      </c>
      <c r="M3425" s="198">
        <f>ROUND(I3425*K3425/10000,6)</f>
        <v>0</v>
      </c>
      <c r="N3425" s="212">
        <f>'02 项目基础信息（输入）'!$C$84</f>
        <v>0</v>
      </c>
      <c r="O3425" s="203">
        <f t="shared" si="396"/>
        <v>0</v>
      </c>
      <c r="P3425" s="203">
        <f t="shared" si="398"/>
        <v>0</v>
      </c>
      <c r="Q3425" s="271">
        <f t="shared" si="397"/>
        <v>0</v>
      </c>
      <c r="S3425" s="280"/>
      <c r="T3425" s="222"/>
      <c r="U3425" s="223" t="s">
        <v>5661</v>
      </c>
    </row>
    <row r="3426" spans="1:21" ht="0" hidden="1" customHeight="1" outlineLevel="3">
      <c r="A3426" s="253" t="s">
        <v>4770</v>
      </c>
      <c r="B3426" s="253"/>
      <c r="C3426" s="202" t="s">
        <v>4397</v>
      </c>
      <c r="D3426" s="203">
        <f>$D$3216</f>
        <v>0</v>
      </c>
      <c r="E3426" s="255" t="s">
        <v>93</v>
      </c>
      <c r="F3426" s="288" t="s">
        <v>4768</v>
      </c>
      <c r="G3426" s="205">
        <f>G3425</f>
        <v>0</v>
      </c>
      <c r="H3426" s="255" t="s">
        <v>298</v>
      </c>
      <c r="I3426" s="268">
        <f>D3426*G3426</f>
        <v>0</v>
      </c>
      <c r="J3426" s="255" t="s">
        <v>93</v>
      </c>
      <c r="K3426" s="349"/>
      <c r="L3426" s="205" t="s">
        <v>675</v>
      </c>
      <c r="M3426" s="198">
        <f>ROUND(I3426*K3426/10000,6)</f>
        <v>0</v>
      </c>
      <c r="N3426" s="212">
        <f>'02 项目基础信息（输入）'!$C$84</f>
        <v>0</v>
      </c>
      <c r="O3426" s="203">
        <f t="shared" si="396"/>
        <v>0</v>
      </c>
      <c r="P3426" s="203">
        <f t="shared" si="398"/>
        <v>0</v>
      </c>
      <c r="Q3426" s="271">
        <f t="shared" si="397"/>
        <v>0</v>
      </c>
      <c r="S3426" s="280"/>
      <c r="T3426" s="222"/>
      <c r="U3426" s="223" t="s">
        <v>5662</v>
      </c>
    </row>
    <row r="3427" spans="1:21" ht="0" hidden="1" customHeight="1" outlineLevel="3">
      <c r="A3427" s="253" t="s">
        <v>4772</v>
      </c>
      <c r="B3427" s="253"/>
      <c r="C3427" s="202" t="s">
        <v>4397</v>
      </c>
      <c r="D3427" s="203">
        <f>$D$3216</f>
        <v>0</v>
      </c>
      <c r="E3427" s="255" t="s">
        <v>93</v>
      </c>
      <c r="F3427" s="250" t="s">
        <v>4773</v>
      </c>
      <c r="G3427" s="205">
        <f>IFERROR(I3427/D3427,0)</f>
        <v>0</v>
      </c>
      <c r="H3427" s="255" t="s">
        <v>4385</v>
      </c>
      <c r="I3427" s="285"/>
      <c r="J3427" s="255" t="s">
        <v>400</v>
      </c>
      <c r="K3427" s="214"/>
      <c r="L3427" s="205" t="s">
        <v>1749</v>
      </c>
      <c r="M3427" s="198">
        <f>ROUND(I3427*K3427/10000,6)</f>
        <v>0</v>
      </c>
      <c r="N3427" s="212">
        <f>'02 项目基础信息（输入）'!$C$84</f>
        <v>0</v>
      </c>
      <c r="O3427" s="203">
        <f t="shared" si="396"/>
        <v>0</v>
      </c>
      <c r="P3427" s="203">
        <f t="shared" si="398"/>
        <v>0</v>
      </c>
      <c r="Q3427" s="271">
        <f t="shared" si="397"/>
        <v>0</v>
      </c>
      <c r="S3427" s="280"/>
      <c r="T3427" s="222"/>
      <c r="U3427" s="223" t="s">
        <v>5663</v>
      </c>
    </row>
    <row r="3428" spans="1:21" ht="0" hidden="1" customHeight="1" outlineLevel="3">
      <c r="A3428" s="253" t="s">
        <v>4775</v>
      </c>
      <c r="B3428" s="253"/>
      <c r="C3428" s="202" t="s">
        <v>4397</v>
      </c>
      <c r="D3428" s="203">
        <f>$D$3216</f>
        <v>0</v>
      </c>
      <c r="E3428" s="255" t="s">
        <v>93</v>
      </c>
      <c r="F3428" s="256" t="s">
        <v>4740</v>
      </c>
      <c r="G3428" s="205">
        <f>IFERROR(I3428/D3428,0)</f>
        <v>0</v>
      </c>
      <c r="H3428" s="255" t="s">
        <v>298</v>
      </c>
      <c r="I3428" s="285"/>
      <c r="J3428" s="255" t="s">
        <v>93</v>
      </c>
      <c r="K3428" s="214"/>
      <c r="L3428" s="205" t="s">
        <v>675</v>
      </c>
      <c r="M3428" s="198">
        <f>ROUND(I3428*K3428/10000,6)</f>
        <v>0</v>
      </c>
      <c r="N3428" s="212">
        <f>'02 项目基础信息（输入）'!$C$84</f>
        <v>0</v>
      </c>
      <c r="O3428" s="203">
        <f t="shared" si="396"/>
        <v>0</v>
      </c>
      <c r="P3428" s="203">
        <f t="shared" si="398"/>
        <v>0</v>
      </c>
      <c r="Q3428" s="271">
        <f t="shared" si="397"/>
        <v>0</v>
      </c>
      <c r="S3428" s="280"/>
      <c r="T3428" s="222"/>
      <c r="U3428" s="223" t="s">
        <v>5664</v>
      </c>
    </row>
    <row r="3429" spans="1:21" ht="0" hidden="1" customHeight="1" outlineLevel="2">
      <c r="A3429" s="201" t="s">
        <v>4377</v>
      </c>
      <c r="B3429" s="201"/>
      <c r="C3429" s="202" t="s">
        <v>1609</v>
      </c>
      <c r="D3429" s="203">
        <f>'02 项目基础信息（输入）'!$C$84</f>
        <v>0</v>
      </c>
      <c r="E3429" s="204" t="s">
        <v>93</v>
      </c>
      <c r="F3429" s="202"/>
      <c r="G3429" s="204"/>
      <c r="H3429" s="204"/>
      <c r="I3429" s="268"/>
      <c r="J3429" s="204"/>
      <c r="K3429" s="264"/>
      <c r="L3429" s="210"/>
      <c r="M3429" s="198">
        <f>ROUND(SUM(M3430),6)</f>
        <v>0</v>
      </c>
      <c r="N3429" s="212">
        <f>'02 项目基础信息（输入）'!$C$84</f>
        <v>0</v>
      </c>
      <c r="O3429" s="203">
        <f t="shared" si="396"/>
        <v>0</v>
      </c>
      <c r="P3429" s="203">
        <f t="shared" si="398"/>
        <v>0</v>
      </c>
      <c r="Q3429" s="271">
        <f t="shared" si="397"/>
        <v>0</v>
      </c>
      <c r="S3429" s="280" t="s">
        <v>1314</v>
      </c>
      <c r="T3429" s="222"/>
      <c r="U3429" s="223" t="s">
        <v>5665</v>
      </c>
    </row>
    <row r="3430" spans="1:21" ht="0" hidden="1" customHeight="1" outlineLevel="3">
      <c r="A3430" s="253" t="s">
        <v>4379</v>
      </c>
      <c r="B3430" s="253"/>
      <c r="C3430" s="202" t="s">
        <v>1609</v>
      </c>
      <c r="D3430" s="203">
        <f>'02 项目基础信息（输入）'!$C$84</f>
        <v>0</v>
      </c>
      <c r="E3430" s="204" t="s">
        <v>93</v>
      </c>
      <c r="F3430" s="202" t="s">
        <v>1609</v>
      </c>
      <c r="G3430" s="204">
        <v>1</v>
      </c>
      <c r="H3430" s="204" t="s">
        <v>298</v>
      </c>
      <c r="I3430" s="268">
        <f>G3430*D3430</f>
        <v>0</v>
      </c>
      <c r="J3430" s="204" t="s">
        <v>93</v>
      </c>
      <c r="K3430" s="269"/>
      <c r="L3430" s="210" t="s">
        <v>675</v>
      </c>
      <c r="M3430" s="198">
        <f>ROUND(K3430*I3430/10000,6)</f>
        <v>0</v>
      </c>
      <c r="N3430" s="212">
        <f>'02 项目基础信息（输入）'!$C$84</f>
        <v>0</v>
      </c>
      <c r="O3430" s="203">
        <f t="shared" si="396"/>
        <v>0</v>
      </c>
      <c r="P3430" s="203">
        <f t="shared" si="398"/>
        <v>0</v>
      </c>
      <c r="Q3430" s="271">
        <f t="shared" si="397"/>
        <v>0</v>
      </c>
      <c r="S3430" s="280"/>
      <c r="T3430" s="222"/>
      <c r="U3430" s="223" t="s">
        <v>5666</v>
      </c>
    </row>
    <row r="3431" spans="1:21" ht="0" hidden="1" customHeight="1" outlineLevel="2">
      <c r="A3431" s="201" t="s">
        <v>4381</v>
      </c>
      <c r="B3431" s="201"/>
      <c r="C3431" s="202" t="s">
        <v>1609</v>
      </c>
      <c r="D3431" s="203">
        <f>'02 项目基础信息（输入）'!$C$84</f>
        <v>0</v>
      </c>
      <c r="E3431" s="204" t="s">
        <v>93</v>
      </c>
      <c r="F3431" s="256"/>
      <c r="G3431" s="255"/>
      <c r="H3431" s="255"/>
      <c r="I3431" s="212"/>
      <c r="J3431" s="255"/>
      <c r="K3431" s="264"/>
      <c r="L3431" s="205"/>
      <c r="M3431" s="198">
        <f>ROUND(SUM(M3432:M3438),6)</f>
        <v>0</v>
      </c>
      <c r="N3431" s="212">
        <f>'02 项目基础信息（输入）'!$C$84</f>
        <v>0</v>
      </c>
      <c r="O3431" s="203">
        <f t="shared" si="396"/>
        <v>0</v>
      </c>
      <c r="P3431" s="203">
        <f t="shared" si="398"/>
        <v>0</v>
      </c>
      <c r="Q3431" s="271">
        <f t="shared" si="397"/>
        <v>0</v>
      </c>
      <c r="S3431" s="280" t="s">
        <v>1314</v>
      </c>
      <c r="T3431" s="222"/>
      <c r="U3431" s="223" t="s">
        <v>5667</v>
      </c>
    </row>
    <row r="3432" spans="1:21" ht="0" hidden="1" customHeight="1" outlineLevel="3">
      <c r="A3432" s="253" t="s">
        <v>4780</v>
      </c>
      <c r="B3432" s="253"/>
      <c r="C3432" s="202" t="s">
        <v>1609</v>
      </c>
      <c r="D3432" s="203">
        <f>'02 项目基础信息（输入）'!$C$84</f>
        <v>0</v>
      </c>
      <c r="E3432" s="204" t="s">
        <v>93</v>
      </c>
      <c r="F3432" s="250" t="s">
        <v>4781</v>
      </c>
      <c r="G3432" s="205">
        <f t="shared" ref="G3432:G3437" si="401">IFERROR(I3432/D3432,0)</f>
        <v>0</v>
      </c>
      <c r="H3432" s="204" t="s">
        <v>4782</v>
      </c>
      <c r="I3432" s="285"/>
      <c r="J3432" s="204" t="s">
        <v>2198</v>
      </c>
      <c r="K3432" s="350"/>
      <c r="L3432" s="210" t="s">
        <v>841</v>
      </c>
      <c r="M3432" s="198">
        <f t="shared" ref="M3432:M3438" si="402">ROUND(K3432*I3432/10000,6)</f>
        <v>0</v>
      </c>
      <c r="N3432" s="212">
        <f>'02 项目基础信息（输入）'!$C$84</f>
        <v>0</v>
      </c>
      <c r="O3432" s="203">
        <f t="shared" si="396"/>
        <v>0</v>
      </c>
      <c r="P3432" s="203">
        <f t="shared" si="398"/>
        <v>0</v>
      </c>
      <c r="Q3432" s="271">
        <f t="shared" si="397"/>
        <v>0</v>
      </c>
      <c r="S3432" s="280"/>
      <c r="T3432" s="222"/>
      <c r="U3432" s="223" t="s">
        <v>5668</v>
      </c>
    </row>
    <row r="3433" spans="1:21" ht="0" hidden="1" customHeight="1" outlineLevel="3">
      <c r="A3433" s="253" t="s">
        <v>4784</v>
      </c>
      <c r="B3433" s="253"/>
      <c r="C3433" s="202" t="s">
        <v>1609</v>
      </c>
      <c r="D3433" s="203">
        <f>'02 项目基础信息（输入）'!$C$84</f>
        <v>0</v>
      </c>
      <c r="E3433" s="204" t="s">
        <v>93</v>
      </c>
      <c r="F3433" s="250" t="s">
        <v>4781</v>
      </c>
      <c r="G3433" s="205">
        <f t="shared" si="401"/>
        <v>0</v>
      </c>
      <c r="H3433" s="204" t="s">
        <v>4782</v>
      </c>
      <c r="I3433" s="285"/>
      <c r="J3433" s="204" t="s">
        <v>2198</v>
      </c>
      <c r="K3433" s="350"/>
      <c r="L3433" s="210" t="s">
        <v>841</v>
      </c>
      <c r="M3433" s="198">
        <f t="shared" si="402"/>
        <v>0</v>
      </c>
      <c r="N3433" s="212">
        <f>'02 项目基础信息（输入）'!$C$84</f>
        <v>0</v>
      </c>
      <c r="O3433" s="203">
        <f t="shared" si="396"/>
        <v>0</v>
      </c>
      <c r="P3433" s="203">
        <f t="shared" si="398"/>
        <v>0</v>
      </c>
      <c r="Q3433" s="271">
        <f t="shared" si="397"/>
        <v>0</v>
      </c>
      <c r="S3433" s="280"/>
      <c r="T3433" s="222"/>
      <c r="U3433" s="223" t="s">
        <v>5669</v>
      </c>
    </row>
    <row r="3434" spans="1:21" ht="0" hidden="1" customHeight="1" outlineLevel="3">
      <c r="A3434" s="253" t="s">
        <v>4786</v>
      </c>
      <c r="B3434" s="253"/>
      <c r="C3434" s="202" t="s">
        <v>1609</v>
      </c>
      <c r="D3434" s="203">
        <f>'02 项目基础信息（输入）'!$C$84</f>
        <v>0</v>
      </c>
      <c r="E3434" s="204" t="s">
        <v>93</v>
      </c>
      <c r="F3434" s="250" t="s">
        <v>4781</v>
      </c>
      <c r="G3434" s="205">
        <f t="shared" si="401"/>
        <v>0</v>
      </c>
      <c r="H3434" s="204" t="s">
        <v>4385</v>
      </c>
      <c r="I3434" s="285"/>
      <c r="J3434" s="204" t="s">
        <v>400</v>
      </c>
      <c r="K3434" s="350"/>
      <c r="L3434" s="210" t="s">
        <v>1749</v>
      </c>
      <c r="M3434" s="198">
        <f t="shared" si="402"/>
        <v>0</v>
      </c>
      <c r="N3434" s="212">
        <f>'02 项目基础信息（输入）'!$C$84</f>
        <v>0</v>
      </c>
      <c r="O3434" s="203">
        <f t="shared" si="396"/>
        <v>0</v>
      </c>
      <c r="P3434" s="203">
        <f t="shared" si="398"/>
        <v>0</v>
      </c>
      <c r="Q3434" s="271">
        <f t="shared" si="397"/>
        <v>0</v>
      </c>
      <c r="S3434" s="280"/>
      <c r="T3434" s="222"/>
      <c r="U3434" s="223" t="s">
        <v>5670</v>
      </c>
    </row>
    <row r="3435" spans="1:21" ht="0" hidden="1" customHeight="1" outlineLevel="3">
      <c r="A3435" s="253" t="s">
        <v>4788</v>
      </c>
      <c r="B3435" s="253"/>
      <c r="C3435" s="202" t="s">
        <v>1609</v>
      </c>
      <c r="D3435" s="203">
        <f>'02 项目基础信息（输入）'!$C$84</f>
        <v>0</v>
      </c>
      <c r="E3435" s="204" t="s">
        <v>93</v>
      </c>
      <c r="F3435" s="250" t="s">
        <v>4781</v>
      </c>
      <c r="G3435" s="205">
        <f t="shared" si="401"/>
        <v>0</v>
      </c>
      <c r="H3435" s="204" t="s">
        <v>4606</v>
      </c>
      <c r="I3435" s="285"/>
      <c r="J3435" s="204" t="s">
        <v>1946</v>
      </c>
      <c r="K3435" s="350"/>
      <c r="L3435" s="210" t="s">
        <v>1948</v>
      </c>
      <c r="M3435" s="198">
        <f t="shared" si="402"/>
        <v>0</v>
      </c>
      <c r="N3435" s="212">
        <f>'02 项目基础信息（输入）'!$C$84</f>
        <v>0</v>
      </c>
      <c r="O3435" s="203">
        <f t="shared" si="396"/>
        <v>0</v>
      </c>
      <c r="P3435" s="203">
        <f t="shared" si="398"/>
        <v>0</v>
      </c>
      <c r="Q3435" s="271">
        <f t="shared" si="397"/>
        <v>0</v>
      </c>
      <c r="S3435" s="280"/>
      <c r="T3435" s="222"/>
      <c r="U3435" s="223" t="s">
        <v>5671</v>
      </c>
    </row>
    <row r="3436" spans="1:21" ht="0" hidden="1" customHeight="1" outlineLevel="3">
      <c r="A3436" s="253" t="s">
        <v>4790</v>
      </c>
      <c r="B3436" s="253"/>
      <c r="C3436" s="202" t="s">
        <v>1609</v>
      </c>
      <c r="D3436" s="203">
        <f>'02 项目基础信息（输入）'!$C$84</f>
        <v>0</v>
      </c>
      <c r="E3436" s="204" t="s">
        <v>93</v>
      </c>
      <c r="F3436" s="250" t="s">
        <v>4791</v>
      </c>
      <c r="G3436" s="205">
        <f t="shared" si="401"/>
        <v>0</v>
      </c>
      <c r="H3436" s="255" t="s">
        <v>298</v>
      </c>
      <c r="I3436" s="273">
        <f>'02 项目基础信息（输入）'!BF84</f>
        <v>0</v>
      </c>
      <c r="J3436" s="204" t="s">
        <v>93</v>
      </c>
      <c r="K3436" s="350"/>
      <c r="L3436" s="210" t="s">
        <v>675</v>
      </c>
      <c r="M3436" s="198">
        <f t="shared" si="402"/>
        <v>0</v>
      </c>
      <c r="N3436" s="212">
        <f>'02 项目基础信息（输入）'!$C$84</f>
        <v>0</v>
      </c>
      <c r="O3436" s="203">
        <f t="shared" si="396"/>
        <v>0</v>
      </c>
      <c r="P3436" s="203">
        <f t="shared" si="398"/>
        <v>0</v>
      </c>
      <c r="Q3436" s="271">
        <f t="shared" si="397"/>
        <v>0</v>
      </c>
      <c r="S3436" s="280"/>
      <c r="T3436" s="222"/>
      <c r="U3436" s="223" t="s">
        <v>5672</v>
      </c>
    </row>
    <row r="3437" spans="1:21" ht="0" hidden="1" customHeight="1" outlineLevel="3">
      <c r="A3437" s="253" t="s">
        <v>4793</v>
      </c>
      <c r="B3437" s="253"/>
      <c r="C3437" s="202" t="s">
        <v>1609</v>
      </c>
      <c r="D3437" s="203">
        <f>'02 项目基础信息（输入）'!$C$84</f>
        <v>0</v>
      </c>
      <c r="E3437" s="204" t="s">
        <v>93</v>
      </c>
      <c r="F3437" s="250" t="s">
        <v>4794</v>
      </c>
      <c r="G3437" s="205">
        <f t="shared" si="401"/>
        <v>0</v>
      </c>
      <c r="H3437" s="255" t="s">
        <v>298</v>
      </c>
      <c r="I3437" s="273">
        <f>'02 项目基础信息（输入）'!BE84</f>
        <v>0</v>
      </c>
      <c r="J3437" s="204" t="s">
        <v>93</v>
      </c>
      <c r="K3437" s="350"/>
      <c r="L3437" s="210" t="s">
        <v>675</v>
      </c>
      <c r="M3437" s="198">
        <f t="shared" si="402"/>
        <v>0</v>
      </c>
      <c r="N3437" s="212">
        <f>'02 项目基础信息（输入）'!$C$84</f>
        <v>0</v>
      </c>
      <c r="O3437" s="203">
        <f t="shared" si="396"/>
        <v>0</v>
      </c>
      <c r="P3437" s="203">
        <f t="shared" si="398"/>
        <v>0</v>
      </c>
      <c r="Q3437" s="271">
        <f t="shared" si="397"/>
        <v>0</v>
      </c>
      <c r="S3437" s="280"/>
      <c r="T3437" s="222"/>
      <c r="U3437" s="223" t="s">
        <v>5673</v>
      </c>
    </row>
    <row r="3438" spans="1:21" ht="0" hidden="1" customHeight="1" outlineLevel="3">
      <c r="A3438" s="253" t="s">
        <v>4796</v>
      </c>
      <c r="B3438" s="253"/>
      <c r="C3438" s="202" t="s">
        <v>1609</v>
      </c>
      <c r="D3438" s="203">
        <f>'02 项目基础信息（输入）'!$C$84</f>
        <v>0</v>
      </c>
      <c r="E3438" s="204" t="s">
        <v>93</v>
      </c>
      <c r="F3438" s="202" t="s">
        <v>1609</v>
      </c>
      <c r="G3438" s="204">
        <v>1</v>
      </c>
      <c r="H3438" s="204" t="s">
        <v>298</v>
      </c>
      <c r="I3438" s="268">
        <f>G3438*D3438</f>
        <v>0</v>
      </c>
      <c r="J3438" s="204" t="s">
        <v>93</v>
      </c>
      <c r="K3438" s="214"/>
      <c r="L3438" s="210" t="s">
        <v>675</v>
      </c>
      <c r="M3438" s="198">
        <f t="shared" si="402"/>
        <v>0</v>
      </c>
      <c r="N3438" s="212">
        <f>'02 项目基础信息（输入）'!$C$84</f>
        <v>0</v>
      </c>
      <c r="O3438" s="203">
        <f t="shared" si="396"/>
        <v>0</v>
      </c>
      <c r="P3438" s="203">
        <f t="shared" si="398"/>
        <v>0</v>
      </c>
      <c r="Q3438" s="271">
        <f t="shared" si="397"/>
        <v>0</v>
      </c>
      <c r="S3438" s="280"/>
      <c r="T3438" s="222"/>
      <c r="U3438" s="223" t="s">
        <v>5674</v>
      </c>
    </row>
    <row r="3439" spans="1:21" ht="0" hidden="1" customHeight="1" outlineLevel="1" collapsed="1">
      <c r="A3439" s="248" t="s">
        <v>637</v>
      </c>
      <c r="B3439" s="248"/>
      <c r="C3439" s="202" t="s">
        <v>1609</v>
      </c>
      <c r="D3439" s="203">
        <f>'02 项目基础信息（输入）'!$C$87</f>
        <v>0</v>
      </c>
      <c r="E3439" s="204" t="s">
        <v>93</v>
      </c>
      <c r="F3439" s="202"/>
      <c r="G3439" s="204"/>
      <c r="H3439" s="204"/>
      <c r="I3439" s="202"/>
      <c r="J3439" s="204"/>
      <c r="K3439" s="202"/>
      <c r="L3439" s="210"/>
      <c r="M3439" s="198">
        <f>ROUND(M3440+M3482+M3494+M3514+M3549+M3562+M3566+M3569+M3608+M3621+M3654+M3659+M3661+M3591,6)</f>
        <v>0</v>
      </c>
      <c r="N3439" s="212">
        <f>'02 项目基础信息（输入）'!$C$87</f>
        <v>0</v>
      </c>
      <c r="O3439" s="212">
        <f t="shared" si="396"/>
        <v>0</v>
      </c>
      <c r="P3439" s="212">
        <f t="shared" si="398"/>
        <v>0</v>
      </c>
      <c r="Q3439" s="271">
        <f t="shared" si="397"/>
        <v>0</v>
      </c>
      <c r="S3439" s="280"/>
      <c r="T3439" s="222"/>
      <c r="U3439" s="223" t="s">
        <v>5675</v>
      </c>
    </row>
    <row r="3440" spans="1:21" ht="0" hidden="1" customHeight="1" outlineLevel="2">
      <c r="A3440" s="201" t="s">
        <v>4168</v>
      </c>
      <c r="B3440" s="201"/>
      <c r="C3440" s="202" t="s">
        <v>1609</v>
      </c>
      <c r="D3440" s="203">
        <f>'02 项目基础信息（输入）'!$C$87</f>
        <v>0</v>
      </c>
      <c r="E3440" s="204" t="s">
        <v>93</v>
      </c>
      <c r="F3440" s="202"/>
      <c r="G3440" s="204"/>
      <c r="H3440" s="204"/>
      <c r="I3440" s="203"/>
      <c r="J3440" s="204"/>
      <c r="K3440" s="264"/>
      <c r="L3440" s="210"/>
      <c r="M3440" s="198">
        <f>ROUND(M3441+M3462+M3478,6)</f>
        <v>0</v>
      </c>
      <c r="N3440" s="212">
        <f>'02 项目基础信息（输入）'!$C$87</f>
        <v>0</v>
      </c>
      <c r="O3440" s="203">
        <f t="shared" si="396"/>
        <v>0</v>
      </c>
      <c r="P3440" s="203">
        <f t="shared" si="398"/>
        <v>0</v>
      </c>
      <c r="Q3440" s="271">
        <f t="shared" si="397"/>
        <v>0</v>
      </c>
      <c r="S3440" s="280" t="s">
        <v>1313</v>
      </c>
      <c r="T3440" s="222"/>
      <c r="U3440" s="223" t="s">
        <v>5676</v>
      </c>
    </row>
    <row r="3441" spans="1:21" s="181" customFormat="1" ht="0" hidden="1" customHeight="1" outlineLevel="3">
      <c r="A3441" s="253" t="s">
        <v>4170</v>
      </c>
      <c r="B3441" s="254"/>
      <c r="C3441" s="250" t="s">
        <v>1609</v>
      </c>
      <c r="D3441" s="203">
        <f>'02 项目基础信息（输入）'!$C$87</f>
        <v>0</v>
      </c>
      <c r="E3441" s="204" t="s">
        <v>93</v>
      </c>
      <c r="F3441" s="202"/>
      <c r="G3441" s="204"/>
      <c r="H3441" s="204"/>
      <c r="I3441" s="265"/>
      <c r="J3441" s="204"/>
      <c r="K3441" s="202"/>
      <c r="L3441" s="210"/>
      <c r="M3441" s="198">
        <f>ROUND(M3442+M3445+M3450+M3455+M3459+M3460+M3461,6)</f>
        <v>0</v>
      </c>
      <c r="N3441" s="212">
        <f>'02 项目基础信息（输入）'!$C$87</f>
        <v>0</v>
      </c>
      <c r="O3441" s="203">
        <f t="shared" si="396"/>
        <v>0</v>
      </c>
      <c r="P3441" s="203">
        <f t="shared" si="398"/>
        <v>0</v>
      </c>
      <c r="Q3441" s="271">
        <f t="shared" si="397"/>
        <v>0</v>
      </c>
      <c r="R3441" s="188"/>
      <c r="S3441" s="280"/>
      <c r="T3441" s="222"/>
      <c r="U3441" s="223" t="s">
        <v>5677</v>
      </c>
    </row>
    <row r="3442" spans="1:21" s="181" customFormat="1" ht="0" hidden="1" customHeight="1" outlineLevel="4">
      <c r="A3442" s="253" t="s">
        <v>4172</v>
      </c>
      <c r="B3442" s="254"/>
      <c r="C3442" s="250" t="s">
        <v>1609</v>
      </c>
      <c r="D3442" s="203">
        <f>'02 项目基础信息（输入）'!$C$87</f>
        <v>0</v>
      </c>
      <c r="E3442" s="204" t="s">
        <v>93</v>
      </c>
      <c r="F3442" s="202"/>
      <c r="G3442" s="251"/>
      <c r="H3442" s="204"/>
      <c r="I3442" s="265"/>
      <c r="J3442" s="204"/>
      <c r="K3442" s="266"/>
      <c r="L3442" s="210"/>
      <c r="M3442" s="198">
        <f>ROUND(SUM(M3443:M3444),6)</f>
        <v>0</v>
      </c>
      <c r="N3442" s="212">
        <f>'02 项目基础信息（输入）'!$C$87</f>
        <v>0</v>
      </c>
      <c r="O3442" s="203">
        <f t="shared" si="396"/>
        <v>0</v>
      </c>
      <c r="P3442" s="203">
        <f t="shared" si="398"/>
        <v>0</v>
      </c>
      <c r="Q3442" s="271">
        <f t="shared" si="397"/>
        <v>0</v>
      </c>
      <c r="R3442" s="188"/>
      <c r="S3442" s="280"/>
      <c r="T3442" s="222"/>
      <c r="U3442" s="223" t="s">
        <v>5678</v>
      </c>
    </row>
    <row r="3443" spans="1:21" s="181" customFormat="1" ht="0" hidden="1" customHeight="1" outlineLevel="5">
      <c r="A3443" s="253" t="s">
        <v>4802</v>
      </c>
      <c r="B3443" s="254"/>
      <c r="C3443" s="250" t="s">
        <v>1609</v>
      </c>
      <c r="D3443" s="203">
        <f>'02 项目基础信息（输入）'!$C$87</f>
        <v>0</v>
      </c>
      <c r="E3443" s="204" t="s">
        <v>93</v>
      </c>
      <c r="F3443" s="202" t="s">
        <v>1616</v>
      </c>
      <c r="G3443" s="297"/>
      <c r="H3443" s="204" t="s">
        <v>966</v>
      </c>
      <c r="I3443" s="265">
        <f>D3443*G3443</f>
        <v>0</v>
      </c>
      <c r="J3443" s="204" t="s">
        <v>1617</v>
      </c>
      <c r="K3443" s="214"/>
      <c r="L3443" s="210" t="s">
        <v>664</v>
      </c>
      <c r="M3443" s="198">
        <f>ROUND(K3443*I3443/10000,6)</f>
        <v>0</v>
      </c>
      <c r="N3443" s="212">
        <f>'02 项目基础信息（输入）'!$C$87</f>
        <v>0</v>
      </c>
      <c r="O3443" s="203">
        <f t="shared" si="396"/>
        <v>0</v>
      </c>
      <c r="P3443" s="203">
        <f t="shared" si="398"/>
        <v>0</v>
      </c>
      <c r="Q3443" s="271">
        <f t="shared" si="397"/>
        <v>0</v>
      </c>
      <c r="R3443" s="188"/>
      <c r="S3443" s="280"/>
      <c r="T3443" s="222"/>
      <c r="U3443" s="223" t="s">
        <v>5679</v>
      </c>
    </row>
    <row r="3444" spans="1:21" s="181" customFormat="1" ht="0" hidden="1" customHeight="1" outlineLevel="5">
      <c r="A3444" s="253" t="s">
        <v>4176</v>
      </c>
      <c r="B3444" s="254"/>
      <c r="C3444" s="250" t="s">
        <v>1609</v>
      </c>
      <c r="D3444" s="203">
        <f>'02 项目基础信息（输入）'!$C$87</f>
        <v>0</v>
      </c>
      <c r="E3444" s="204" t="s">
        <v>93</v>
      </c>
      <c r="F3444" s="202" t="s">
        <v>1616</v>
      </c>
      <c r="G3444" s="251">
        <f>G3443</f>
        <v>0</v>
      </c>
      <c r="H3444" s="204" t="s">
        <v>966</v>
      </c>
      <c r="I3444" s="265">
        <f>D3444*G3444</f>
        <v>0</v>
      </c>
      <c r="J3444" s="204" t="s">
        <v>1617</v>
      </c>
      <c r="K3444" s="214"/>
      <c r="L3444" s="210" t="s">
        <v>664</v>
      </c>
      <c r="M3444" s="198">
        <f>ROUND(K3444*I3444/10000,6)</f>
        <v>0</v>
      </c>
      <c r="N3444" s="212">
        <f>'02 项目基础信息（输入）'!$C$87</f>
        <v>0</v>
      </c>
      <c r="O3444" s="203">
        <f t="shared" si="396"/>
        <v>0</v>
      </c>
      <c r="P3444" s="203">
        <f t="shared" si="398"/>
        <v>0</v>
      </c>
      <c r="Q3444" s="271">
        <f t="shared" si="397"/>
        <v>0</v>
      </c>
      <c r="R3444" s="188"/>
      <c r="S3444" s="280"/>
      <c r="T3444" s="222"/>
      <c r="U3444" s="223" t="s">
        <v>5680</v>
      </c>
    </row>
    <row r="3445" spans="1:21" s="181" customFormat="1" ht="0" hidden="1" customHeight="1" outlineLevel="4">
      <c r="A3445" s="253" t="s">
        <v>4178</v>
      </c>
      <c r="B3445" s="254"/>
      <c r="C3445" s="250" t="s">
        <v>1609</v>
      </c>
      <c r="D3445" s="203">
        <f>'02 项目基础信息（输入）'!$C$87</f>
        <v>0</v>
      </c>
      <c r="E3445" s="204" t="s">
        <v>93</v>
      </c>
      <c r="F3445" s="202"/>
      <c r="G3445" s="251"/>
      <c r="H3445" s="255"/>
      <c r="I3445" s="265"/>
      <c r="J3445" s="204"/>
      <c r="K3445" s="264"/>
      <c r="L3445" s="210"/>
      <c r="M3445" s="198">
        <f>ROUND(SUM(M3446:M3449),6)</f>
        <v>0</v>
      </c>
      <c r="N3445" s="212">
        <f>'02 项目基础信息（输入）'!$C$87</f>
        <v>0</v>
      </c>
      <c r="O3445" s="203">
        <f t="shared" si="396"/>
        <v>0</v>
      </c>
      <c r="P3445" s="203">
        <f t="shared" si="398"/>
        <v>0</v>
      </c>
      <c r="Q3445" s="271">
        <f t="shared" si="397"/>
        <v>0</v>
      </c>
      <c r="R3445" s="188"/>
      <c r="S3445" s="280"/>
      <c r="T3445" s="222"/>
      <c r="U3445" s="223" t="s">
        <v>5681</v>
      </c>
    </row>
    <row r="3446" spans="1:21" s="181" customFormat="1" ht="0" hidden="1" customHeight="1" outlineLevel="5">
      <c r="A3446" s="253" t="s">
        <v>4180</v>
      </c>
      <c r="B3446" s="254"/>
      <c r="C3446" s="250" t="s">
        <v>1609</v>
      </c>
      <c r="D3446" s="203">
        <f>'02 项目基础信息（输入）'!$C$87</f>
        <v>0</v>
      </c>
      <c r="E3446" s="204" t="s">
        <v>93</v>
      </c>
      <c r="F3446" s="202" t="s">
        <v>4181</v>
      </c>
      <c r="G3446" s="297"/>
      <c r="H3446" s="204" t="s">
        <v>298</v>
      </c>
      <c r="I3446" s="265">
        <f>D3446*G3446</f>
        <v>0</v>
      </c>
      <c r="J3446" s="204" t="s">
        <v>93</v>
      </c>
      <c r="K3446" s="214"/>
      <c r="L3446" s="210" t="s">
        <v>675</v>
      </c>
      <c r="M3446" s="198">
        <f>ROUND(K3446*I3446/10000,6)</f>
        <v>0</v>
      </c>
      <c r="N3446" s="212">
        <f>'02 项目基础信息（输入）'!$C$87</f>
        <v>0</v>
      </c>
      <c r="O3446" s="203">
        <f t="shared" si="396"/>
        <v>0</v>
      </c>
      <c r="P3446" s="203">
        <f t="shared" si="398"/>
        <v>0</v>
      </c>
      <c r="Q3446" s="271">
        <f t="shared" si="397"/>
        <v>0</v>
      </c>
      <c r="R3446" s="188"/>
      <c r="S3446" s="280"/>
      <c r="T3446" s="222"/>
      <c r="U3446" s="223" t="s">
        <v>5682</v>
      </c>
    </row>
    <row r="3447" spans="1:21" s="181" customFormat="1" ht="0" hidden="1" customHeight="1" outlineLevel="5">
      <c r="A3447" s="253" t="s">
        <v>4402</v>
      </c>
      <c r="B3447" s="254"/>
      <c r="C3447" s="250" t="s">
        <v>1609</v>
      </c>
      <c r="D3447" s="203">
        <f>'02 项目基础信息（输入）'!$C$87</f>
        <v>0</v>
      </c>
      <c r="E3447" s="204" t="s">
        <v>93</v>
      </c>
      <c r="F3447" s="202" t="s">
        <v>4181</v>
      </c>
      <c r="G3447" s="251">
        <f>G3446</f>
        <v>0</v>
      </c>
      <c r="H3447" s="204" t="s">
        <v>298</v>
      </c>
      <c r="I3447" s="265">
        <f>D3447*G3447</f>
        <v>0</v>
      </c>
      <c r="J3447" s="204" t="s">
        <v>93</v>
      </c>
      <c r="K3447" s="269"/>
      <c r="L3447" s="210" t="s">
        <v>675</v>
      </c>
      <c r="M3447" s="198">
        <f>ROUND(K3447*I3447/10000,6)</f>
        <v>0</v>
      </c>
      <c r="N3447" s="212">
        <f>'02 项目基础信息（输入）'!$C$87</f>
        <v>0</v>
      </c>
      <c r="O3447" s="203">
        <f t="shared" si="396"/>
        <v>0</v>
      </c>
      <c r="P3447" s="203">
        <f t="shared" si="398"/>
        <v>0</v>
      </c>
      <c r="Q3447" s="271">
        <f t="shared" si="397"/>
        <v>0</v>
      </c>
      <c r="R3447" s="188"/>
      <c r="S3447" s="280"/>
      <c r="T3447" s="222"/>
      <c r="U3447" s="223" t="s">
        <v>5683</v>
      </c>
    </row>
    <row r="3448" spans="1:21" s="181" customFormat="1" ht="0" hidden="1" customHeight="1" outlineLevel="5">
      <c r="A3448" s="253" t="s">
        <v>4404</v>
      </c>
      <c r="B3448" s="254"/>
      <c r="C3448" s="250" t="s">
        <v>1609</v>
      </c>
      <c r="D3448" s="203">
        <f>'02 项目基础信息（输入）'!$C$87</f>
        <v>0</v>
      </c>
      <c r="E3448" s="204" t="s">
        <v>93</v>
      </c>
      <c r="F3448" s="202" t="s">
        <v>4181</v>
      </c>
      <c r="G3448" s="251">
        <f>G3447</f>
        <v>0</v>
      </c>
      <c r="H3448" s="204" t="s">
        <v>298</v>
      </c>
      <c r="I3448" s="265">
        <f>D3448*G3448</f>
        <v>0</v>
      </c>
      <c r="J3448" s="204" t="s">
        <v>93</v>
      </c>
      <c r="K3448" s="269"/>
      <c r="L3448" s="210" t="s">
        <v>675</v>
      </c>
      <c r="M3448" s="198">
        <f>ROUND(K3448*I3448/10000,6)</f>
        <v>0</v>
      </c>
      <c r="N3448" s="212">
        <f>'02 项目基础信息（输入）'!$C$87</f>
        <v>0</v>
      </c>
      <c r="O3448" s="203">
        <f t="shared" si="396"/>
        <v>0</v>
      </c>
      <c r="P3448" s="203">
        <f t="shared" si="398"/>
        <v>0</v>
      </c>
      <c r="Q3448" s="271">
        <f t="shared" si="397"/>
        <v>0</v>
      </c>
      <c r="R3448" s="188"/>
      <c r="S3448" s="280"/>
      <c r="T3448" s="222"/>
      <c r="U3448" s="223" t="s">
        <v>5684</v>
      </c>
    </row>
    <row r="3449" spans="1:21" s="181" customFormat="1" ht="0" hidden="1" customHeight="1" outlineLevel="5">
      <c r="A3449" s="253" t="s">
        <v>4406</v>
      </c>
      <c r="B3449" s="254"/>
      <c r="C3449" s="250" t="s">
        <v>1609</v>
      </c>
      <c r="D3449" s="203">
        <f>'02 项目基础信息（输入）'!$C$87</f>
        <v>0</v>
      </c>
      <c r="E3449" s="204" t="s">
        <v>93</v>
      </c>
      <c r="F3449" s="202" t="s">
        <v>4181</v>
      </c>
      <c r="G3449" s="297"/>
      <c r="H3449" s="204" t="s">
        <v>298</v>
      </c>
      <c r="I3449" s="265">
        <f>D3449*G3449</f>
        <v>0</v>
      </c>
      <c r="J3449" s="204" t="s">
        <v>93</v>
      </c>
      <c r="K3449" s="269"/>
      <c r="L3449" s="210" t="s">
        <v>675</v>
      </c>
      <c r="M3449" s="198">
        <f>ROUND(K3449*I3449/10000,6)</f>
        <v>0</v>
      </c>
      <c r="N3449" s="212">
        <f>'02 项目基础信息（输入）'!$C$87</f>
        <v>0</v>
      </c>
      <c r="O3449" s="203">
        <f t="shared" si="396"/>
        <v>0</v>
      </c>
      <c r="P3449" s="203">
        <f t="shared" si="398"/>
        <v>0</v>
      </c>
      <c r="Q3449" s="271">
        <f t="shared" si="397"/>
        <v>0</v>
      </c>
      <c r="R3449" s="188"/>
      <c r="S3449" s="280"/>
      <c r="T3449" s="222"/>
      <c r="U3449" s="223" t="s">
        <v>5685</v>
      </c>
    </row>
    <row r="3450" spans="1:21" s="181" customFormat="1" ht="0" hidden="1" customHeight="1" outlineLevel="4">
      <c r="A3450" s="253" t="s">
        <v>4183</v>
      </c>
      <c r="B3450" s="254"/>
      <c r="C3450" s="250" t="s">
        <v>1609</v>
      </c>
      <c r="D3450" s="203">
        <f>'02 项目基础信息（输入）'!$C$87</f>
        <v>0</v>
      </c>
      <c r="E3450" s="204" t="s">
        <v>93</v>
      </c>
      <c r="F3450" s="202"/>
      <c r="G3450" s="251"/>
      <c r="H3450" s="204"/>
      <c r="I3450" s="265"/>
      <c r="J3450" s="204"/>
      <c r="K3450" s="266"/>
      <c r="L3450" s="210"/>
      <c r="M3450" s="198">
        <f>ROUND(SUM(M3451:M3454),6)</f>
        <v>0</v>
      </c>
      <c r="N3450" s="212">
        <f>'02 项目基础信息（输入）'!$C$87</f>
        <v>0</v>
      </c>
      <c r="O3450" s="203">
        <f t="shared" si="396"/>
        <v>0</v>
      </c>
      <c r="P3450" s="203">
        <f t="shared" si="398"/>
        <v>0</v>
      </c>
      <c r="Q3450" s="271">
        <f t="shared" si="397"/>
        <v>0</v>
      </c>
      <c r="R3450" s="188"/>
      <c r="S3450" s="280"/>
      <c r="T3450" s="222"/>
      <c r="U3450" s="223" t="s">
        <v>5686</v>
      </c>
    </row>
    <row r="3451" spans="1:21" s="181" customFormat="1" ht="0" hidden="1" customHeight="1" outlineLevel="5">
      <c r="A3451" s="253" t="s">
        <v>4811</v>
      </c>
      <c r="B3451" s="254"/>
      <c r="C3451" s="250" t="s">
        <v>1609</v>
      </c>
      <c r="D3451" s="203">
        <f>'02 项目基础信息（输入）'!$C$87</f>
        <v>0</v>
      </c>
      <c r="E3451" s="204" t="s">
        <v>93</v>
      </c>
      <c r="F3451" s="202" t="s">
        <v>1627</v>
      </c>
      <c r="G3451" s="297"/>
      <c r="H3451" s="204" t="s">
        <v>1524</v>
      </c>
      <c r="I3451" s="265">
        <f>D3451*G3451</f>
        <v>0</v>
      </c>
      <c r="J3451" s="204" t="s">
        <v>1525</v>
      </c>
      <c r="K3451" s="214"/>
      <c r="L3451" s="210" t="s">
        <v>979</v>
      </c>
      <c r="M3451" s="198">
        <f>ROUND(K3451*I3451/10000,6)</f>
        <v>0</v>
      </c>
      <c r="N3451" s="212">
        <f>'02 项目基础信息（输入）'!$C$87</f>
        <v>0</v>
      </c>
      <c r="O3451" s="203">
        <f t="shared" si="396"/>
        <v>0</v>
      </c>
      <c r="P3451" s="203">
        <f t="shared" si="398"/>
        <v>0</v>
      </c>
      <c r="Q3451" s="271">
        <f t="shared" si="397"/>
        <v>0</v>
      </c>
      <c r="R3451" s="188"/>
      <c r="S3451" s="280"/>
      <c r="T3451" s="222"/>
      <c r="U3451" s="223" t="s">
        <v>5687</v>
      </c>
    </row>
    <row r="3452" spans="1:21" s="181" customFormat="1" ht="0" hidden="1" customHeight="1" outlineLevel="5">
      <c r="A3452" s="253" t="s">
        <v>4187</v>
      </c>
      <c r="B3452" s="254"/>
      <c r="C3452" s="250" t="s">
        <v>1609</v>
      </c>
      <c r="D3452" s="203">
        <f>'02 项目基础信息（输入）'!$C$87</f>
        <v>0</v>
      </c>
      <c r="E3452" s="204" t="s">
        <v>93</v>
      </c>
      <c r="F3452" s="202" t="s">
        <v>1627</v>
      </c>
      <c r="G3452" s="251">
        <f>G3451</f>
        <v>0</v>
      </c>
      <c r="H3452" s="204" t="s">
        <v>1524</v>
      </c>
      <c r="I3452" s="265">
        <f>D3452*G3452</f>
        <v>0</v>
      </c>
      <c r="J3452" s="204" t="s">
        <v>1525</v>
      </c>
      <c r="K3452" s="214"/>
      <c r="L3452" s="210" t="s">
        <v>979</v>
      </c>
      <c r="M3452" s="198">
        <f>ROUND(K3452*I3452/10000,6)</f>
        <v>0</v>
      </c>
      <c r="N3452" s="212">
        <f>'02 项目基础信息（输入）'!$C$87</f>
        <v>0</v>
      </c>
      <c r="O3452" s="203">
        <f t="shared" si="396"/>
        <v>0</v>
      </c>
      <c r="P3452" s="203">
        <f t="shared" si="398"/>
        <v>0</v>
      </c>
      <c r="Q3452" s="271">
        <f t="shared" si="397"/>
        <v>0</v>
      </c>
      <c r="R3452" s="188"/>
      <c r="S3452" s="280"/>
      <c r="T3452" s="222"/>
      <c r="U3452" s="223" t="s">
        <v>5688</v>
      </c>
    </row>
    <row r="3453" spans="1:21" s="181" customFormat="1" ht="0" hidden="1" customHeight="1" outlineLevel="5">
      <c r="A3453" s="253" t="s">
        <v>4814</v>
      </c>
      <c r="B3453" s="254"/>
      <c r="C3453" s="250" t="s">
        <v>1609</v>
      </c>
      <c r="D3453" s="203">
        <f>'02 项目基础信息（输入）'!$C$87</f>
        <v>0</v>
      </c>
      <c r="E3453" s="204" t="s">
        <v>93</v>
      </c>
      <c r="F3453" s="202" t="s">
        <v>1632</v>
      </c>
      <c r="G3453" s="297"/>
      <c r="H3453" s="204" t="s">
        <v>1524</v>
      </c>
      <c r="I3453" s="265">
        <f>D3453*G3453</f>
        <v>0</v>
      </c>
      <c r="J3453" s="204" t="s">
        <v>1525</v>
      </c>
      <c r="K3453" s="269"/>
      <c r="L3453" s="210" t="s">
        <v>979</v>
      </c>
      <c r="M3453" s="198">
        <f>ROUND(K3453*I3453/10000,6)</f>
        <v>0</v>
      </c>
      <c r="N3453" s="212">
        <f>'02 项目基础信息（输入）'!$C$87</f>
        <v>0</v>
      </c>
      <c r="O3453" s="203">
        <f t="shared" si="396"/>
        <v>0</v>
      </c>
      <c r="P3453" s="203">
        <f t="shared" si="398"/>
        <v>0</v>
      </c>
      <c r="Q3453" s="271">
        <f t="shared" si="397"/>
        <v>0</v>
      </c>
      <c r="R3453" s="188"/>
      <c r="S3453" s="280"/>
      <c r="T3453" s="222"/>
      <c r="U3453" s="223" t="s">
        <v>5689</v>
      </c>
    </row>
    <row r="3454" spans="1:21" s="181" customFormat="1" ht="0" hidden="1" customHeight="1" outlineLevel="5">
      <c r="A3454" s="253" t="s">
        <v>4816</v>
      </c>
      <c r="B3454" s="254"/>
      <c r="C3454" s="250" t="s">
        <v>1609</v>
      </c>
      <c r="D3454" s="203">
        <f>'02 项目基础信息（输入）'!$C$87</f>
        <v>0</v>
      </c>
      <c r="E3454" s="204" t="s">
        <v>93</v>
      </c>
      <c r="F3454" s="202" t="s">
        <v>1632</v>
      </c>
      <c r="G3454" s="251">
        <f>G3453</f>
        <v>0</v>
      </c>
      <c r="H3454" s="204" t="s">
        <v>1524</v>
      </c>
      <c r="I3454" s="265">
        <f>D3454*G3454</f>
        <v>0</v>
      </c>
      <c r="J3454" s="204" t="s">
        <v>1525</v>
      </c>
      <c r="K3454" s="269"/>
      <c r="L3454" s="210" t="s">
        <v>979</v>
      </c>
      <c r="M3454" s="198">
        <f>ROUND(K3454*I3454/10000,6)</f>
        <v>0</v>
      </c>
      <c r="N3454" s="212">
        <f>'02 项目基础信息（输入）'!$C$87</f>
        <v>0</v>
      </c>
      <c r="O3454" s="203">
        <f t="shared" si="396"/>
        <v>0</v>
      </c>
      <c r="P3454" s="203">
        <f t="shared" si="398"/>
        <v>0</v>
      </c>
      <c r="Q3454" s="271">
        <f t="shared" si="397"/>
        <v>0</v>
      </c>
      <c r="R3454" s="188"/>
      <c r="S3454" s="280"/>
      <c r="T3454" s="222"/>
      <c r="U3454" s="223" t="s">
        <v>5690</v>
      </c>
    </row>
    <row r="3455" spans="1:21" s="181" customFormat="1" ht="0" hidden="1" customHeight="1" outlineLevel="4">
      <c r="A3455" s="253" t="s">
        <v>4189</v>
      </c>
      <c r="B3455" s="254"/>
      <c r="C3455" s="250" t="s">
        <v>1609</v>
      </c>
      <c r="D3455" s="203">
        <f>'02 项目基础信息（输入）'!$C$87</f>
        <v>0</v>
      </c>
      <c r="E3455" s="204" t="s">
        <v>93</v>
      </c>
      <c r="F3455" s="256"/>
      <c r="G3455" s="255"/>
      <c r="H3455" s="255"/>
      <c r="I3455" s="268"/>
      <c r="J3455" s="255"/>
      <c r="K3455" s="264"/>
      <c r="L3455" s="205"/>
      <c r="M3455" s="198">
        <f>ROUND(SUM(M3456:M3458),6)</f>
        <v>0</v>
      </c>
      <c r="N3455" s="212">
        <f>'02 项目基础信息（输入）'!$C$87</f>
        <v>0</v>
      </c>
      <c r="O3455" s="203">
        <f t="shared" si="396"/>
        <v>0</v>
      </c>
      <c r="P3455" s="203">
        <f t="shared" si="398"/>
        <v>0</v>
      </c>
      <c r="Q3455" s="271">
        <f t="shared" si="397"/>
        <v>0</v>
      </c>
      <c r="R3455" s="188"/>
      <c r="S3455" s="280"/>
      <c r="T3455" s="222"/>
      <c r="U3455" s="223" t="s">
        <v>5691</v>
      </c>
    </row>
    <row r="3456" spans="1:21" s="181" customFormat="1" ht="0" hidden="1" customHeight="1" outlineLevel="5">
      <c r="A3456" s="253" t="s">
        <v>4191</v>
      </c>
      <c r="B3456" s="254"/>
      <c r="C3456" s="250" t="s">
        <v>1609</v>
      </c>
      <c r="D3456" s="203">
        <f>'02 项目基础信息（输入）'!$C$87</f>
        <v>0</v>
      </c>
      <c r="E3456" s="204" t="s">
        <v>93</v>
      </c>
      <c r="F3456" s="250" t="s">
        <v>1637</v>
      </c>
      <c r="G3456" s="257"/>
      <c r="H3456" s="204" t="s">
        <v>1524</v>
      </c>
      <c r="I3456" s="265">
        <f>D3456*G3456</f>
        <v>0</v>
      </c>
      <c r="J3456" s="204" t="s">
        <v>1525</v>
      </c>
      <c r="K3456" s="269"/>
      <c r="L3456" s="210" t="s">
        <v>979</v>
      </c>
      <c r="M3456" s="198">
        <f>ROUND(K3456*I3456/10000,6)</f>
        <v>0</v>
      </c>
      <c r="N3456" s="212">
        <f>'02 项目基础信息（输入）'!$C$87</f>
        <v>0</v>
      </c>
      <c r="O3456" s="203">
        <f t="shared" si="396"/>
        <v>0</v>
      </c>
      <c r="P3456" s="203">
        <f t="shared" si="398"/>
        <v>0</v>
      </c>
      <c r="Q3456" s="271">
        <f t="shared" si="397"/>
        <v>0</v>
      </c>
      <c r="R3456" s="188"/>
      <c r="S3456" s="280"/>
      <c r="T3456" s="222"/>
      <c r="U3456" s="223" t="s">
        <v>5692</v>
      </c>
    </row>
    <row r="3457" spans="1:21" s="181" customFormat="1" ht="0" hidden="1" customHeight="1" outlineLevel="5">
      <c r="A3457" s="253" t="s">
        <v>4820</v>
      </c>
      <c r="B3457" s="254"/>
      <c r="C3457" s="250" t="s">
        <v>1609</v>
      </c>
      <c r="D3457" s="203">
        <f>'02 项目基础信息（输入）'!$C$87</f>
        <v>0</v>
      </c>
      <c r="E3457" s="204" t="s">
        <v>93</v>
      </c>
      <c r="F3457" s="250" t="s">
        <v>1637</v>
      </c>
      <c r="G3457" s="205">
        <f>G3456</f>
        <v>0</v>
      </c>
      <c r="H3457" s="204" t="s">
        <v>1524</v>
      </c>
      <c r="I3457" s="265">
        <f>D3457*G3457</f>
        <v>0</v>
      </c>
      <c r="J3457" s="204" t="s">
        <v>1525</v>
      </c>
      <c r="K3457" s="269"/>
      <c r="L3457" s="210" t="s">
        <v>979</v>
      </c>
      <c r="M3457" s="198">
        <f>ROUND(K3457*I3457/10000,6)</f>
        <v>0</v>
      </c>
      <c r="N3457" s="212">
        <f>'02 项目基础信息（输入）'!$C$87</f>
        <v>0</v>
      </c>
      <c r="O3457" s="203">
        <f t="shared" si="396"/>
        <v>0</v>
      </c>
      <c r="P3457" s="203">
        <f t="shared" si="398"/>
        <v>0</v>
      </c>
      <c r="Q3457" s="271">
        <f t="shared" si="397"/>
        <v>0</v>
      </c>
      <c r="R3457" s="188"/>
      <c r="S3457" s="280"/>
      <c r="T3457" s="222"/>
      <c r="U3457" s="223" t="s">
        <v>5693</v>
      </c>
    </row>
    <row r="3458" spans="1:21" s="181" customFormat="1" ht="0" hidden="1" customHeight="1" outlineLevel="5">
      <c r="A3458" s="253" t="s">
        <v>4422</v>
      </c>
      <c r="B3458" s="254"/>
      <c r="C3458" s="250" t="s">
        <v>1609</v>
      </c>
      <c r="D3458" s="203">
        <f>'02 项目基础信息（输入）'!$C$87</f>
        <v>0</v>
      </c>
      <c r="E3458" s="204" t="s">
        <v>93</v>
      </c>
      <c r="F3458" s="250" t="s">
        <v>1637</v>
      </c>
      <c r="G3458" s="205">
        <f>G3456</f>
        <v>0</v>
      </c>
      <c r="H3458" s="204" t="s">
        <v>1524</v>
      </c>
      <c r="I3458" s="265">
        <f>D3458*G3458</f>
        <v>0</v>
      </c>
      <c r="J3458" s="204" t="s">
        <v>1525</v>
      </c>
      <c r="K3458" s="269"/>
      <c r="L3458" s="210" t="s">
        <v>979</v>
      </c>
      <c r="M3458" s="198">
        <f>ROUND(K3458*I3458/10000,6)</f>
        <v>0</v>
      </c>
      <c r="N3458" s="212">
        <f>'02 项目基础信息（输入）'!$C$87</f>
        <v>0</v>
      </c>
      <c r="O3458" s="203">
        <f t="shared" si="396"/>
        <v>0</v>
      </c>
      <c r="P3458" s="203">
        <f t="shared" si="398"/>
        <v>0</v>
      </c>
      <c r="Q3458" s="271">
        <f t="shared" si="397"/>
        <v>0</v>
      </c>
      <c r="R3458" s="188"/>
      <c r="S3458" s="280"/>
      <c r="T3458" s="222"/>
      <c r="U3458" s="223" t="s">
        <v>5694</v>
      </c>
    </row>
    <row r="3459" spans="1:21" s="181" customFormat="1" ht="0" hidden="1" customHeight="1" outlineLevel="4">
      <c r="A3459" s="253" t="s">
        <v>4193</v>
      </c>
      <c r="B3459" s="254"/>
      <c r="C3459" s="250" t="s">
        <v>1609</v>
      </c>
      <c r="D3459" s="203">
        <f>'02 项目基础信息（输入）'!$C$87</f>
        <v>0</v>
      </c>
      <c r="E3459" s="204" t="s">
        <v>93</v>
      </c>
      <c r="F3459" s="250" t="s">
        <v>1609</v>
      </c>
      <c r="G3459" s="255">
        <v>1</v>
      </c>
      <c r="H3459" s="204" t="s">
        <v>298</v>
      </c>
      <c r="I3459" s="265">
        <f>D3459*G3459</f>
        <v>0</v>
      </c>
      <c r="J3459" s="204" t="s">
        <v>93</v>
      </c>
      <c r="K3459" s="269"/>
      <c r="L3459" s="210" t="s">
        <v>675</v>
      </c>
      <c r="M3459" s="198">
        <f>ROUND(K3459*I3459/10000,6)</f>
        <v>0</v>
      </c>
      <c r="N3459" s="212">
        <f>'02 项目基础信息（输入）'!$C$87</f>
        <v>0</v>
      </c>
      <c r="O3459" s="203">
        <f t="shared" ref="O3459:O3522" si="403">ROUND(IFERROR(M3459*10000/N3459,0),2)</f>
        <v>0</v>
      </c>
      <c r="P3459" s="203">
        <f t="shared" si="398"/>
        <v>0</v>
      </c>
      <c r="Q3459" s="271">
        <f t="shared" ref="Q3459:Q3522" si="404">ROUND(IFERROR(M3459*10000/P3459,0),2)</f>
        <v>0</v>
      </c>
      <c r="R3459" s="188"/>
      <c r="S3459" s="280"/>
      <c r="T3459" s="222"/>
      <c r="U3459" s="223" t="s">
        <v>5695</v>
      </c>
    </row>
    <row r="3460" spans="1:21" s="181" customFormat="1" ht="0" hidden="1" customHeight="1" outlineLevel="4">
      <c r="A3460" s="253" t="s">
        <v>4195</v>
      </c>
      <c r="B3460" s="254"/>
      <c r="C3460" s="250" t="s">
        <v>1609</v>
      </c>
      <c r="D3460" s="203">
        <f>'02 项目基础信息（输入）'!$C$87</f>
        <v>0</v>
      </c>
      <c r="E3460" s="204" t="s">
        <v>93</v>
      </c>
      <c r="F3460" s="250" t="s">
        <v>1609</v>
      </c>
      <c r="G3460" s="255">
        <v>1</v>
      </c>
      <c r="H3460" s="204" t="s">
        <v>298</v>
      </c>
      <c r="I3460" s="265">
        <f>D3460*G3460</f>
        <v>0</v>
      </c>
      <c r="J3460" s="204" t="s">
        <v>93</v>
      </c>
      <c r="K3460" s="269"/>
      <c r="L3460" s="210" t="s">
        <v>675</v>
      </c>
      <c r="M3460" s="198">
        <f>ROUND(K3460*I3460/10000,6)</f>
        <v>0</v>
      </c>
      <c r="N3460" s="212">
        <f>'02 项目基础信息（输入）'!$C$87</f>
        <v>0</v>
      </c>
      <c r="O3460" s="203">
        <f t="shared" si="403"/>
        <v>0</v>
      </c>
      <c r="P3460" s="203">
        <f t="shared" si="398"/>
        <v>0</v>
      </c>
      <c r="Q3460" s="271">
        <f t="shared" si="404"/>
        <v>0</v>
      </c>
      <c r="R3460" s="188"/>
      <c r="S3460" s="280"/>
      <c r="T3460" s="222"/>
      <c r="U3460" s="223" t="s">
        <v>5696</v>
      </c>
    </row>
    <row r="3461" spans="1:21" s="181" customFormat="1" ht="0" hidden="1" customHeight="1" outlineLevel="4">
      <c r="A3461" s="253" t="s">
        <v>4197</v>
      </c>
      <c r="B3461" s="254"/>
      <c r="C3461" s="250" t="s">
        <v>1665</v>
      </c>
      <c r="D3461" s="203">
        <f>ROUND(M3442+M3445+M3450+M3455+M3459+M3460,6)*10000</f>
        <v>0</v>
      </c>
      <c r="E3461" s="204" t="s">
        <v>1666</v>
      </c>
      <c r="F3461" s="202" t="s">
        <v>1667</v>
      </c>
      <c r="G3461" s="258">
        <f>IFERROR(I3461*100/D3461,0)</f>
        <v>0</v>
      </c>
      <c r="H3461" s="204" t="s">
        <v>123</v>
      </c>
      <c r="I3461" s="265">
        <f>N3461*K3461</f>
        <v>0</v>
      </c>
      <c r="J3461" s="204" t="s">
        <v>1666</v>
      </c>
      <c r="K3461" s="269"/>
      <c r="L3461" s="210" t="s">
        <v>675</v>
      </c>
      <c r="M3461" s="231">
        <f>ROUND(I3461/10000,6)</f>
        <v>0</v>
      </c>
      <c r="N3461" s="212">
        <f>'02 项目基础信息（输入）'!$C$87</f>
        <v>0</v>
      </c>
      <c r="O3461" s="203">
        <f t="shared" si="403"/>
        <v>0</v>
      </c>
      <c r="P3461" s="203">
        <f t="shared" si="398"/>
        <v>0</v>
      </c>
      <c r="Q3461" s="271">
        <f t="shared" si="404"/>
        <v>0</v>
      </c>
      <c r="R3461" s="188"/>
      <c r="S3461" s="280"/>
      <c r="T3461" s="222"/>
      <c r="U3461" s="223" t="s">
        <v>5697</v>
      </c>
    </row>
    <row r="3462" spans="1:21" s="181" customFormat="1" ht="0" hidden="1" customHeight="1" outlineLevel="3">
      <c r="A3462" s="253" t="s">
        <v>4211</v>
      </c>
      <c r="B3462" s="254"/>
      <c r="C3462" s="250" t="s">
        <v>1609</v>
      </c>
      <c r="D3462" s="203">
        <f>'02 项目基础信息（输入）'!$C$87</f>
        <v>0</v>
      </c>
      <c r="E3462" s="204" t="s">
        <v>93</v>
      </c>
      <c r="F3462" s="202"/>
      <c r="G3462" s="255"/>
      <c r="H3462" s="204"/>
      <c r="I3462" s="265"/>
      <c r="J3462" s="204"/>
      <c r="K3462" s="202"/>
      <c r="L3462" s="210"/>
      <c r="M3462" s="198">
        <f>ROUND(M3463+M3466+M3469+M3472+M3475,6)</f>
        <v>0</v>
      </c>
      <c r="N3462" s="212">
        <f>'02 项目基础信息（输入）'!$C$87</f>
        <v>0</v>
      </c>
      <c r="O3462" s="203">
        <f t="shared" si="403"/>
        <v>0</v>
      </c>
      <c r="P3462" s="203">
        <f t="shared" si="398"/>
        <v>0</v>
      </c>
      <c r="Q3462" s="271">
        <f t="shared" si="404"/>
        <v>0</v>
      </c>
      <c r="R3462" s="188"/>
      <c r="S3462" s="280"/>
      <c r="T3462" s="222"/>
      <c r="U3462" s="223" t="s">
        <v>5698</v>
      </c>
    </row>
    <row r="3463" spans="1:21" s="181" customFormat="1" ht="0" hidden="1" customHeight="1" outlineLevel="4">
      <c r="A3463" s="253" t="s">
        <v>4438</v>
      </c>
      <c r="B3463" s="254"/>
      <c r="C3463" s="250" t="s">
        <v>1609</v>
      </c>
      <c r="D3463" s="203">
        <f>'02 项目基础信息（输入）'!$C$87</f>
        <v>0</v>
      </c>
      <c r="E3463" s="204" t="s">
        <v>93</v>
      </c>
      <c r="F3463" s="202"/>
      <c r="G3463" s="261"/>
      <c r="H3463" s="255"/>
      <c r="I3463" s="264"/>
      <c r="J3463" s="255"/>
      <c r="K3463" s="264"/>
      <c r="L3463" s="205"/>
      <c r="M3463" s="198">
        <f>ROUND(SUM(M3464:M3465),6)</f>
        <v>0</v>
      </c>
      <c r="N3463" s="212">
        <f>'02 项目基础信息（输入）'!$C$87</f>
        <v>0</v>
      </c>
      <c r="O3463" s="203">
        <f t="shared" si="403"/>
        <v>0</v>
      </c>
      <c r="P3463" s="203">
        <f t="shared" si="398"/>
        <v>0</v>
      </c>
      <c r="Q3463" s="271">
        <f t="shared" si="404"/>
        <v>0</v>
      </c>
      <c r="R3463" s="188"/>
      <c r="S3463" s="280"/>
      <c r="T3463" s="222"/>
      <c r="U3463" s="223" t="s">
        <v>5699</v>
      </c>
    </row>
    <row r="3464" spans="1:21" s="181" customFormat="1" ht="0" hidden="1" customHeight="1" outlineLevel="5">
      <c r="A3464" s="253" t="s">
        <v>4828</v>
      </c>
      <c r="B3464" s="254"/>
      <c r="C3464" s="250" t="s">
        <v>1609</v>
      </c>
      <c r="D3464" s="203">
        <f>'02 项目基础信息（输入）'!$C$87</f>
        <v>0</v>
      </c>
      <c r="E3464" s="204" t="s">
        <v>93</v>
      </c>
      <c r="F3464" s="202" t="s">
        <v>1682</v>
      </c>
      <c r="G3464" s="261">
        <f>IFERROR(I3464/D3464,0)</f>
        <v>0</v>
      </c>
      <c r="H3464" s="204" t="s">
        <v>298</v>
      </c>
      <c r="I3464" s="270"/>
      <c r="J3464" s="204" t="s">
        <v>93</v>
      </c>
      <c r="K3464" s="269"/>
      <c r="L3464" s="210" t="s">
        <v>675</v>
      </c>
      <c r="M3464" s="198">
        <f>ROUND(K3464*I3464/10000,6)</f>
        <v>0</v>
      </c>
      <c r="N3464" s="212">
        <f>'02 项目基础信息（输入）'!$C$87</f>
        <v>0</v>
      </c>
      <c r="O3464" s="203">
        <f t="shared" si="403"/>
        <v>0</v>
      </c>
      <c r="P3464" s="203">
        <f t="shared" si="398"/>
        <v>0</v>
      </c>
      <c r="Q3464" s="271">
        <f t="shared" si="404"/>
        <v>0</v>
      </c>
      <c r="R3464" s="188"/>
      <c r="S3464" s="280"/>
      <c r="T3464" s="222"/>
      <c r="U3464" s="223" t="s">
        <v>5700</v>
      </c>
    </row>
    <row r="3465" spans="1:21" s="181" customFormat="1" ht="0" hidden="1" customHeight="1" outlineLevel="5">
      <c r="A3465" s="253" t="s">
        <v>4830</v>
      </c>
      <c r="B3465" s="254"/>
      <c r="C3465" s="250" t="s">
        <v>1609</v>
      </c>
      <c r="D3465" s="203">
        <f>'02 项目基础信息（输入）'!$C$87</f>
        <v>0</v>
      </c>
      <c r="E3465" s="204" t="s">
        <v>93</v>
      </c>
      <c r="F3465" s="202" t="s">
        <v>1682</v>
      </c>
      <c r="G3465" s="261">
        <f>IFERROR(I3465/D3465,0)</f>
        <v>0</v>
      </c>
      <c r="H3465" s="204" t="s">
        <v>298</v>
      </c>
      <c r="I3465" s="268">
        <f>I3464</f>
        <v>0</v>
      </c>
      <c r="J3465" s="204" t="s">
        <v>93</v>
      </c>
      <c r="K3465" s="269"/>
      <c r="L3465" s="210" t="s">
        <v>675</v>
      </c>
      <c r="M3465" s="198">
        <f>ROUND(K3465*I3465/10000,6)</f>
        <v>0</v>
      </c>
      <c r="N3465" s="212">
        <f>'02 项目基础信息（输入）'!$C$87</f>
        <v>0</v>
      </c>
      <c r="O3465" s="203">
        <f t="shared" si="403"/>
        <v>0</v>
      </c>
      <c r="P3465" s="203">
        <f t="shared" si="398"/>
        <v>0</v>
      </c>
      <c r="Q3465" s="271">
        <f t="shared" si="404"/>
        <v>0</v>
      </c>
      <c r="R3465" s="188"/>
      <c r="S3465" s="280"/>
      <c r="T3465" s="222"/>
      <c r="U3465" s="223" t="s">
        <v>5701</v>
      </c>
    </row>
    <row r="3466" spans="1:21" s="181" customFormat="1" ht="0" hidden="1" customHeight="1" outlineLevel="4">
      <c r="A3466" s="253" t="s">
        <v>4444</v>
      </c>
      <c r="B3466" s="254"/>
      <c r="C3466" s="250" t="s">
        <v>1609</v>
      </c>
      <c r="D3466" s="203">
        <f>'02 项目基础信息（输入）'!$C$87</f>
        <v>0</v>
      </c>
      <c r="E3466" s="204" t="s">
        <v>93</v>
      </c>
      <c r="F3466" s="202"/>
      <c r="G3466" s="261"/>
      <c r="H3466" s="255"/>
      <c r="I3466" s="264"/>
      <c r="J3466" s="255"/>
      <c r="K3466" s="264"/>
      <c r="L3466" s="205"/>
      <c r="M3466" s="198">
        <f>ROUND(SUM(M3467:M3468),6)</f>
        <v>0</v>
      </c>
      <c r="N3466" s="212">
        <f>'02 项目基础信息（输入）'!$C$87</f>
        <v>0</v>
      </c>
      <c r="O3466" s="203">
        <f t="shared" si="403"/>
        <v>0</v>
      </c>
      <c r="P3466" s="203">
        <f t="shared" ref="P3466:P3529" si="405">N3466</f>
        <v>0</v>
      </c>
      <c r="Q3466" s="271">
        <f t="shared" si="404"/>
        <v>0</v>
      </c>
      <c r="R3466" s="188"/>
      <c r="S3466" s="280"/>
      <c r="T3466" s="222"/>
      <c r="U3466" s="223" t="s">
        <v>5702</v>
      </c>
    </row>
    <row r="3467" spans="1:21" s="181" customFormat="1" ht="0" hidden="1" customHeight="1" outlineLevel="5">
      <c r="A3467" s="253" t="s">
        <v>4446</v>
      </c>
      <c r="B3467" s="254"/>
      <c r="C3467" s="250" t="s">
        <v>1609</v>
      </c>
      <c r="D3467" s="203">
        <f>'02 项目基础信息（输入）'!$C$87</f>
        <v>0</v>
      </c>
      <c r="E3467" s="204" t="s">
        <v>93</v>
      </c>
      <c r="F3467" s="202" t="s">
        <v>1682</v>
      </c>
      <c r="G3467" s="261">
        <f>IFERROR(I3467/D3467,0)</f>
        <v>0</v>
      </c>
      <c r="H3467" s="204" t="s">
        <v>298</v>
      </c>
      <c r="I3467" s="351"/>
      <c r="J3467" s="204" t="s">
        <v>93</v>
      </c>
      <c r="K3467" s="269"/>
      <c r="L3467" s="210" t="s">
        <v>675</v>
      </c>
      <c r="M3467" s="198">
        <f>ROUND(K3467*I3467/10000,6)</f>
        <v>0</v>
      </c>
      <c r="N3467" s="212">
        <f>'02 项目基础信息（输入）'!$C$87</f>
        <v>0</v>
      </c>
      <c r="O3467" s="203">
        <f t="shared" si="403"/>
        <v>0</v>
      </c>
      <c r="P3467" s="203">
        <f t="shared" si="405"/>
        <v>0</v>
      </c>
      <c r="Q3467" s="271">
        <f t="shared" si="404"/>
        <v>0</v>
      </c>
      <c r="R3467" s="188"/>
      <c r="S3467" s="280"/>
      <c r="T3467" s="222"/>
      <c r="U3467" s="223" t="s">
        <v>5703</v>
      </c>
    </row>
    <row r="3468" spans="1:21" s="181" customFormat="1" ht="0" hidden="1" customHeight="1" outlineLevel="5">
      <c r="A3468" s="253" t="s">
        <v>4448</v>
      </c>
      <c r="B3468" s="254"/>
      <c r="C3468" s="250" t="s">
        <v>1609</v>
      </c>
      <c r="D3468" s="203">
        <f>'02 项目基础信息（输入）'!$C$87</f>
        <v>0</v>
      </c>
      <c r="E3468" s="204" t="s">
        <v>93</v>
      </c>
      <c r="F3468" s="202" t="s">
        <v>1682</v>
      </c>
      <c r="G3468" s="261">
        <f>IFERROR(I3468/D3468,0)</f>
        <v>0</v>
      </c>
      <c r="H3468" s="204" t="s">
        <v>298</v>
      </c>
      <c r="I3468" s="268">
        <f>I3467</f>
        <v>0</v>
      </c>
      <c r="J3468" s="204" t="s">
        <v>93</v>
      </c>
      <c r="K3468" s="269"/>
      <c r="L3468" s="210" t="s">
        <v>675</v>
      </c>
      <c r="M3468" s="198">
        <f>ROUND(K3468*I3468/10000,6)</f>
        <v>0</v>
      </c>
      <c r="N3468" s="212">
        <f>'02 项目基础信息（输入）'!$C$87</f>
        <v>0</v>
      </c>
      <c r="O3468" s="203">
        <f t="shared" si="403"/>
        <v>0</v>
      </c>
      <c r="P3468" s="203">
        <f t="shared" si="405"/>
        <v>0</v>
      </c>
      <c r="Q3468" s="271">
        <f t="shared" si="404"/>
        <v>0</v>
      </c>
      <c r="R3468" s="188"/>
      <c r="S3468" s="280"/>
      <c r="T3468" s="222"/>
      <c r="U3468" s="223" t="s">
        <v>5704</v>
      </c>
    </row>
    <row r="3469" spans="1:21" s="181" customFormat="1" ht="0" hidden="1" customHeight="1" outlineLevel="4">
      <c r="A3469" s="253" t="s">
        <v>4450</v>
      </c>
      <c r="B3469" s="254"/>
      <c r="C3469" s="250" t="s">
        <v>1609</v>
      </c>
      <c r="D3469" s="203">
        <f>'02 项目基础信息（输入）'!$C$87</f>
        <v>0</v>
      </c>
      <c r="E3469" s="204" t="s">
        <v>93</v>
      </c>
      <c r="F3469" s="202"/>
      <c r="G3469" s="261"/>
      <c r="H3469" s="255"/>
      <c r="I3469" s="264"/>
      <c r="J3469" s="255"/>
      <c r="K3469" s="264"/>
      <c r="L3469" s="205"/>
      <c r="M3469" s="198">
        <f>ROUND(SUM(M3470:M3471),6)</f>
        <v>0</v>
      </c>
      <c r="N3469" s="212">
        <f>'02 项目基础信息（输入）'!$C$87</f>
        <v>0</v>
      </c>
      <c r="O3469" s="203">
        <f t="shared" si="403"/>
        <v>0</v>
      </c>
      <c r="P3469" s="203">
        <f t="shared" si="405"/>
        <v>0</v>
      </c>
      <c r="Q3469" s="271">
        <f t="shared" si="404"/>
        <v>0</v>
      </c>
      <c r="R3469" s="188"/>
      <c r="S3469" s="280"/>
      <c r="T3469" s="222"/>
      <c r="U3469" s="223" t="s">
        <v>5705</v>
      </c>
    </row>
    <row r="3470" spans="1:21" s="181" customFormat="1" ht="0" hidden="1" customHeight="1" outlineLevel="5">
      <c r="A3470" s="253" t="s">
        <v>4452</v>
      </c>
      <c r="B3470" s="254"/>
      <c r="C3470" s="250" t="s">
        <v>1609</v>
      </c>
      <c r="D3470" s="203">
        <f>'02 项目基础信息（输入）'!$C$87</f>
        <v>0</v>
      </c>
      <c r="E3470" s="204" t="s">
        <v>93</v>
      </c>
      <c r="F3470" s="202" t="s">
        <v>1682</v>
      </c>
      <c r="G3470" s="261">
        <f>IFERROR(I3470/D3470,0)</f>
        <v>0</v>
      </c>
      <c r="H3470" s="204" t="s">
        <v>298</v>
      </c>
      <c r="I3470" s="286"/>
      <c r="J3470" s="204" t="s">
        <v>93</v>
      </c>
      <c r="K3470" s="269"/>
      <c r="L3470" s="210" t="s">
        <v>675</v>
      </c>
      <c r="M3470" s="198">
        <f>ROUND(K3470*I3470/10000,6)</f>
        <v>0</v>
      </c>
      <c r="N3470" s="212">
        <f>'02 项目基础信息（输入）'!$C$87</f>
        <v>0</v>
      </c>
      <c r="O3470" s="203">
        <f t="shared" si="403"/>
        <v>0</v>
      </c>
      <c r="P3470" s="203">
        <f t="shared" si="405"/>
        <v>0</v>
      </c>
      <c r="Q3470" s="271">
        <f t="shared" si="404"/>
        <v>0</v>
      </c>
      <c r="R3470" s="188"/>
      <c r="S3470" s="280"/>
      <c r="T3470" s="222"/>
      <c r="U3470" s="223" t="s">
        <v>5706</v>
      </c>
    </row>
    <row r="3471" spans="1:21" s="181" customFormat="1" ht="0" hidden="1" customHeight="1" outlineLevel="5">
      <c r="A3471" s="253" t="s">
        <v>4454</v>
      </c>
      <c r="B3471" s="254"/>
      <c r="C3471" s="250" t="s">
        <v>1609</v>
      </c>
      <c r="D3471" s="203">
        <f>'02 项目基础信息（输入）'!$C$87</f>
        <v>0</v>
      </c>
      <c r="E3471" s="204" t="s">
        <v>93</v>
      </c>
      <c r="F3471" s="202" t="s">
        <v>1682</v>
      </c>
      <c r="G3471" s="261">
        <f>IFERROR(I3471/D3471,0)</f>
        <v>0</v>
      </c>
      <c r="H3471" s="204" t="s">
        <v>298</v>
      </c>
      <c r="I3471" s="268">
        <f>I3470</f>
        <v>0</v>
      </c>
      <c r="J3471" s="204" t="s">
        <v>93</v>
      </c>
      <c r="K3471" s="269"/>
      <c r="L3471" s="210" t="s">
        <v>675</v>
      </c>
      <c r="M3471" s="198">
        <f>ROUND(K3471*I3471/10000,6)</f>
        <v>0</v>
      </c>
      <c r="N3471" s="212">
        <f>'02 项目基础信息（输入）'!$C$87</f>
        <v>0</v>
      </c>
      <c r="O3471" s="203">
        <f t="shared" si="403"/>
        <v>0</v>
      </c>
      <c r="P3471" s="203">
        <f t="shared" si="405"/>
        <v>0</v>
      </c>
      <c r="Q3471" s="271">
        <f t="shared" si="404"/>
        <v>0</v>
      </c>
      <c r="R3471" s="188"/>
      <c r="S3471" s="280"/>
      <c r="T3471" s="222"/>
      <c r="U3471" s="223" t="s">
        <v>5707</v>
      </c>
    </row>
    <row r="3472" spans="1:21" s="181" customFormat="1" ht="0" hidden="1" customHeight="1" outlineLevel="4">
      <c r="A3472" s="253" t="s">
        <v>4456</v>
      </c>
      <c r="B3472" s="254"/>
      <c r="C3472" s="250" t="s">
        <v>1609</v>
      </c>
      <c r="D3472" s="203">
        <f>'02 项目基础信息（输入）'!$C$87</f>
        <v>0</v>
      </c>
      <c r="E3472" s="204" t="s">
        <v>93</v>
      </c>
      <c r="F3472" s="202"/>
      <c r="G3472" s="261"/>
      <c r="H3472" s="255"/>
      <c r="I3472" s="264"/>
      <c r="J3472" s="255"/>
      <c r="K3472" s="264"/>
      <c r="L3472" s="205"/>
      <c r="M3472" s="198">
        <f>ROUND(SUM(M3473:M3474),6)</f>
        <v>0</v>
      </c>
      <c r="N3472" s="212">
        <f>'02 项目基础信息（输入）'!$C$87</f>
        <v>0</v>
      </c>
      <c r="O3472" s="203">
        <f t="shared" si="403"/>
        <v>0</v>
      </c>
      <c r="P3472" s="203">
        <f t="shared" si="405"/>
        <v>0</v>
      </c>
      <c r="Q3472" s="271">
        <f t="shared" si="404"/>
        <v>0</v>
      </c>
      <c r="R3472" s="188"/>
      <c r="S3472" s="280"/>
      <c r="T3472" s="222"/>
      <c r="U3472" s="223" t="s">
        <v>5708</v>
      </c>
    </row>
    <row r="3473" spans="1:21" s="181" customFormat="1" ht="0" hidden="1" customHeight="1" outlineLevel="5">
      <c r="A3473" s="253" t="s">
        <v>4458</v>
      </c>
      <c r="B3473" s="254"/>
      <c r="C3473" s="250" t="s">
        <v>1609</v>
      </c>
      <c r="D3473" s="203">
        <f>'02 项目基础信息（输入）'!$C$87</f>
        <v>0</v>
      </c>
      <c r="E3473" s="204" t="s">
        <v>93</v>
      </c>
      <c r="F3473" s="202" t="s">
        <v>1682</v>
      </c>
      <c r="G3473" s="261">
        <f>IFERROR(I3473/D3473,0)</f>
        <v>0</v>
      </c>
      <c r="H3473" s="204" t="s">
        <v>298</v>
      </c>
      <c r="I3473" s="286"/>
      <c r="J3473" s="204" t="s">
        <v>93</v>
      </c>
      <c r="K3473" s="269"/>
      <c r="L3473" s="210" t="s">
        <v>675</v>
      </c>
      <c r="M3473" s="198">
        <f>ROUND(K3473*I3473/10000,6)</f>
        <v>0</v>
      </c>
      <c r="N3473" s="212">
        <f>'02 项目基础信息（输入）'!$C$87</f>
        <v>0</v>
      </c>
      <c r="O3473" s="203">
        <f t="shared" si="403"/>
        <v>0</v>
      </c>
      <c r="P3473" s="203">
        <f t="shared" si="405"/>
        <v>0</v>
      </c>
      <c r="Q3473" s="271">
        <f t="shared" si="404"/>
        <v>0</v>
      </c>
      <c r="R3473" s="188"/>
      <c r="S3473" s="280"/>
      <c r="T3473" s="222"/>
      <c r="U3473" s="223" t="s">
        <v>5709</v>
      </c>
    </row>
    <row r="3474" spans="1:21" s="181" customFormat="1" ht="0" hidden="1" customHeight="1" outlineLevel="5">
      <c r="A3474" s="253" t="s">
        <v>4460</v>
      </c>
      <c r="B3474" s="254"/>
      <c r="C3474" s="250" t="s">
        <v>1609</v>
      </c>
      <c r="D3474" s="203">
        <f>'02 项目基础信息（输入）'!$C$87</f>
        <v>0</v>
      </c>
      <c r="E3474" s="204" t="s">
        <v>93</v>
      </c>
      <c r="F3474" s="202" t="s">
        <v>1682</v>
      </c>
      <c r="G3474" s="261">
        <f>IFERROR(I3474/D3474,0)</f>
        <v>0</v>
      </c>
      <c r="H3474" s="204" t="s">
        <v>298</v>
      </c>
      <c r="I3474" s="268">
        <f>I3473</f>
        <v>0</v>
      </c>
      <c r="J3474" s="204" t="s">
        <v>93</v>
      </c>
      <c r="K3474" s="269"/>
      <c r="L3474" s="210" t="s">
        <v>675</v>
      </c>
      <c r="M3474" s="198">
        <f>ROUND(K3474*I3474/10000,6)</f>
        <v>0</v>
      </c>
      <c r="N3474" s="212">
        <f>'02 项目基础信息（输入）'!$C$87</f>
        <v>0</v>
      </c>
      <c r="O3474" s="203">
        <f t="shared" si="403"/>
        <v>0</v>
      </c>
      <c r="P3474" s="203">
        <f t="shared" si="405"/>
        <v>0</v>
      </c>
      <c r="Q3474" s="271">
        <f t="shared" si="404"/>
        <v>0</v>
      </c>
      <c r="R3474" s="188"/>
      <c r="S3474" s="280"/>
      <c r="T3474" s="222"/>
      <c r="U3474" s="223" t="s">
        <v>5710</v>
      </c>
    </row>
    <row r="3475" spans="1:21" s="181" customFormat="1" ht="0" hidden="1" customHeight="1" outlineLevel="4">
      <c r="A3475" s="253" t="s">
        <v>4231</v>
      </c>
      <c r="B3475" s="254"/>
      <c r="C3475" s="250" t="s">
        <v>1609</v>
      </c>
      <c r="D3475" s="203">
        <f>'02 项目基础信息（输入）'!$C$87</f>
        <v>0</v>
      </c>
      <c r="E3475" s="204" t="s">
        <v>93</v>
      </c>
      <c r="F3475" s="202"/>
      <c r="G3475" s="261"/>
      <c r="H3475" s="255"/>
      <c r="I3475" s="264"/>
      <c r="J3475" s="255"/>
      <c r="K3475" s="264"/>
      <c r="L3475" s="205"/>
      <c r="M3475" s="198">
        <f>ROUND(SUM(M3476:M3477),6)</f>
        <v>0</v>
      </c>
      <c r="N3475" s="212">
        <f>'02 项目基础信息（输入）'!$C$87</f>
        <v>0</v>
      </c>
      <c r="O3475" s="203">
        <f t="shared" si="403"/>
        <v>0</v>
      </c>
      <c r="P3475" s="203">
        <f t="shared" si="405"/>
        <v>0</v>
      </c>
      <c r="Q3475" s="271">
        <f t="shared" si="404"/>
        <v>0</v>
      </c>
      <c r="R3475" s="188"/>
      <c r="S3475" s="280"/>
      <c r="T3475" s="222"/>
      <c r="U3475" s="223" t="s">
        <v>5711</v>
      </c>
    </row>
    <row r="3476" spans="1:21" s="181" customFormat="1" ht="0" hidden="1" customHeight="1" outlineLevel="5">
      <c r="A3476" s="253" t="s">
        <v>4233</v>
      </c>
      <c r="B3476" s="254"/>
      <c r="C3476" s="250" t="s">
        <v>1609</v>
      </c>
      <c r="D3476" s="203">
        <f>'02 项目基础信息（输入）'!$C$87</f>
        <v>0</v>
      </c>
      <c r="E3476" s="204" t="s">
        <v>93</v>
      </c>
      <c r="F3476" s="202" t="s">
        <v>1682</v>
      </c>
      <c r="G3476" s="261">
        <f>IFERROR(I3476/D3476,0)</f>
        <v>0</v>
      </c>
      <c r="H3476" s="204" t="s">
        <v>298</v>
      </c>
      <c r="I3476" s="270"/>
      <c r="J3476" s="204" t="s">
        <v>93</v>
      </c>
      <c r="K3476" s="269"/>
      <c r="L3476" s="210" t="s">
        <v>675</v>
      </c>
      <c r="M3476" s="198">
        <f>ROUND(K3476*I3476/10000,6)</f>
        <v>0</v>
      </c>
      <c r="N3476" s="212">
        <f>'02 项目基础信息（输入）'!$C$87</f>
        <v>0</v>
      </c>
      <c r="O3476" s="203">
        <f t="shared" si="403"/>
        <v>0</v>
      </c>
      <c r="P3476" s="203">
        <f t="shared" si="405"/>
        <v>0</v>
      </c>
      <c r="Q3476" s="271">
        <f t="shared" si="404"/>
        <v>0</v>
      </c>
      <c r="R3476" s="188"/>
      <c r="S3476" s="280"/>
      <c r="T3476" s="222"/>
      <c r="U3476" s="223" t="s">
        <v>5712</v>
      </c>
    </row>
    <row r="3477" spans="1:21" s="181" customFormat="1" ht="0" hidden="1" customHeight="1" outlineLevel="5">
      <c r="A3477" s="253" t="s">
        <v>4235</v>
      </c>
      <c r="B3477" s="254"/>
      <c r="C3477" s="250" t="s">
        <v>1609</v>
      </c>
      <c r="D3477" s="203">
        <f>'02 项目基础信息（输入）'!$C$87</f>
        <v>0</v>
      </c>
      <c r="E3477" s="204" t="s">
        <v>93</v>
      </c>
      <c r="F3477" s="202" t="s">
        <v>1682</v>
      </c>
      <c r="G3477" s="261">
        <f>IFERROR(I3477/D3477,0)</f>
        <v>0</v>
      </c>
      <c r="H3477" s="204" t="s">
        <v>298</v>
      </c>
      <c r="I3477" s="268">
        <f>I3476</f>
        <v>0</v>
      </c>
      <c r="J3477" s="204" t="s">
        <v>93</v>
      </c>
      <c r="K3477" s="269"/>
      <c r="L3477" s="210" t="s">
        <v>675</v>
      </c>
      <c r="M3477" s="198">
        <f>ROUND(K3477*I3477/10000,6)</f>
        <v>0</v>
      </c>
      <c r="N3477" s="212">
        <f>'02 项目基础信息（输入）'!$C$87</f>
        <v>0</v>
      </c>
      <c r="O3477" s="203">
        <f t="shared" si="403"/>
        <v>0</v>
      </c>
      <c r="P3477" s="203">
        <f t="shared" si="405"/>
        <v>0</v>
      </c>
      <c r="Q3477" s="271">
        <f t="shared" si="404"/>
        <v>0</v>
      </c>
      <c r="R3477" s="188"/>
      <c r="S3477" s="280"/>
      <c r="T3477" s="222"/>
      <c r="U3477" s="223" t="s">
        <v>5713</v>
      </c>
    </row>
    <row r="3478" spans="1:21" s="181" customFormat="1" ht="0" hidden="1" customHeight="1" outlineLevel="3">
      <c r="A3478" s="253" t="s">
        <v>4237</v>
      </c>
      <c r="B3478" s="254"/>
      <c r="C3478" s="250" t="s">
        <v>1609</v>
      </c>
      <c r="D3478" s="203">
        <f>'02 项目基础信息（输入）'!$C$87</f>
        <v>0</v>
      </c>
      <c r="E3478" s="204" t="s">
        <v>93</v>
      </c>
      <c r="F3478" s="202"/>
      <c r="G3478" s="255"/>
      <c r="H3478" s="204"/>
      <c r="I3478" s="265"/>
      <c r="J3478" s="204"/>
      <c r="K3478" s="203"/>
      <c r="L3478" s="210"/>
      <c r="M3478" s="198">
        <f>ROUND(SUM(M3479:M3481),6)</f>
        <v>0</v>
      </c>
      <c r="N3478" s="212">
        <f>'02 项目基础信息（输入）'!$C$87</f>
        <v>0</v>
      </c>
      <c r="O3478" s="203">
        <f t="shared" si="403"/>
        <v>0</v>
      </c>
      <c r="P3478" s="203">
        <f t="shared" si="405"/>
        <v>0</v>
      </c>
      <c r="Q3478" s="271">
        <f t="shared" si="404"/>
        <v>0</v>
      </c>
      <c r="R3478" s="188"/>
      <c r="S3478" s="280"/>
      <c r="T3478" s="222"/>
      <c r="U3478" s="223" t="s">
        <v>5714</v>
      </c>
    </row>
    <row r="3479" spans="1:21" s="181" customFormat="1" ht="0" hidden="1" customHeight="1" outlineLevel="4">
      <c r="A3479" s="253" t="s">
        <v>4239</v>
      </c>
      <c r="B3479" s="254"/>
      <c r="C3479" s="250" t="s">
        <v>1609</v>
      </c>
      <c r="D3479" s="203">
        <f>'02 项目基础信息（输入）'!$C$87</f>
        <v>0</v>
      </c>
      <c r="E3479" s="204" t="s">
        <v>93</v>
      </c>
      <c r="F3479" s="202" t="s">
        <v>1701</v>
      </c>
      <c r="G3479" s="261">
        <f>IFERROR(I3479/D3479,0)</f>
        <v>0</v>
      </c>
      <c r="H3479" s="204" t="s">
        <v>298</v>
      </c>
      <c r="I3479" s="270"/>
      <c r="J3479" s="204" t="s">
        <v>93</v>
      </c>
      <c r="K3479" s="269"/>
      <c r="L3479" s="210" t="s">
        <v>675</v>
      </c>
      <c r="M3479" s="198">
        <f>ROUND(K3479*I3479/10000,6)</f>
        <v>0</v>
      </c>
      <c r="N3479" s="212">
        <f>'02 项目基础信息（输入）'!$C$87</f>
        <v>0</v>
      </c>
      <c r="O3479" s="203">
        <f t="shared" si="403"/>
        <v>0</v>
      </c>
      <c r="P3479" s="203">
        <f t="shared" si="405"/>
        <v>0</v>
      </c>
      <c r="Q3479" s="271">
        <f t="shared" si="404"/>
        <v>0</v>
      </c>
      <c r="R3479" s="188"/>
      <c r="S3479" s="280"/>
      <c r="T3479" s="222"/>
      <c r="U3479" s="223" t="s">
        <v>5715</v>
      </c>
    </row>
    <row r="3480" spans="1:21" s="181" customFormat="1" ht="0" hidden="1" customHeight="1" outlineLevel="4">
      <c r="A3480" s="253" t="s">
        <v>4241</v>
      </c>
      <c r="B3480" s="254"/>
      <c r="C3480" s="250" t="s">
        <v>1609</v>
      </c>
      <c r="D3480" s="203">
        <f>'02 项目基础信息（输入）'!$C$87</f>
        <v>0</v>
      </c>
      <c r="E3480" s="204" t="s">
        <v>93</v>
      </c>
      <c r="F3480" s="202" t="s">
        <v>1704</v>
      </c>
      <c r="G3480" s="261">
        <f>IFERROR(I3480/D3480,0)</f>
        <v>0</v>
      </c>
      <c r="H3480" s="204" t="s">
        <v>298</v>
      </c>
      <c r="I3480" s="270"/>
      <c r="J3480" s="204" t="s">
        <v>93</v>
      </c>
      <c r="K3480" s="269"/>
      <c r="L3480" s="210" t="s">
        <v>675</v>
      </c>
      <c r="M3480" s="198">
        <f>ROUND(K3480*I3480/10000,6)</f>
        <v>0</v>
      </c>
      <c r="N3480" s="212">
        <f>'02 项目基础信息（输入）'!$C$87</f>
        <v>0</v>
      </c>
      <c r="O3480" s="203">
        <f t="shared" si="403"/>
        <v>0</v>
      </c>
      <c r="P3480" s="203">
        <f t="shared" si="405"/>
        <v>0</v>
      </c>
      <c r="Q3480" s="271">
        <f t="shared" si="404"/>
        <v>0</v>
      </c>
      <c r="R3480" s="188"/>
      <c r="S3480" s="280"/>
      <c r="T3480" s="222"/>
      <c r="U3480" s="223" t="s">
        <v>5716</v>
      </c>
    </row>
    <row r="3481" spans="1:21" s="181" customFormat="1" ht="0" hidden="1" customHeight="1" outlineLevel="4">
      <c r="A3481" s="253" t="s">
        <v>4243</v>
      </c>
      <c r="B3481" s="254"/>
      <c r="C3481" s="250" t="s">
        <v>1609</v>
      </c>
      <c r="D3481" s="203">
        <f>'02 项目基础信息（输入）'!$C$87</f>
        <v>0</v>
      </c>
      <c r="E3481" s="204" t="s">
        <v>93</v>
      </c>
      <c r="F3481" s="202" t="s">
        <v>4244</v>
      </c>
      <c r="G3481" s="261">
        <f>IFERROR(I3481/D3481,0)</f>
        <v>0</v>
      </c>
      <c r="H3481" s="204" t="s">
        <v>1473</v>
      </c>
      <c r="I3481" s="270"/>
      <c r="J3481" s="204" t="s">
        <v>131</v>
      </c>
      <c r="K3481" s="269"/>
      <c r="L3481" s="210" t="s">
        <v>675</v>
      </c>
      <c r="M3481" s="198">
        <f>ROUND(K3481*I3481/10000,6)</f>
        <v>0</v>
      </c>
      <c r="N3481" s="212">
        <f>'02 项目基础信息（输入）'!$C$87</f>
        <v>0</v>
      </c>
      <c r="O3481" s="203">
        <f t="shared" si="403"/>
        <v>0</v>
      </c>
      <c r="P3481" s="203">
        <f t="shared" si="405"/>
        <v>0</v>
      </c>
      <c r="Q3481" s="271">
        <f t="shared" si="404"/>
        <v>0</v>
      </c>
      <c r="R3481" s="188"/>
      <c r="S3481" s="280"/>
      <c r="T3481" s="222"/>
      <c r="U3481" s="223" t="s">
        <v>5717</v>
      </c>
    </row>
    <row r="3482" spans="1:21" ht="0" hidden="1" customHeight="1" outlineLevel="2">
      <c r="A3482" s="201" t="s">
        <v>4252</v>
      </c>
      <c r="B3482" s="249"/>
      <c r="C3482" s="250" t="s">
        <v>1609</v>
      </c>
      <c r="D3482" s="203">
        <f>'02 项目基础信息（输入）'!$C$87</f>
        <v>0</v>
      </c>
      <c r="E3482" s="204" t="s">
        <v>93</v>
      </c>
      <c r="F3482" s="202"/>
      <c r="G3482" s="255"/>
      <c r="H3482" s="204"/>
      <c r="I3482" s="203"/>
      <c r="J3482" s="204"/>
      <c r="K3482" s="264"/>
      <c r="L3482" s="210"/>
      <c r="M3482" s="198">
        <f>ROUND(M3483+M3486+M3487+M3488+M3489+M3490+M3491+M3492+M3493,6)</f>
        <v>0</v>
      </c>
      <c r="N3482" s="212">
        <f>'02 项目基础信息（输入）'!$C$87</f>
        <v>0</v>
      </c>
      <c r="O3482" s="203">
        <f t="shared" si="403"/>
        <v>0</v>
      </c>
      <c r="P3482" s="203">
        <f t="shared" si="405"/>
        <v>0</v>
      </c>
      <c r="Q3482" s="271">
        <f t="shared" si="404"/>
        <v>0</v>
      </c>
      <c r="S3482" s="280" t="s">
        <v>1313</v>
      </c>
      <c r="T3482" s="222"/>
      <c r="U3482" s="223" t="s">
        <v>5718</v>
      </c>
    </row>
    <row r="3483" spans="1:21" s="181" customFormat="1" ht="0" hidden="1" customHeight="1" outlineLevel="4">
      <c r="A3483" s="253" t="s">
        <v>4254</v>
      </c>
      <c r="B3483" s="254"/>
      <c r="C3483" s="250" t="s">
        <v>1609</v>
      </c>
      <c r="D3483" s="203">
        <f>'02 项目基础信息（输入）'!$C$87</f>
        <v>0</v>
      </c>
      <c r="E3483" s="204" t="s">
        <v>93</v>
      </c>
      <c r="F3483" s="256"/>
      <c r="G3483" s="258"/>
      <c r="H3483" s="255"/>
      <c r="I3483" s="268"/>
      <c r="J3483" s="255"/>
      <c r="K3483" s="264"/>
      <c r="L3483" s="205"/>
      <c r="M3483" s="198">
        <f>ROUND(SUM(M3484:M3485),6)</f>
        <v>0</v>
      </c>
      <c r="N3483" s="212">
        <f>'02 项目基础信息（输入）'!$C$87</f>
        <v>0</v>
      </c>
      <c r="O3483" s="203">
        <f t="shared" si="403"/>
        <v>0</v>
      </c>
      <c r="P3483" s="203">
        <f t="shared" si="405"/>
        <v>0</v>
      </c>
      <c r="Q3483" s="271">
        <f t="shared" si="404"/>
        <v>0</v>
      </c>
      <c r="R3483" s="188"/>
      <c r="S3483" s="280"/>
      <c r="T3483" s="222"/>
      <c r="U3483" s="223" t="s">
        <v>5719</v>
      </c>
    </row>
    <row r="3484" spans="1:21" s="181" customFormat="1" ht="0" hidden="1" customHeight="1" outlineLevel="5">
      <c r="A3484" s="253" t="s">
        <v>4850</v>
      </c>
      <c r="B3484" s="254"/>
      <c r="C3484" s="250" t="s">
        <v>1609</v>
      </c>
      <c r="D3484" s="203">
        <f>'02 项目基础信息（输入）'!$C$87</f>
        <v>0</v>
      </c>
      <c r="E3484" s="204" t="s">
        <v>93</v>
      </c>
      <c r="F3484" s="202" t="s">
        <v>984</v>
      </c>
      <c r="G3484" s="284"/>
      <c r="H3484" s="204" t="s">
        <v>966</v>
      </c>
      <c r="I3484" s="265">
        <f t="shared" ref="I3484:I3492" si="406">D3484*G3484</f>
        <v>0</v>
      </c>
      <c r="J3484" s="204" t="s">
        <v>1617</v>
      </c>
      <c r="K3484" s="214"/>
      <c r="L3484" s="210" t="s">
        <v>664</v>
      </c>
      <c r="M3484" s="198">
        <f t="shared" ref="M3484:M3492" si="407">ROUND(K3484*I3484/10000,6)</f>
        <v>0</v>
      </c>
      <c r="N3484" s="212">
        <f>'02 项目基础信息（输入）'!$C$87</f>
        <v>0</v>
      </c>
      <c r="O3484" s="203">
        <f t="shared" si="403"/>
        <v>0</v>
      </c>
      <c r="P3484" s="203">
        <f t="shared" si="405"/>
        <v>0</v>
      </c>
      <c r="Q3484" s="271">
        <f t="shared" si="404"/>
        <v>0</v>
      </c>
      <c r="R3484" s="188"/>
      <c r="S3484" s="280"/>
      <c r="T3484" s="222"/>
      <c r="U3484" s="223" t="s">
        <v>5720</v>
      </c>
    </row>
    <row r="3485" spans="1:21" s="181" customFormat="1" ht="0" hidden="1" customHeight="1" outlineLevel="5">
      <c r="A3485" s="253" t="s">
        <v>4258</v>
      </c>
      <c r="B3485" s="254"/>
      <c r="C3485" s="250" t="s">
        <v>1609</v>
      </c>
      <c r="D3485" s="203">
        <f>'02 项目基础信息（输入）'!$C$87</f>
        <v>0</v>
      </c>
      <c r="E3485" s="204" t="s">
        <v>93</v>
      </c>
      <c r="F3485" s="202" t="s">
        <v>984</v>
      </c>
      <c r="G3485" s="258">
        <f>G3484</f>
        <v>0</v>
      </c>
      <c r="H3485" s="204" t="s">
        <v>966</v>
      </c>
      <c r="I3485" s="265">
        <f t="shared" si="406"/>
        <v>0</v>
      </c>
      <c r="J3485" s="204" t="s">
        <v>1617</v>
      </c>
      <c r="K3485" s="214"/>
      <c r="L3485" s="210" t="s">
        <v>664</v>
      </c>
      <c r="M3485" s="198">
        <f t="shared" si="407"/>
        <v>0</v>
      </c>
      <c r="N3485" s="212">
        <f>'02 项目基础信息（输入）'!$C$87</f>
        <v>0</v>
      </c>
      <c r="O3485" s="203">
        <f t="shared" si="403"/>
        <v>0</v>
      </c>
      <c r="P3485" s="203">
        <f t="shared" si="405"/>
        <v>0</v>
      </c>
      <c r="Q3485" s="271">
        <f t="shared" si="404"/>
        <v>0</v>
      </c>
      <c r="R3485" s="188"/>
      <c r="S3485" s="280"/>
      <c r="T3485" s="222"/>
      <c r="U3485" s="223" t="s">
        <v>5721</v>
      </c>
    </row>
    <row r="3486" spans="1:21" s="181" customFormat="1" ht="0" hidden="1" customHeight="1" outlineLevel="4">
      <c r="A3486" s="253" t="s">
        <v>4260</v>
      </c>
      <c r="B3486" s="254"/>
      <c r="C3486" s="250" t="s">
        <v>1609</v>
      </c>
      <c r="D3486" s="203">
        <f>'02 项目基础信息（输入）'!$C$87</f>
        <v>0</v>
      </c>
      <c r="E3486" s="204" t="s">
        <v>93</v>
      </c>
      <c r="F3486" s="202" t="s">
        <v>984</v>
      </c>
      <c r="G3486" s="258">
        <f>G3485</f>
        <v>0</v>
      </c>
      <c r="H3486" s="204" t="s">
        <v>966</v>
      </c>
      <c r="I3486" s="265">
        <f t="shared" si="406"/>
        <v>0</v>
      </c>
      <c r="J3486" s="204" t="s">
        <v>1617</v>
      </c>
      <c r="K3486" s="269"/>
      <c r="L3486" s="210" t="s">
        <v>664</v>
      </c>
      <c r="M3486" s="198">
        <f t="shared" si="407"/>
        <v>0</v>
      </c>
      <c r="N3486" s="212">
        <f>'02 项目基础信息（输入）'!$C$87</f>
        <v>0</v>
      </c>
      <c r="O3486" s="203">
        <f t="shared" si="403"/>
        <v>0</v>
      </c>
      <c r="P3486" s="203">
        <f t="shared" si="405"/>
        <v>0</v>
      </c>
      <c r="Q3486" s="271">
        <f t="shared" si="404"/>
        <v>0</v>
      </c>
      <c r="R3486" s="188"/>
      <c r="S3486" s="280"/>
      <c r="T3486" s="222"/>
      <c r="U3486" s="223" t="s">
        <v>5722</v>
      </c>
    </row>
    <row r="3487" spans="1:21" s="181" customFormat="1" ht="0" hidden="1" customHeight="1" outlineLevel="3">
      <c r="A3487" s="253" t="s">
        <v>4854</v>
      </c>
      <c r="B3487" s="254"/>
      <c r="C3487" s="250" t="s">
        <v>1609</v>
      </c>
      <c r="D3487" s="203">
        <f>'02 项目基础信息（输入）'!$C$87</f>
        <v>0</v>
      </c>
      <c r="E3487" s="204" t="s">
        <v>93</v>
      </c>
      <c r="F3487" s="202" t="s">
        <v>4478</v>
      </c>
      <c r="G3487" s="286"/>
      <c r="H3487" s="204" t="s">
        <v>298</v>
      </c>
      <c r="I3487" s="265">
        <f t="shared" si="406"/>
        <v>0</v>
      </c>
      <c r="J3487" s="204" t="s">
        <v>93</v>
      </c>
      <c r="K3487" s="269"/>
      <c r="L3487" s="210" t="s">
        <v>675</v>
      </c>
      <c r="M3487" s="198">
        <f t="shared" si="407"/>
        <v>0</v>
      </c>
      <c r="N3487" s="212">
        <f>'02 项目基础信息（输入）'!$C$87</f>
        <v>0</v>
      </c>
      <c r="O3487" s="203">
        <f t="shared" si="403"/>
        <v>0</v>
      </c>
      <c r="P3487" s="203">
        <f t="shared" si="405"/>
        <v>0</v>
      </c>
      <c r="Q3487" s="271">
        <f t="shared" si="404"/>
        <v>0</v>
      </c>
      <c r="R3487" s="188"/>
      <c r="S3487" s="280"/>
      <c r="T3487" s="222"/>
      <c r="U3487" s="223" t="s">
        <v>5723</v>
      </c>
    </row>
    <row r="3488" spans="1:21" s="181" customFormat="1" ht="0" hidden="1" customHeight="1" outlineLevel="3">
      <c r="A3488" s="253" t="s">
        <v>4856</v>
      </c>
      <c r="B3488" s="254"/>
      <c r="C3488" s="250" t="s">
        <v>1609</v>
      </c>
      <c r="D3488" s="203">
        <f>'02 项目基础信息（输入）'!$C$87</f>
        <v>0</v>
      </c>
      <c r="E3488" s="204" t="s">
        <v>93</v>
      </c>
      <c r="F3488" s="202" t="s">
        <v>984</v>
      </c>
      <c r="G3488" s="286"/>
      <c r="H3488" s="204" t="s">
        <v>966</v>
      </c>
      <c r="I3488" s="265">
        <f t="shared" si="406"/>
        <v>0</v>
      </c>
      <c r="J3488" s="204" t="s">
        <v>1617</v>
      </c>
      <c r="K3488" s="269"/>
      <c r="L3488" s="210" t="s">
        <v>664</v>
      </c>
      <c r="M3488" s="198">
        <f t="shared" si="407"/>
        <v>0</v>
      </c>
      <c r="N3488" s="212">
        <f>'02 项目基础信息（输入）'!$C$87</f>
        <v>0</v>
      </c>
      <c r="O3488" s="203">
        <f t="shared" si="403"/>
        <v>0</v>
      </c>
      <c r="P3488" s="203">
        <f t="shared" si="405"/>
        <v>0</v>
      </c>
      <c r="Q3488" s="271">
        <f t="shared" si="404"/>
        <v>0</v>
      </c>
      <c r="R3488" s="188"/>
      <c r="S3488" s="280"/>
      <c r="T3488" s="222"/>
      <c r="U3488" s="223" t="s">
        <v>5724</v>
      </c>
    </row>
    <row r="3489" spans="1:21" s="181" customFormat="1" ht="0" hidden="1" customHeight="1" outlineLevel="3">
      <c r="A3489" s="253" t="s">
        <v>4858</v>
      </c>
      <c r="B3489" s="254"/>
      <c r="C3489" s="250" t="s">
        <v>1609</v>
      </c>
      <c r="D3489" s="203">
        <f>'02 项目基础信息（输入）'!$C$87</f>
        <v>0</v>
      </c>
      <c r="E3489" s="204" t="s">
        <v>93</v>
      </c>
      <c r="F3489" s="202" t="s">
        <v>984</v>
      </c>
      <c r="G3489" s="286"/>
      <c r="H3489" s="204" t="s">
        <v>966</v>
      </c>
      <c r="I3489" s="265">
        <f t="shared" si="406"/>
        <v>0</v>
      </c>
      <c r="J3489" s="204" t="s">
        <v>1617</v>
      </c>
      <c r="K3489" s="269"/>
      <c r="L3489" s="210" t="s">
        <v>664</v>
      </c>
      <c r="M3489" s="198">
        <f t="shared" si="407"/>
        <v>0</v>
      </c>
      <c r="N3489" s="212">
        <f>'02 项目基础信息（输入）'!$C$87</f>
        <v>0</v>
      </c>
      <c r="O3489" s="203">
        <f t="shared" si="403"/>
        <v>0</v>
      </c>
      <c r="P3489" s="203">
        <f t="shared" si="405"/>
        <v>0</v>
      </c>
      <c r="Q3489" s="271">
        <f t="shared" si="404"/>
        <v>0</v>
      </c>
      <c r="R3489" s="188"/>
      <c r="S3489" s="280"/>
      <c r="T3489" s="222"/>
      <c r="U3489" s="223" t="s">
        <v>5725</v>
      </c>
    </row>
    <row r="3490" spans="1:21" s="181" customFormat="1" ht="0" hidden="1" customHeight="1" outlineLevel="3">
      <c r="A3490" s="253" t="s">
        <v>4860</v>
      </c>
      <c r="B3490" s="254"/>
      <c r="C3490" s="250" t="s">
        <v>1609</v>
      </c>
      <c r="D3490" s="203">
        <f>'02 项目基础信息（输入）'!$C$87</f>
        <v>0</v>
      </c>
      <c r="E3490" s="204" t="s">
        <v>93</v>
      </c>
      <c r="F3490" s="282" t="s">
        <v>1609</v>
      </c>
      <c r="G3490" s="283">
        <v>1</v>
      </c>
      <c r="H3490" s="204" t="s">
        <v>298</v>
      </c>
      <c r="I3490" s="265">
        <f t="shared" si="406"/>
        <v>0</v>
      </c>
      <c r="J3490" s="204" t="s">
        <v>93</v>
      </c>
      <c r="K3490" s="269"/>
      <c r="L3490" s="210" t="s">
        <v>675</v>
      </c>
      <c r="M3490" s="198">
        <f t="shared" si="407"/>
        <v>0</v>
      </c>
      <c r="N3490" s="212">
        <f>'02 项目基础信息（输入）'!$C$87</f>
        <v>0</v>
      </c>
      <c r="O3490" s="203">
        <f t="shared" si="403"/>
        <v>0</v>
      </c>
      <c r="P3490" s="203">
        <f t="shared" si="405"/>
        <v>0</v>
      </c>
      <c r="Q3490" s="271">
        <f t="shared" si="404"/>
        <v>0</v>
      </c>
      <c r="R3490" s="188"/>
      <c r="S3490" s="280"/>
      <c r="T3490" s="222"/>
      <c r="U3490" s="223" t="s">
        <v>5726</v>
      </c>
    </row>
    <row r="3491" spans="1:21" s="181" customFormat="1" ht="0" hidden="1" customHeight="1" outlineLevel="3">
      <c r="A3491" s="253" t="s">
        <v>4262</v>
      </c>
      <c r="B3491" s="254"/>
      <c r="C3491" s="250" t="s">
        <v>1609</v>
      </c>
      <c r="D3491" s="203">
        <f>'02 项目基础信息（输入）'!$C$87</f>
        <v>0</v>
      </c>
      <c r="E3491" s="204" t="s">
        <v>93</v>
      </c>
      <c r="F3491" s="202" t="s">
        <v>984</v>
      </c>
      <c r="G3491" s="284"/>
      <c r="H3491" s="204" t="s">
        <v>966</v>
      </c>
      <c r="I3491" s="265">
        <f t="shared" si="406"/>
        <v>0</v>
      </c>
      <c r="J3491" s="204" t="s">
        <v>1617</v>
      </c>
      <c r="K3491" s="269"/>
      <c r="L3491" s="210" t="s">
        <v>664</v>
      </c>
      <c r="M3491" s="198">
        <f t="shared" si="407"/>
        <v>0</v>
      </c>
      <c r="N3491" s="212">
        <f>'02 项目基础信息（输入）'!$C$87</f>
        <v>0</v>
      </c>
      <c r="O3491" s="203">
        <f t="shared" si="403"/>
        <v>0</v>
      </c>
      <c r="P3491" s="203">
        <f t="shared" si="405"/>
        <v>0</v>
      </c>
      <c r="Q3491" s="271">
        <f t="shared" si="404"/>
        <v>0</v>
      </c>
      <c r="R3491" s="188"/>
      <c r="S3491" s="280"/>
      <c r="T3491" s="222"/>
      <c r="U3491" s="223" t="s">
        <v>5727</v>
      </c>
    </row>
    <row r="3492" spans="1:21" s="181" customFormat="1" ht="0" hidden="1" customHeight="1" outlineLevel="3">
      <c r="A3492" s="253" t="s">
        <v>4264</v>
      </c>
      <c r="B3492" s="254"/>
      <c r="C3492" s="250" t="s">
        <v>1609</v>
      </c>
      <c r="D3492" s="203">
        <f>'02 项目基础信息（输入）'!$C$87</f>
        <v>0</v>
      </c>
      <c r="E3492" s="204" t="s">
        <v>93</v>
      </c>
      <c r="F3492" s="202" t="s">
        <v>984</v>
      </c>
      <c r="G3492" s="258">
        <f>G3484+G3487+G3488+G3489+G3491</f>
        <v>0</v>
      </c>
      <c r="H3492" s="204" t="s">
        <v>966</v>
      </c>
      <c r="I3492" s="265">
        <f t="shared" si="406"/>
        <v>0</v>
      </c>
      <c r="J3492" s="204" t="s">
        <v>1617</v>
      </c>
      <c r="K3492" s="269"/>
      <c r="L3492" s="210" t="s">
        <v>664</v>
      </c>
      <c r="M3492" s="198">
        <f t="shared" si="407"/>
        <v>0</v>
      </c>
      <c r="N3492" s="212">
        <f>'02 项目基础信息（输入）'!$C$87</f>
        <v>0</v>
      </c>
      <c r="O3492" s="203">
        <f t="shared" si="403"/>
        <v>0</v>
      </c>
      <c r="P3492" s="203">
        <f t="shared" si="405"/>
        <v>0</v>
      </c>
      <c r="Q3492" s="271">
        <f t="shared" si="404"/>
        <v>0</v>
      </c>
      <c r="R3492" s="188"/>
      <c r="S3492" s="280"/>
      <c r="T3492" s="222"/>
      <c r="U3492" s="223" t="s">
        <v>5728</v>
      </c>
    </row>
    <row r="3493" spans="1:21" s="181" customFormat="1" ht="0" hidden="1" customHeight="1" outlineLevel="3">
      <c r="A3493" s="253" t="s">
        <v>4266</v>
      </c>
      <c r="B3493" s="254"/>
      <c r="C3493" s="250" t="s">
        <v>1665</v>
      </c>
      <c r="D3493" s="203">
        <f>ROUND(M3483+M3486+M3487+M3488+M3489+M3490+M3491,6)*10000</f>
        <v>0</v>
      </c>
      <c r="E3493" s="204" t="s">
        <v>1666</v>
      </c>
      <c r="F3493" s="202" t="s">
        <v>1667</v>
      </c>
      <c r="G3493" s="258">
        <f>IFERROR(I3493*100/D3493,0)</f>
        <v>0</v>
      </c>
      <c r="H3493" s="204" t="s">
        <v>123</v>
      </c>
      <c r="I3493" s="265">
        <f>N3493*K3493</f>
        <v>0</v>
      </c>
      <c r="J3493" s="204" t="s">
        <v>1666</v>
      </c>
      <c r="K3493" s="269"/>
      <c r="L3493" s="210" t="s">
        <v>675</v>
      </c>
      <c r="M3493" s="231">
        <f>ROUND(I3493/10000,6)</f>
        <v>0</v>
      </c>
      <c r="N3493" s="212">
        <f>'02 项目基础信息（输入）'!$C$87</f>
        <v>0</v>
      </c>
      <c r="O3493" s="203">
        <f t="shared" si="403"/>
        <v>0</v>
      </c>
      <c r="P3493" s="203">
        <f t="shared" si="405"/>
        <v>0</v>
      </c>
      <c r="Q3493" s="271">
        <f t="shared" si="404"/>
        <v>0</v>
      </c>
      <c r="R3493" s="188"/>
      <c r="S3493" s="280"/>
      <c r="T3493" s="222"/>
      <c r="U3493" s="223" t="s">
        <v>5729</v>
      </c>
    </row>
    <row r="3494" spans="1:21" ht="0" hidden="1" customHeight="1" outlineLevel="2">
      <c r="A3494" s="201" t="s">
        <v>4489</v>
      </c>
      <c r="B3494" s="201"/>
      <c r="C3494" s="202" t="s">
        <v>1609</v>
      </c>
      <c r="D3494" s="203">
        <f>'02 项目基础信息（输入）'!$C$87</f>
        <v>0</v>
      </c>
      <c r="E3494" s="204" t="s">
        <v>93</v>
      </c>
      <c r="F3494" s="202"/>
      <c r="G3494" s="204"/>
      <c r="H3494" s="204"/>
      <c r="I3494" s="203"/>
      <c r="J3494" s="204"/>
      <c r="K3494" s="264"/>
      <c r="L3494" s="210"/>
      <c r="M3494" s="198">
        <f>ROUND(M3495+M3509+M3512,6)</f>
        <v>0</v>
      </c>
      <c r="N3494" s="212">
        <f>'02 项目基础信息（输入）'!$C$87</f>
        <v>0</v>
      </c>
      <c r="O3494" s="203">
        <f t="shared" si="403"/>
        <v>0</v>
      </c>
      <c r="P3494" s="203">
        <f t="shared" si="405"/>
        <v>0</v>
      </c>
      <c r="Q3494" s="271">
        <f t="shared" si="404"/>
        <v>0</v>
      </c>
      <c r="S3494" s="280" t="s">
        <v>1314</v>
      </c>
      <c r="T3494" s="222"/>
      <c r="U3494" s="223" t="s">
        <v>5730</v>
      </c>
    </row>
    <row r="3495" spans="1:21" s="181" customFormat="1" ht="0" hidden="1" customHeight="1" outlineLevel="3">
      <c r="A3495" s="253" t="s">
        <v>4491</v>
      </c>
      <c r="B3495" s="254"/>
      <c r="C3495" s="250" t="s">
        <v>1609</v>
      </c>
      <c r="D3495" s="203">
        <f>'02 项目基础信息（输入）'!$C$87</f>
        <v>0</v>
      </c>
      <c r="E3495" s="204" t="s">
        <v>93</v>
      </c>
      <c r="F3495" s="202"/>
      <c r="G3495" s="204"/>
      <c r="H3495" s="204"/>
      <c r="I3495" s="265"/>
      <c r="J3495" s="204"/>
      <c r="K3495" s="203"/>
      <c r="L3495" s="210"/>
      <c r="M3495" s="198">
        <f>ROUND(M3496+M3499+M3500+M3501+M3502+M3505+M3506+M3507+M3508,6)</f>
        <v>0</v>
      </c>
      <c r="N3495" s="212">
        <f>'02 项目基础信息（输入）'!$C$87</f>
        <v>0</v>
      </c>
      <c r="O3495" s="203">
        <f t="shared" si="403"/>
        <v>0</v>
      </c>
      <c r="P3495" s="203">
        <f t="shared" si="405"/>
        <v>0</v>
      </c>
      <c r="Q3495" s="271">
        <f t="shared" si="404"/>
        <v>0</v>
      </c>
      <c r="R3495" s="188"/>
      <c r="S3495" s="280"/>
      <c r="T3495" s="222"/>
      <c r="U3495" s="223" t="s">
        <v>5731</v>
      </c>
    </row>
    <row r="3496" spans="1:21" s="181" customFormat="1" ht="0" hidden="1" customHeight="1" outlineLevel="4">
      <c r="A3496" s="253" t="s">
        <v>4493</v>
      </c>
      <c r="B3496" s="254"/>
      <c r="C3496" s="250" t="s">
        <v>1609</v>
      </c>
      <c r="D3496" s="203">
        <f>'02 项目基础信息（输入）'!$C$87</f>
        <v>0</v>
      </c>
      <c r="E3496" s="204" t="s">
        <v>93</v>
      </c>
      <c r="F3496" s="202"/>
      <c r="G3496" s="221"/>
      <c r="H3496" s="204"/>
      <c r="I3496" s="265"/>
      <c r="J3496" s="204"/>
      <c r="K3496" s="266"/>
      <c r="L3496" s="210"/>
      <c r="M3496" s="198">
        <f>ROUND(SUM(M3497:M3498),6)</f>
        <v>0</v>
      </c>
      <c r="N3496" s="212">
        <f>'02 项目基础信息（输入）'!$C$87</f>
        <v>0</v>
      </c>
      <c r="O3496" s="203">
        <f t="shared" si="403"/>
        <v>0</v>
      </c>
      <c r="P3496" s="203">
        <f t="shared" si="405"/>
        <v>0</v>
      </c>
      <c r="Q3496" s="271">
        <f t="shared" si="404"/>
        <v>0</v>
      </c>
      <c r="R3496" s="188"/>
      <c r="S3496" s="280"/>
      <c r="T3496" s="222"/>
      <c r="U3496" s="223" t="s">
        <v>5732</v>
      </c>
    </row>
    <row r="3497" spans="1:21" s="181" customFormat="1" ht="0" hidden="1" customHeight="1" outlineLevel="5">
      <c r="A3497" s="253" t="s">
        <v>4868</v>
      </c>
      <c r="B3497" s="254"/>
      <c r="C3497" s="250" t="s">
        <v>1609</v>
      </c>
      <c r="D3497" s="203">
        <f>'02 项目基础信息（输入）'!$C$87</f>
        <v>0</v>
      </c>
      <c r="E3497" s="204" t="s">
        <v>93</v>
      </c>
      <c r="F3497" s="202" t="s">
        <v>4496</v>
      </c>
      <c r="G3497" s="296">
        <f>IFERROR('02 项目基础信息（输入）'!BX87/'02 项目基础信息（输入）'!D87,0)</f>
        <v>0</v>
      </c>
      <c r="H3497" s="204" t="s">
        <v>298</v>
      </c>
      <c r="I3497" s="265">
        <f>D3497*G3497</f>
        <v>0</v>
      </c>
      <c r="J3497" s="204" t="s">
        <v>93</v>
      </c>
      <c r="K3497" s="269"/>
      <c r="L3497" s="210" t="s">
        <v>675</v>
      </c>
      <c r="M3497" s="198">
        <f>ROUND(K3497*I3497/10000,6)</f>
        <v>0</v>
      </c>
      <c r="N3497" s="212">
        <f>'02 项目基础信息（输入）'!$C$87</f>
        <v>0</v>
      </c>
      <c r="O3497" s="203">
        <f t="shared" si="403"/>
        <v>0</v>
      </c>
      <c r="P3497" s="203">
        <f t="shared" si="405"/>
        <v>0</v>
      </c>
      <c r="Q3497" s="271">
        <f t="shared" si="404"/>
        <v>0</v>
      </c>
      <c r="R3497" s="188"/>
      <c r="S3497" s="280"/>
      <c r="T3497" s="222"/>
      <c r="U3497" s="223" t="s">
        <v>5733</v>
      </c>
    </row>
    <row r="3498" spans="1:21" s="181" customFormat="1" ht="0" hidden="1" customHeight="1" outlineLevel="5">
      <c r="A3498" s="253" t="s">
        <v>4870</v>
      </c>
      <c r="B3498" s="254"/>
      <c r="C3498" s="250" t="s">
        <v>1609</v>
      </c>
      <c r="D3498" s="203">
        <f>'02 项目基础信息（输入）'!$C$87</f>
        <v>0</v>
      </c>
      <c r="E3498" s="204" t="s">
        <v>93</v>
      </c>
      <c r="F3498" s="202" t="s">
        <v>4496</v>
      </c>
      <c r="G3498" s="221">
        <f>G3497</f>
        <v>0</v>
      </c>
      <c r="H3498" s="204" t="s">
        <v>298</v>
      </c>
      <c r="I3498" s="265">
        <f>D3498*G3498</f>
        <v>0</v>
      </c>
      <c r="J3498" s="204" t="s">
        <v>93</v>
      </c>
      <c r="K3498" s="269"/>
      <c r="L3498" s="210" t="s">
        <v>675</v>
      </c>
      <c r="M3498" s="198">
        <f>ROUND(K3498*I3498/10000,6)</f>
        <v>0</v>
      </c>
      <c r="N3498" s="212">
        <f>'02 项目基础信息（输入）'!$C$87</f>
        <v>0</v>
      </c>
      <c r="O3498" s="203">
        <f t="shared" si="403"/>
        <v>0</v>
      </c>
      <c r="P3498" s="203">
        <f t="shared" si="405"/>
        <v>0</v>
      </c>
      <c r="Q3498" s="271">
        <f t="shared" si="404"/>
        <v>0</v>
      </c>
      <c r="R3498" s="188"/>
      <c r="S3498" s="280"/>
      <c r="T3498" s="222"/>
      <c r="U3498" s="223" t="s">
        <v>5734</v>
      </c>
    </row>
    <row r="3499" spans="1:21" s="181" customFormat="1" ht="0" hidden="1" customHeight="1" outlineLevel="4">
      <c r="A3499" s="253" t="s">
        <v>4872</v>
      </c>
      <c r="B3499" s="254"/>
      <c r="C3499" s="250" t="s">
        <v>1609</v>
      </c>
      <c r="D3499" s="203">
        <f>'02 项目基础信息（输入）'!$C$87</f>
        <v>0</v>
      </c>
      <c r="E3499" s="204" t="s">
        <v>93</v>
      </c>
      <c r="F3499" s="202" t="s">
        <v>4501</v>
      </c>
      <c r="G3499" s="281">
        <f>IFERROR('02 项目基础信息（输入）'!BW87/'02 项目基础信息（输入）'!D87,0)</f>
        <v>0</v>
      </c>
      <c r="H3499" s="204" t="s">
        <v>298</v>
      </c>
      <c r="I3499" s="265">
        <f>D3499*G3499</f>
        <v>0</v>
      </c>
      <c r="J3499" s="204" t="s">
        <v>93</v>
      </c>
      <c r="K3499" s="269"/>
      <c r="L3499" s="210" t="s">
        <v>675</v>
      </c>
      <c r="M3499" s="198">
        <f>ROUND(K3499*I3499/10000,6)</f>
        <v>0</v>
      </c>
      <c r="N3499" s="212">
        <f>'02 项目基础信息（输入）'!$C$87</f>
        <v>0</v>
      </c>
      <c r="O3499" s="203">
        <f t="shared" si="403"/>
        <v>0</v>
      </c>
      <c r="P3499" s="203">
        <f t="shared" si="405"/>
        <v>0</v>
      </c>
      <c r="Q3499" s="271">
        <f t="shared" si="404"/>
        <v>0</v>
      </c>
      <c r="R3499" s="188"/>
      <c r="S3499" s="280"/>
      <c r="T3499" s="222"/>
      <c r="U3499" s="223" t="s">
        <v>5735</v>
      </c>
    </row>
    <row r="3500" spans="1:21" s="181" customFormat="1" ht="0" hidden="1" customHeight="1" outlineLevel="4">
      <c r="A3500" s="253" t="s">
        <v>4874</v>
      </c>
      <c r="B3500" s="254"/>
      <c r="C3500" s="250" t="s">
        <v>1609</v>
      </c>
      <c r="D3500" s="203">
        <f>'02 项目基础信息（输入）'!$C$87</f>
        <v>0</v>
      </c>
      <c r="E3500" s="204" t="s">
        <v>93</v>
      </c>
      <c r="F3500" s="202" t="s">
        <v>4504</v>
      </c>
      <c r="G3500" s="281">
        <f>IFERROR('02 项目基础信息（输入）'!BY87/'02 项目基础信息（输入）'!D87,0)</f>
        <v>0</v>
      </c>
      <c r="H3500" s="204" t="s">
        <v>298</v>
      </c>
      <c r="I3500" s="265">
        <f>D3500*G3500</f>
        <v>0</v>
      </c>
      <c r="J3500" s="204" t="s">
        <v>93</v>
      </c>
      <c r="K3500" s="269"/>
      <c r="L3500" s="210" t="s">
        <v>675</v>
      </c>
      <c r="M3500" s="198">
        <f>ROUND(K3500*I3500/10000,6)</f>
        <v>0</v>
      </c>
      <c r="N3500" s="212">
        <f>'02 项目基础信息（输入）'!$C$87</f>
        <v>0</v>
      </c>
      <c r="O3500" s="203">
        <f t="shared" si="403"/>
        <v>0</v>
      </c>
      <c r="P3500" s="203">
        <f t="shared" si="405"/>
        <v>0</v>
      </c>
      <c r="Q3500" s="271">
        <f t="shared" si="404"/>
        <v>0</v>
      </c>
      <c r="R3500" s="188"/>
      <c r="S3500" s="280"/>
      <c r="T3500" s="222"/>
      <c r="U3500" s="223" t="s">
        <v>5736</v>
      </c>
    </row>
    <row r="3501" spans="1:21" s="181" customFormat="1" ht="0" hidden="1" customHeight="1" outlineLevel="4">
      <c r="A3501" s="253" t="s">
        <v>4876</v>
      </c>
      <c r="B3501" s="254"/>
      <c r="C3501" s="250" t="s">
        <v>1609</v>
      </c>
      <c r="D3501" s="203">
        <f>'02 项目基础信息（输入）'!$C$87</f>
        <v>0</v>
      </c>
      <c r="E3501" s="204" t="s">
        <v>93</v>
      </c>
      <c r="F3501" s="202" t="s">
        <v>475</v>
      </c>
      <c r="G3501" s="281">
        <f>IFERROR('02 项目基础信息（输入）'!BZ87/'02 项目基础信息（输入）'!D87,0)</f>
        <v>0</v>
      </c>
      <c r="H3501" s="204" t="s">
        <v>298</v>
      </c>
      <c r="I3501" s="265">
        <f>D3501*G3501</f>
        <v>0</v>
      </c>
      <c r="J3501" s="204" t="s">
        <v>93</v>
      </c>
      <c r="K3501" s="269"/>
      <c r="L3501" s="210" t="s">
        <v>675</v>
      </c>
      <c r="M3501" s="198">
        <f>ROUND(K3501*I3501/10000,6)</f>
        <v>0</v>
      </c>
      <c r="N3501" s="212">
        <f>'02 项目基础信息（输入）'!$C$87</f>
        <v>0</v>
      </c>
      <c r="O3501" s="203">
        <f t="shared" si="403"/>
        <v>0</v>
      </c>
      <c r="P3501" s="203">
        <f t="shared" si="405"/>
        <v>0</v>
      </c>
      <c r="Q3501" s="271">
        <f t="shared" si="404"/>
        <v>0</v>
      </c>
      <c r="R3501" s="188"/>
      <c r="S3501" s="280"/>
      <c r="T3501" s="222"/>
      <c r="U3501" s="223" t="s">
        <v>5737</v>
      </c>
    </row>
    <row r="3502" spans="1:21" s="181" customFormat="1" ht="0" hidden="1" customHeight="1" outlineLevel="4">
      <c r="A3502" s="253" t="s">
        <v>4508</v>
      </c>
      <c r="B3502" s="254"/>
      <c r="C3502" s="250" t="s">
        <v>1609</v>
      </c>
      <c r="D3502" s="203">
        <f>'02 项目基础信息（输入）'!$C$87</f>
        <v>0</v>
      </c>
      <c r="E3502" s="204" t="s">
        <v>93</v>
      </c>
      <c r="F3502" s="202"/>
      <c r="G3502" s="210"/>
      <c r="H3502" s="204"/>
      <c r="I3502" s="265"/>
      <c r="J3502" s="204"/>
      <c r="K3502" s="266"/>
      <c r="L3502" s="210"/>
      <c r="M3502" s="198">
        <f>ROUND(SUM(M3503:M3504),6)</f>
        <v>0</v>
      </c>
      <c r="N3502" s="212">
        <f>'02 项目基础信息（输入）'!$C$87</f>
        <v>0</v>
      </c>
      <c r="O3502" s="203">
        <f t="shared" si="403"/>
        <v>0</v>
      </c>
      <c r="P3502" s="203">
        <f t="shared" si="405"/>
        <v>0</v>
      </c>
      <c r="Q3502" s="271">
        <f t="shared" si="404"/>
        <v>0</v>
      </c>
      <c r="R3502" s="188"/>
      <c r="S3502" s="280"/>
      <c r="T3502" s="222"/>
      <c r="U3502" s="223" t="s">
        <v>5738</v>
      </c>
    </row>
    <row r="3503" spans="1:21" s="181" customFormat="1" ht="0" hidden="1" customHeight="1" outlineLevel="5">
      <c r="A3503" s="253" t="s">
        <v>4879</v>
      </c>
      <c r="B3503" s="254"/>
      <c r="C3503" s="250" t="s">
        <v>1609</v>
      </c>
      <c r="D3503" s="203">
        <f>'02 项目基础信息（输入）'!$C$87</f>
        <v>0</v>
      </c>
      <c r="E3503" s="204" t="s">
        <v>93</v>
      </c>
      <c r="F3503" s="202" t="s">
        <v>4511</v>
      </c>
      <c r="G3503" s="309"/>
      <c r="H3503" s="204" t="s">
        <v>298</v>
      </c>
      <c r="I3503" s="265">
        <f>D3503*G3503</f>
        <v>0</v>
      </c>
      <c r="J3503" s="204" t="s">
        <v>93</v>
      </c>
      <c r="K3503" s="269"/>
      <c r="L3503" s="210" t="s">
        <v>675</v>
      </c>
      <c r="M3503" s="198">
        <f>ROUND(K3503*I3503/10000,6)</f>
        <v>0</v>
      </c>
      <c r="N3503" s="212">
        <f>'02 项目基础信息（输入）'!$C$87</f>
        <v>0</v>
      </c>
      <c r="O3503" s="203">
        <f t="shared" si="403"/>
        <v>0</v>
      </c>
      <c r="P3503" s="203">
        <f t="shared" si="405"/>
        <v>0</v>
      </c>
      <c r="Q3503" s="271">
        <f t="shared" si="404"/>
        <v>0</v>
      </c>
      <c r="R3503" s="188"/>
      <c r="S3503" s="280"/>
      <c r="T3503" s="222"/>
      <c r="U3503" s="223" t="s">
        <v>5739</v>
      </c>
    </row>
    <row r="3504" spans="1:21" s="181" customFormat="1" ht="0" hidden="1" customHeight="1" outlineLevel="5">
      <c r="A3504" s="253" t="s">
        <v>4881</v>
      </c>
      <c r="B3504" s="254"/>
      <c r="C3504" s="250" t="s">
        <v>1609</v>
      </c>
      <c r="D3504" s="203">
        <f>'02 项目基础信息（输入）'!$C$87</f>
        <v>0</v>
      </c>
      <c r="E3504" s="204" t="s">
        <v>93</v>
      </c>
      <c r="F3504" s="202" t="s">
        <v>4511</v>
      </c>
      <c r="G3504" s="221">
        <f>G3503</f>
        <v>0</v>
      </c>
      <c r="H3504" s="204" t="s">
        <v>298</v>
      </c>
      <c r="I3504" s="265">
        <f>D3504*G3504</f>
        <v>0</v>
      </c>
      <c r="J3504" s="204" t="s">
        <v>93</v>
      </c>
      <c r="K3504" s="269"/>
      <c r="L3504" s="210" t="s">
        <v>675</v>
      </c>
      <c r="M3504" s="198">
        <f>ROUND(K3504*I3504/10000,6)</f>
        <v>0</v>
      </c>
      <c r="N3504" s="212">
        <f>'02 项目基础信息（输入）'!$C$87</f>
        <v>0</v>
      </c>
      <c r="O3504" s="203">
        <f t="shared" si="403"/>
        <v>0</v>
      </c>
      <c r="P3504" s="203">
        <f t="shared" si="405"/>
        <v>0</v>
      </c>
      <c r="Q3504" s="271">
        <f t="shared" si="404"/>
        <v>0</v>
      </c>
      <c r="R3504" s="188"/>
      <c r="S3504" s="280"/>
      <c r="T3504" s="222"/>
      <c r="U3504" s="223" t="s">
        <v>5740</v>
      </c>
    </row>
    <row r="3505" spans="1:21" s="181" customFormat="1" ht="0" hidden="1" customHeight="1" outlineLevel="4">
      <c r="A3505" s="253" t="s">
        <v>4883</v>
      </c>
      <c r="B3505" s="254"/>
      <c r="C3505" s="250" t="s">
        <v>1609</v>
      </c>
      <c r="D3505" s="203">
        <f>'02 项目基础信息（输入）'!$C$87</f>
        <v>0</v>
      </c>
      <c r="E3505" s="204" t="s">
        <v>93</v>
      </c>
      <c r="F3505" s="202" t="s">
        <v>4884</v>
      </c>
      <c r="G3505" s="261">
        <f>IFERROR(I3505/D3505,0)</f>
        <v>0</v>
      </c>
      <c r="H3505" s="204" t="s">
        <v>298</v>
      </c>
      <c r="I3505" s="270"/>
      <c r="J3505" s="204" t="s">
        <v>93</v>
      </c>
      <c r="K3505" s="269"/>
      <c r="L3505" s="210" t="s">
        <v>675</v>
      </c>
      <c r="M3505" s="198">
        <f>ROUND(K3505*I3505/10000,6)</f>
        <v>0</v>
      </c>
      <c r="N3505" s="212">
        <f>'02 项目基础信息（输入）'!$C$87</f>
        <v>0</v>
      </c>
      <c r="O3505" s="203">
        <f t="shared" si="403"/>
        <v>0</v>
      </c>
      <c r="P3505" s="203">
        <f t="shared" si="405"/>
        <v>0</v>
      </c>
      <c r="Q3505" s="271">
        <f t="shared" si="404"/>
        <v>0</v>
      </c>
      <c r="R3505" s="188"/>
      <c r="S3505" s="280"/>
      <c r="T3505" s="222"/>
      <c r="U3505" s="223" t="s">
        <v>5741</v>
      </c>
    </row>
    <row r="3506" spans="1:21" s="181" customFormat="1" ht="0" hidden="1" customHeight="1" outlineLevel="4">
      <c r="A3506" s="253" t="s">
        <v>4886</v>
      </c>
      <c r="B3506" s="254"/>
      <c r="C3506" s="250" t="s">
        <v>1609</v>
      </c>
      <c r="D3506" s="203">
        <f>'02 项目基础信息（输入）'!$C$87</f>
        <v>0</v>
      </c>
      <c r="E3506" s="204" t="s">
        <v>93</v>
      </c>
      <c r="F3506" s="202" t="s">
        <v>4884</v>
      </c>
      <c r="G3506" s="261">
        <f>IFERROR(I3506/D3506,0)</f>
        <v>0</v>
      </c>
      <c r="H3506" s="204" t="s">
        <v>298</v>
      </c>
      <c r="I3506" s="270"/>
      <c r="J3506" s="204" t="s">
        <v>93</v>
      </c>
      <c r="K3506" s="269"/>
      <c r="L3506" s="210" t="s">
        <v>675</v>
      </c>
      <c r="M3506" s="198">
        <f>ROUND(K3506*I3506/10000,6)</f>
        <v>0</v>
      </c>
      <c r="N3506" s="212">
        <f>'02 项目基础信息（输入）'!$C$87</f>
        <v>0</v>
      </c>
      <c r="O3506" s="203">
        <f t="shared" si="403"/>
        <v>0</v>
      </c>
      <c r="P3506" s="203">
        <f t="shared" si="405"/>
        <v>0</v>
      </c>
      <c r="Q3506" s="271">
        <f t="shared" si="404"/>
        <v>0</v>
      </c>
      <c r="R3506" s="188"/>
      <c r="S3506" s="280"/>
      <c r="T3506" s="222"/>
      <c r="U3506" s="223" t="s">
        <v>5742</v>
      </c>
    </row>
    <row r="3507" spans="1:21" s="181" customFormat="1" ht="0" hidden="1" customHeight="1" outlineLevel="4">
      <c r="A3507" s="253" t="s">
        <v>4888</v>
      </c>
      <c r="B3507" s="254"/>
      <c r="C3507" s="250" t="s">
        <v>1609</v>
      </c>
      <c r="D3507" s="203">
        <f>'02 项目基础信息（输入）'!$C$87</f>
        <v>0</v>
      </c>
      <c r="E3507" s="204" t="s">
        <v>93</v>
      </c>
      <c r="F3507" s="202" t="s">
        <v>4525</v>
      </c>
      <c r="G3507" s="286"/>
      <c r="H3507" s="204" t="s">
        <v>298</v>
      </c>
      <c r="I3507" s="265">
        <f>D3507*G3507</f>
        <v>0</v>
      </c>
      <c r="J3507" s="204" t="s">
        <v>93</v>
      </c>
      <c r="K3507" s="269"/>
      <c r="L3507" s="210" t="s">
        <v>675</v>
      </c>
      <c r="M3507" s="198">
        <f>ROUND(K3507*I3507/10000,6)</f>
        <v>0</v>
      </c>
      <c r="N3507" s="212">
        <f>'02 项目基础信息（输入）'!$C$87</f>
        <v>0</v>
      </c>
      <c r="O3507" s="203">
        <f t="shared" si="403"/>
        <v>0</v>
      </c>
      <c r="P3507" s="203">
        <f t="shared" si="405"/>
        <v>0</v>
      </c>
      <c r="Q3507" s="271">
        <f t="shared" si="404"/>
        <v>0</v>
      </c>
      <c r="R3507" s="188"/>
      <c r="S3507" s="280"/>
      <c r="T3507" s="222"/>
      <c r="U3507" s="223" t="s">
        <v>5743</v>
      </c>
    </row>
    <row r="3508" spans="1:21" s="181" customFormat="1" ht="0" hidden="1" customHeight="1" outlineLevel="4">
      <c r="A3508" s="253" t="s">
        <v>4527</v>
      </c>
      <c r="B3508" s="254"/>
      <c r="C3508" s="250" t="s">
        <v>1665</v>
      </c>
      <c r="D3508" s="203">
        <f>ROUND(M3496+M3499+M3500+M3501+M3502+M3505+M3506+M3507,6)*10000</f>
        <v>0</v>
      </c>
      <c r="E3508" s="204" t="s">
        <v>1666</v>
      </c>
      <c r="F3508" s="202" t="s">
        <v>1667</v>
      </c>
      <c r="G3508" s="258">
        <f>IFERROR(I3508*100/D3508,0)</f>
        <v>0</v>
      </c>
      <c r="H3508" s="204" t="s">
        <v>123</v>
      </c>
      <c r="I3508" s="265">
        <f>N3508*K3508</f>
        <v>0</v>
      </c>
      <c r="J3508" s="204" t="s">
        <v>1666</v>
      </c>
      <c r="K3508" s="269"/>
      <c r="L3508" s="210" t="s">
        <v>675</v>
      </c>
      <c r="M3508" s="231">
        <f>ROUND(I3508/10000,6)</f>
        <v>0</v>
      </c>
      <c r="N3508" s="212">
        <f>'02 项目基础信息（输入）'!$C$87</f>
        <v>0</v>
      </c>
      <c r="O3508" s="203">
        <f t="shared" si="403"/>
        <v>0</v>
      </c>
      <c r="P3508" s="203">
        <f t="shared" si="405"/>
        <v>0</v>
      </c>
      <c r="Q3508" s="271">
        <f t="shared" si="404"/>
        <v>0</v>
      </c>
      <c r="R3508" s="188"/>
      <c r="S3508" s="280"/>
      <c r="T3508" s="222"/>
      <c r="U3508" s="223" t="s">
        <v>5744</v>
      </c>
    </row>
    <row r="3509" spans="1:21" s="181" customFormat="1" ht="0" hidden="1" customHeight="1" outlineLevel="3">
      <c r="A3509" s="253" t="s">
        <v>4529</v>
      </c>
      <c r="B3509" s="254"/>
      <c r="C3509" s="250" t="s">
        <v>1609</v>
      </c>
      <c r="D3509" s="203">
        <f>'02 项目基础信息（输入）'!$C$87</f>
        <v>0</v>
      </c>
      <c r="E3509" s="204" t="s">
        <v>93</v>
      </c>
      <c r="F3509" s="202"/>
      <c r="G3509" s="204"/>
      <c r="H3509" s="204"/>
      <c r="I3509" s="265"/>
      <c r="J3509" s="204"/>
      <c r="K3509" s="203"/>
      <c r="L3509" s="210"/>
      <c r="M3509" s="198">
        <f>ROUND(SUM(M3510:M3511),6)</f>
        <v>0</v>
      </c>
      <c r="N3509" s="212">
        <f>'02 项目基础信息（输入）'!$C$87</f>
        <v>0</v>
      </c>
      <c r="O3509" s="203">
        <f t="shared" si="403"/>
        <v>0</v>
      </c>
      <c r="P3509" s="203">
        <f t="shared" si="405"/>
        <v>0</v>
      </c>
      <c r="Q3509" s="271">
        <f t="shared" si="404"/>
        <v>0</v>
      </c>
      <c r="R3509" s="188"/>
      <c r="S3509" s="280"/>
      <c r="T3509" s="222"/>
      <c r="U3509" s="223" t="s">
        <v>5745</v>
      </c>
    </row>
    <row r="3510" spans="1:21" s="181" customFormat="1" ht="0" hidden="1" customHeight="1" outlineLevel="4">
      <c r="A3510" s="253" t="s">
        <v>4892</v>
      </c>
      <c r="B3510" s="254"/>
      <c r="C3510" s="250" t="s">
        <v>1609</v>
      </c>
      <c r="D3510" s="203">
        <f>'02 项目基础信息（输入）'!$C$87</f>
        <v>0</v>
      </c>
      <c r="E3510" s="204" t="s">
        <v>93</v>
      </c>
      <c r="F3510" s="202" t="s">
        <v>4532</v>
      </c>
      <c r="G3510" s="286"/>
      <c r="H3510" s="204" t="s">
        <v>298</v>
      </c>
      <c r="I3510" s="265">
        <f>D3510*G3510</f>
        <v>0</v>
      </c>
      <c r="J3510" s="204" t="s">
        <v>93</v>
      </c>
      <c r="K3510" s="269"/>
      <c r="L3510" s="210" t="s">
        <v>675</v>
      </c>
      <c r="M3510" s="198">
        <f>ROUND(K3510*I3510/10000,6)</f>
        <v>0</v>
      </c>
      <c r="N3510" s="212">
        <f>'02 项目基础信息（输入）'!$C$87</f>
        <v>0</v>
      </c>
      <c r="O3510" s="203">
        <f t="shared" si="403"/>
        <v>0</v>
      </c>
      <c r="P3510" s="203">
        <f t="shared" si="405"/>
        <v>0</v>
      </c>
      <c r="Q3510" s="271">
        <f t="shared" si="404"/>
        <v>0</v>
      </c>
      <c r="R3510" s="188"/>
      <c r="S3510" s="280"/>
      <c r="T3510" s="222"/>
      <c r="U3510" s="223" t="s">
        <v>5746</v>
      </c>
    </row>
    <row r="3511" spans="1:21" s="181" customFormat="1" ht="0" hidden="1" customHeight="1" outlineLevel="4">
      <c r="A3511" s="253" t="s">
        <v>4894</v>
      </c>
      <c r="B3511" s="254"/>
      <c r="C3511" s="250" t="s">
        <v>1609</v>
      </c>
      <c r="D3511" s="203">
        <f>'02 项目基础信息（输入）'!$C$87</f>
        <v>0</v>
      </c>
      <c r="E3511" s="204" t="s">
        <v>93</v>
      </c>
      <c r="F3511" s="250" t="s">
        <v>4535</v>
      </c>
      <c r="G3511" s="204">
        <v>1</v>
      </c>
      <c r="H3511" s="204" t="s">
        <v>298</v>
      </c>
      <c r="I3511" s="265">
        <f>D3511*G3511</f>
        <v>0</v>
      </c>
      <c r="J3511" s="204" t="s">
        <v>93</v>
      </c>
      <c r="K3511" s="269"/>
      <c r="L3511" s="210" t="s">
        <v>675</v>
      </c>
      <c r="M3511" s="198">
        <f>ROUND(K3511*I3511/10000,6)</f>
        <v>0</v>
      </c>
      <c r="N3511" s="212">
        <f>'02 项目基础信息（输入）'!$C$87</f>
        <v>0</v>
      </c>
      <c r="O3511" s="203">
        <f t="shared" si="403"/>
        <v>0</v>
      </c>
      <c r="P3511" s="203">
        <f t="shared" si="405"/>
        <v>0</v>
      </c>
      <c r="Q3511" s="271">
        <f t="shared" si="404"/>
        <v>0</v>
      </c>
      <c r="R3511" s="188"/>
      <c r="S3511" s="280"/>
      <c r="T3511" s="222"/>
      <c r="U3511" s="223" t="s">
        <v>5747</v>
      </c>
    </row>
    <row r="3512" spans="1:21" s="181" customFormat="1" ht="0" hidden="1" customHeight="1" outlineLevel="3">
      <c r="A3512" s="253" t="s">
        <v>4537</v>
      </c>
      <c r="B3512" s="254"/>
      <c r="C3512" s="250" t="s">
        <v>1609</v>
      </c>
      <c r="D3512" s="203">
        <f>'02 项目基础信息（输入）'!$C$87</f>
        <v>0</v>
      </c>
      <c r="E3512" s="204" t="s">
        <v>93</v>
      </c>
      <c r="F3512" s="202"/>
      <c r="G3512" s="204"/>
      <c r="H3512" s="204"/>
      <c r="I3512" s="265"/>
      <c r="J3512" s="204"/>
      <c r="K3512" s="203"/>
      <c r="L3512" s="210"/>
      <c r="M3512" s="198">
        <f>ROUND(SUM(M3513),6)</f>
        <v>0</v>
      </c>
      <c r="N3512" s="212">
        <f>'02 项目基础信息（输入）'!$C$87</f>
        <v>0</v>
      </c>
      <c r="O3512" s="203">
        <f t="shared" si="403"/>
        <v>0</v>
      </c>
      <c r="P3512" s="203">
        <f t="shared" si="405"/>
        <v>0</v>
      </c>
      <c r="Q3512" s="271">
        <f t="shared" si="404"/>
        <v>0</v>
      </c>
      <c r="R3512" s="188"/>
      <c r="S3512" s="280"/>
      <c r="T3512" s="222"/>
      <c r="U3512" s="223" t="s">
        <v>5748</v>
      </c>
    </row>
    <row r="3513" spans="1:21" s="181" customFormat="1" ht="0" hidden="1" customHeight="1" outlineLevel="4">
      <c r="A3513" s="253" t="s">
        <v>4897</v>
      </c>
      <c r="B3513" s="254"/>
      <c r="C3513" s="250" t="s">
        <v>1609</v>
      </c>
      <c r="D3513" s="203">
        <f>'02 项目基础信息（输入）'!$C$87</f>
        <v>0</v>
      </c>
      <c r="E3513" s="204" t="s">
        <v>93</v>
      </c>
      <c r="F3513" s="202" t="s">
        <v>4540</v>
      </c>
      <c r="G3513" s="286"/>
      <c r="H3513" s="204" t="s">
        <v>298</v>
      </c>
      <c r="I3513" s="265">
        <f>D3513*G3513</f>
        <v>0</v>
      </c>
      <c r="J3513" s="204" t="s">
        <v>93</v>
      </c>
      <c r="K3513" s="269"/>
      <c r="L3513" s="210" t="s">
        <v>675</v>
      </c>
      <c r="M3513" s="198">
        <f>ROUND(K3513*I3513/10000,6)</f>
        <v>0</v>
      </c>
      <c r="N3513" s="212">
        <f>'02 项目基础信息（输入）'!$C$87</f>
        <v>0</v>
      </c>
      <c r="O3513" s="203">
        <f t="shared" si="403"/>
        <v>0</v>
      </c>
      <c r="P3513" s="203">
        <f t="shared" si="405"/>
        <v>0</v>
      </c>
      <c r="Q3513" s="271">
        <f t="shared" si="404"/>
        <v>0</v>
      </c>
      <c r="R3513" s="188"/>
      <c r="S3513" s="280"/>
      <c r="T3513" s="222"/>
      <c r="U3513" s="223" t="s">
        <v>5749</v>
      </c>
    </row>
    <row r="3514" spans="1:21" ht="0" hidden="1" customHeight="1" outlineLevel="2">
      <c r="A3514" s="201" t="s">
        <v>4542</v>
      </c>
      <c r="B3514" s="201"/>
      <c r="C3514" s="202" t="s">
        <v>1609</v>
      </c>
      <c r="D3514" s="203">
        <f>'02 项目基础信息（输入）'!$C$87</f>
        <v>0</v>
      </c>
      <c r="E3514" s="204" t="s">
        <v>93</v>
      </c>
      <c r="F3514" s="202"/>
      <c r="G3514" s="204"/>
      <c r="H3514" s="204"/>
      <c r="I3514" s="203"/>
      <c r="J3514" s="255"/>
      <c r="K3514" s="264"/>
      <c r="L3514" s="205"/>
      <c r="M3514" s="198">
        <f>ROUND(M3515+M3519+M3523+M3527+M3531+M3535+M3538+M3542+M3545+M3546+M3547+M3548,6)</f>
        <v>0</v>
      </c>
      <c r="N3514" s="212">
        <f>'02 项目基础信息（输入）'!$C$87</f>
        <v>0</v>
      </c>
      <c r="O3514" s="203">
        <f t="shared" si="403"/>
        <v>0</v>
      </c>
      <c r="P3514" s="203">
        <f t="shared" si="405"/>
        <v>0</v>
      </c>
      <c r="Q3514" s="271">
        <f t="shared" si="404"/>
        <v>0</v>
      </c>
      <c r="S3514" s="280" t="s">
        <v>1314</v>
      </c>
      <c r="T3514" s="222"/>
      <c r="U3514" s="223" t="s">
        <v>5750</v>
      </c>
    </row>
    <row r="3515" spans="1:21" s="181" customFormat="1" ht="0" hidden="1" customHeight="1" outlineLevel="3">
      <c r="A3515" s="253" t="s">
        <v>4900</v>
      </c>
      <c r="B3515" s="254"/>
      <c r="C3515" s="250" t="s">
        <v>1609</v>
      </c>
      <c r="D3515" s="203">
        <f>'02 项目基础信息（输入）'!$C$87</f>
        <v>0</v>
      </c>
      <c r="E3515" s="204" t="s">
        <v>93</v>
      </c>
      <c r="F3515" s="288"/>
      <c r="G3515" s="277"/>
      <c r="H3515" s="255"/>
      <c r="I3515" s="268"/>
      <c r="J3515" s="255"/>
      <c r="K3515" s="264"/>
      <c r="L3515" s="205"/>
      <c r="M3515" s="198">
        <f>ROUND(SUM(M3516:M3518),6)</f>
        <v>0</v>
      </c>
      <c r="N3515" s="212">
        <f>'02 项目基础信息（输入）'!$C$87</f>
        <v>0</v>
      </c>
      <c r="O3515" s="203">
        <f t="shared" si="403"/>
        <v>0</v>
      </c>
      <c r="P3515" s="203">
        <f t="shared" si="405"/>
        <v>0</v>
      </c>
      <c r="Q3515" s="271">
        <f t="shared" si="404"/>
        <v>0</v>
      </c>
      <c r="R3515" s="188"/>
      <c r="S3515" s="280"/>
      <c r="T3515" s="222"/>
      <c r="U3515" s="223" t="s">
        <v>5751</v>
      </c>
    </row>
    <row r="3516" spans="1:21" s="181" customFormat="1" ht="0" hidden="1" customHeight="1" outlineLevel="4">
      <c r="A3516" s="253" t="s">
        <v>4902</v>
      </c>
      <c r="B3516" s="253"/>
      <c r="C3516" s="202" t="s">
        <v>4903</v>
      </c>
      <c r="D3516" s="301">
        <f>'02 项目基础信息（输入）'!AB87</f>
        <v>0</v>
      </c>
      <c r="E3516" s="204" t="s">
        <v>400</v>
      </c>
      <c r="F3516" s="250" t="s">
        <v>4904</v>
      </c>
      <c r="G3516" s="310">
        <f>IFERROR(N3516*('02 项目基础信息（输入）'!AC87/'02 项目基础信息（输入）'!C87)/D3516,0)</f>
        <v>0</v>
      </c>
      <c r="H3516" s="204" t="s">
        <v>411</v>
      </c>
      <c r="I3516" s="265">
        <f>D3516*G3516</f>
        <v>0</v>
      </c>
      <c r="J3516" s="204" t="s">
        <v>93</v>
      </c>
      <c r="K3516" s="269"/>
      <c r="L3516" s="210" t="s">
        <v>675</v>
      </c>
      <c r="M3516" s="198">
        <f>ROUND(K3516*I3516/10000,6)</f>
        <v>0</v>
      </c>
      <c r="N3516" s="212">
        <f>'02 项目基础信息（输入）'!$C$87</f>
        <v>0</v>
      </c>
      <c r="O3516" s="203">
        <f t="shared" si="403"/>
        <v>0</v>
      </c>
      <c r="P3516" s="203">
        <f t="shared" si="405"/>
        <v>0</v>
      </c>
      <c r="Q3516" s="271">
        <f t="shared" si="404"/>
        <v>0</v>
      </c>
      <c r="R3516" s="188"/>
      <c r="S3516" s="280"/>
      <c r="T3516" s="222"/>
      <c r="U3516" s="223" t="s">
        <v>5752</v>
      </c>
    </row>
    <row r="3517" spans="1:21" s="181" customFormat="1" ht="0" hidden="1" customHeight="1" outlineLevel="4">
      <c r="A3517" s="253" t="s">
        <v>4906</v>
      </c>
      <c r="B3517" s="253"/>
      <c r="C3517" s="202" t="s">
        <v>4903</v>
      </c>
      <c r="D3517" s="288">
        <f>D3516</f>
        <v>0</v>
      </c>
      <c r="E3517" s="204" t="s">
        <v>400</v>
      </c>
      <c r="F3517" s="250" t="s">
        <v>4904</v>
      </c>
      <c r="G3517" s="303">
        <f>G3516</f>
        <v>0</v>
      </c>
      <c r="H3517" s="204" t="s">
        <v>411</v>
      </c>
      <c r="I3517" s="265">
        <f>D3517*G3517</f>
        <v>0</v>
      </c>
      <c r="J3517" s="204" t="s">
        <v>93</v>
      </c>
      <c r="K3517" s="269"/>
      <c r="L3517" s="210" t="s">
        <v>675</v>
      </c>
      <c r="M3517" s="198">
        <f>ROUND(K3517*I3517/10000,6)</f>
        <v>0</v>
      </c>
      <c r="N3517" s="212">
        <f>'02 项目基础信息（输入）'!$C$87</f>
        <v>0</v>
      </c>
      <c r="O3517" s="203">
        <f t="shared" si="403"/>
        <v>0</v>
      </c>
      <c r="P3517" s="203">
        <f t="shared" si="405"/>
        <v>0</v>
      </c>
      <c r="Q3517" s="271">
        <f t="shared" si="404"/>
        <v>0</v>
      </c>
      <c r="R3517" s="188"/>
      <c r="S3517" s="280"/>
      <c r="T3517" s="222"/>
      <c r="U3517" s="223" t="s">
        <v>5753</v>
      </c>
    </row>
    <row r="3518" spans="1:21" s="181" customFormat="1" ht="0" hidden="1" customHeight="1" outlineLevel="4">
      <c r="A3518" s="253" t="s">
        <v>4908</v>
      </c>
      <c r="B3518" s="253"/>
      <c r="C3518" s="202" t="s">
        <v>4903</v>
      </c>
      <c r="D3518" s="288">
        <f>D3517</f>
        <v>0</v>
      </c>
      <c r="E3518" s="204" t="s">
        <v>400</v>
      </c>
      <c r="F3518" s="250" t="s">
        <v>4904</v>
      </c>
      <c r="G3518" s="303">
        <f>G3517</f>
        <v>0</v>
      </c>
      <c r="H3518" s="204" t="s">
        <v>411</v>
      </c>
      <c r="I3518" s="265">
        <f>D3518*G3518</f>
        <v>0</v>
      </c>
      <c r="J3518" s="204" t="s">
        <v>93</v>
      </c>
      <c r="K3518" s="269"/>
      <c r="L3518" s="210" t="s">
        <v>675</v>
      </c>
      <c r="M3518" s="198">
        <f>ROUND(K3518*I3518/10000,6)</f>
        <v>0</v>
      </c>
      <c r="N3518" s="212">
        <f>'02 项目基础信息（输入）'!$C$87</f>
        <v>0</v>
      </c>
      <c r="O3518" s="203">
        <f t="shared" si="403"/>
        <v>0</v>
      </c>
      <c r="P3518" s="203">
        <f t="shared" si="405"/>
        <v>0</v>
      </c>
      <c r="Q3518" s="271">
        <f t="shared" si="404"/>
        <v>0</v>
      </c>
      <c r="R3518" s="188"/>
      <c r="S3518" s="280"/>
      <c r="T3518" s="222"/>
      <c r="U3518" s="223" t="s">
        <v>5754</v>
      </c>
    </row>
    <row r="3519" spans="1:21" s="181" customFormat="1" ht="0" hidden="1" customHeight="1" outlineLevel="3">
      <c r="A3519" s="253" t="s">
        <v>4910</v>
      </c>
      <c r="B3519" s="254"/>
      <c r="C3519" s="250" t="s">
        <v>1609</v>
      </c>
      <c r="D3519" s="203">
        <f>'02 项目基础信息（输入）'!$C$87</f>
        <v>0</v>
      </c>
      <c r="E3519" s="204" t="s">
        <v>93</v>
      </c>
      <c r="F3519" s="288"/>
      <c r="G3519" s="277"/>
      <c r="H3519" s="255"/>
      <c r="I3519" s="268"/>
      <c r="J3519" s="255"/>
      <c r="K3519" s="264"/>
      <c r="L3519" s="205"/>
      <c r="M3519" s="198">
        <f>ROUND(SUM(M3520:M3522),6)</f>
        <v>0</v>
      </c>
      <c r="N3519" s="212">
        <f>'02 项目基础信息（输入）'!$C$87</f>
        <v>0</v>
      </c>
      <c r="O3519" s="203">
        <f t="shared" si="403"/>
        <v>0</v>
      </c>
      <c r="P3519" s="203">
        <f t="shared" si="405"/>
        <v>0</v>
      </c>
      <c r="Q3519" s="271">
        <f t="shared" si="404"/>
        <v>0</v>
      </c>
      <c r="R3519" s="188"/>
      <c r="S3519" s="280"/>
      <c r="T3519" s="222"/>
      <c r="U3519" s="223" t="s">
        <v>5755</v>
      </c>
    </row>
    <row r="3520" spans="1:21" s="181" customFormat="1" ht="0" hidden="1" customHeight="1" outlineLevel="4">
      <c r="A3520" s="253" t="s">
        <v>4912</v>
      </c>
      <c r="B3520" s="253"/>
      <c r="C3520" s="202" t="s">
        <v>4913</v>
      </c>
      <c r="D3520" s="304">
        <f>'02 项目基础信息（输入）'!T87</f>
        <v>0</v>
      </c>
      <c r="E3520" s="204" t="s">
        <v>1838</v>
      </c>
      <c r="F3520" s="250" t="s">
        <v>4914</v>
      </c>
      <c r="G3520" s="310">
        <f>IFERROR(N3520/D3520*('02 项目基础信息（输入）'!AE87/'02 项目基础信息（输入）'!C87),0)</f>
        <v>0</v>
      </c>
      <c r="H3520" s="204" t="s">
        <v>4915</v>
      </c>
      <c r="I3520" s="265">
        <f>D3520*G3520</f>
        <v>0</v>
      </c>
      <c r="J3520" s="204" t="s">
        <v>93</v>
      </c>
      <c r="K3520" s="269"/>
      <c r="L3520" s="210" t="s">
        <v>675</v>
      </c>
      <c r="M3520" s="198">
        <f>ROUND(K3520*I3520/10000,6)</f>
        <v>0</v>
      </c>
      <c r="N3520" s="212">
        <f>'02 项目基础信息（输入）'!$C$87</f>
        <v>0</v>
      </c>
      <c r="O3520" s="203">
        <f t="shared" si="403"/>
        <v>0</v>
      </c>
      <c r="P3520" s="203">
        <f t="shared" si="405"/>
        <v>0</v>
      </c>
      <c r="Q3520" s="271">
        <f t="shared" si="404"/>
        <v>0</v>
      </c>
      <c r="R3520" s="188"/>
      <c r="S3520" s="280"/>
      <c r="T3520" s="222"/>
      <c r="U3520" s="223" t="s">
        <v>5756</v>
      </c>
    </row>
    <row r="3521" spans="1:21" s="181" customFormat="1" ht="0" hidden="1" customHeight="1" outlineLevel="4">
      <c r="A3521" s="253" t="s">
        <v>4917</v>
      </c>
      <c r="B3521" s="253"/>
      <c r="C3521" s="202" t="s">
        <v>4913</v>
      </c>
      <c r="D3521" s="288">
        <f>D3520</f>
        <v>0</v>
      </c>
      <c r="E3521" s="204" t="s">
        <v>1838</v>
      </c>
      <c r="F3521" s="250" t="s">
        <v>4914</v>
      </c>
      <c r="G3521" s="258">
        <f>G3520</f>
        <v>0</v>
      </c>
      <c r="H3521" s="204" t="s">
        <v>4915</v>
      </c>
      <c r="I3521" s="265">
        <f>D3521*G3521</f>
        <v>0</v>
      </c>
      <c r="J3521" s="204" t="s">
        <v>93</v>
      </c>
      <c r="K3521" s="269"/>
      <c r="L3521" s="210" t="s">
        <v>675</v>
      </c>
      <c r="M3521" s="198">
        <f>ROUND(K3521*I3521/10000,6)</f>
        <v>0</v>
      </c>
      <c r="N3521" s="212">
        <f>'02 项目基础信息（输入）'!$C$87</f>
        <v>0</v>
      </c>
      <c r="O3521" s="203">
        <f t="shared" si="403"/>
        <v>0</v>
      </c>
      <c r="P3521" s="203">
        <f t="shared" si="405"/>
        <v>0</v>
      </c>
      <c r="Q3521" s="271">
        <f t="shared" si="404"/>
        <v>0</v>
      </c>
      <c r="R3521" s="188"/>
      <c r="S3521" s="280"/>
      <c r="T3521" s="222"/>
      <c r="U3521" s="223" t="s">
        <v>5757</v>
      </c>
    </row>
    <row r="3522" spans="1:21" s="181" customFormat="1" ht="0" hidden="1" customHeight="1" outlineLevel="4">
      <c r="A3522" s="253" t="s">
        <v>4919</v>
      </c>
      <c r="B3522" s="253"/>
      <c r="C3522" s="202" t="s">
        <v>4913</v>
      </c>
      <c r="D3522" s="288">
        <f>D3521</f>
        <v>0</v>
      </c>
      <c r="E3522" s="204" t="s">
        <v>1838</v>
      </c>
      <c r="F3522" s="250" t="s">
        <v>4914</v>
      </c>
      <c r="G3522" s="258">
        <f>G3521</f>
        <v>0</v>
      </c>
      <c r="H3522" s="204" t="s">
        <v>4915</v>
      </c>
      <c r="I3522" s="265">
        <f>D3522*G3522</f>
        <v>0</v>
      </c>
      <c r="J3522" s="204" t="s">
        <v>93</v>
      </c>
      <c r="K3522" s="269"/>
      <c r="L3522" s="210" t="s">
        <v>675</v>
      </c>
      <c r="M3522" s="198">
        <f>ROUND(K3522*I3522/10000,6)</f>
        <v>0</v>
      </c>
      <c r="N3522" s="212">
        <f>'02 项目基础信息（输入）'!$C$87</f>
        <v>0</v>
      </c>
      <c r="O3522" s="203">
        <f t="shared" si="403"/>
        <v>0</v>
      </c>
      <c r="P3522" s="203">
        <f t="shared" si="405"/>
        <v>0</v>
      </c>
      <c r="Q3522" s="271">
        <f t="shared" si="404"/>
        <v>0</v>
      </c>
      <c r="R3522" s="188"/>
      <c r="S3522" s="280"/>
      <c r="T3522" s="222"/>
      <c r="U3522" s="223" t="s">
        <v>5758</v>
      </c>
    </row>
    <row r="3523" spans="1:21" s="181" customFormat="1" ht="0" hidden="1" customHeight="1" outlineLevel="3">
      <c r="A3523" s="253" t="s">
        <v>4921</v>
      </c>
      <c r="B3523" s="254"/>
      <c r="C3523" s="250" t="s">
        <v>1609</v>
      </c>
      <c r="D3523" s="203">
        <f>'02 项目基础信息（输入）'!$C$87</f>
        <v>0</v>
      </c>
      <c r="E3523" s="204" t="s">
        <v>93</v>
      </c>
      <c r="F3523" s="288"/>
      <c r="G3523" s="277"/>
      <c r="H3523" s="255"/>
      <c r="I3523" s="268"/>
      <c r="J3523" s="255"/>
      <c r="K3523" s="264"/>
      <c r="L3523" s="205"/>
      <c r="M3523" s="198">
        <f>ROUND(SUM(M3524:M3526),6)</f>
        <v>0</v>
      </c>
      <c r="N3523" s="212">
        <f>'02 项目基础信息（输入）'!$C$87</f>
        <v>0</v>
      </c>
      <c r="O3523" s="203">
        <f t="shared" ref="O3523:O3586" si="408">ROUND(IFERROR(M3523*10000/N3523,0),2)</f>
        <v>0</v>
      </c>
      <c r="P3523" s="203">
        <f t="shared" si="405"/>
        <v>0</v>
      </c>
      <c r="Q3523" s="271">
        <f t="shared" ref="Q3523:Q3586" si="409">ROUND(IFERROR(M3523*10000/P3523,0),2)</f>
        <v>0</v>
      </c>
      <c r="R3523" s="188"/>
      <c r="S3523" s="280"/>
      <c r="T3523" s="222"/>
      <c r="U3523" s="223" t="s">
        <v>5759</v>
      </c>
    </row>
    <row r="3524" spans="1:21" s="181" customFormat="1" ht="0" hidden="1" customHeight="1" outlineLevel="4">
      <c r="A3524" s="253" t="s">
        <v>4923</v>
      </c>
      <c r="B3524" s="253"/>
      <c r="C3524" s="202" t="s">
        <v>4913</v>
      </c>
      <c r="D3524" s="352">
        <f>D3520</f>
        <v>0</v>
      </c>
      <c r="E3524" s="204" t="s">
        <v>1838</v>
      </c>
      <c r="F3524" s="250" t="s">
        <v>4924</v>
      </c>
      <c r="G3524" s="302">
        <f>IFERROR(N3524*('02 项目基础信息（输入）'!AF87/'02 项目基础信息（输入）'!C87)/D3524,0)</f>
        <v>0</v>
      </c>
      <c r="H3524" s="204" t="s">
        <v>4915</v>
      </c>
      <c r="I3524" s="265">
        <f>D3524*G3524</f>
        <v>0</v>
      </c>
      <c r="J3524" s="204" t="s">
        <v>93</v>
      </c>
      <c r="K3524" s="269"/>
      <c r="L3524" s="210" t="s">
        <v>675</v>
      </c>
      <c r="M3524" s="198">
        <f>ROUND(K3524*I3524/10000,6)</f>
        <v>0</v>
      </c>
      <c r="N3524" s="212">
        <f>'02 项目基础信息（输入）'!$C$87</f>
        <v>0</v>
      </c>
      <c r="O3524" s="203">
        <f t="shared" si="408"/>
        <v>0</v>
      </c>
      <c r="P3524" s="203">
        <f t="shared" si="405"/>
        <v>0</v>
      </c>
      <c r="Q3524" s="271">
        <f t="shared" si="409"/>
        <v>0</v>
      </c>
      <c r="R3524" s="188"/>
      <c r="S3524" s="280"/>
      <c r="T3524" s="222"/>
      <c r="U3524" s="223" t="s">
        <v>5760</v>
      </c>
    </row>
    <row r="3525" spans="1:21" s="181" customFormat="1" ht="0" hidden="1" customHeight="1" outlineLevel="4">
      <c r="A3525" s="253" t="s">
        <v>4926</v>
      </c>
      <c r="B3525" s="253"/>
      <c r="C3525" s="202" t="s">
        <v>4913</v>
      </c>
      <c r="D3525" s="288">
        <f>D3524</f>
        <v>0</v>
      </c>
      <c r="E3525" s="204" t="s">
        <v>1838</v>
      </c>
      <c r="F3525" s="250" t="s">
        <v>4924</v>
      </c>
      <c r="G3525" s="258">
        <f>G3524</f>
        <v>0</v>
      </c>
      <c r="H3525" s="204" t="s">
        <v>4915</v>
      </c>
      <c r="I3525" s="265">
        <f>D3525*G3525</f>
        <v>0</v>
      </c>
      <c r="J3525" s="204" t="s">
        <v>93</v>
      </c>
      <c r="K3525" s="269"/>
      <c r="L3525" s="210" t="s">
        <v>675</v>
      </c>
      <c r="M3525" s="198">
        <f>ROUND(K3525*I3525/10000,6)</f>
        <v>0</v>
      </c>
      <c r="N3525" s="212">
        <f>'02 项目基础信息（输入）'!$C$87</f>
        <v>0</v>
      </c>
      <c r="O3525" s="203">
        <f t="shared" si="408"/>
        <v>0</v>
      </c>
      <c r="P3525" s="203">
        <f t="shared" si="405"/>
        <v>0</v>
      </c>
      <c r="Q3525" s="271">
        <f t="shared" si="409"/>
        <v>0</v>
      </c>
      <c r="R3525" s="188"/>
      <c r="S3525" s="280"/>
      <c r="T3525" s="222"/>
      <c r="U3525" s="223" t="s">
        <v>5761</v>
      </c>
    </row>
    <row r="3526" spans="1:21" s="181" customFormat="1" ht="0" hidden="1" customHeight="1" outlineLevel="4">
      <c r="A3526" s="253" t="s">
        <v>4928</v>
      </c>
      <c r="B3526" s="253"/>
      <c r="C3526" s="202" t="s">
        <v>4913</v>
      </c>
      <c r="D3526" s="288">
        <f>D3525</f>
        <v>0</v>
      </c>
      <c r="E3526" s="204" t="s">
        <v>1838</v>
      </c>
      <c r="F3526" s="250" t="s">
        <v>4924</v>
      </c>
      <c r="G3526" s="258">
        <f>G3525</f>
        <v>0</v>
      </c>
      <c r="H3526" s="204" t="s">
        <v>4915</v>
      </c>
      <c r="I3526" s="265">
        <f>D3526*G3526</f>
        <v>0</v>
      </c>
      <c r="J3526" s="204" t="s">
        <v>93</v>
      </c>
      <c r="K3526" s="269"/>
      <c r="L3526" s="210" t="s">
        <v>675</v>
      </c>
      <c r="M3526" s="198">
        <f>ROUND(K3526*I3526/10000,6)</f>
        <v>0</v>
      </c>
      <c r="N3526" s="212">
        <f>'02 项目基础信息（输入）'!$C$87</f>
        <v>0</v>
      </c>
      <c r="O3526" s="203">
        <f t="shared" si="408"/>
        <v>0</v>
      </c>
      <c r="P3526" s="203">
        <f t="shared" si="405"/>
        <v>0</v>
      </c>
      <c r="Q3526" s="271">
        <f t="shared" si="409"/>
        <v>0</v>
      </c>
      <c r="R3526" s="188"/>
      <c r="S3526" s="280"/>
      <c r="T3526" s="222"/>
      <c r="U3526" s="223" t="s">
        <v>5762</v>
      </c>
    </row>
    <row r="3527" spans="1:21" s="181" customFormat="1" ht="0" hidden="1" customHeight="1" outlineLevel="3">
      <c r="A3527" s="253" t="s">
        <v>4930</v>
      </c>
      <c r="B3527" s="254"/>
      <c r="C3527" s="250" t="s">
        <v>1609</v>
      </c>
      <c r="D3527" s="203">
        <f>'02 项目基础信息（输入）'!$C$87</f>
        <v>0</v>
      </c>
      <c r="E3527" s="204" t="s">
        <v>93</v>
      </c>
      <c r="F3527" s="288"/>
      <c r="G3527" s="277"/>
      <c r="H3527" s="255"/>
      <c r="I3527" s="268"/>
      <c r="J3527" s="255"/>
      <c r="K3527" s="264"/>
      <c r="L3527" s="205"/>
      <c r="M3527" s="198">
        <f>ROUND(SUM(M3528:M3530),6)</f>
        <v>0</v>
      </c>
      <c r="N3527" s="212">
        <f>'02 项目基础信息（输入）'!$C$87</f>
        <v>0</v>
      </c>
      <c r="O3527" s="203">
        <f t="shared" si="408"/>
        <v>0</v>
      </c>
      <c r="P3527" s="203">
        <f t="shared" si="405"/>
        <v>0</v>
      </c>
      <c r="Q3527" s="271">
        <f t="shared" si="409"/>
        <v>0</v>
      </c>
      <c r="R3527" s="188"/>
      <c r="S3527" s="280"/>
      <c r="T3527" s="222"/>
      <c r="U3527" s="223" t="s">
        <v>5763</v>
      </c>
    </row>
    <row r="3528" spans="1:21" s="181" customFormat="1" ht="0" hidden="1" customHeight="1" outlineLevel="4">
      <c r="A3528" s="253" t="s">
        <v>4932</v>
      </c>
      <c r="B3528" s="253"/>
      <c r="C3528" s="202" t="s">
        <v>4913</v>
      </c>
      <c r="D3528" s="352">
        <f>$D$3524</f>
        <v>0</v>
      </c>
      <c r="E3528" s="204" t="s">
        <v>1838</v>
      </c>
      <c r="F3528" s="250" t="s">
        <v>4933</v>
      </c>
      <c r="G3528" s="310">
        <f>IFERROR(N3528*('02 项目基础信息（输入）'!AG87/'02 项目基础信息（输入）'!C87)/D3528,0)</f>
        <v>0</v>
      </c>
      <c r="H3528" s="204" t="s">
        <v>4915</v>
      </c>
      <c r="I3528" s="265">
        <f>D3528*G3528</f>
        <v>0</v>
      </c>
      <c r="J3528" s="204" t="s">
        <v>93</v>
      </c>
      <c r="K3528" s="269"/>
      <c r="L3528" s="210" t="s">
        <v>675</v>
      </c>
      <c r="M3528" s="198">
        <f>ROUND(K3528*I3528/10000,6)</f>
        <v>0</v>
      </c>
      <c r="N3528" s="212">
        <f>'02 项目基础信息（输入）'!$C$87</f>
        <v>0</v>
      </c>
      <c r="O3528" s="203">
        <f t="shared" si="408"/>
        <v>0</v>
      </c>
      <c r="P3528" s="203">
        <f t="shared" si="405"/>
        <v>0</v>
      </c>
      <c r="Q3528" s="271">
        <f t="shared" si="409"/>
        <v>0</v>
      </c>
      <c r="R3528" s="188"/>
      <c r="S3528" s="280"/>
      <c r="T3528" s="222"/>
      <c r="U3528" s="223" t="s">
        <v>5764</v>
      </c>
    </row>
    <row r="3529" spans="1:21" s="181" customFormat="1" ht="0" hidden="1" customHeight="1" outlineLevel="4">
      <c r="A3529" s="253" t="s">
        <v>4935</v>
      </c>
      <c r="B3529" s="253"/>
      <c r="C3529" s="202" t="s">
        <v>4913</v>
      </c>
      <c r="D3529" s="288">
        <f>D3528</f>
        <v>0</v>
      </c>
      <c r="E3529" s="204" t="s">
        <v>1838</v>
      </c>
      <c r="F3529" s="250" t="s">
        <v>4933</v>
      </c>
      <c r="G3529" s="258">
        <f>G3528</f>
        <v>0</v>
      </c>
      <c r="H3529" s="204" t="s">
        <v>4915</v>
      </c>
      <c r="I3529" s="265">
        <f>D3529*G3529</f>
        <v>0</v>
      </c>
      <c r="J3529" s="204" t="s">
        <v>93</v>
      </c>
      <c r="K3529" s="269"/>
      <c r="L3529" s="210" t="s">
        <v>675</v>
      </c>
      <c r="M3529" s="198">
        <f>ROUND(K3529*I3529/10000,6)</f>
        <v>0</v>
      </c>
      <c r="N3529" s="212">
        <f>'02 项目基础信息（输入）'!$C$87</f>
        <v>0</v>
      </c>
      <c r="O3529" s="203">
        <f t="shared" si="408"/>
        <v>0</v>
      </c>
      <c r="P3529" s="203">
        <f t="shared" si="405"/>
        <v>0</v>
      </c>
      <c r="Q3529" s="271">
        <f t="shared" si="409"/>
        <v>0</v>
      </c>
      <c r="R3529" s="188"/>
      <c r="S3529" s="280"/>
      <c r="T3529" s="222"/>
      <c r="U3529" s="223" t="s">
        <v>5765</v>
      </c>
    </row>
    <row r="3530" spans="1:21" s="181" customFormat="1" ht="0" hidden="1" customHeight="1" outlineLevel="4">
      <c r="A3530" s="253" t="s">
        <v>4937</v>
      </c>
      <c r="B3530" s="253"/>
      <c r="C3530" s="202" t="s">
        <v>4913</v>
      </c>
      <c r="D3530" s="288">
        <f>D3529</f>
        <v>0</v>
      </c>
      <c r="E3530" s="204" t="s">
        <v>1838</v>
      </c>
      <c r="F3530" s="250" t="s">
        <v>4933</v>
      </c>
      <c r="G3530" s="258">
        <f>G3529</f>
        <v>0</v>
      </c>
      <c r="H3530" s="204" t="s">
        <v>4915</v>
      </c>
      <c r="I3530" s="265">
        <f>D3530*G3530</f>
        <v>0</v>
      </c>
      <c r="J3530" s="204" t="s">
        <v>93</v>
      </c>
      <c r="K3530" s="269"/>
      <c r="L3530" s="210" t="s">
        <v>675</v>
      </c>
      <c r="M3530" s="198">
        <f>ROUND(K3530*I3530/10000,6)</f>
        <v>0</v>
      </c>
      <c r="N3530" s="212">
        <f>'02 项目基础信息（输入）'!$C$87</f>
        <v>0</v>
      </c>
      <c r="O3530" s="203">
        <f t="shared" si="408"/>
        <v>0</v>
      </c>
      <c r="P3530" s="203">
        <f t="shared" ref="P3530:P3593" si="410">N3530</f>
        <v>0</v>
      </c>
      <c r="Q3530" s="271">
        <f t="shared" si="409"/>
        <v>0</v>
      </c>
      <c r="R3530" s="188"/>
      <c r="S3530" s="280"/>
      <c r="T3530" s="222"/>
      <c r="U3530" s="223" t="s">
        <v>5766</v>
      </c>
    </row>
    <row r="3531" spans="1:21" s="181" customFormat="1" ht="0" hidden="1" customHeight="1" outlineLevel="3">
      <c r="A3531" s="253" t="s">
        <v>4939</v>
      </c>
      <c r="B3531" s="254"/>
      <c r="C3531" s="250" t="s">
        <v>1609</v>
      </c>
      <c r="D3531" s="203">
        <f>'02 项目基础信息（输入）'!$C$87</f>
        <v>0</v>
      </c>
      <c r="E3531" s="204" t="s">
        <v>93</v>
      </c>
      <c r="F3531" s="288"/>
      <c r="G3531" s="277"/>
      <c r="H3531" s="255"/>
      <c r="I3531" s="268"/>
      <c r="J3531" s="255"/>
      <c r="K3531" s="264"/>
      <c r="L3531" s="205"/>
      <c r="M3531" s="198">
        <f>ROUND(SUM(M3532:M3534),6)</f>
        <v>0</v>
      </c>
      <c r="N3531" s="212">
        <f>'02 项目基础信息（输入）'!$C$87</f>
        <v>0</v>
      </c>
      <c r="O3531" s="203">
        <f t="shared" si="408"/>
        <v>0</v>
      </c>
      <c r="P3531" s="203">
        <f t="shared" si="410"/>
        <v>0</v>
      </c>
      <c r="Q3531" s="271">
        <f t="shared" si="409"/>
        <v>0</v>
      </c>
      <c r="R3531" s="188"/>
      <c r="S3531" s="280"/>
      <c r="T3531" s="222"/>
      <c r="U3531" s="223" t="s">
        <v>5767</v>
      </c>
    </row>
    <row r="3532" spans="1:21" s="181" customFormat="1" ht="0" hidden="1" customHeight="1" outlineLevel="4">
      <c r="A3532" s="253" t="s">
        <v>4941</v>
      </c>
      <c r="B3532" s="253"/>
      <c r="C3532" s="202" t="s">
        <v>4913</v>
      </c>
      <c r="D3532" s="352">
        <f>$D$3524</f>
        <v>0</v>
      </c>
      <c r="E3532" s="204" t="s">
        <v>1838</v>
      </c>
      <c r="F3532" s="250" t="s">
        <v>4942</v>
      </c>
      <c r="G3532" s="310">
        <f>IFERROR(N3532*('02 项目基础信息（输入）'!AH87/'02 项目基础信息（输入）'!C87)/D3532,0)</f>
        <v>0</v>
      </c>
      <c r="H3532" s="204" t="s">
        <v>4915</v>
      </c>
      <c r="I3532" s="265">
        <f>D3532*G3532</f>
        <v>0</v>
      </c>
      <c r="J3532" s="204" t="s">
        <v>93</v>
      </c>
      <c r="K3532" s="269"/>
      <c r="L3532" s="210" t="s">
        <v>675</v>
      </c>
      <c r="M3532" s="198">
        <f>ROUND(K3532*I3532/10000,6)</f>
        <v>0</v>
      </c>
      <c r="N3532" s="212">
        <f>'02 项目基础信息（输入）'!$C$87</f>
        <v>0</v>
      </c>
      <c r="O3532" s="203">
        <f t="shared" si="408"/>
        <v>0</v>
      </c>
      <c r="P3532" s="203">
        <f t="shared" si="410"/>
        <v>0</v>
      </c>
      <c r="Q3532" s="271">
        <f t="shared" si="409"/>
        <v>0</v>
      </c>
      <c r="R3532" s="188"/>
      <c r="S3532" s="280"/>
      <c r="T3532" s="222"/>
      <c r="U3532" s="223" t="s">
        <v>5768</v>
      </c>
    </row>
    <row r="3533" spans="1:21" s="181" customFormat="1" ht="0" hidden="1" customHeight="1" outlineLevel="4">
      <c r="A3533" s="253" t="s">
        <v>4944</v>
      </c>
      <c r="B3533" s="253"/>
      <c r="C3533" s="202" t="s">
        <v>4913</v>
      </c>
      <c r="D3533" s="288">
        <f>D3532</f>
        <v>0</v>
      </c>
      <c r="E3533" s="204" t="s">
        <v>1838</v>
      </c>
      <c r="F3533" s="250" t="s">
        <v>4942</v>
      </c>
      <c r="G3533" s="258">
        <f>G3532</f>
        <v>0</v>
      </c>
      <c r="H3533" s="204" t="s">
        <v>4915</v>
      </c>
      <c r="I3533" s="265">
        <f>D3533*G3533</f>
        <v>0</v>
      </c>
      <c r="J3533" s="204" t="s">
        <v>93</v>
      </c>
      <c r="K3533" s="269"/>
      <c r="L3533" s="210" t="s">
        <v>675</v>
      </c>
      <c r="M3533" s="198">
        <f>ROUND(K3533*I3533/10000,6)</f>
        <v>0</v>
      </c>
      <c r="N3533" s="212">
        <f>'02 项目基础信息（输入）'!$C$87</f>
        <v>0</v>
      </c>
      <c r="O3533" s="203">
        <f t="shared" si="408"/>
        <v>0</v>
      </c>
      <c r="P3533" s="203">
        <f t="shared" si="410"/>
        <v>0</v>
      </c>
      <c r="Q3533" s="271">
        <f t="shared" si="409"/>
        <v>0</v>
      </c>
      <c r="R3533" s="188"/>
      <c r="S3533" s="280"/>
      <c r="T3533" s="222"/>
      <c r="U3533" s="223" t="s">
        <v>5769</v>
      </c>
    </row>
    <row r="3534" spans="1:21" s="181" customFormat="1" ht="0" hidden="1" customHeight="1" outlineLevel="4">
      <c r="A3534" s="253" t="s">
        <v>4946</v>
      </c>
      <c r="B3534" s="253"/>
      <c r="C3534" s="202" t="s">
        <v>4913</v>
      </c>
      <c r="D3534" s="288">
        <f>D3533</f>
        <v>0</v>
      </c>
      <c r="E3534" s="204" t="s">
        <v>1838</v>
      </c>
      <c r="F3534" s="250" t="s">
        <v>4942</v>
      </c>
      <c r="G3534" s="258">
        <f>G3533</f>
        <v>0</v>
      </c>
      <c r="H3534" s="204" t="s">
        <v>4915</v>
      </c>
      <c r="I3534" s="265">
        <f>D3534*G3534</f>
        <v>0</v>
      </c>
      <c r="J3534" s="204" t="s">
        <v>93</v>
      </c>
      <c r="K3534" s="269"/>
      <c r="L3534" s="210" t="s">
        <v>675</v>
      </c>
      <c r="M3534" s="198">
        <f>ROUND(K3534*I3534/10000,6)</f>
        <v>0</v>
      </c>
      <c r="N3534" s="212">
        <f>'02 项目基础信息（输入）'!$C$87</f>
        <v>0</v>
      </c>
      <c r="O3534" s="203">
        <f t="shared" si="408"/>
        <v>0</v>
      </c>
      <c r="P3534" s="203">
        <f t="shared" si="410"/>
        <v>0</v>
      </c>
      <c r="Q3534" s="271">
        <f t="shared" si="409"/>
        <v>0</v>
      </c>
      <c r="R3534" s="188"/>
      <c r="S3534" s="280"/>
      <c r="T3534" s="222"/>
      <c r="U3534" s="223" t="s">
        <v>5770</v>
      </c>
    </row>
    <row r="3535" spans="1:21" s="181" customFormat="1" ht="0" hidden="1" customHeight="1" outlineLevel="3">
      <c r="A3535" s="253" t="s">
        <v>4948</v>
      </c>
      <c r="B3535" s="254"/>
      <c r="C3535" s="250" t="s">
        <v>1609</v>
      </c>
      <c r="D3535" s="203">
        <f>'02 项目基础信息（输入）'!$C$87</f>
        <v>0</v>
      </c>
      <c r="E3535" s="204" t="s">
        <v>93</v>
      </c>
      <c r="F3535" s="288"/>
      <c r="G3535" s="277"/>
      <c r="H3535" s="255"/>
      <c r="I3535" s="268"/>
      <c r="J3535" s="255"/>
      <c r="K3535" s="264"/>
      <c r="L3535" s="205"/>
      <c r="M3535" s="198">
        <f>ROUND(SUM(M3536:M3537),6)</f>
        <v>0</v>
      </c>
      <c r="N3535" s="212">
        <f>'02 项目基础信息（输入）'!$C$87</f>
        <v>0</v>
      </c>
      <c r="O3535" s="203">
        <f t="shared" si="408"/>
        <v>0</v>
      </c>
      <c r="P3535" s="203">
        <f t="shared" si="410"/>
        <v>0</v>
      </c>
      <c r="Q3535" s="271">
        <f t="shared" si="409"/>
        <v>0</v>
      </c>
      <c r="R3535" s="188"/>
      <c r="S3535" s="280"/>
      <c r="T3535" s="222"/>
      <c r="U3535" s="223" t="s">
        <v>5771</v>
      </c>
    </row>
    <row r="3536" spans="1:21" s="181" customFormat="1" ht="0" hidden="1" customHeight="1" outlineLevel="4">
      <c r="A3536" s="253" t="s">
        <v>4950</v>
      </c>
      <c r="B3536" s="253"/>
      <c r="C3536" s="202" t="s">
        <v>4913</v>
      </c>
      <c r="D3536" s="352">
        <f>$D$3524</f>
        <v>0</v>
      </c>
      <c r="E3536" s="204" t="s">
        <v>1838</v>
      </c>
      <c r="F3536" s="250" t="s">
        <v>4951</v>
      </c>
      <c r="G3536" s="310">
        <f>IFERROR(N3536*('02 项目基础信息（输入）'!BD87/'02 项目基础信息（输入）'!C87)/D3536,0)</f>
        <v>0</v>
      </c>
      <c r="H3536" s="204" t="s">
        <v>4915</v>
      </c>
      <c r="I3536" s="265">
        <f>D3536*G3536</f>
        <v>0</v>
      </c>
      <c r="J3536" s="204" t="s">
        <v>93</v>
      </c>
      <c r="K3536" s="269"/>
      <c r="L3536" s="210" t="s">
        <v>675</v>
      </c>
      <c r="M3536" s="198">
        <f>ROUND(K3536*I3536/10000,6)</f>
        <v>0</v>
      </c>
      <c r="N3536" s="212">
        <f>'02 项目基础信息（输入）'!$C$87</f>
        <v>0</v>
      </c>
      <c r="O3536" s="203">
        <f t="shared" si="408"/>
        <v>0</v>
      </c>
      <c r="P3536" s="203">
        <f t="shared" si="410"/>
        <v>0</v>
      </c>
      <c r="Q3536" s="271">
        <f t="shared" si="409"/>
        <v>0</v>
      </c>
      <c r="R3536" s="188"/>
      <c r="S3536" s="280"/>
      <c r="T3536" s="222"/>
      <c r="U3536" s="223" t="s">
        <v>5772</v>
      </c>
    </row>
    <row r="3537" spans="1:21" s="181" customFormat="1" ht="0" hidden="1" customHeight="1" outlineLevel="4">
      <c r="A3537" s="253" t="s">
        <v>4953</v>
      </c>
      <c r="B3537" s="253"/>
      <c r="C3537" s="202" t="s">
        <v>4913</v>
      </c>
      <c r="D3537" s="288">
        <f>D3536</f>
        <v>0</v>
      </c>
      <c r="E3537" s="204" t="s">
        <v>1838</v>
      </c>
      <c r="F3537" s="250" t="s">
        <v>4951</v>
      </c>
      <c r="G3537" s="258">
        <f>G3536</f>
        <v>0</v>
      </c>
      <c r="H3537" s="204" t="s">
        <v>4915</v>
      </c>
      <c r="I3537" s="265">
        <f>D3537*G3537</f>
        <v>0</v>
      </c>
      <c r="J3537" s="204" t="s">
        <v>93</v>
      </c>
      <c r="K3537" s="269"/>
      <c r="L3537" s="210" t="s">
        <v>675</v>
      </c>
      <c r="M3537" s="198">
        <f>ROUND(K3537*I3537/10000,6)</f>
        <v>0</v>
      </c>
      <c r="N3537" s="212">
        <f>'02 项目基础信息（输入）'!$C$87</f>
        <v>0</v>
      </c>
      <c r="O3537" s="203">
        <f t="shared" si="408"/>
        <v>0</v>
      </c>
      <c r="P3537" s="203">
        <f t="shared" si="410"/>
        <v>0</v>
      </c>
      <c r="Q3537" s="271">
        <f t="shared" si="409"/>
        <v>0</v>
      </c>
      <c r="R3537" s="188"/>
      <c r="S3537" s="280"/>
      <c r="T3537" s="222"/>
      <c r="U3537" s="223" t="s">
        <v>5773</v>
      </c>
    </row>
    <row r="3538" spans="1:21" s="181" customFormat="1" ht="0" hidden="1" customHeight="1" outlineLevel="3">
      <c r="A3538" s="253" t="s">
        <v>4955</v>
      </c>
      <c r="B3538" s="254"/>
      <c r="C3538" s="250" t="s">
        <v>1609</v>
      </c>
      <c r="D3538" s="203">
        <f>'02 项目基础信息（输入）'!$C$87</f>
        <v>0</v>
      </c>
      <c r="E3538" s="204" t="s">
        <v>93</v>
      </c>
      <c r="F3538" s="288"/>
      <c r="G3538" s="277"/>
      <c r="H3538" s="255"/>
      <c r="I3538" s="268"/>
      <c r="J3538" s="255"/>
      <c r="K3538" s="264"/>
      <c r="L3538" s="205"/>
      <c r="M3538" s="198">
        <f>ROUND(SUM(M3539:M3541),6)</f>
        <v>0</v>
      </c>
      <c r="N3538" s="212">
        <f>'02 项目基础信息（输入）'!$C$87</f>
        <v>0</v>
      </c>
      <c r="O3538" s="203">
        <f t="shared" si="408"/>
        <v>0</v>
      </c>
      <c r="P3538" s="203">
        <f t="shared" si="410"/>
        <v>0</v>
      </c>
      <c r="Q3538" s="271">
        <f t="shared" si="409"/>
        <v>0</v>
      </c>
      <c r="R3538" s="188"/>
      <c r="S3538" s="280"/>
      <c r="T3538" s="222"/>
      <c r="U3538" s="223" t="s">
        <v>5774</v>
      </c>
    </row>
    <row r="3539" spans="1:21" s="181" customFormat="1" ht="0" hidden="1" customHeight="1" outlineLevel="4">
      <c r="A3539" s="253" t="s">
        <v>4957</v>
      </c>
      <c r="B3539" s="254"/>
      <c r="C3539" s="250" t="s">
        <v>1609</v>
      </c>
      <c r="D3539" s="203">
        <f>'02 项目基础信息（输入）'!$C$87</f>
        <v>0</v>
      </c>
      <c r="E3539" s="204" t="s">
        <v>93</v>
      </c>
      <c r="F3539" s="250" t="s">
        <v>4958</v>
      </c>
      <c r="G3539" s="210">
        <f>IFERROR(I3539/D3539,0)</f>
        <v>0</v>
      </c>
      <c r="H3539" s="204" t="s">
        <v>298</v>
      </c>
      <c r="I3539" s="292"/>
      <c r="J3539" s="204" t="s">
        <v>93</v>
      </c>
      <c r="K3539" s="269"/>
      <c r="L3539" s="210" t="s">
        <v>675</v>
      </c>
      <c r="M3539" s="198">
        <f>ROUND(K3539*I3539/10000,6)</f>
        <v>0</v>
      </c>
      <c r="N3539" s="212">
        <f>'02 项目基础信息（输入）'!$C$87</f>
        <v>0</v>
      </c>
      <c r="O3539" s="203">
        <f t="shared" si="408"/>
        <v>0</v>
      </c>
      <c r="P3539" s="203">
        <f t="shared" si="410"/>
        <v>0</v>
      </c>
      <c r="Q3539" s="271">
        <f t="shared" si="409"/>
        <v>0</v>
      </c>
      <c r="R3539" s="188"/>
      <c r="S3539" s="280"/>
      <c r="T3539" s="222"/>
      <c r="U3539" s="223" t="s">
        <v>5775</v>
      </c>
    </row>
    <row r="3540" spans="1:21" s="181" customFormat="1" ht="0" hidden="1" customHeight="1" outlineLevel="4">
      <c r="A3540" s="253" t="s">
        <v>4960</v>
      </c>
      <c r="B3540" s="254"/>
      <c r="C3540" s="250" t="s">
        <v>1609</v>
      </c>
      <c r="D3540" s="203">
        <f>'02 项目基础信息（输入）'!$C$87</f>
        <v>0</v>
      </c>
      <c r="E3540" s="204" t="s">
        <v>93</v>
      </c>
      <c r="F3540" s="250" t="s">
        <v>4958</v>
      </c>
      <c r="G3540" s="210">
        <f>IFERROR(I3540/D3540,0)</f>
        <v>0</v>
      </c>
      <c r="H3540" s="204" t="s">
        <v>298</v>
      </c>
      <c r="I3540" s="212">
        <f>I3539</f>
        <v>0</v>
      </c>
      <c r="J3540" s="204" t="s">
        <v>93</v>
      </c>
      <c r="K3540" s="269"/>
      <c r="L3540" s="210" t="s">
        <v>675</v>
      </c>
      <c r="M3540" s="198">
        <f>ROUND(K3540*I3540/10000,6)</f>
        <v>0</v>
      </c>
      <c r="N3540" s="212">
        <f>'02 项目基础信息（输入）'!$C$87</f>
        <v>0</v>
      </c>
      <c r="O3540" s="203">
        <f t="shared" si="408"/>
        <v>0</v>
      </c>
      <c r="P3540" s="203">
        <f t="shared" si="410"/>
        <v>0</v>
      </c>
      <c r="Q3540" s="271">
        <f t="shared" si="409"/>
        <v>0</v>
      </c>
      <c r="R3540" s="188"/>
      <c r="S3540" s="280"/>
      <c r="T3540" s="222"/>
      <c r="U3540" s="223" t="s">
        <v>5776</v>
      </c>
    </row>
    <row r="3541" spans="1:21" s="181" customFormat="1" ht="0" hidden="1" customHeight="1" outlineLevel="4">
      <c r="A3541" s="253" t="s">
        <v>4962</v>
      </c>
      <c r="B3541" s="254"/>
      <c r="C3541" s="250" t="s">
        <v>1609</v>
      </c>
      <c r="D3541" s="203">
        <f>'02 项目基础信息（输入）'!$C$87</f>
        <v>0</v>
      </c>
      <c r="E3541" s="204" t="s">
        <v>93</v>
      </c>
      <c r="F3541" s="250" t="s">
        <v>4958</v>
      </c>
      <c r="G3541" s="210">
        <f>IFERROR(I3541/D3541,0)</f>
        <v>0</v>
      </c>
      <c r="H3541" s="204" t="s">
        <v>298</v>
      </c>
      <c r="I3541" s="212">
        <f>I3540</f>
        <v>0</v>
      </c>
      <c r="J3541" s="204" t="s">
        <v>93</v>
      </c>
      <c r="K3541" s="269"/>
      <c r="L3541" s="210" t="s">
        <v>675</v>
      </c>
      <c r="M3541" s="198">
        <f>ROUND(K3541*I3541/10000,6)</f>
        <v>0</v>
      </c>
      <c r="N3541" s="212">
        <f>'02 项目基础信息（输入）'!$C$87</f>
        <v>0</v>
      </c>
      <c r="O3541" s="203">
        <f t="shared" si="408"/>
        <v>0</v>
      </c>
      <c r="P3541" s="203">
        <f t="shared" si="410"/>
        <v>0</v>
      </c>
      <c r="Q3541" s="271">
        <f t="shared" si="409"/>
        <v>0</v>
      </c>
      <c r="R3541" s="188"/>
      <c r="S3541" s="280"/>
      <c r="T3541" s="222"/>
      <c r="U3541" s="223" t="s">
        <v>5777</v>
      </c>
    </row>
    <row r="3542" spans="1:21" s="181" customFormat="1" ht="0" hidden="1" customHeight="1" outlineLevel="3">
      <c r="A3542" s="253" t="s">
        <v>4572</v>
      </c>
      <c r="B3542" s="254"/>
      <c r="C3542" s="250" t="s">
        <v>1609</v>
      </c>
      <c r="D3542" s="203">
        <f>'02 项目基础信息（输入）'!$C$87</f>
        <v>0</v>
      </c>
      <c r="E3542" s="204" t="s">
        <v>93</v>
      </c>
      <c r="F3542" s="288"/>
      <c r="G3542" s="277"/>
      <c r="H3542" s="255"/>
      <c r="I3542" s="268"/>
      <c r="J3542" s="255"/>
      <c r="K3542" s="264"/>
      <c r="L3542" s="205"/>
      <c r="M3542" s="198">
        <f>ROUND(SUM(M3543:M3544),6)</f>
        <v>0</v>
      </c>
      <c r="N3542" s="212">
        <f>'02 项目基础信息（输入）'!$C$87</f>
        <v>0</v>
      </c>
      <c r="O3542" s="203">
        <f t="shared" si="408"/>
        <v>0</v>
      </c>
      <c r="P3542" s="203">
        <f t="shared" si="410"/>
        <v>0</v>
      </c>
      <c r="Q3542" s="271">
        <f t="shared" si="409"/>
        <v>0</v>
      </c>
      <c r="R3542" s="188"/>
      <c r="S3542" s="280"/>
      <c r="T3542" s="222"/>
      <c r="U3542" s="223" t="s">
        <v>5778</v>
      </c>
    </row>
    <row r="3543" spans="1:21" s="181" customFormat="1" ht="0" hidden="1" customHeight="1" outlineLevel="4">
      <c r="A3543" s="253" t="s">
        <v>4574</v>
      </c>
      <c r="B3543" s="254"/>
      <c r="C3543" s="250" t="s">
        <v>4575</v>
      </c>
      <c r="D3543" s="273">
        <f>'02 项目基础信息（输入）'!AQ87</f>
        <v>0</v>
      </c>
      <c r="E3543" s="204" t="s">
        <v>93</v>
      </c>
      <c r="F3543" s="202" t="s">
        <v>4576</v>
      </c>
      <c r="G3543" s="204">
        <v>1</v>
      </c>
      <c r="H3543" s="204" t="s">
        <v>298</v>
      </c>
      <c r="I3543" s="265">
        <f>D3543*G3543</f>
        <v>0</v>
      </c>
      <c r="J3543" s="204" t="s">
        <v>93</v>
      </c>
      <c r="K3543" s="269"/>
      <c r="L3543" s="210" t="s">
        <v>1749</v>
      </c>
      <c r="M3543" s="198">
        <f>ROUND(K3543*I3543/10000,6)</f>
        <v>0</v>
      </c>
      <c r="N3543" s="212">
        <f>'02 项目基础信息（输入）'!$C$87</f>
        <v>0</v>
      </c>
      <c r="O3543" s="203">
        <f t="shared" si="408"/>
        <v>0</v>
      </c>
      <c r="P3543" s="203">
        <f t="shared" si="410"/>
        <v>0</v>
      </c>
      <c r="Q3543" s="271">
        <f t="shared" si="409"/>
        <v>0</v>
      </c>
      <c r="R3543" s="188"/>
      <c r="S3543" s="280"/>
      <c r="T3543" s="222"/>
      <c r="U3543" s="223" t="s">
        <v>5779</v>
      </c>
    </row>
    <row r="3544" spans="1:21" s="181" customFormat="1" ht="0" hidden="1" customHeight="1" outlineLevel="4">
      <c r="A3544" s="253" t="s">
        <v>4578</v>
      </c>
      <c r="B3544" s="254"/>
      <c r="C3544" s="250" t="s">
        <v>4575</v>
      </c>
      <c r="D3544" s="212">
        <f>D3543</f>
        <v>0</v>
      </c>
      <c r="E3544" s="204" t="s">
        <v>93</v>
      </c>
      <c r="F3544" s="202" t="s">
        <v>4576</v>
      </c>
      <c r="G3544" s="204">
        <v>1</v>
      </c>
      <c r="H3544" s="204" t="s">
        <v>298</v>
      </c>
      <c r="I3544" s="265">
        <f>D3544*G3544</f>
        <v>0</v>
      </c>
      <c r="J3544" s="204" t="s">
        <v>93</v>
      </c>
      <c r="K3544" s="269"/>
      <c r="L3544" s="210" t="s">
        <v>1749</v>
      </c>
      <c r="M3544" s="198">
        <f>ROUND(K3544*I3544/10000,6)</f>
        <v>0</v>
      </c>
      <c r="N3544" s="212">
        <f>'02 项目基础信息（输入）'!$C$87</f>
        <v>0</v>
      </c>
      <c r="O3544" s="203">
        <f t="shared" si="408"/>
        <v>0</v>
      </c>
      <c r="P3544" s="203">
        <f t="shared" si="410"/>
        <v>0</v>
      </c>
      <c r="Q3544" s="271">
        <f t="shared" si="409"/>
        <v>0</v>
      </c>
      <c r="R3544" s="188"/>
      <c r="S3544" s="280"/>
      <c r="T3544" s="222"/>
      <c r="U3544" s="223" t="s">
        <v>5780</v>
      </c>
    </row>
    <row r="3545" spans="1:21" s="181" customFormat="1" ht="0" hidden="1" customHeight="1" outlineLevel="3">
      <c r="A3545" s="253" t="s">
        <v>4580</v>
      </c>
      <c r="B3545" s="254"/>
      <c r="C3545" s="250" t="s">
        <v>4581</v>
      </c>
      <c r="D3545" s="289">
        <f>'02 项目基础信息（输入）'!BA87</f>
        <v>0</v>
      </c>
      <c r="E3545" s="204" t="s">
        <v>1082</v>
      </c>
      <c r="F3545" s="250" t="s">
        <v>4581</v>
      </c>
      <c r="G3545" s="204">
        <v>1</v>
      </c>
      <c r="H3545" s="204" t="s">
        <v>1918</v>
      </c>
      <c r="I3545" s="265">
        <f>D3545*G3545</f>
        <v>0</v>
      </c>
      <c r="J3545" s="204" t="s">
        <v>400</v>
      </c>
      <c r="K3545" s="269"/>
      <c r="L3545" s="210" t="s">
        <v>1087</v>
      </c>
      <c r="M3545" s="198">
        <f>ROUND(K3545*I3545/10000,6)</f>
        <v>0</v>
      </c>
      <c r="N3545" s="212">
        <f>'02 项目基础信息（输入）'!$C$87</f>
        <v>0</v>
      </c>
      <c r="O3545" s="203">
        <f t="shared" si="408"/>
        <v>0</v>
      </c>
      <c r="P3545" s="203">
        <f t="shared" si="410"/>
        <v>0</v>
      </c>
      <c r="Q3545" s="271">
        <f t="shared" si="409"/>
        <v>0</v>
      </c>
      <c r="R3545" s="188"/>
      <c r="S3545" s="280"/>
      <c r="T3545" s="222"/>
      <c r="U3545" s="223" t="s">
        <v>5781</v>
      </c>
    </row>
    <row r="3546" spans="1:21" s="181" customFormat="1" ht="0" hidden="1" customHeight="1" outlineLevel="3">
      <c r="A3546" s="253" t="s">
        <v>4583</v>
      </c>
      <c r="B3546" s="254"/>
      <c r="C3546" s="250" t="s">
        <v>1609</v>
      </c>
      <c r="D3546" s="203">
        <f>'02 项目基础信息（输入）'!$C$87</f>
        <v>0</v>
      </c>
      <c r="E3546" s="204" t="s">
        <v>93</v>
      </c>
      <c r="F3546" s="250" t="s">
        <v>4584</v>
      </c>
      <c r="G3546" s="210">
        <f>IFERROR(I3546/D3546,0)</f>
        <v>0</v>
      </c>
      <c r="H3546" s="204" t="s">
        <v>298</v>
      </c>
      <c r="I3546" s="285"/>
      <c r="J3546" s="204" t="s">
        <v>93</v>
      </c>
      <c r="K3546" s="269"/>
      <c r="L3546" s="210" t="s">
        <v>675</v>
      </c>
      <c r="M3546" s="198">
        <f>ROUND(K3546*I3546/10000,6)</f>
        <v>0</v>
      </c>
      <c r="N3546" s="212">
        <f>'02 项目基础信息（输入）'!$C$87</f>
        <v>0</v>
      </c>
      <c r="O3546" s="203">
        <f t="shared" si="408"/>
        <v>0</v>
      </c>
      <c r="P3546" s="203">
        <f t="shared" si="410"/>
        <v>0</v>
      </c>
      <c r="Q3546" s="271">
        <f t="shared" si="409"/>
        <v>0</v>
      </c>
      <c r="R3546" s="188"/>
      <c r="S3546" s="280"/>
      <c r="T3546" s="222"/>
      <c r="U3546" s="223" t="s">
        <v>5782</v>
      </c>
    </row>
    <row r="3547" spans="1:21" s="181" customFormat="1" ht="0" hidden="1" customHeight="1" outlineLevel="3">
      <c r="A3547" s="253" t="s">
        <v>4586</v>
      </c>
      <c r="B3547" s="254"/>
      <c r="C3547" s="250" t="s">
        <v>1609</v>
      </c>
      <c r="D3547" s="203">
        <f>'02 项目基础信息（输入）'!$C$87</f>
        <v>0</v>
      </c>
      <c r="E3547" s="204" t="s">
        <v>93</v>
      </c>
      <c r="F3547" s="250" t="s">
        <v>1960</v>
      </c>
      <c r="G3547" s="237"/>
      <c r="H3547" s="278" t="s">
        <v>123</v>
      </c>
      <c r="I3547" s="268">
        <f>G3547*D3547/100</f>
        <v>0</v>
      </c>
      <c r="J3547" s="204" t="s">
        <v>93</v>
      </c>
      <c r="K3547" s="269"/>
      <c r="L3547" s="210" t="s">
        <v>675</v>
      </c>
      <c r="M3547" s="198">
        <f>ROUND(K3547*I3547/10000,6)</f>
        <v>0</v>
      </c>
      <c r="N3547" s="212">
        <f>'02 项目基础信息（输入）'!$C$87</f>
        <v>0</v>
      </c>
      <c r="O3547" s="203">
        <f t="shared" si="408"/>
        <v>0</v>
      </c>
      <c r="P3547" s="203">
        <f t="shared" si="410"/>
        <v>0</v>
      </c>
      <c r="Q3547" s="271">
        <f t="shared" si="409"/>
        <v>0</v>
      </c>
      <c r="R3547" s="188"/>
      <c r="S3547" s="280"/>
      <c r="T3547" s="222"/>
      <c r="U3547" s="223" t="s">
        <v>5783</v>
      </c>
    </row>
    <row r="3548" spans="1:21" s="181" customFormat="1" ht="0" hidden="1" customHeight="1" outlineLevel="3">
      <c r="A3548" s="253" t="s">
        <v>4588</v>
      </c>
      <c r="B3548" s="254"/>
      <c r="C3548" s="250" t="s">
        <v>1665</v>
      </c>
      <c r="D3548" s="203">
        <f>ROUND(M3515+M3519+M3523+M3527+M3531+M3535+M3538+M3542+M3545+M3546+M3547,6)*10000</f>
        <v>0</v>
      </c>
      <c r="E3548" s="204" t="s">
        <v>1666</v>
      </c>
      <c r="F3548" s="202" t="s">
        <v>1667</v>
      </c>
      <c r="G3548" s="258">
        <f>IFERROR(I3548*100/D3548,0)</f>
        <v>0</v>
      </c>
      <c r="H3548" s="204" t="s">
        <v>123</v>
      </c>
      <c r="I3548" s="265">
        <f>N3548*K3548</f>
        <v>0</v>
      </c>
      <c r="J3548" s="204" t="s">
        <v>1666</v>
      </c>
      <c r="K3548" s="269"/>
      <c r="L3548" s="210" t="s">
        <v>675</v>
      </c>
      <c r="M3548" s="231">
        <f>ROUND(I3548/10000,6)</f>
        <v>0</v>
      </c>
      <c r="N3548" s="212">
        <f>'02 项目基础信息（输入）'!$C$87</f>
        <v>0</v>
      </c>
      <c r="O3548" s="203">
        <f t="shared" si="408"/>
        <v>0</v>
      </c>
      <c r="P3548" s="203">
        <f t="shared" si="410"/>
        <v>0</v>
      </c>
      <c r="Q3548" s="271">
        <f t="shared" si="409"/>
        <v>0</v>
      </c>
      <c r="R3548" s="188"/>
      <c r="S3548" s="280"/>
      <c r="T3548" s="222"/>
      <c r="U3548" s="223" t="s">
        <v>5784</v>
      </c>
    </row>
    <row r="3549" spans="1:21" ht="0" hidden="1" customHeight="1" outlineLevel="2">
      <c r="A3549" s="201" t="s">
        <v>4590</v>
      </c>
      <c r="B3549" s="201"/>
      <c r="C3549" s="202" t="s">
        <v>1609</v>
      </c>
      <c r="D3549" s="203">
        <f>'02 项目基础信息（输入）'!$C$87</f>
        <v>0</v>
      </c>
      <c r="E3549" s="204" t="s">
        <v>93</v>
      </c>
      <c r="F3549" s="256"/>
      <c r="G3549" s="255"/>
      <c r="H3549" s="255"/>
      <c r="I3549" s="212"/>
      <c r="J3549" s="255"/>
      <c r="K3549" s="264"/>
      <c r="L3549" s="205"/>
      <c r="M3549" s="198">
        <f>M3550+M3558</f>
        <v>0</v>
      </c>
      <c r="N3549" s="212">
        <f>'02 项目基础信息（输入）'!$C$87</f>
        <v>0</v>
      </c>
      <c r="O3549" s="203">
        <f t="shared" si="408"/>
        <v>0</v>
      </c>
      <c r="P3549" s="203">
        <f t="shared" si="410"/>
        <v>0</v>
      </c>
      <c r="Q3549" s="271">
        <f t="shared" si="409"/>
        <v>0</v>
      </c>
      <c r="S3549" s="280" t="s">
        <v>1314</v>
      </c>
      <c r="T3549" s="222"/>
      <c r="U3549" s="223" t="s">
        <v>5785</v>
      </c>
    </row>
    <row r="3550" spans="1:21" ht="0" hidden="1" customHeight="1" outlineLevel="3">
      <c r="A3550" s="201" t="s">
        <v>4592</v>
      </c>
      <c r="B3550" s="201"/>
      <c r="C3550" s="202" t="s">
        <v>1609</v>
      </c>
      <c r="D3550" s="203">
        <f>'02 项目基础信息（输入）'!$C$87</f>
        <v>0</v>
      </c>
      <c r="E3550" s="204" t="s">
        <v>93</v>
      </c>
      <c r="F3550" s="202"/>
      <c r="G3550" s="204"/>
      <c r="H3550" s="204"/>
      <c r="I3550" s="203"/>
      <c r="J3550" s="255"/>
      <c r="K3550" s="264"/>
      <c r="L3550" s="205"/>
      <c r="M3550" s="198">
        <f>ROUND(M3551+M3554+M3557,6)</f>
        <v>0</v>
      </c>
      <c r="N3550" s="212">
        <f>'02 项目基础信息（输入）'!$C$87</f>
        <v>0</v>
      </c>
      <c r="O3550" s="203">
        <f t="shared" si="408"/>
        <v>0</v>
      </c>
      <c r="P3550" s="203">
        <f t="shared" si="410"/>
        <v>0</v>
      </c>
      <c r="Q3550" s="271">
        <f t="shared" si="409"/>
        <v>0</v>
      </c>
      <c r="S3550" s="280"/>
      <c r="T3550" s="222"/>
      <c r="U3550" s="223" t="s">
        <v>5786</v>
      </c>
    </row>
    <row r="3551" spans="1:21" s="181" customFormat="1" ht="0" hidden="1" customHeight="1" outlineLevel="4">
      <c r="A3551" s="253" t="s">
        <v>4594</v>
      </c>
      <c r="B3551" s="254"/>
      <c r="C3551" s="250" t="s">
        <v>1609</v>
      </c>
      <c r="D3551" s="203">
        <f>'02 项目基础信息（输入）'!$C$87</f>
        <v>0</v>
      </c>
      <c r="E3551" s="204" t="s">
        <v>93</v>
      </c>
      <c r="F3551" s="202"/>
      <c r="G3551" s="280"/>
      <c r="H3551" s="204"/>
      <c r="I3551" s="268"/>
      <c r="J3551" s="204"/>
      <c r="K3551" s="203"/>
      <c r="L3551" s="210"/>
      <c r="M3551" s="198">
        <f>ROUND(SUM(M3552:M3553),6)</f>
        <v>0</v>
      </c>
      <c r="N3551" s="212">
        <f>'02 项目基础信息（输入）'!$C$87</f>
        <v>0</v>
      </c>
      <c r="O3551" s="203">
        <f t="shared" si="408"/>
        <v>0</v>
      </c>
      <c r="P3551" s="203">
        <f t="shared" si="410"/>
        <v>0</v>
      </c>
      <c r="Q3551" s="271">
        <f t="shared" si="409"/>
        <v>0</v>
      </c>
      <c r="R3551" s="188"/>
      <c r="S3551" s="280"/>
      <c r="T3551" s="222"/>
      <c r="U3551" s="223" t="s">
        <v>5787</v>
      </c>
    </row>
    <row r="3552" spans="1:21" s="181" customFormat="1" ht="0" hidden="1" customHeight="1" outlineLevel="5">
      <c r="A3552" s="253" t="s">
        <v>4596</v>
      </c>
      <c r="B3552" s="254"/>
      <c r="C3552" s="250" t="s">
        <v>1609</v>
      </c>
      <c r="D3552" s="203">
        <f>'02 项目基础信息（输入）'!$C$87</f>
        <v>0</v>
      </c>
      <c r="E3552" s="204" t="s">
        <v>93</v>
      </c>
      <c r="F3552" s="202" t="s">
        <v>4597</v>
      </c>
      <c r="G3552" s="210">
        <f>IFERROR(I3552/D3552,0)</f>
        <v>0</v>
      </c>
      <c r="H3552" s="204" t="s">
        <v>4598</v>
      </c>
      <c r="I3552" s="292"/>
      <c r="J3552" s="204" t="s">
        <v>1052</v>
      </c>
      <c r="K3552" s="292"/>
      <c r="L3552" s="210" t="s">
        <v>746</v>
      </c>
      <c r="M3552" s="198">
        <f>ROUND(K3552*I3552/10000,6)</f>
        <v>0</v>
      </c>
      <c r="N3552" s="212">
        <f>'02 项目基础信息（输入）'!$C$87</f>
        <v>0</v>
      </c>
      <c r="O3552" s="203">
        <f t="shared" si="408"/>
        <v>0</v>
      </c>
      <c r="P3552" s="203">
        <f t="shared" si="410"/>
        <v>0</v>
      </c>
      <c r="Q3552" s="271">
        <f t="shared" si="409"/>
        <v>0</v>
      </c>
      <c r="R3552" s="188"/>
      <c r="S3552" s="280"/>
      <c r="T3552" s="222"/>
      <c r="U3552" s="223" t="s">
        <v>5788</v>
      </c>
    </row>
    <row r="3553" spans="1:21" s="181" customFormat="1" ht="0" hidden="1" customHeight="1" outlineLevel="5">
      <c r="A3553" s="253" t="s">
        <v>4600</v>
      </c>
      <c r="B3553" s="254"/>
      <c r="C3553" s="250" t="s">
        <v>1609</v>
      </c>
      <c r="D3553" s="203">
        <f>'02 项目基础信息（输入）'!$C$87</f>
        <v>0</v>
      </c>
      <c r="E3553" s="204" t="s">
        <v>93</v>
      </c>
      <c r="F3553" s="202" t="s">
        <v>4597</v>
      </c>
      <c r="G3553" s="210">
        <f>IFERROR(I3553/D3553,0)</f>
        <v>0</v>
      </c>
      <c r="H3553" s="204" t="s">
        <v>4598</v>
      </c>
      <c r="I3553" s="212">
        <f>I3552</f>
        <v>0</v>
      </c>
      <c r="J3553" s="204" t="s">
        <v>1052</v>
      </c>
      <c r="K3553" s="292"/>
      <c r="L3553" s="210" t="s">
        <v>746</v>
      </c>
      <c r="M3553" s="198">
        <f>ROUND(K3553*I3553/10000,6)</f>
        <v>0</v>
      </c>
      <c r="N3553" s="212">
        <f>'02 项目基础信息（输入）'!$C$87</f>
        <v>0</v>
      </c>
      <c r="O3553" s="203">
        <f t="shared" si="408"/>
        <v>0</v>
      </c>
      <c r="P3553" s="203">
        <f t="shared" si="410"/>
        <v>0</v>
      </c>
      <c r="Q3553" s="271">
        <f t="shared" si="409"/>
        <v>0</v>
      </c>
      <c r="R3553" s="188"/>
      <c r="S3553" s="280"/>
      <c r="T3553" s="222"/>
      <c r="U3553" s="223" t="s">
        <v>5789</v>
      </c>
    </row>
    <row r="3554" spans="1:21" s="181" customFormat="1" ht="0" hidden="1" customHeight="1" outlineLevel="4">
      <c r="A3554" s="253" t="s">
        <v>4602</v>
      </c>
      <c r="B3554" s="254"/>
      <c r="C3554" s="250" t="s">
        <v>1609</v>
      </c>
      <c r="D3554" s="203">
        <f>'02 项目基础信息（输入）'!$C$87</f>
        <v>0</v>
      </c>
      <c r="E3554" s="204" t="s">
        <v>93</v>
      </c>
      <c r="F3554" s="202"/>
      <c r="G3554" s="280"/>
      <c r="H3554" s="204"/>
      <c r="I3554" s="268"/>
      <c r="J3554" s="204"/>
      <c r="K3554" s="203"/>
      <c r="L3554" s="210"/>
      <c r="M3554" s="198">
        <f>ROUND(SUM(M3555:M3556),6)</f>
        <v>0</v>
      </c>
      <c r="N3554" s="212">
        <f>'02 项目基础信息（输入）'!$C$87</f>
        <v>0</v>
      </c>
      <c r="O3554" s="203">
        <f t="shared" si="408"/>
        <v>0</v>
      </c>
      <c r="P3554" s="203">
        <f t="shared" si="410"/>
        <v>0</v>
      </c>
      <c r="Q3554" s="271">
        <f t="shared" si="409"/>
        <v>0</v>
      </c>
      <c r="R3554" s="188"/>
      <c r="S3554" s="280"/>
      <c r="T3554" s="222"/>
      <c r="U3554" s="223" t="s">
        <v>5790</v>
      </c>
    </row>
    <row r="3555" spans="1:21" s="181" customFormat="1" ht="0" hidden="1" customHeight="1" outlineLevel="5">
      <c r="A3555" s="253" t="s">
        <v>4604</v>
      </c>
      <c r="B3555" s="254"/>
      <c r="C3555" s="250" t="s">
        <v>1609</v>
      </c>
      <c r="D3555" s="203">
        <f>'02 项目基础信息（输入）'!$C$87</f>
        <v>0</v>
      </c>
      <c r="E3555" s="204" t="s">
        <v>93</v>
      </c>
      <c r="F3555" s="202" t="s">
        <v>4605</v>
      </c>
      <c r="G3555" s="210">
        <f>IFERROR(I3555/D3555,0)</f>
        <v>0</v>
      </c>
      <c r="H3555" s="204" t="s">
        <v>4606</v>
      </c>
      <c r="I3555" s="292"/>
      <c r="J3555" s="204" t="s">
        <v>1946</v>
      </c>
      <c r="K3555" s="292"/>
      <c r="L3555" s="210" t="s">
        <v>1948</v>
      </c>
      <c r="M3555" s="198">
        <f>ROUND(K3555*I3555/10000,6)</f>
        <v>0</v>
      </c>
      <c r="N3555" s="212">
        <f>'02 项目基础信息（输入）'!$C$87</f>
        <v>0</v>
      </c>
      <c r="O3555" s="203">
        <f t="shared" si="408"/>
        <v>0</v>
      </c>
      <c r="P3555" s="203">
        <f t="shared" si="410"/>
        <v>0</v>
      </c>
      <c r="Q3555" s="271">
        <f t="shared" si="409"/>
        <v>0</v>
      </c>
      <c r="R3555" s="188"/>
      <c r="S3555" s="280"/>
      <c r="T3555" s="222"/>
      <c r="U3555" s="223" t="s">
        <v>5791</v>
      </c>
    </row>
    <row r="3556" spans="1:21" s="181" customFormat="1" ht="0" hidden="1" customHeight="1" outlineLevel="5">
      <c r="A3556" s="253" t="s">
        <v>4608</v>
      </c>
      <c r="B3556" s="254"/>
      <c r="C3556" s="250" t="s">
        <v>1609</v>
      </c>
      <c r="D3556" s="203">
        <f>'02 项目基础信息（输入）'!$C$87</f>
        <v>0</v>
      </c>
      <c r="E3556" s="204" t="s">
        <v>93</v>
      </c>
      <c r="F3556" s="202" t="s">
        <v>4605</v>
      </c>
      <c r="G3556" s="210">
        <f>IFERROR(I3556/D3556,0)</f>
        <v>0</v>
      </c>
      <c r="H3556" s="204" t="s">
        <v>4606</v>
      </c>
      <c r="I3556" s="212">
        <f>I3555</f>
        <v>0</v>
      </c>
      <c r="J3556" s="204" t="s">
        <v>1946</v>
      </c>
      <c r="K3556" s="292"/>
      <c r="L3556" s="210" t="s">
        <v>1948</v>
      </c>
      <c r="M3556" s="198">
        <f>ROUND(K3556*I3556/10000,6)</f>
        <v>0</v>
      </c>
      <c r="N3556" s="212">
        <f>'02 项目基础信息（输入）'!$C$87</f>
        <v>0</v>
      </c>
      <c r="O3556" s="203">
        <f t="shared" si="408"/>
        <v>0</v>
      </c>
      <c r="P3556" s="203">
        <f t="shared" si="410"/>
        <v>0</v>
      </c>
      <c r="Q3556" s="271">
        <f t="shared" si="409"/>
        <v>0</v>
      </c>
      <c r="R3556" s="188"/>
      <c r="S3556" s="280"/>
      <c r="T3556" s="222"/>
      <c r="U3556" s="223" t="s">
        <v>5792</v>
      </c>
    </row>
    <row r="3557" spans="1:21" s="181" customFormat="1" ht="0" hidden="1" customHeight="1" outlineLevel="4">
      <c r="A3557" s="253" t="s">
        <v>4610</v>
      </c>
      <c r="B3557" s="254"/>
      <c r="C3557" s="250" t="s">
        <v>1609</v>
      </c>
      <c r="D3557" s="203">
        <f>'02 项目基础信息（输入）'!$C$87</f>
        <v>0</v>
      </c>
      <c r="E3557" s="204" t="s">
        <v>93</v>
      </c>
      <c r="F3557" s="202" t="s">
        <v>1648</v>
      </c>
      <c r="G3557" s="290">
        <v>1</v>
      </c>
      <c r="H3557" s="204" t="s">
        <v>298</v>
      </c>
      <c r="I3557" s="265">
        <f>D3557*G3557</f>
        <v>0</v>
      </c>
      <c r="J3557" s="204" t="s">
        <v>93</v>
      </c>
      <c r="K3557" s="292"/>
      <c r="L3557" s="210" t="s">
        <v>675</v>
      </c>
      <c r="M3557" s="198">
        <f>ROUND(K3557*I3557/10000,6)</f>
        <v>0</v>
      </c>
      <c r="N3557" s="212">
        <f>'02 项目基础信息（输入）'!$C$87</f>
        <v>0</v>
      </c>
      <c r="O3557" s="203">
        <f t="shared" si="408"/>
        <v>0</v>
      </c>
      <c r="P3557" s="203">
        <f t="shared" si="410"/>
        <v>0</v>
      </c>
      <c r="Q3557" s="271">
        <f t="shared" si="409"/>
        <v>0</v>
      </c>
      <c r="R3557" s="188"/>
      <c r="S3557" s="280"/>
      <c r="T3557" s="222"/>
      <c r="U3557" s="223" t="s">
        <v>5793</v>
      </c>
    </row>
    <row r="3558" spans="1:21" ht="0" hidden="1" customHeight="1" outlineLevel="3">
      <c r="A3558" s="201" t="s">
        <v>4612</v>
      </c>
      <c r="B3558" s="201"/>
      <c r="C3558" s="202" t="s">
        <v>1609</v>
      </c>
      <c r="D3558" s="203">
        <f>'02 项目基础信息（输入）'!$C$87</f>
        <v>0</v>
      </c>
      <c r="E3558" s="204" t="s">
        <v>93</v>
      </c>
      <c r="F3558" s="202"/>
      <c r="G3558" s="204"/>
      <c r="H3558" s="204"/>
      <c r="I3558" s="212"/>
      <c r="J3558" s="255"/>
      <c r="K3558" s="264"/>
      <c r="L3558" s="205"/>
      <c r="M3558" s="198">
        <f>ROUND(SUM(M3559:M3561),6)</f>
        <v>0</v>
      </c>
      <c r="N3558" s="212">
        <f>'02 项目基础信息（输入）'!$C$87</f>
        <v>0</v>
      </c>
      <c r="O3558" s="203">
        <f t="shared" si="408"/>
        <v>0</v>
      </c>
      <c r="P3558" s="203">
        <f t="shared" si="410"/>
        <v>0</v>
      </c>
      <c r="Q3558" s="271">
        <f t="shared" si="409"/>
        <v>0</v>
      </c>
      <c r="S3558" s="280"/>
      <c r="T3558" s="222"/>
      <c r="U3558" s="223" t="s">
        <v>5794</v>
      </c>
    </row>
    <row r="3559" spans="1:21" s="181" customFormat="1" ht="0" hidden="1" customHeight="1" outlineLevel="5">
      <c r="A3559" s="253" t="s">
        <v>4614</v>
      </c>
      <c r="B3559" s="253"/>
      <c r="C3559" s="202" t="s">
        <v>1609</v>
      </c>
      <c r="D3559" s="203">
        <f>'02 项目基础信息（输入）'!$C$87</f>
        <v>0</v>
      </c>
      <c r="E3559" s="204" t="s">
        <v>93</v>
      </c>
      <c r="F3559" s="202" t="s">
        <v>4615</v>
      </c>
      <c r="G3559" s="210">
        <f>IFERROR(I3559/D3559,0)</f>
        <v>0</v>
      </c>
      <c r="H3559" s="204" t="s">
        <v>4598</v>
      </c>
      <c r="I3559" s="286"/>
      <c r="J3559" s="204" t="s">
        <v>1052</v>
      </c>
      <c r="K3559" s="269"/>
      <c r="L3559" s="210" t="s">
        <v>746</v>
      </c>
      <c r="M3559" s="198">
        <f>ROUND(K3559*I3559/10000,6)</f>
        <v>0</v>
      </c>
      <c r="N3559" s="212">
        <f>'02 项目基础信息（输入）'!$C$87</f>
        <v>0</v>
      </c>
      <c r="O3559" s="203">
        <f t="shared" si="408"/>
        <v>0</v>
      </c>
      <c r="P3559" s="203">
        <f t="shared" si="410"/>
        <v>0</v>
      </c>
      <c r="Q3559" s="271">
        <f t="shared" si="409"/>
        <v>0</v>
      </c>
      <c r="R3559" s="188"/>
      <c r="S3559" s="280"/>
      <c r="T3559" s="222"/>
      <c r="U3559" s="223" t="s">
        <v>5795</v>
      </c>
    </row>
    <row r="3560" spans="1:21" s="181" customFormat="1" ht="0" hidden="1" customHeight="1" outlineLevel="5">
      <c r="A3560" s="253" t="s">
        <v>4617</v>
      </c>
      <c r="B3560" s="253"/>
      <c r="C3560" s="202" t="s">
        <v>1609</v>
      </c>
      <c r="D3560" s="203">
        <f>'02 项目基础信息（输入）'!$C$87</f>
        <v>0</v>
      </c>
      <c r="E3560" s="204" t="s">
        <v>93</v>
      </c>
      <c r="F3560" s="202" t="s">
        <v>4618</v>
      </c>
      <c r="G3560" s="210">
        <f>IFERROR(I3560/D3560,0)</f>
        <v>0</v>
      </c>
      <c r="H3560" s="204" t="s">
        <v>4598</v>
      </c>
      <c r="I3560" s="286"/>
      <c r="J3560" s="204" t="s">
        <v>1052</v>
      </c>
      <c r="K3560" s="269"/>
      <c r="L3560" s="210" t="s">
        <v>746</v>
      </c>
      <c r="M3560" s="198">
        <f>ROUND(K3560*I3560/10000,6)</f>
        <v>0</v>
      </c>
      <c r="N3560" s="212">
        <f>'02 项目基础信息（输入）'!$C$87</f>
        <v>0</v>
      </c>
      <c r="O3560" s="203">
        <f t="shared" si="408"/>
        <v>0</v>
      </c>
      <c r="P3560" s="203">
        <f t="shared" si="410"/>
        <v>0</v>
      </c>
      <c r="Q3560" s="271">
        <f t="shared" si="409"/>
        <v>0</v>
      </c>
      <c r="R3560" s="188"/>
      <c r="S3560" s="280"/>
      <c r="T3560" s="222"/>
      <c r="U3560" s="223" t="s">
        <v>5796</v>
      </c>
    </row>
    <row r="3561" spans="1:21" s="181" customFormat="1" ht="0" hidden="1" customHeight="1" outlineLevel="5">
      <c r="A3561" s="253" t="s">
        <v>4620</v>
      </c>
      <c r="B3561" s="253"/>
      <c r="C3561" s="202" t="s">
        <v>1609</v>
      </c>
      <c r="D3561" s="203">
        <f>'02 项目基础信息（输入）'!$C$87</f>
        <v>0</v>
      </c>
      <c r="E3561" s="204" t="s">
        <v>93</v>
      </c>
      <c r="F3561" s="202" t="s">
        <v>4621</v>
      </c>
      <c r="G3561" s="210">
        <f>IFERROR(I3561/D3561,0)</f>
        <v>0</v>
      </c>
      <c r="H3561" s="204" t="s">
        <v>4598</v>
      </c>
      <c r="I3561" s="286"/>
      <c r="J3561" s="204" t="s">
        <v>1052</v>
      </c>
      <c r="K3561" s="269"/>
      <c r="L3561" s="210" t="s">
        <v>746</v>
      </c>
      <c r="M3561" s="198">
        <f>ROUND(K3561*I3561/10000,6)</f>
        <v>0</v>
      </c>
      <c r="N3561" s="212">
        <f>'02 项目基础信息（输入）'!$C$87</f>
        <v>0</v>
      </c>
      <c r="O3561" s="203">
        <f t="shared" si="408"/>
        <v>0</v>
      </c>
      <c r="P3561" s="203">
        <f t="shared" si="410"/>
        <v>0</v>
      </c>
      <c r="Q3561" s="271">
        <f t="shared" si="409"/>
        <v>0</v>
      </c>
      <c r="R3561" s="188"/>
      <c r="S3561" s="280"/>
      <c r="T3561" s="222"/>
      <c r="U3561" s="223" t="s">
        <v>5797</v>
      </c>
    </row>
    <row r="3562" spans="1:21" ht="0" hidden="1" customHeight="1" outlineLevel="2">
      <c r="A3562" s="201" t="s">
        <v>4623</v>
      </c>
      <c r="B3562" s="201"/>
      <c r="C3562" s="202" t="s">
        <v>1609</v>
      </c>
      <c r="D3562" s="203">
        <f>'02 项目基础信息（输入）'!$C$87</f>
        <v>0</v>
      </c>
      <c r="E3562" s="204" t="s">
        <v>93</v>
      </c>
      <c r="F3562" s="256"/>
      <c r="G3562" s="255"/>
      <c r="H3562" s="255"/>
      <c r="I3562" s="212"/>
      <c r="J3562" s="255"/>
      <c r="K3562" s="231"/>
      <c r="L3562" s="205"/>
      <c r="M3562" s="198">
        <f>ROUND(SUM(M3563:M3565),6)</f>
        <v>0</v>
      </c>
      <c r="N3562" s="212">
        <f>'02 项目基础信息（输入）'!$C$87</f>
        <v>0</v>
      </c>
      <c r="O3562" s="203">
        <f t="shared" si="408"/>
        <v>0</v>
      </c>
      <c r="P3562" s="203">
        <f t="shared" si="410"/>
        <v>0</v>
      </c>
      <c r="Q3562" s="271">
        <f t="shared" si="409"/>
        <v>0</v>
      </c>
      <c r="S3562" s="280" t="s">
        <v>1314</v>
      </c>
      <c r="T3562" s="222"/>
      <c r="U3562" s="223" t="s">
        <v>5798</v>
      </c>
    </row>
    <row r="3563" spans="1:21" s="181" customFormat="1" ht="0" hidden="1" customHeight="1" outlineLevel="3">
      <c r="A3563" s="253" t="s">
        <v>4625</v>
      </c>
      <c r="B3563" s="254"/>
      <c r="C3563" s="250" t="s">
        <v>1609</v>
      </c>
      <c r="D3563" s="203">
        <f>'02 项目基础信息（输入）'!$C$87</f>
        <v>0</v>
      </c>
      <c r="E3563" s="204" t="s">
        <v>93</v>
      </c>
      <c r="F3563" s="202" t="s">
        <v>694</v>
      </c>
      <c r="G3563" s="261">
        <f>IFERROR(I3563/D3563,0)</f>
        <v>0</v>
      </c>
      <c r="H3563" s="204" t="s">
        <v>1473</v>
      </c>
      <c r="I3563" s="270"/>
      <c r="J3563" s="204" t="s">
        <v>131</v>
      </c>
      <c r="K3563" s="269"/>
      <c r="L3563" s="210" t="s">
        <v>792</v>
      </c>
      <c r="M3563" s="198">
        <f>ROUND(K3563*I3563/10000,6)</f>
        <v>0</v>
      </c>
      <c r="N3563" s="212">
        <f>'02 项目基础信息（输入）'!$C$87</f>
        <v>0</v>
      </c>
      <c r="O3563" s="203">
        <f t="shared" si="408"/>
        <v>0</v>
      </c>
      <c r="P3563" s="203">
        <f t="shared" si="410"/>
        <v>0</v>
      </c>
      <c r="Q3563" s="271">
        <f t="shared" si="409"/>
        <v>0</v>
      </c>
      <c r="R3563" s="188"/>
      <c r="S3563" s="280"/>
      <c r="T3563" s="222"/>
      <c r="U3563" s="223" t="s">
        <v>5799</v>
      </c>
    </row>
    <row r="3564" spans="1:21" s="181" customFormat="1" ht="0" hidden="1" customHeight="1" outlineLevel="3">
      <c r="A3564" s="253" t="s">
        <v>4627</v>
      </c>
      <c r="B3564" s="254"/>
      <c r="C3564" s="250" t="s">
        <v>1609</v>
      </c>
      <c r="D3564" s="203">
        <f>'02 项目基础信息（输入）'!$C$87</f>
        <v>0</v>
      </c>
      <c r="E3564" s="204" t="s">
        <v>93</v>
      </c>
      <c r="F3564" s="202" t="s">
        <v>694</v>
      </c>
      <c r="G3564" s="261">
        <f>IFERROR(I3564/D3564,0)</f>
        <v>0</v>
      </c>
      <c r="H3564" s="204" t="s">
        <v>1473</v>
      </c>
      <c r="I3564" s="270"/>
      <c r="J3564" s="204" t="s">
        <v>131</v>
      </c>
      <c r="K3564" s="269"/>
      <c r="L3564" s="210" t="s">
        <v>792</v>
      </c>
      <c r="M3564" s="198">
        <f>ROUND(K3564*I3564/10000,6)</f>
        <v>0</v>
      </c>
      <c r="N3564" s="212">
        <f>'02 项目基础信息（输入）'!$C$87</f>
        <v>0</v>
      </c>
      <c r="O3564" s="203">
        <f t="shared" si="408"/>
        <v>0</v>
      </c>
      <c r="P3564" s="203">
        <f t="shared" si="410"/>
        <v>0</v>
      </c>
      <c r="Q3564" s="271">
        <f t="shared" si="409"/>
        <v>0</v>
      </c>
      <c r="R3564" s="188"/>
      <c r="S3564" s="280"/>
      <c r="T3564" s="222"/>
      <c r="U3564" s="223" t="s">
        <v>5800</v>
      </c>
    </row>
    <row r="3565" spans="1:21" s="181" customFormat="1" ht="0" hidden="1" customHeight="1" outlineLevel="3">
      <c r="A3565" s="253" t="s">
        <v>4629</v>
      </c>
      <c r="B3565" s="254"/>
      <c r="C3565" s="250" t="s">
        <v>1609</v>
      </c>
      <c r="D3565" s="203">
        <f>'02 项目基础信息（输入）'!$C$87</f>
        <v>0</v>
      </c>
      <c r="E3565" s="204" t="s">
        <v>131</v>
      </c>
      <c r="F3565" s="202" t="s">
        <v>694</v>
      </c>
      <c r="G3565" s="261">
        <f>IFERROR(I3565/D3565,0)</f>
        <v>0</v>
      </c>
      <c r="H3565" s="204" t="s">
        <v>1473</v>
      </c>
      <c r="I3565" s="270"/>
      <c r="J3565" s="204" t="s">
        <v>131</v>
      </c>
      <c r="K3565" s="269"/>
      <c r="L3565" s="210" t="s">
        <v>792</v>
      </c>
      <c r="M3565" s="198">
        <f>ROUND(K3565*I3565/10000,6)</f>
        <v>0</v>
      </c>
      <c r="N3565" s="212">
        <f>'02 项目基础信息（输入）'!$C$87</f>
        <v>0</v>
      </c>
      <c r="O3565" s="203">
        <f t="shared" si="408"/>
        <v>0</v>
      </c>
      <c r="P3565" s="203">
        <f t="shared" si="410"/>
        <v>0</v>
      </c>
      <c r="Q3565" s="271">
        <f t="shared" si="409"/>
        <v>0</v>
      </c>
      <c r="R3565" s="188"/>
      <c r="S3565" s="280"/>
      <c r="T3565" s="222"/>
      <c r="U3565" s="223" t="s">
        <v>5801</v>
      </c>
    </row>
    <row r="3566" spans="1:21" ht="0" hidden="1" customHeight="1" outlineLevel="2">
      <c r="A3566" s="201" t="s">
        <v>4631</v>
      </c>
      <c r="B3566" s="201"/>
      <c r="C3566" s="202" t="s">
        <v>1609</v>
      </c>
      <c r="D3566" s="203">
        <f>'02 项目基础信息（输入）'!$C$87</f>
        <v>0</v>
      </c>
      <c r="E3566" s="204" t="s">
        <v>93</v>
      </c>
      <c r="F3566" s="202"/>
      <c r="G3566" s="204"/>
      <c r="H3566" s="204"/>
      <c r="I3566" s="203"/>
      <c r="J3566" s="204"/>
      <c r="K3566" s="264"/>
      <c r="L3566" s="205"/>
      <c r="M3566" s="198">
        <f>ROUND(SUM(M3567:M3568),6)</f>
        <v>0</v>
      </c>
      <c r="N3566" s="212">
        <f>'02 项目基础信息（输入）'!$C$87</f>
        <v>0</v>
      </c>
      <c r="O3566" s="203">
        <f t="shared" si="408"/>
        <v>0</v>
      </c>
      <c r="P3566" s="203">
        <f t="shared" si="410"/>
        <v>0</v>
      </c>
      <c r="Q3566" s="271">
        <f t="shared" si="409"/>
        <v>0</v>
      </c>
      <c r="S3566" s="280" t="s">
        <v>1314</v>
      </c>
      <c r="T3566" s="222"/>
      <c r="U3566" s="223" t="s">
        <v>5802</v>
      </c>
    </row>
    <row r="3567" spans="1:21" ht="0" hidden="1" customHeight="1" outlineLevel="3">
      <c r="A3567" s="253" t="s">
        <v>4633</v>
      </c>
      <c r="B3567" s="253"/>
      <c r="C3567" s="202" t="s">
        <v>1081</v>
      </c>
      <c r="D3567" s="289">
        <f>'02 项目基础信息（输入）'!AX87</f>
        <v>0</v>
      </c>
      <c r="E3567" s="204" t="s">
        <v>1082</v>
      </c>
      <c r="F3567" s="202" t="s">
        <v>1081</v>
      </c>
      <c r="G3567" s="204">
        <v>1</v>
      </c>
      <c r="H3567" s="204" t="s">
        <v>1918</v>
      </c>
      <c r="I3567" s="293">
        <f>D3567*G3567</f>
        <v>0</v>
      </c>
      <c r="J3567" s="204" t="s">
        <v>1082</v>
      </c>
      <c r="K3567" s="214"/>
      <c r="L3567" s="210" t="s">
        <v>1087</v>
      </c>
      <c r="M3567" s="198">
        <f>ROUND(K3567*I3567/10000,6)</f>
        <v>0</v>
      </c>
      <c r="N3567" s="212">
        <f>'02 项目基础信息（输入）'!$C$87</f>
        <v>0</v>
      </c>
      <c r="O3567" s="203">
        <f t="shared" si="408"/>
        <v>0</v>
      </c>
      <c r="P3567" s="203">
        <f t="shared" si="410"/>
        <v>0</v>
      </c>
      <c r="Q3567" s="271">
        <f t="shared" si="409"/>
        <v>0</v>
      </c>
      <c r="S3567" s="280"/>
      <c r="T3567" s="222"/>
      <c r="U3567" s="223" t="s">
        <v>5803</v>
      </c>
    </row>
    <row r="3568" spans="1:21" ht="0" hidden="1" customHeight="1" outlineLevel="3">
      <c r="A3568" s="253" t="s">
        <v>4635</v>
      </c>
      <c r="B3568" s="253"/>
      <c r="C3568" s="202" t="s">
        <v>1081</v>
      </c>
      <c r="D3568" s="291">
        <f>D3567</f>
        <v>0</v>
      </c>
      <c r="E3568" s="204" t="s">
        <v>1082</v>
      </c>
      <c r="F3568" s="202" t="s">
        <v>1081</v>
      </c>
      <c r="G3568" s="204">
        <v>1</v>
      </c>
      <c r="H3568" s="204" t="s">
        <v>1918</v>
      </c>
      <c r="I3568" s="293">
        <f>D3568*G3568</f>
        <v>0</v>
      </c>
      <c r="J3568" s="204" t="s">
        <v>1082</v>
      </c>
      <c r="K3568" s="214"/>
      <c r="L3568" s="210" t="s">
        <v>1087</v>
      </c>
      <c r="M3568" s="198">
        <f>ROUND(K3568*I3568/10000,6)</f>
        <v>0</v>
      </c>
      <c r="N3568" s="212">
        <f>'02 项目基础信息（输入）'!$C$87</f>
        <v>0</v>
      </c>
      <c r="O3568" s="203">
        <f t="shared" si="408"/>
        <v>0</v>
      </c>
      <c r="P3568" s="203">
        <f t="shared" si="410"/>
        <v>0</v>
      </c>
      <c r="Q3568" s="271">
        <f t="shared" si="409"/>
        <v>0</v>
      </c>
      <c r="S3568" s="280"/>
      <c r="T3568" s="222"/>
      <c r="U3568" s="223" t="s">
        <v>5804</v>
      </c>
    </row>
    <row r="3569" spans="1:21" ht="0" hidden="1" customHeight="1" outlineLevel="2">
      <c r="A3569" s="201" t="s">
        <v>4268</v>
      </c>
      <c r="B3569" s="201"/>
      <c r="C3569" s="202" t="s">
        <v>1609</v>
      </c>
      <c r="D3569" s="203">
        <f>'02 项目基础信息（输入）'!$C$87</f>
        <v>0</v>
      </c>
      <c r="E3569" s="204" t="s">
        <v>93</v>
      </c>
      <c r="F3569" s="202"/>
      <c r="G3569" s="204"/>
      <c r="H3569" s="255"/>
      <c r="I3569" s="212"/>
      <c r="J3569" s="255"/>
      <c r="K3569" s="264"/>
      <c r="L3569" s="205"/>
      <c r="M3569" s="198">
        <f>ROUND(M3570+M3577+M3587+M3588+M3589+M3590,6)</f>
        <v>0</v>
      </c>
      <c r="N3569" s="212">
        <f>'02 项目基础信息（输入）'!$C$87</f>
        <v>0</v>
      </c>
      <c r="O3569" s="203">
        <f t="shared" si="408"/>
        <v>0</v>
      </c>
      <c r="P3569" s="203">
        <f t="shared" si="410"/>
        <v>0</v>
      </c>
      <c r="Q3569" s="271">
        <f t="shared" si="409"/>
        <v>0</v>
      </c>
      <c r="S3569" s="280" t="s">
        <v>1313</v>
      </c>
      <c r="T3569" s="222"/>
      <c r="U3569" s="223" t="s">
        <v>5805</v>
      </c>
    </row>
    <row r="3570" spans="1:21" ht="0" hidden="1" customHeight="1" outlineLevel="3">
      <c r="A3570" s="253" t="s">
        <v>4270</v>
      </c>
      <c r="B3570" s="253"/>
      <c r="C3570" s="202" t="s">
        <v>1609</v>
      </c>
      <c r="D3570" s="203">
        <f>'02 项目基础信息（输入）'!$C$87</f>
        <v>0</v>
      </c>
      <c r="E3570" s="204" t="s">
        <v>93</v>
      </c>
      <c r="F3570" s="202"/>
      <c r="G3570" s="204"/>
      <c r="H3570" s="255"/>
      <c r="I3570" s="212"/>
      <c r="J3570" s="255"/>
      <c r="K3570" s="264"/>
      <c r="L3570" s="205"/>
      <c r="M3570" s="198">
        <f>ROUND(SUM(M3571:M3576),6)</f>
        <v>0</v>
      </c>
      <c r="N3570" s="212">
        <f>'02 项目基础信息（输入）'!$C$87</f>
        <v>0</v>
      </c>
      <c r="O3570" s="203">
        <f t="shared" si="408"/>
        <v>0</v>
      </c>
      <c r="P3570" s="203">
        <f t="shared" si="410"/>
        <v>0</v>
      </c>
      <c r="Q3570" s="271">
        <f t="shared" si="409"/>
        <v>0</v>
      </c>
      <c r="S3570" s="280"/>
      <c r="T3570" s="222"/>
      <c r="U3570" s="223" t="s">
        <v>5806</v>
      </c>
    </row>
    <row r="3571" spans="1:21" ht="0" hidden="1" customHeight="1" outlineLevel="4">
      <c r="A3571" s="253" t="s">
        <v>4272</v>
      </c>
      <c r="B3571" s="253"/>
      <c r="C3571" s="202" t="s">
        <v>1609</v>
      </c>
      <c r="D3571" s="203">
        <f>'02 项目基础信息（输入）'!$C$87</f>
        <v>0</v>
      </c>
      <c r="E3571" s="204" t="s">
        <v>93</v>
      </c>
      <c r="F3571" s="202" t="s">
        <v>1609</v>
      </c>
      <c r="G3571" s="204">
        <v>1</v>
      </c>
      <c r="H3571" s="204" t="s">
        <v>298</v>
      </c>
      <c r="I3571" s="265">
        <f t="shared" ref="I3571:I3576" si="411">D3571*G3571</f>
        <v>0</v>
      </c>
      <c r="J3571" s="204" t="s">
        <v>93</v>
      </c>
      <c r="K3571" s="214"/>
      <c r="L3571" s="210" t="s">
        <v>675</v>
      </c>
      <c r="M3571" s="198">
        <f t="shared" ref="M3571:M3576" si="412">ROUND(K3571*I3571/10000,6)</f>
        <v>0</v>
      </c>
      <c r="N3571" s="212">
        <f>'02 项目基础信息（输入）'!$C$87</f>
        <v>0</v>
      </c>
      <c r="O3571" s="203">
        <f t="shared" si="408"/>
        <v>0</v>
      </c>
      <c r="P3571" s="203">
        <f t="shared" si="410"/>
        <v>0</v>
      </c>
      <c r="Q3571" s="271">
        <f t="shared" si="409"/>
        <v>0</v>
      </c>
      <c r="S3571" s="280"/>
      <c r="T3571" s="222"/>
      <c r="U3571" s="223" t="s">
        <v>5807</v>
      </c>
    </row>
    <row r="3572" spans="1:21" ht="0" hidden="1" customHeight="1" outlineLevel="4">
      <c r="A3572" s="253" t="s">
        <v>4274</v>
      </c>
      <c r="B3572" s="253"/>
      <c r="C3572" s="202" t="s">
        <v>1609</v>
      </c>
      <c r="D3572" s="203">
        <f>'02 项目基础信息（输入）'!$C$87</f>
        <v>0</v>
      </c>
      <c r="E3572" s="204" t="s">
        <v>93</v>
      </c>
      <c r="F3572" s="202" t="s">
        <v>1609</v>
      </c>
      <c r="G3572" s="204">
        <v>1</v>
      </c>
      <c r="H3572" s="204" t="s">
        <v>298</v>
      </c>
      <c r="I3572" s="265">
        <f t="shared" si="411"/>
        <v>0</v>
      </c>
      <c r="J3572" s="204" t="s">
        <v>93</v>
      </c>
      <c r="K3572" s="214"/>
      <c r="L3572" s="210" t="s">
        <v>675</v>
      </c>
      <c r="M3572" s="198">
        <f t="shared" si="412"/>
        <v>0</v>
      </c>
      <c r="N3572" s="212">
        <f>'02 项目基础信息（输入）'!$C$87</f>
        <v>0</v>
      </c>
      <c r="O3572" s="203">
        <f t="shared" si="408"/>
        <v>0</v>
      </c>
      <c r="P3572" s="203">
        <f t="shared" si="410"/>
        <v>0</v>
      </c>
      <c r="Q3572" s="271">
        <f t="shared" si="409"/>
        <v>0</v>
      </c>
      <c r="S3572" s="280"/>
      <c r="T3572" s="222"/>
      <c r="U3572" s="223" t="s">
        <v>5808</v>
      </c>
    </row>
    <row r="3573" spans="1:21" ht="0" hidden="1" customHeight="1" outlineLevel="4">
      <c r="A3573" s="253" t="s">
        <v>4276</v>
      </c>
      <c r="B3573" s="253"/>
      <c r="C3573" s="202" t="s">
        <v>1609</v>
      </c>
      <c r="D3573" s="203">
        <f>'02 项目基础信息（输入）'!$C$87</f>
        <v>0</v>
      </c>
      <c r="E3573" s="204" t="s">
        <v>93</v>
      </c>
      <c r="F3573" s="202" t="s">
        <v>1609</v>
      </c>
      <c r="G3573" s="204">
        <v>1</v>
      </c>
      <c r="H3573" s="204" t="s">
        <v>298</v>
      </c>
      <c r="I3573" s="265">
        <f t="shared" si="411"/>
        <v>0</v>
      </c>
      <c r="J3573" s="204" t="s">
        <v>93</v>
      </c>
      <c r="K3573" s="214"/>
      <c r="L3573" s="210" t="s">
        <v>675</v>
      </c>
      <c r="M3573" s="198">
        <f t="shared" si="412"/>
        <v>0</v>
      </c>
      <c r="N3573" s="212">
        <f>'02 项目基础信息（输入）'!$C$87</f>
        <v>0</v>
      </c>
      <c r="O3573" s="203">
        <f t="shared" si="408"/>
        <v>0</v>
      </c>
      <c r="P3573" s="203">
        <f t="shared" si="410"/>
        <v>0</v>
      </c>
      <c r="Q3573" s="271">
        <f t="shared" si="409"/>
        <v>0</v>
      </c>
      <c r="S3573" s="280"/>
      <c r="T3573" s="222"/>
      <c r="U3573" s="223" t="s">
        <v>5809</v>
      </c>
    </row>
    <row r="3574" spans="1:21" ht="0" hidden="1" customHeight="1" outlineLevel="4">
      <c r="A3574" s="253" t="s">
        <v>4278</v>
      </c>
      <c r="B3574" s="253"/>
      <c r="C3574" s="202" t="s">
        <v>1609</v>
      </c>
      <c r="D3574" s="203">
        <f>'02 项目基础信息（输入）'!$C$87</f>
        <v>0</v>
      </c>
      <c r="E3574" s="204" t="s">
        <v>93</v>
      </c>
      <c r="F3574" s="202" t="s">
        <v>1609</v>
      </c>
      <c r="G3574" s="204">
        <v>1</v>
      </c>
      <c r="H3574" s="204" t="s">
        <v>298</v>
      </c>
      <c r="I3574" s="265">
        <f t="shared" si="411"/>
        <v>0</v>
      </c>
      <c r="J3574" s="204" t="s">
        <v>93</v>
      </c>
      <c r="K3574" s="214"/>
      <c r="L3574" s="210" t="s">
        <v>675</v>
      </c>
      <c r="M3574" s="198">
        <f t="shared" si="412"/>
        <v>0</v>
      </c>
      <c r="N3574" s="212">
        <f>'02 项目基础信息（输入）'!$C$87</f>
        <v>0</v>
      </c>
      <c r="O3574" s="203">
        <f t="shared" si="408"/>
        <v>0</v>
      </c>
      <c r="P3574" s="203">
        <f t="shared" si="410"/>
        <v>0</v>
      </c>
      <c r="Q3574" s="271">
        <f t="shared" si="409"/>
        <v>0</v>
      </c>
      <c r="S3574" s="280"/>
      <c r="T3574" s="222"/>
      <c r="U3574" s="223" t="s">
        <v>5810</v>
      </c>
    </row>
    <row r="3575" spans="1:21" ht="0" hidden="1" customHeight="1" outlineLevel="4">
      <c r="A3575" s="253" t="s">
        <v>4280</v>
      </c>
      <c r="B3575" s="253"/>
      <c r="C3575" s="202" t="s">
        <v>1609</v>
      </c>
      <c r="D3575" s="203">
        <f>'02 项目基础信息（输入）'!$C$87</f>
        <v>0</v>
      </c>
      <c r="E3575" s="204" t="s">
        <v>93</v>
      </c>
      <c r="F3575" s="202" t="s">
        <v>1609</v>
      </c>
      <c r="G3575" s="204">
        <v>1</v>
      </c>
      <c r="H3575" s="204" t="s">
        <v>298</v>
      </c>
      <c r="I3575" s="265">
        <f t="shared" si="411"/>
        <v>0</v>
      </c>
      <c r="J3575" s="204" t="s">
        <v>93</v>
      </c>
      <c r="K3575" s="214"/>
      <c r="L3575" s="210" t="s">
        <v>675</v>
      </c>
      <c r="M3575" s="198">
        <f t="shared" si="412"/>
        <v>0</v>
      </c>
      <c r="N3575" s="212">
        <f>'02 项目基础信息（输入）'!$C$87</f>
        <v>0</v>
      </c>
      <c r="O3575" s="203">
        <f t="shared" si="408"/>
        <v>0</v>
      </c>
      <c r="P3575" s="203">
        <f t="shared" si="410"/>
        <v>0</v>
      </c>
      <c r="Q3575" s="271">
        <f t="shared" si="409"/>
        <v>0</v>
      </c>
      <c r="S3575" s="280"/>
      <c r="T3575" s="222"/>
      <c r="U3575" s="223" t="s">
        <v>5811</v>
      </c>
    </row>
    <row r="3576" spans="1:21" ht="0" hidden="1" customHeight="1" outlineLevel="4">
      <c r="A3576" s="253" t="s">
        <v>4282</v>
      </c>
      <c r="B3576" s="253"/>
      <c r="C3576" s="202" t="s">
        <v>1609</v>
      </c>
      <c r="D3576" s="203">
        <f>'02 项目基础信息（输入）'!$C$87</f>
        <v>0</v>
      </c>
      <c r="E3576" s="204" t="s">
        <v>93</v>
      </c>
      <c r="F3576" s="202" t="s">
        <v>1609</v>
      </c>
      <c r="G3576" s="204">
        <v>1</v>
      </c>
      <c r="H3576" s="204" t="s">
        <v>298</v>
      </c>
      <c r="I3576" s="265">
        <f t="shared" si="411"/>
        <v>0</v>
      </c>
      <c r="J3576" s="204" t="s">
        <v>93</v>
      </c>
      <c r="K3576" s="214"/>
      <c r="L3576" s="210" t="s">
        <v>675</v>
      </c>
      <c r="M3576" s="198">
        <f t="shared" si="412"/>
        <v>0</v>
      </c>
      <c r="N3576" s="212">
        <f>'02 项目基础信息（输入）'!$C$87</f>
        <v>0</v>
      </c>
      <c r="O3576" s="203">
        <f t="shared" si="408"/>
        <v>0</v>
      </c>
      <c r="P3576" s="203">
        <f t="shared" si="410"/>
        <v>0</v>
      </c>
      <c r="Q3576" s="271">
        <f t="shared" si="409"/>
        <v>0</v>
      </c>
      <c r="S3576" s="280"/>
      <c r="T3576" s="222"/>
      <c r="U3576" s="223" t="s">
        <v>5812</v>
      </c>
    </row>
    <row r="3577" spans="1:21" ht="0" hidden="1" customHeight="1" outlineLevel="3">
      <c r="A3577" s="253" t="s">
        <v>4284</v>
      </c>
      <c r="B3577" s="253"/>
      <c r="C3577" s="202" t="s">
        <v>1609</v>
      </c>
      <c r="D3577" s="203">
        <f>'02 项目基础信息（输入）'!$C$87</f>
        <v>0</v>
      </c>
      <c r="E3577" s="204" t="s">
        <v>93</v>
      </c>
      <c r="F3577" s="202"/>
      <c r="G3577" s="204"/>
      <c r="H3577" s="204"/>
      <c r="I3577" s="203"/>
      <c r="J3577" s="255"/>
      <c r="K3577" s="264"/>
      <c r="L3577" s="205"/>
      <c r="M3577" s="198">
        <f>ROUND(SUM(M3578:M3586),6)</f>
        <v>0</v>
      </c>
      <c r="N3577" s="212">
        <f>'02 项目基础信息（输入）'!$C$87</f>
        <v>0</v>
      </c>
      <c r="O3577" s="203">
        <f t="shared" si="408"/>
        <v>0</v>
      </c>
      <c r="P3577" s="203">
        <f t="shared" si="410"/>
        <v>0</v>
      </c>
      <c r="Q3577" s="271">
        <f t="shared" si="409"/>
        <v>0</v>
      </c>
      <c r="S3577" s="280"/>
      <c r="T3577" s="222"/>
      <c r="U3577" s="223" t="s">
        <v>5813</v>
      </c>
    </row>
    <row r="3578" spans="1:21" ht="0" hidden="1" customHeight="1" outlineLevel="4">
      <c r="A3578" s="253" t="s">
        <v>4286</v>
      </c>
      <c r="B3578" s="253"/>
      <c r="C3578" s="202" t="s">
        <v>1609</v>
      </c>
      <c r="D3578" s="203">
        <f>'02 项目基础信息（输入）'!$C$87</f>
        <v>0</v>
      </c>
      <c r="E3578" s="204" t="s">
        <v>93</v>
      </c>
      <c r="F3578" s="202" t="s">
        <v>1609</v>
      </c>
      <c r="G3578" s="204">
        <v>1</v>
      </c>
      <c r="H3578" s="204" t="s">
        <v>298</v>
      </c>
      <c r="I3578" s="265">
        <f t="shared" ref="I3578:I3589" si="413">D3578*G3578</f>
        <v>0</v>
      </c>
      <c r="J3578" s="204" t="s">
        <v>93</v>
      </c>
      <c r="K3578" s="214"/>
      <c r="L3578" s="210" t="s">
        <v>675</v>
      </c>
      <c r="M3578" s="198">
        <f t="shared" ref="M3578:M3589" si="414">ROUND(K3578*I3578/10000,6)</f>
        <v>0</v>
      </c>
      <c r="N3578" s="212">
        <f>'02 项目基础信息（输入）'!$C$87</f>
        <v>0</v>
      </c>
      <c r="O3578" s="203">
        <f t="shared" si="408"/>
        <v>0</v>
      </c>
      <c r="P3578" s="203">
        <f t="shared" si="410"/>
        <v>0</v>
      </c>
      <c r="Q3578" s="271">
        <f t="shared" si="409"/>
        <v>0</v>
      </c>
      <c r="S3578" s="280"/>
      <c r="T3578" s="222"/>
      <c r="U3578" s="223" t="s">
        <v>5814</v>
      </c>
    </row>
    <row r="3579" spans="1:21" ht="0" hidden="1" customHeight="1" outlineLevel="4">
      <c r="A3579" s="253" t="s">
        <v>4288</v>
      </c>
      <c r="B3579" s="253"/>
      <c r="C3579" s="202" t="s">
        <v>1609</v>
      </c>
      <c r="D3579" s="203">
        <f>'02 项目基础信息（输入）'!$C$87</f>
        <v>0</v>
      </c>
      <c r="E3579" s="204" t="s">
        <v>93</v>
      </c>
      <c r="F3579" s="202" t="s">
        <v>1609</v>
      </c>
      <c r="G3579" s="204">
        <v>1</v>
      </c>
      <c r="H3579" s="204" t="s">
        <v>298</v>
      </c>
      <c r="I3579" s="265">
        <f t="shared" si="413"/>
        <v>0</v>
      </c>
      <c r="J3579" s="204" t="s">
        <v>93</v>
      </c>
      <c r="K3579" s="214"/>
      <c r="L3579" s="210" t="s">
        <v>675</v>
      </c>
      <c r="M3579" s="198">
        <f t="shared" si="414"/>
        <v>0</v>
      </c>
      <c r="N3579" s="212">
        <f>'02 项目基础信息（输入）'!$C$87</f>
        <v>0</v>
      </c>
      <c r="O3579" s="203">
        <f t="shared" si="408"/>
        <v>0</v>
      </c>
      <c r="P3579" s="203">
        <f t="shared" si="410"/>
        <v>0</v>
      </c>
      <c r="Q3579" s="271">
        <f t="shared" si="409"/>
        <v>0</v>
      </c>
      <c r="S3579" s="280"/>
      <c r="T3579" s="222"/>
      <c r="U3579" s="223" t="s">
        <v>5815</v>
      </c>
    </row>
    <row r="3580" spans="1:21" ht="0" hidden="1" customHeight="1" outlineLevel="4">
      <c r="A3580" s="253" t="s">
        <v>4290</v>
      </c>
      <c r="B3580" s="253"/>
      <c r="C3580" s="202" t="s">
        <v>1609</v>
      </c>
      <c r="D3580" s="203">
        <f>'02 项目基础信息（输入）'!$C$87</f>
        <v>0</v>
      </c>
      <c r="E3580" s="204" t="s">
        <v>93</v>
      </c>
      <c r="F3580" s="202" t="s">
        <v>1609</v>
      </c>
      <c r="G3580" s="204">
        <v>1</v>
      </c>
      <c r="H3580" s="204" t="s">
        <v>298</v>
      </c>
      <c r="I3580" s="265">
        <f t="shared" si="413"/>
        <v>0</v>
      </c>
      <c r="J3580" s="204" t="s">
        <v>93</v>
      </c>
      <c r="K3580" s="214"/>
      <c r="L3580" s="210" t="s">
        <v>675</v>
      </c>
      <c r="M3580" s="198">
        <f t="shared" si="414"/>
        <v>0</v>
      </c>
      <c r="N3580" s="212">
        <f>'02 项目基础信息（输入）'!$C$87</f>
        <v>0</v>
      </c>
      <c r="O3580" s="203">
        <f t="shared" si="408"/>
        <v>0</v>
      </c>
      <c r="P3580" s="203">
        <f t="shared" si="410"/>
        <v>0</v>
      </c>
      <c r="Q3580" s="271">
        <f t="shared" si="409"/>
        <v>0</v>
      </c>
      <c r="S3580" s="280"/>
      <c r="T3580" s="222"/>
      <c r="U3580" s="223" t="s">
        <v>5816</v>
      </c>
    </row>
    <row r="3581" spans="1:21" ht="0" hidden="1" customHeight="1" outlineLevel="4">
      <c r="A3581" s="253" t="s">
        <v>4657</v>
      </c>
      <c r="B3581" s="253"/>
      <c r="C3581" s="202" t="s">
        <v>1609</v>
      </c>
      <c r="D3581" s="203">
        <f>'02 项目基础信息（输入）'!$C$87</f>
        <v>0</v>
      </c>
      <c r="E3581" s="204" t="s">
        <v>93</v>
      </c>
      <c r="F3581" s="202" t="s">
        <v>1609</v>
      </c>
      <c r="G3581" s="204">
        <v>1</v>
      </c>
      <c r="H3581" s="204" t="s">
        <v>298</v>
      </c>
      <c r="I3581" s="265">
        <f t="shared" si="413"/>
        <v>0</v>
      </c>
      <c r="J3581" s="204" t="s">
        <v>93</v>
      </c>
      <c r="K3581" s="214"/>
      <c r="L3581" s="210" t="s">
        <v>675</v>
      </c>
      <c r="M3581" s="198">
        <f t="shared" si="414"/>
        <v>0</v>
      </c>
      <c r="N3581" s="212">
        <f>'02 项目基础信息（输入）'!$C$87</f>
        <v>0</v>
      </c>
      <c r="O3581" s="203">
        <f t="shared" si="408"/>
        <v>0</v>
      </c>
      <c r="P3581" s="203">
        <f t="shared" si="410"/>
        <v>0</v>
      </c>
      <c r="Q3581" s="271">
        <f t="shared" si="409"/>
        <v>0</v>
      </c>
      <c r="S3581" s="280"/>
      <c r="T3581" s="222"/>
      <c r="U3581" s="223" t="s">
        <v>5817</v>
      </c>
    </row>
    <row r="3582" spans="1:21" ht="0" hidden="1" customHeight="1" outlineLevel="4">
      <c r="A3582" s="253" t="s">
        <v>4292</v>
      </c>
      <c r="B3582" s="253"/>
      <c r="C3582" s="202" t="s">
        <v>1609</v>
      </c>
      <c r="D3582" s="203">
        <f>'02 项目基础信息（输入）'!$C$87</f>
        <v>0</v>
      </c>
      <c r="E3582" s="204" t="s">
        <v>93</v>
      </c>
      <c r="F3582" s="202" t="s">
        <v>1609</v>
      </c>
      <c r="G3582" s="204">
        <v>1</v>
      </c>
      <c r="H3582" s="204" t="s">
        <v>298</v>
      </c>
      <c r="I3582" s="265">
        <f t="shared" si="413"/>
        <v>0</v>
      </c>
      <c r="J3582" s="204" t="s">
        <v>93</v>
      </c>
      <c r="K3582" s="214"/>
      <c r="L3582" s="210" t="s">
        <v>675</v>
      </c>
      <c r="M3582" s="198">
        <f t="shared" si="414"/>
        <v>0</v>
      </c>
      <c r="N3582" s="212">
        <f>'02 项目基础信息（输入）'!$C$87</f>
        <v>0</v>
      </c>
      <c r="O3582" s="203">
        <f t="shared" si="408"/>
        <v>0</v>
      </c>
      <c r="P3582" s="203">
        <f t="shared" si="410"/>
        <v>0</v>
      </c>
      <c r="Q3582" s="271">
        <f t="shared" si="409"/>
        <v>0</v>
      </c>
      <c r="S3582" s="280"/>
      <c r="T3582" s="222"/>
      <c r="U3582" s="223" t="s">
        <v>5818</v>
      </c>
    </row>
    <row r="3583" spans="1:21" ht="0" hidden="1" customHeight="1" outlineLevel="4">
      <c r="A3583" s="253" t="s">
        <v>4294</v>
      </c>
      <c r="B3583" s="253"/>
      <c r="C3583" s="202" t="s">
        <v>1609</v>
      </c>
      <c r="D3583" s="203">
        <f>'02 项目基础信息（输入）'!$C$87</f>
        <v>0</v>
      </c>
      <c r="E3583" s="204" t="s">
        <v>93</v>
      </c>
      <c r="F3583" s="202" t="s">
        <v>1609</v>
      </c>
      <c r="G3583" s="204">
        <v>1</v>
      </c>
      <c r="H3583" s="204" t="s">
        <v>298</v>
      </c>
      <c r="I3583" s="265">
        <f t="shared" si="413"/>
        <v>0</v>
      </c>
      <c r="J3583" s="204" t="s">
        <v>93</v>
      </c>
      <c r="K3583" s="214"/>
      <c r="L3583" s="210" t="s">
        <v>675</v>
      </c>
      <c r="M3583" s="198">
        <f t="shared" si="414"/>
        <v>0</v>
      </c>
      <c r="N3583" s="212">
        <f>'02 项目基础信息（输入）'!$C$87</f>
        <v>0</v>
      </c>
      <c r="O3583" s="203">
        <f t="shared" si="408"/>
        <v>0</v>
      </c>
      <c r="P3583" s="203">
        <f t="shared" si="410"/>
        <v>0</v>
      </c>
      <c r="Q3583" s="271">
        <f t="shared" si="409"/>
        <v>0</v>
      </c>
      <c r="S3583" s="280"/>
      <c r="T3583" s="222"/>
      <c r="U3583" s="223" t="s">
        <v>5819</v>
      </c>
    </row>
    <row r="3584" spans="1:21" ht="0" hidden="1" customHeight="1" outlineLevel="4">
      <c r="A3584" s="253" t="s">
        <v>4296</v>
      </c>
      <c r="B3584" s="253"/>
      <c r="C3584" s="202" t="s">
        <v>1609</v>
      </c>
      <c r="D3584" s="203">
        <f>'02 项目基础信息（输入）'!$C$87</f>
        <v>0</v>
      </c>
      <c r="E3584" s="204" t="s">
        <v>93</v>
      </c>
      <c r="F3584" s="202" t="s">
        <v>1609</v>
      </c>
      <c r="G3584" s="204">
        <v>1</v>
      </c>
      <c r="H3584" s="204" t="s">
        <v>298</v>
      </c>
      <c r="I3584" s="265">
        <f t="shared" si="413"/>
        <v>0</v>
      </c>
      <c r="J3584" s="204" t="s">
        <v>93</v>
      </c>
      <c r="K3584" s="214"/>
      <c r="L3584" s="210" t="s">
        <v>675</v>
      </c>
      <c r="M3584" s="198">
        <f t="shared" si="414"/>
        <v>0</v>
      </c>
      <c r="N3584" s="212">
        <f>'02 项目基础信息（输入）'!$C$87</f>
        <v>0</v>
      </c>
      <c r="O3584" s="203">
        <f t="shared" si="408"/>
        <v>0</v>
      </c>
      <c r="P3584" s="203">
        <f t="shared" si="410"/>
        <v>0</v>
      </c>
      <c r="Q3584" s="271">
        <f t="shared" si="409"/>
        <v>0</v>
      </c>
      <c r="S3584" s="280"/>
      <c r="T3584" s="222"/>
      <c r="U3584" s="223" t="s">
        <v>5820</v>
      </c>
    </row>
    <row r="3585" spans="1:21" ht="0" hidden="1" customHeight="1" outlineLevel="4">
      <c r="A3585" s="253" t="s">
        <v>4298</v>
      </c>
      <c r="B3585" s="253"/>
      <c r="C3585" s="202" t="s">
        <v>1609</v>
      </c>
      <c r="D3585" s="203">
        <f>'02 项目基础信息（输入）'!$C$87</f>
        <v>0</v>
      </c>
      <c r="E3585" s="204" t="s">
        <v>93</v>
      </c>
      <c r="F3585" s="202" t="s">
        <v>1609</v>
      </c>
      <c r="G3585" s="204">
        <v>1</v>
      </c>
      <c r="H3585" s="204" t="s">
        <v>298</v>
      </c>
      <c r="I3585" s="265">
        <f t="shared" si="413"/>
        <v>0</v>
      </c>
      <c r="J3585" s="204" t="s">
        <v>93</v>
      </c>
      <c r="K3585" s="214"/>
      <c r="L3585" s="210" t="s">
        <v>675</v>
      </c>
      <c r="M3585" s="198">
        <f t="shared" si="414"/>
        <v>0</v>
      </c>
      <c r="N3585" s="212">
        <f>'02 项目基础信息（输入）'!$C$87</f>
        <v>0</v>
      </c>
      <c r="O3585" s="203">
        <f t="shared" si="408"/>
        <v>0</v>
      </c>
      <c r="P3585" s="203">
        <f t="shared" si="410"/>
        <v>0</v>
      </c>
      <c r="Q3585" s="271">
        <f t="shared" si="409"/>
        <v>0</v>
      </c>
      <c r="S3585" s="280"/>
      <c r="T3585" s="222"/>
      <c r="U3585" s="223" t="s">
        <v>5821</v>
      </c>
    </row>
    <row r="3586" spans="1:21" ht="0" hidden="1" customHeight="1" outlineLevel="4">
      <c r="A3586" s="253" t="s">
        <v>4300</v>
      </c>
      <c r="B3586" s="253"/>
      <c r="C3586" s="202" t="s">
        <v>1609</v>
      </c>
      <c r="D3586" s="203">
        <f>'02 项目基础信息（输入）'!$C$87</f>
        <v>0</v>
      </c>
      <c r="E3586" s="204" t="s">
        <v>93</v>
      </c>
      <c r="F3586" s="202" t="s">
        <v>1609</v>
      </c>
      <c r="G3586" s="204">
        <v>1</v>
      </c>
      <c r="H3586" s="204" t="s">
        <v>298</v>
      </c>
      <c r="I3586" s="265">
        <f t="shared" si="413"/>
        <v>0</v>
      </c>
      <c r="J3586" s="204" t="s">
        <v>93</v>
      </c>
      <c r="K3586" s="214"/>
      <c r="L3586" s="210" t="s">
        <v>675</v>
      </c>
      <c r="M3586" s="198">
        <f t="shared" si="414"/>
        <v>0</v>
      </c>
      <c r="N3586" s="212">
        <f>'02 项目基础信息（输入）'!$C$87</f>
        <v>0</v>
      </c>
      <c r="O3586" s="203">
        <f t="shared" si="408"/>
        <v>0</v>
      </c>
      <c r="P3586" s="203">
        <f t="shared" si="410"/>
        <v>0</v>
      </c>
      <c r="Q3586" s="271">
        <f t="shared" si="409"/>
        <v>0</v>
      </c>
      <c r="S3586" s="280"/>
      <c r="T3586" s="222"/>
      <c r="U3586" s="223" t="s">
        <v>5822</v>
      </c>
    </row>
    <row r="3587" spans="1:21" ht="0" hidden="1" customHeight="1" outlineLevel="3">
      <c r="A3587" s="253" t="s">
        <v>4302</v>
      </c>
      <c r="B3587" s="253"/>
      <c r="C3587" s="202" t="s">
        <v>1609</v>
      </c>
      <c r="D3587" s="203">
        <f>'02 项目基础信息（输入）'!$C$87</f>
        <v>0</v>
      </c>
      <c r="E3587" s="204" t="s">
        <v>93</v>
      </c>
      <c r="F3587" s="202" t="s">
        <v>1609</v>
      </c>
      <c r="G3587" s="204">
        <v>1</v>
      </c>
      <c r="H3587" s="204" t="s">
        <v>298</v>
      </c>
      <c r="I3587" s="265">
        <f t="shared" si="413"/>
        <v>0</v>
      </c>
      <c r="J3587" s="204" t="s">
        <v>93</v>
      </c>
      <c r="K3587" s="214"/>
      <c r="L3587" s="210" t="s">
        <v>675</v>
      </c>
      <c r="M3587" s="198">
        <f t="shared" si="414"/>
        <v>0</v>
      </c>
      <c r="N3587" s="212">
        <f>'02 项目基础信息（输入）'!$C$87</f>
        <v>0</v>
      </c>
      <c r="O3587" s="203">
        <f t="shared" ref="O3587:O3650" si="415">ROUND(IFERROR(M3587*10000/N3587,0),2)</f>
        <v>0</v>
      </c>
      <c r="P3587" s="203">
        <f t="shared" si="410"/>
        <v>0</v>
      </c>
      <c r="Q3587" s="271">
        <f t="shared" ref="Q3587:Q3650" si="416">ROUND(IFERROR(M3587*10000/P3587,0),2)</f>
        <v>0</v>
      </c>
      <c r="S3587" s="280"/>
      <c r="T3587" s="222"/>
      <c r="U3587" s="223" t="s">
        <v>5823</v>
      </c>
    </row>
    <row r="3588" spans="1:21" ht="0" hidden="1" customHeight="1" outlineLevel="3">
      <c r="A3588" s="253" t="s">
        <v>4306</v>
      </c>
      <c r="B3588" s="253"/>
      <c r="C3588" s="202" t="s">
        <v>1609</v>
      </c>
      <c r="D3588" s="203">
        <f>'02 项目基础信息（输入）'!$C$87</f>
        <v>0</v>
      </c>
      <c r="E3588" s="204" t="s">
        <v>93</v>
      </c>
      <c r="F3588" s="202" t="s">
        <v>1609</v>
      </c>
      <c r="G3588" s="255">
        <v>1</v>
      </c>
      <c r="H3588" s="204" t="s">
        <v>298</v>
      </c>
      <c r="I3588" s="265">
        <f t="shared" si="413"/>
        <v>0</v>
      </c>
      <c r="J3588" s="204" t="s">
        <v>93</v>
      </c>
      <c r="K3588" s="214"/>
      <c r="L3588" s="210" t="s">
        <v>675</v>
      </c>
      <c r="M3588" s="198">
        <f t="shared" si="414"/>
        <v>0</v>
      </c>
      <c r="N3588" s="212">
        <f>'02 项目基础信息（输入）'!$C$87</f>
        <v>0</v>
      </c>
      <c r="O3588" s="203">
        <f t="shared" si="415"/>
        <v>0</v>
      </c>
      <c r="P3588" s="203">
        <f t="shared" si="410"/>
        <v>0</v>
      </c>
      <c r="Q3588" s="271">
        <f t="shared" si="416"/>
        <v>0</v>
      </c>
      <c r="S3588" s="280"/>
      <c r="T3588" s="222"/>
      <c r="U3588" s="223" t="s">
        <v>5824</v>
      </c>
    </row>
    <row r="3589" spans="1:21" ht="0" hidden="1" customHeight="1" outlineLevel="3">
      <c r="A3589" s="253" t="s">
        <v>4308</v>
      </c>
      <c r="B3589" s="253"/>
      <c r="C3589" s="202" t="s">
        <v>1609</v>
      </c>
      <c r="D3589" s="203">
        <f>'02 项目基础信息（输入）'!$C$87</f>
        <v>0</v>
      </c>
      <c r="E3589" s="204" t="s">
        <v>93</v>
      </c>
      <c r="F3589" s="202" t="s">
        <v>1609</v>
      </c>
      <c r="G3589" s="255">
        <v>1</v>
      </c>
      <c r="H3589" s="204" t="s">
        <v>298</v>
      </c>
      <c r="I3589" s="265">
        <f t="shared" si="413"/>
        <v>0</v>
      </c>
      <c r="J3589" s="204" t="s">
        <v>93</v>
      </c>
      <c r="K3589" s="269"/>
      <c r="L3589" s="210" t="s">
        <v>675</v>
      </c>
      <c r="M3589" s="198">
        <f t="shared" si="414"/>
        <v>0</v>
      </c>
      <c r="N3589" s="212">
        <f>'02 项目基础信息（输入）'!$C$87</f>
        <v>0</v>
      </c>
      <c r="O3589" s="203">
        <f t="shared" si="415"/>
        <v>0</v>
      </c>
      <c r="P3589" s="203">
        <f t="shared" si="410"/>
        <v>0</v>
      </c>
      <c r="Q3589" s="271">
        <f t="shared" si="416"/>
        <v>0</v>
      </c>
      <c r="S3589" s="280"/>
      <c r="T3589" s="222"/>
      <c r="U3589" s="223" t="s">
        <v>5825</v>
      </c>
    </row>
    <row r="3590" spans="1:21" ht="0" hidden="1" customHeight="1" outlineLevel="3">
      <c r="A3590" s="253" t="s">
        <v>4310</v>
      </c>
      <c r="B3590" s="253"/>
      <c r="C3590" s="202" t="s">
        <v>1665</v>
      </c>
      <c r="D3590" s="203">
        <f>ROUND(M3570+M3577+M3587+M3588+M3589,6)*10000</f>
        <v>0</v>
      </c>
      <c r="E3590" s="204" t="s">
        <v>1666</v>
      </c>
      <c r="F3590" s="202" t="s">
        <v>1667</v>
      </c>
      <c r="G3590" s="258">
        <f>IFERROR(I3590*100/D3590,0)</f>
        <v>0</v>
      </c>
      <c r="H3590" s="204" t="s">
        <v>123</v>
      </c>
      <c r="I3590" s="265">
        <f>N3590*K3590</f>
        <v>0</v>
      </c>
      <c r="J3590" s="204" t="s">
        <v>1666</v>
      </c>
      <c r="K3590" s="269"/>
      <c r="L3590" s="210" t="s">
        <v>675</v>
      </c>
      <c r="M3590" s="231">
        <f>ROUND(I3590/10000,6)</f>
        <v>0</v>
      </c>
      <c r="N3590" s="212">
        <f>'02 项目基础信息（输入）'!$C$87</f>
        <v>0</v>
      </c>
      <c r="O3590" s="203">
        <f t="shared" si="415"/>
        <v>0</v>
      </c>
      <c r="P3590" s="203">
        <f t="shared" si="410"/>
        <v>0</v>
      </c>
      <c r="Q3590" s="271">
        <f t="shared" si="416"/>
        <v>0</v>
      </c>
      <c r="S3590" s="280"/>
      <c r="T3590" s="222"/>
      <c r="U3590" s="223" t="s">
        <v>5826</v>
      </c>
    </row>
    <row r="3591" spans="1:21" ht="0" hidden="1" customHeight="1" outlineLevel="2">
      <c r="A3591" s="201" t="s">
        <v>4312</v>
      </c>
      <c r="B3591" s="201"/>
      <c r="C3591" s="202" t="s">
        <v>1609</v>
      </c>
      <c r="D3591" s="203">
        <f>'02 项目基础信息（输入）'!$C$87</f>
        <v>0</v>
      </c>
      <c r="E3591" s="204" t="s">
        <v>93</v>
      </c>
      <c r="F3591" s="202"/>
      <c r="G3591" s="221"/>
      <c r="H3591" s="204"/>
      <c r="I3591" s="203"/>
      <c r="J3591" s="204"/>
      <c r="K3591" s="266"/>
      <c r="L3591" s="210"/>
      <c r="M3591" s="198">
        <f>ROUND(M3592+M3593+M3594+M3595+M3605+M3606+M3607,6)</f>
        <v>0</v>
      </c>
      <c r="N3591" s="212">
        <f>'02 项目基础信息（输入）'!$C$87</f>
        <v>0</v>
      </c>
      <c r="O3591" s="203">
        <f t="shared" si="415"/>
        <v>0</v>
      </c>
      <c r="P3591" s="203">
        <f t="shared" si="410"/>
        <v>0</v>
      </c>
      <c r="Q3591" s="271">
        <f t="shared" si="416"/>
        <v>0</v>
      </c>
      <c r="S3591" s="280" t="s">
        <v>1314</v>
      </c>
      <c r="T3591" s="222"/>
      <c r="U3591" s="223" t="s">
        <v>5827</v>
      </c>
    </row>
    <row r="3592" spans="1:21" ht="0" hidden="1" customHeight="1" outlineLevel="3">
      <c r="A3592" s="253" t="s">
        <v>4314</v>
      </c>
      <c r="B3592" s="253"/>
      <c r="C3592" s="202" t="s">
        <v>1609</v>
      </c>
      <c r="D3592" s="203">
        <f>'02 项目基础信息（输入）'!$C$87</f>
        <v>0</v>
      </c>
      <c r="E3592" s="204" t="s">
        <v>93</v>
      </c>
      <c r="F3592" s="202" t="s">
        <v>4315</v>
      </c>
      <c r="G3592" s="258">
        <f>IFERROR(I3592/D3592,0)</f>
        <v>0</v>
      </c>
      <c r="H3592" s="204" t="s">
        <v>298</v>
      </c>
      <c r="I3592" s="285"/>
      <c r="J3592" s="204" t="s">
        <v>93</v>
      </c>
      <c r="K3592" s="214"/>
      <c r="L3592" s="210" t="s">
        <v>675</v>
      </c>
      <c r="M3592" s="198">
        <f>ROUND(K3592*I3592/10000,6)</f>
        <v>0</v>
      </c>
      <c r="N3592" s="212">
        <f>'02 项目基础信息（输入）'!$C$87</f>
        <v>0</v>
      </c>
      <c r="O3592" s="203">
        <f t="shared" si="415"/>
        <v>0</v>
      </c>
      <c r="P3592" s="203">
        <f t="shared" si="410"/>
        <v>0</v>
      </c>
      <c r="Q3592" s="271">
        <f t="shared" si="416"/>
        <v>0</v>
      </c>
      <c r="S3592" s="280"/>
      <c r="T3592" s="222"/>
      <c r="U3592" s="223" t="s">
        <v>5828</v>
      </c>
    </row>
    <row r="3593" spans="1:21" ht="0" hidden="1" customHeight="1" outlineLevel="3">
      <c r="A3593" s="253" t="s">
        <v>4317</v>
      </c>
      <c r="B3593" s="253"/>
      <c r="C3593" s="202" t="s">
        <v>1609</v>
      </c>
      <c r="D3593" s="203">
        <f>'02 项目基础信息（输入）'!$C$87</f>
        <v>0</v>
      </c>
      <c r="E3593" s="204" t="s">
        <v>93</v>
      </c>
      <c r="F3593" s="202" t="s">
        <v>1609</v>
      </c>
      <c r="G3593" s="255">
        <v>1</v>
      </c>
      <c r="H3593" s="204" t="s">
        <v>298</v>
      </c>
      <c r="I3593" s="265">
        <f>D3593*G3593</f>
        <v>0</v>
      </c>
      <c r="J3593" s="204" t="s">
        <v>93</v>
      </c>
      <c r="K3593" s="214"/>
      <c r="L3593" s="210" t="s">
        <v>675</v>
      </c>
      <c r="M3593" s="198">
        <f>ROUND(K3593*I3593/10000,6)</f>
        <v>0</v>
      </c>
      <c r="N3593" s="212">
        <f>'02 项目基础信息（输入）'!$C$87</f>
        <v>0</v>
      </c>
      <c r="O3593" s="203">
        <f t="shared" si="415"/>
        <v>0</v>
      </c>
      <c r="P3593" s="203">
        <f t="shared" si="410"/>
        <v>0</v>
      </c>
      <c r="Q3593" s="271">
        <f t="shared" si="416"/>
        <v>0</v>
      </c>
      <c r="S3593" s="280"/>
      <c r="T3593" s="222"/>
      <c r="U3593" s="223" t="s">
        <v>5829</v>
      </c>
    </row>
    <row r="3594" spans="1:21" ht="0" hidden="1" customHeight="1" outlineLevel="3">
      <c r="A3594" s="253" t="s">
        <v>4319</v>
      </c>
      <c r="B3594" s="253"/>
      <c r="C3594" s="202" t="s">
        <v>1609</v>
      </c>
      <c r="D3594" s="203">
        <f>'02 项目基础信息（输入）'!$C$87</f>
        <v>0</v>
      </c>
      <c r="E3594" s="204" t="s">
        <v>93</v>
      </c>
      <c r="F3594" s="202" t="s">
        <v>1609</v>
      </c>
      <c r="G3594" s="255">
        <v>1</v>
      </c>
      <c r="H3594" s="204" t="s">
        <v>298</v>
      </c>
      <c r="I3594" s="265">
        <f>D3594*G3594</f>
        <v>0</v>
      </c>
      <c r="J3594" s="204" t="s">
        <v>93</v>
      </c>
      <c r="K3594" s="214"/>
      <c r="L3594" s="210" t="s">
        <v>675</v>
      </c>
      <c r="M3594" s="198">
        <f>ROUND(K3594*I3594/10000,6)</f>
        <v>0</v>
      </c>
      <c r="N3594" s="212">
        <f>'02 项目基础信息（输入）'!$C$87</f>
        <v>0</v>
      </c>
      <c r="O3594" s="203">
        <f t="shared" si="415"/>
        <v>0</v>
      </c>
      <c r="P3594" s="203">
        <f t="shared" ref="P3594:P3657" si="417">N3594</f>
        <v>0</v>
      </c>
      <c r="Q3594" s="271">
        <f t="shared" si="416"/>
        <v>0</v>
      </c>
      <c r="S3594" s="280"/>
      <c r="T3594" s="222"/>
      <c r="U3594" s="223" t="s">
        <v>5830</v>
      </c>
    </row>
    <row r="3595" spans="1:21" ht="0" hidden="1" customHeight="1" outlineLevel="3">
      <c r="A3595" s="253" t="s">
        <v>4321</v>
      </c>
      <c r="B3595" s="253"/>
      <c r="C3595" s="202" t="s">
        <v>1609</v>
      </c>
      <c r="D3595" s="203">
        <f>'02 项目基础信息（输入）'!$C$87</f>
        <v>0</v>
      </c>
      <c r="E3595" s="204" t="s">
        <v>93</v>
      </c>
      <c r="F3595" s="202"/>
      <c r="G3595" s="255"/>
      <c r="H3595" s="204"/>
      <c r="I3595" s="212"/>
      <c r="J3595" s="255"/>
      <c r="K3595" s="264"/>
      <c r="L3595" s="205"/>
      <c r="M3595" s="198">
        <f>ROUND(SUM(M3596:M3604),6)</f>
        <v>0</v>
      </c>
      <c r="N3595" s="212">
        <f>'02 项目基础信息（输入）'!$C$87</f>
        <v>0</v>
      </c>
      <c r="O3595" s="203">
        <f t="shared" si="415"/>
        <v>0</v>
      </c>
      <c r="P3595" s="203">
        <f t="shared" si="417"/>
        <v>0</v>
      </c>
      <c r="Q3595" s="271">
        <f t="shared" si="416"/>
        <v>0</v>
      </c>
      <c r="S3595" s="280"/>
      <c r="T3595" s="222"/>
      <c r="U3595" s="223" t="s">
        <v>5831</v>
      </c>
    </row>
    <row r="3596" spans="1:21" ht="0" hidden="1" customHeight="1" outlineLevel="4">
      <c r="A3596" s="253" t="s">
        <v>4673</v>
      </c>
      <c r="B3596" s="253"/>
      <c r="C3596" s="202" t="s">
        <v>1609</v>
      </c>
      <c r="D3596" s="203">
        <f>'02 项目基础信息（输入）'!$C$87</f>
        <v>0</v>
      </c>
      <c r="E3596" s="204" t="s">
        <v>93</v>
      </c>
      <c r="F3596" s="202" t="s">
        <v>4324</v>
      </c>
      <c r="G3596" s="258">
        <f t="shared" ref="G3596:G3604" si="418">IFERROR(I3596/D3596,0)</f>
        <v>0</v>
      </c>
      <c r="H3596" s="204" t="s">
        <v>298</v>
      </c>
      <c r="I3596" s="285"/>
      <c r="J3596" s="204" t="s">
        <v>93</v>
      </c>
      <c r="K3596" s="214"/>
      <c r="L3596" s="210" t="s">
        <v>675</v>
      </c>
      <c r="M3596" s="198">
        <f t="shared" ref="M3596:M3606" si="419">ROUND(K3596*I3596/10000,6)</f>
        <v>0</v>
      </c>
      <c r="N3596" s="212">
        <f>'02 项目基础信息（输入）'!$C$87</f>
        <v>0</v>
      </c>
      <c r="O3596" s="203">
        <f t="shared" si="415"/>
        <v>0</v>
      </c>
      <c r="P3596" s="203">
        <f t="shared" si="417"/>
        <v>0</v>
      </c>
      <c r="Q3596" s="271">
        <f t="shared" si="416"/>
        <v>0</v>
      </c>
      <c r="S3596" s="280"/>
      <c r="T3596" s="222"/>
      <c r="U3596" s="223" t="s">
        <v>5832</v>
      </c>
    </row>
    <row r="3597" spans="1:21" ht="0" hidden="1" customHeight="1" outlineLevel="4">
      <c r="A3597" s="253" t="s">
        <v>4675</v>
      </c>
      <c r="B3597" s="253"/>
      <c r="C3597" s="202" t="s">
        <v>1609</v>
      </c>
      <c r="D3597" s="203">
        <f>'02 项目基础信息（输入）'!$C$87</f>
        <v>0</v>
      </c>
      <c r="E3597" s="204" t="s">
        <v>93</v>
      </c>
      <c r="F3597" s="202" t="s">
        <v>4324</v>
      </c>
      <c r="G3597" s="258">
        <f t="shared" si="418"/>
        <v>0</v>
      </c>
      <c r="H3597" s="204" t="s">
        <v>298</v>
      </c>
      <c r="I3597" s="265">
        <f t="shared" ref="I3597:I3604" si="420">I3596</f>
        <v>0</v>
      </c>
      <c r="J3597" s="204" t="s">
        <v>93</v>
      </c>
      <c r="K3597" s="214"/>
      <c r="L3597" s="210" t="s">
        <v>675</v>
      </c>
      <c r="M3597" s="198">
        <f t="shared" si="419"/>
        <v>0</v>
      </c>
      <c r="N3597" s="212">
        <f>'02 项目基础信息（输入）'!$C$87</f>
        <v>0</v>
      </c>
      <c r="O3597" s="203">
        <f t="shared" si="415"/>
        <v>0</v>
      </c>
      <c r="P3597" s="203">
        <f t="shared" si="417"/>
        <v>0</v>
      </c>
      <c r="Q3597" s="271">
        <f t="shared" si="416"/>
        <v>0</v>
      </c>
      <c r="S3597" s="280"/>
      <c r="T3597" s="222"/>
      <c r="U3597" s="223" t="s">
        <v>5833</v>
      </c>
    </row>
    <row r="3598" spans="1:21" ht="0" hidden="1" customHeight="1" outlineLevel="4">
      <c r="A3598" s="253" t="s">
        <v>4677</v>
      </c>
      <c r="B3598" s="253"/>
      <c r="C3598" s="202" t="s">
        <v>1609</v>
      </c>
      <c r="D3598" s="203">
        <f>'02 项目基础信息（输入）'!$C$87</f>
        <v>0</v>
      </c>
      <c r="E3598" s="204" t="s">
        <v>93</v>
      </c>
      <c r="F3598" s="202" t="s">
        <v>4324</v>
      </c>
      <c r="G3598" s="258">
        <f t="shared" si="418"/>
        <v>0</v>
      </c>
      <c r="H3598" s="204" t="s">
        <v>298</v>
      </c>
      <c r="I3598" s="265">
        <f t="shared" si="420"/>
        <v>0</v>
      </c>
      <c r="J3598" s="204" t="s">
        <v>93</v>
      </c>
      <c r="K3598" s="214"/>
      <c r="L3598" s="210" t="s">
        <v>675</v>
      </c>
      <c r="M3598" s="198">
        <f t="shared" si="419"/>
        <v>0</v>
      </c>
      <c r="N3598" s="212">
        <f>'02 项目基础信息（输入）'!$C$87</f>
        <v>0</v>
      </c>
      <c r="O3598" s="203">
        <f t="shared" si="415"/>
        <v>0</v>
      </c>
      <c r="P3598" s="203">
        <f t="shared" si="417"/>
        <v>0</v>
      </c>
      <c r="Q3598" s="271">
        <f t="shared" si="416"/>
        <v>0</v>
      </c>
      <c r="S3598" s="280"/>
      <c r="T3598" s="222"/>
      <c r="U3598" s="223" t="s">
        <v>5834</v>
      </c>
    </row>
    <row r="3599" spans="1:21" ht="0" hidden="1" customHeight="1" outlineLevel="4">
      <c r="A3599" s="253" t="s">
        <v>4679</v>
      </c>
      <c r="B3599" s="253"/>
      <c r="C3599" s="202" t="s">
        <v>1609</v>
      </c>
      <c r="D3599" s="203">
        <f>'02 项目基础信息（输入）'!$C$87</f>
        <v>0</v>
      </c>
      <c r="E3599" s="204" t="s">
        <v>93</v>
      </c>
      <c r="F3599" s="202" t="s">
        <v>4324</v>
      </c>
      <c r="G3599" s="258">
        <f t="shared" si="418"/>
        <v>0</v>
      </c>
      <c r="H3599" s="204" t="s">
        <v>298</v>
      </c>
      <c r="I3599" s="265">
        <f t="shared" si="420"/>
        <v>0</v>
      </c>
      <c r="J3599" s="204" t="s">
        <v>93</v>
      </c>
      <c r="K3599" s="214"/>
      <c r="L3599" s="210" t="s">
        <v>675</v>
      </c>
      <c r="M3599" s="198">
        <f t="shared" si="419"/>
        <v>0</v>
      </c>
      <c r="N3599" s="212">
        <f>'02 项目基础信息（输入）'!$C$87</f>
        <v>0</v>
      </c>
      <c r="O3599" s="203">
        <f t="shared" si="415"/>
        <v>0</v>
      </c>
      <c r="P3599" s="203">
        <f t="shared" si="417"/>
        <v>0</v>
      </c>
      <c r="Q3599" s="271">
        <f t="shared" si="416"/>
        <v>0</v>
      </c>
      <c r="S3599" s="280"/>
      <c r="T3599" s="222"/>
      <c r="U3599" s="223" t="s">
        <v>5835</v>
      </c>
    </row>
    <row r="3600" spans="1:21" ht="0" hidden="1" customHeight="1" outlineLevel="4">
      <c r="A3600" s="253" t="s">
        <v>4681</v>
      </c>
      <c r="B3600" s="253"/>
      <c r="C3600" s="202" t="s">
        <v>1609</v>
      </c>
      <c r="D3600" s="203">
        <f>'02 项目基础信息（输入）'!$C$87</f>
        <v>0</v>
      </c>
      <c r="E3600" s="204" t="s">
        <v>93</v>
      </c>
      <c r="F3600" s="202" t="s">
        <v>4324</v>
      </c>
      <c r="G3600" s="258">
        <f t="shared" si="418"/>
        <v>0</v>
      </c>
      <c r="H3600" s="204" t="s">
        <v>298</v>
      </c>
      <c r="I3600" s="265">
        <f t="shared" si="420"/>
        <v>0</v>
      </c>
      <c r="J3600" s="204" t="s">
        <v>93</v>
      </c>
      <c r="K3600" s="214"/>
      <c r="L3600" s="210" t="s">
        <v>675</v>
      </c>
      <c r="M3600" s="198">
        <f t="shared" si="419"/>
        <v>0</v>
      </c>
      <c r="N3600" s="212">
        <f>'02 项目基础信息（输入）'!$C$87</f>
        <v>0</v>
      </c>
      <c r="O3600" s="203">
        <f t="shared" si="415"/>
        <v>0</v>
      </c>
      <c r="P3600" s="203">
        <f t="shared" si="417"/>
        <v>0</v>
      </c>
      <c r="Q3600" s="271">
        <f t="shared" si="416"/>
        <v>0</v>
      </c>
      <c r="S3600" s="280"/>
      <c r="T3600" s="222"/>
      <c r="U3600" s="223" t="s">
        <v>5836</v>
      </c>
    </row>
    <row r="3601" spans="1:21" ht="0" hidden="1" customHeight="1" outlineLevel="4">
      <c r="A3601" s="253" t="s">
        <v>4683</v>
      </c>
      <c r="B3601" s="253"/>
      <c r="C3601" s="202" t="s">
        <v>1609</v>
      </c>
      <c r="D3601" s="203">
        <f>'02 项目基础信息（输入）'!$C$87</f>
        <v>0</v>
      </c>
      <c r="E3601" s="204" t="s">
        <v>93</v>
      </c>
      <c r="F3601" s="202" t="s">
        <v>4324</v>
      </c>
      <c r="G3601" s="258">
        <f t="shared" si="418"/>
        <v>0</v>
      </c>
      <c r="H3601" s="204" t="s">
        <v>298</v>
      </c>
      <c r="I3601" s="265">
        <f t="shared" si="420"/>
        <v>0</v>
      </c>
      <c r="J3601" s="204" t="s">
        <v>93</v>
      </c>
      <c r="K3601" s="214"/>
      <c r="L3601" s="210" t="s">
        <v>675</v>
      </c>
      <c r="M3601" s="198">
        <f t="shared" si="419"/>
        <v>0</v>
      </c>
      <c r="N3601" s="212">
        <f>'02 项目基础信息（输入）'!$C$87</f>
        <v>0</v>
      </c>
      <c r="O3601" s="203">
        <f t="shared" si="415"/>
        <v>0</v>
      </c>
      <c r="P3601" s="203">
        <f t="shared" si="417"/>
        <v>0</v>
      </c>
      <c r="Q3601" s="271">
        <f t="shared" si="416"/>
        <v>0</v>
      </c>
      <c r="S3601" s="280"/>
      <c r="T3601" s="222"/>
      <c r="U3601" s="223" t="s">
        <v>5837</v>
      </c>
    </row>
    <row r="3602" spans="1:21" ht="0" hidden="1" customHeight="1" outlineLevel="4">
      <c r="A3602" s="253" t="s">
        <v>4323</v>
      </c>
      <c r="B3602" s="253"/>
      <c r="C3602" s="202" t="s">
        <v>1609</v>
      </c>
      <c r="D3602" s="203">
        <f>'02 项目基础信息（输入）'!$C$87</f>
        <v>0</v>
      </c>
      <c r="E3602" s="204" t="s">
        <v>93</v>
      </c>
      <c r="F3602" s="202" t="s">
        <v>4324</v>
      </c>
      <c r="G3602" s="258">
        <f t="shared" si="418"/>
        <v>0</v>
      </c>
      <c r="H3602" s="204" t="s">
        <v>298</v>
      </c>
      <c r="I3602" s="265">
        <f t="shared" si="420"/>
        <v>0</v>
      </c>
      <c r="J3602" s="204" t="s">
        <v>93</v>
      </c>
      <c r="K3602" s="214"/>
      <c r="L3602" s="210" t="s">
        <v>675</v>
      </c>
      <c r="M3602" s="198">
        <f t="shared" si="419"/>
        <v>0</v>
      </c>
      <c r="N3602" s="212">
        <f>'02 项目基础信息（输入）'!$C$87</f>
        <v>0</v>
      </c>
      <c r="O3602" s="203">
        <f t="shared" si="415"/>
        <v>0</v>
      </c>
      <c r="P3602" s="203">
        <f t="shared" si="417"/>
        <v>0</v>
      </c>
      <c r="Q3602" s="271">
        <f t="shared" si="416"/>
        <v>0</v>
      </c>
      <c r="S3602" s="280"/>
      <c r="T3602" s="222"/>
      <c r="U3602" s="223" t="s">
        <v>5838</v>
      </c>
    </row>
    <row r="3603" spans="1:21" ht="0" hidden="1" customHeight="1" outlineLevel="4">
      <c r="A3603" s="253" t="s">
        <v>4326</v>
      </c>
      <c r="B3603" s="253"/>
      <c r="C3603" s="202" t="s">
        <v>1609</v>
      </c>
      <c r="D3603" s="203">
        <f>'02 项目基础信息（输入）'!$C$87</f>
        <v>0</v>
      </c>
      <c r="E3603" s="204" t="s">
        <v>93</v>
      </c>
      <c r="F3603" s="202" t="s">
        <v>4324</v>
      </c>
      <c r="G3603" s="258">
        <f t="shared" si="418"/>
        <v>0</v>
      </c>
      <c r="H3603" s="204" t="s">
        <v>298</v>
      </c>
      <c r="I3603" s="265">
        <f t="shared" si="420"/>
        <v>0</v>
      </c>
      <c r="J3603" s="204" t="s">
        <v>93</v>
      </c>
      <c r="K3603" s="214"/>
      <c r="L3603" s="210" t="s">
        <v>675</v>
      </c>
      <c r="M3603" s="198">
        <f t="shared" si="419"/>
        <v>0</v>
      </c>
      <c r="N3603" s="212">
        <f>'02 项目基础信息（输入）'!$C$87</f>
        <v>0</v>
      </c>
      <c r="O3603" s="203">
        <f t="shared" si="415"/>
        <v>0</v>
      </c>
      <c r="P3603" s="203">
        <f t="shared" si="417"/>
        <v>0</v>
      </c>
      <c r="Q3603" s="271">
        <f t="shared" si="416"/>
        <v>0</v>
      </c>
      <c r="S3603" s="280"/>
      <c r="T3603" s="222"/>
      <c r="U3603" s="223" t="s">
        <v>5839</v>
      </c>
    </row>
    <row r="3604" spans="1:21" ht="0" hidden="1" customHeight="1" outlineLevel="4">
      <c r="A3604" s="253" t="s">
        <v>4328</v>
      </c>
      <c r="B3604" s="253"/>
      <c r="C3604" s="202" t="s">
        <v>1609</v>
      </c>
      <c r="D3604" s="203">
        <f>'02 项目基础信息（输入）'!$C$87</f>
        <v>0</v>
      </c>
      <c r="E3604" s="204" t="s">
        <v>93</v>
      </c>
      <c r="F3604" s="202" t="s">
        <v>4324</v>
      </c>
      <c r="G3604" s="258">
        <f t="shared" si="418"/>
        <v>0</v>
      </c>
      <c r="H3604" s="204" t="s">
        <v>298</v>
      </c>
      <c r="I3604" s="265">
        <f t="shared" si="420"/>
        <v>0</v>
      </c>
      <c r="J3604" s="204" t="s">
        <v>93</v>
      </c>
      <c r="K3604" s="214"/>
      <c r="L3604" s="210" t="s">
        <v>675</v>
      </c>
      <c r="M3604" s="198">
        <f t="shared" si="419"/>
        <v>0</v>
      </c>
      <c r="N3604" s="212">
        <f>'02 项目基础信息（输入）'!$C$87</f>
        <v>0</v>
      </c>
      <c r="O3604" s="203">
        <f t="shared" si="415"/>
        <v>0</v>
      </c>
      <c r="P3604" s="203">
        <f t="shared" si="417"/>
        <v>0</v>
      </c>
      <c r="Q3604" s="271">
        <f t="shared" si="416"/>
        <v>0</v>
      </c>
      <c r="S3604" s="280"/>
      <c r="T3604" s="222"/>
      <c r="U3604" s="223" t="s">
        <v>5840</v>
      </c>
    </row>
    <row r="3605" spans="1:21" ht="0" hidden="1" customHeight="1" outlineLevel="3">
      <c r="A3605" s="253" t="s">
        <v>4330</v>
      </c>
      <c r="B3605" s="253"/>
      <c r="C3605" s="202" t="s">
        <v>1609</v>
      </c>
      <c r="D3605" s="203">
        <f>'02 项目基础信息（输入）'!$C$87</f>
        <v>0</v>
      </c>
      <c r="E3605" s="204" t="s">
        <v>93</v>
      </c>
      <c r="F3605" s="202" t="s">
        <v>1609</v>
      </c>
      <c r="G3605" s="255">
        <v>1</v>
      </c>
      <c r="H3605" s="204" t="s">
        <v>298</v>
      </c>
      <c r="I3605" s="265">
        <f>D3605*G3605</f>
        <v>0</v>
      </c>
      <c r="J3605" s="204" t="s">
        <v>93</v>
      </c>
      <c r="K3605" s="214"/>
      <c r="L3605" s="210" t="s">
        <v>675</v>
      </c>
      <c r="M3605" s="198">
        <f t="shared" si="419"/>
        <v>0</v>
      </c>
      <c r="N3605" s="212">
        <f>'02 项目基础信息（输入）'!$C$87</f>
        <v>0</v>
      </c>
      <c r="O3605" s="203">
        <f t="shared" si="415"/>
        <v>0</v>
      </c>
      <c r="P3605" s="203">
        <f t="shared" si="417"/>
        <v>0</v>
      </c>
      <c r="Q3605" s="271">
        <f t="shared" si="416"/>
        <v>0</v>
      </c>
      <c r="S3605" s="280"/>
      <c r="T3605" s="222"/>
      <c r="U3605" s="223" t="s">
        <v>5841</v>
      </c>
    </row>
    <row r="3606" spans="1:21" ht="0" hidden="1" customHeight="1" outlineLevel="3">
      <c r="A3606" s="253" t="s">
        <v>4332</v>
      </c>
      <c r="B3606" s="253"/>
      <c r="C3606" s="202" t="s">
        <v>1609</v>
      </c>
      <c r="D3606" s="203">
        <f>'02 项目基础信息（输入）'!$C$87</f>
        <v>0</v>
      </c>
      <c r="E3606" s="204" t="s">
        <v>93</v>
      </c>
      <c r="F3606" s="202" t="s">
        <v>1609</v>
      </c>
      <c r="G3606" s="255">
        <v>1</v>
      </c>
      <c r="H3606" s="204" t="s">
        <v>298</v>
      </c>
      <c r="I3606" s="265">
        <f>D3606*G3606</f>
        <v>0</v>
      </c>
      <c r="J3606" s="204" t="s">
        <v>93</v>
      </c>
      <c r="K3606" s="214"/>
      <c r="L3606" s="210" t="s">
        <v>675</v>
      </c>
      <c r="M3606" s="198">
        <f t="shared" si="419"/>
        <v>0</v>
      </c>
      <c r="N3606" s="212">
        <f>'02 项目基础信息（输入）'!$C$87</f>
        <v>0</v>
      </c>
      <c r="O3606" s="203">
        <f t="shared" si="415"/>
        <v>0</v>
      </c>
      <c r="P3606" s="203">
        <f t="shared" si="417"/>
        <v>0</v>
      </c>
      <c r="Q3606" s="271">
        <f t="shared" si="416"/>
        <v>0</v>
      </c>
      <c r="S3606" s="280"/>
      <c r="T3606" s="222"/>
      <c r="U3606" s="223" t="s">
        <v>5842</v>
      </c>
    </row>
    <row r="3607" spans="1:21" ht="0" hidden="1" customHeight="1" outlineLevel="3">
      <c r="A3607" s="253" t="s">
        <v>4334</v>
      </c>
      <c r="B3607" s="253"/>
      <c r="C3607" s="202" t="s">
        <v>1665</v>
      </c>
      <c r="D3607" s="203">
        <f>ROUND(M3592+M3593+M3594+M3595+M3606,6)*10000</f>
        <v>0</v>
      </c>
      <c r="E3607" s="204" t="s">
        <v>1666</v>
      </c>
      <c r="F3607" s="202" t="s">
        <v>1667</v>
      </c>
      <c r="G3607" s="258">
        <f>IFERROR(I3607*100/D3607,0)</f>
        <v>0</v>
      </c>
      <c r="H3607" s="204" t="s">
        <v>123</v>
      </c>
      <c r="I3607" s="265">
        <f>N3607*K3607</f>
        <v>0</v>
      </c>
      <c r="J3607" s="204" t="s">
        <v>1666</v>
      </c>
      <c r="K3607" s="269"/>
      <c r="L3607" s="210" t="s">
        <v>675</v>
      </c>
      <c r="M3607" s="231">
        <f>ROUND(I3607/10000,6)</f>
        <v>0</v>
      </c>
      <c r="N3607" s="212">
        <f>'02 项目基础信息（输入）'!$C$87</f>
        <v>0</v>
      </c>
      <c r="O3607" s="203">
        <f t="shared" si="415"/>
        <v>0</v>
      </c>
      <c r="P3607" s="203">
        <f t="shared" si="417"/>
        <v>0</v>
      </c>
      <c r="Q3607" s="271">
        <f t="shared" si="416"/>
        <v>0</v>
      </c>
      <c r="S3607" s="280"/>
      <c r="T3607" s="222"/>
      <c r="U3607" s="223" t="s">
        <v>5843</v>
      </c>
    </row>
    <row r="3608" spans="1:21" ht="0" hidden="1" customHeight="1" outlineLevel="2">
      <c r="A3608" s="201" t="s">
        <v>4336</v>
      </c>
      <c r="B3608" s="201"/>
      <c r="C3608" s="202" t="s">
        <v>1609</v>
      </c>
      <c r="D3608" s="203">
        <f>'02 项目基础信息（输入）'!$C$87</f>
        <v>0</v>
      </c>
      <c r="E3608" s="204" t="s">
        <v>93</v>
      </c>
      <c r="F3608" s="202"/>
      <c r="G3608" s="255"/>
      <c r="H3608" s="204"/>
      <c r="I3608" s="203"/>
      <c r="J3608" s="204"/>
      <c r="K3608" s="264"/>
      <c r="L3608" s="210"/>
      <c r="M3608" s="198">
        <f>ROUND(M3609+M3612+M3617+M3618+M3619+M3620,6)</f>
        <v>0</v>
      </c>
      <c r="N3608" s="212">
        <f>'02 项目基础信息（输入）'!$C$87</f>
        <v>0</v>
      </c>
      <c r="O3608" s="203">
        <f t="shared" si="415"/>
        <v>0</v>
      </c>
      <c r="P3608" s="203">
        <f t="shared" si="417"/>
        <v>0</v>
      </c>
      <c r="Q3608" s="271">
        <f t="shared" si="416"/>
        <v>0</v>
      </c>
      <c r="S3608" s="280" t="s">
        <v>1313</v>
      </c>
      <c r="T3608" s="222"/>
      <c r="U3608" s="223" t="s">
        <v>5844</v>
      </c>
    </row>
    <row r="3609" spans="1:21" ht="0" hidden="1" customHeight="1" outlineLevel="3">
      <c r="A3609" s="253" t="s">
        <v>4338</v>
      </c>
      <c r="B3609" s="253"/>
      <c r="C3609" s="202" t="s">
        <v>1609</v>
      </c>
      <c r="D3609" s="203">
        <f>'02 项目基础信息（输入）'!$C$87</f>
        <v>0</v>
      </c>
      <c r="E3609" s="204" t="s">
        <v>93</v>
      </c>
      <c r="F3609" s="202"/>
      <c r="G3609" s="204"/>
      <c r="H3609" s="204"/>
      <c r="I3609" s="203"/>
      <c r="J3609" s="204"/>
      <c r="K3609" s="264"/>
      <c r="L3609" s="210"/>
      <c r="M3609" s="198">
        <f>ROUND(SUM(M3610:M3611),6)</f>
        <v>0</v>
      </c>
      <c r="N3609" s="212">
        <f>'02 项目基础信息（输入）'!$C$87</f>
        <v>0</v>
      </c>
      <c r="O3609" s="203">
        <f t="shared" si="415"/>
        <v>0</v>
      </c>
      <c r="P3609" s="203">
        <f t="shared" si="417"/>
        <v>0</v>
      </c>
      <c r="Q3609" s="271">
        <f t="shared" si="416"/>
        <v>0</v>
      </c>
      <c r="S3609" s="280"/>
      <c r="T3609" s="222"/>
      <c r="U3609" s="223" t="s">
        <v>5845</v>
      </c>
    </row>
    <row r="3610" spans="1:21" ht="0" hidden="1" customHeight="1" outlineLevel="4">
      <c r="A3610" s="253" t="s">
        <v>4340</v>
      </c>
      <c r="B3610" s="253"/>
      <c r="C3610" s="202" t="s">
        <v>1609</v>
      </c>
      <c r="D3610" s="203">
        <f>'02 项目基础信息（输入）'!$C$87</f>
        <v>0</v>
      </c>
      <c r="E3610" s="204" t="s">
        <v>93</v>
      </c>
      <c r="F3610" s="202" t="s">
        <v>1609</v>
      </c>
      <c r="G3610" s="204">
        <v>1</v>
      </c>
      <c r="H3610" s="204" t="s">
        <v>298</v>
      </c>
      <c r="I3610" s="265">
        <f>D3610*G3610</f>
        <v>0</v>
      </c>
      <c r="J3610" s="204" t="s">
        <v>93</v>
      </c>
      <c r="K3610" s="214"/>
      <c r="L3610" s="210" t="s">
        <v>675</v>
      </c>
      <c r="M3610" s="198">
        <f>ROUND(K3610*I3610/10000,6)</f>
        <v>0</v>
      </c>
      <c r="N3610" s="212">
        <f>'02 项目基础信息（输入）'!$C$87</f>
        <v>0</v>
      </c>
      <c r="O3610" s="203">
        <f t="shared" si="415"/>
        <v>0</v>
      </c>
      <c r="P3610" s="203">
        <f t="shared" si="417"/>
        <v>0</v>
      </c>
      <c r="Q3610" s="271">
        <f t="shared" si="416"/>
        <v>0</v>
      </c>
      <c r="S3610" s="280"/>
      <c r="T3610" s="222"/>
      <c r="U3610" s="223" t="s">
        <v>5846</v>
      </c>
    </row>
    <row r="3611" spans="1:21" ht="0" hidden="1" customHeight="1" outlineLevel="4">
      <c r="A3611" s="253" t="s">
        <v>4342</v>
      </c>
      <c r="B3611" s="253"/>
      <c r="C3611" s="202" t="s">
        <v>1609</v>
      </c>
      <c r="D3611" s="203">
        <f>'02 项目基础信息（输入）'!$C$87</f>
        <v>0</v>
      </c>
      <c r="E3611" s="204" t="s">
        <v>93</v>
      </c>
      <c r="F3611" s="202" t="s">
        <v>1609</v>
      </c>
      <c r="G3611" s="204">
        <v>1</v>
      </c>
      <c r="H3611" s="204" t="s">
        <v>298</v>
      </c>
      <c r="I3611" s="265">
        <f>D3611*G3611</f>
        <v>0</v>
      </c>
      <c r="J3611" s="204" t="s">
        <v>93</v>
      </c>
      <c r="K3611" s="214"/>
      <c r="L3611" s="210" t="s">
        <v>675</v>
      </c>
      <c r="M3611" s="198">
        <f>ROUND(K3611*I3611/10000,6)</f>
        <v>0</v>
      </c>
      <c r="N3611" s="212">
        <f>'02 项目基础信息（输入）'!$C$87</f>
        <v>0</v>
      </c>
      <c r="O3611" s="203">
        <f t="shared" si="415"/>
        <v>0</v>
      </c>
      <c r="P3611" s="203">
        <f t="shared" si="417"/>
        <v>0</v>
      </c>
      <c r="Q3611" s="271">
        <f t="shared" si="416"/>
        <v>0</v>
      </c>
      <c r="S3611" s="280"/>
      <c r="T3611" s="222"/>
      <c r="U3611" s="223" t="s">
        <v>5847</v>
      </c>
    </row>
    <row r="3612" spans="1:21" ht="0" hidden="1" customHeight="1" outlineLevel="3">
      <c r="A3612" s="253" t="s">
        <v>4344</v>
      </c>
      <c r="B3612" s="253"/>
      <c r="C3612" s="202" t="s">
        <v>1609</v>
      </c>
      <c r="D3612" s="203">
        <f>'02 项目基础信息（输入）'!$C$87</f>
        <v>0</v>
      </c>
      <c r="E3612" s="204" t="s">
        <v>93</v>
      </c>
      <c r="F3612" s="202"/>
      <c r="G3612" s="204"/>
      <c r="H3612" s="204"/>
      <c r="I3612" s="203"/>
      <c r="J3612" s="204"/>
      <c r="K3612" s="264"/>
      <c r="L3612" s="210"/>
      <c r="M3612" s="198">
        <f>ROUND(SUM(M3613:M3616),6)</f>
        <v>0</v>
      </c>
      <c r="N3612" s="212">
        <f>'02 项目基础信息（输入）'!$C$87</f>
        <v>0</v>
      </c>
      <c r="O3612" s="203">
        <f t="shared" si="415"/>
        <v>0</v>
      </c>
      <c r="P3612" s="203">
        <f t="shared" si="417"/>
        <v>0</v>
      </c>
      <c r="Q3612" s="271">
        <f t="shared" si="416"/>
        <v>0</v>
      </c>
      <c r="S3612" s="280"/>
      <c r="T3612" s="222"/>
      <c r="U3612" s="223" t="s">
        <v>5848</v>
      </c>
    </row>
    <row r="3613" spans="1:21" ht="0" hidden="1" customHeight="1" outlineLevel="4">
      <c r="A3613" s="253" t="s">
        <v>4346</v>
      </c>
      <c r="B3613" s="253"/>
      <c r="C3613" s="202" t="s">
        <v>1609</v>
      </c>
      <c r="D3613" s="203">
        <f>'02 项目基础信息（输入）'!$C$87</f>
        <v>0</v>
      </c>
      <c r="E3613" s="204" t="s">
        <v>93</v>
      </c>
      <c r="F3613" s="202" t="s">
        <v>1609</v>
      </c>
      <c r="G3613" s="204">
        <v>1</v>
      </c>
      <c r="H3613" s="204" t="s">
        <v>298</v>
      </c>
      <c r="I3613" s="265">
        <f t="shared" ref="I3613:I3619" si="421">D3613*G3613</f>
        <v>0</v>
      </c>
      <c r="J3613" s="204" t="s">
        <v>93</v>
      </c>
      <c r="K3613" s="188"/>
      <c r="L3613" s="210" t="s">
        <v>675</v>
      </c>
      <c r="M3613" s="198">
        <f t="shared" ref="M3613:M3619" si="422">ROUND(K3613*I3613/10000,6)</f>
        <v>0</v>
      </c>
      <c r="N3613" s="212">
        <f>'02 项目基础信息（输入）'!$C$87</f>
        <v>0</v>
      </c>
      <c r="O3613" s="203">
        <f t="shared" si="415"/>
        <v>0</v>
      </c>
      <c r="P3613" s="203">
        <f t="shared" si="417"/>
        <v>0</v>
      </c>
      <c r="Q3613" s="271">
        <f t="shared" si="416"/>
        <v>0</v>
      </c>
      <c r="S3613" s="280"/>
      <c r="T3613" s="222"/>
      <c r="U3613" s="223" t="s">
        <v>5849</v>
      </c>
    </row>
    <row r="3614" spans="1:21" ht="0" hidden="1" customHeight="1" outlineLevel="4">
      <c r="A3614" s="253" t="s">
        <v>4348</v>
      </c>
      <c r="B3614" s="253"/>
      <c r="C3614" s="202" t="s">
        <v>1609</v>
      </c>
      <c r="D3614" s="203">
        <f>'02 项目基础信息（输入）'!$C$87</f>
        <v>0</v>
      </c>
      <c r="E3614" s="204" t="s">
        <v>93</v>
      </c>
      <c r="F3614" s="202" t="s">
        <v>1609</v>
      </c>
      <c r="G3614" s="204">
        <v>1</v>
      </c>
      <c r="H3614" s="204" t="s">
        <v>298</v>
      </c>
      <c r="I3614" s="265">
        <f t="shared" si="421"/>
        <v>0</v>
      </c>
      <c r="J3614" s="204" t="s">
        <v>93</v>
      </c>
      <c r="K3614" s="188"/>
      <c r="L3614" s="210" t="s">
        <v>675</v>
      </c>
      <c r="M3614" s="198">
        <f t="shared" si="422"/>
        <v>0</v>
      </c>
      <c r="N3614" s="212">
        <f>'02 项目基础信息（输入）'!$C$87</f>
        <v>0</v>
      </c>
      <c r="O3614" s="203">
        <f t="shared" si="415"/>
        <v>0</v>
      </c>
      <c r="P3614" s="203">
        <f t="shared" si="417"/>
        <v>0</v>
      </c>
      <c r="Q3614" s="271">
        <f t="shared" si="416"/>
        <v>0</v>
      </c>
      <c r="S3614" s="280"/>
      <c r="T3614" s="222"/>
      <c r="U3614" s="223" t="s">
        <v>5850</v>
      </c>
    </row>
    <row r="3615" spans="1:21" ht="0" hidden="1" customHeight="1" outlineLevel="4">
      <c r="A3615" s="253" t="s">
        <v>4350</v>
      </c>
      <c r="B3615" s="253"/>
      <c r="C3615" s="202" t="s">
        <v>1609</v>
      </c>
      <c r="D3615" s="203">
        <f>'02 项目基础信息（输入）'!$C$87</f>
        <v>0</v>
      </c>
      <c r="E3615" s="204" t="s">
        <v>93</v>
      </c>
      <c r="F3615" s="202" t="s">
        <v>1609</v>
      </c>
      <c r="G3615" s="204">
        <v>1</v>
      </c>
      <c r="H3615" s="204" t="s">
        <v>298</v>
      </c>
      <c r="I3615" s="265">
        <f t="shared" si="421"/>
        <v>0</v>
      </c>
      <c r="J3615" s="204" t="s">
        <v>93</v>
      </c>
      <c r="K3615" s="188"/>
      <c r="L3615" s="210" t="s">
        <v>675</v>
      </c>
      <c r="M3615" s="198">
        <f t="shared" si="422"/>
        <v>0</v>
      </c>
      <c r="N3615" s="212">
        <f>'02 项目基础信息（输入）'!$C$87</f>
        <v>0</v>
      </c>
      <c r="O3615" s="203">
        <f t="shared" si="415"/>
        <v>0</v>
      </c>
      <c r="P3615" s="203">
        <f t="shared" si="417"/>
        <v>0</v>
      </c>
      <c r="Q3615" s="271">
        <f t="shared" si="416"/>
        <v>0</v>
      </c>
      <c r="S3615" s="280"/>
      <c r="T3615" s="222"/>
      <c r="U3615" s="223" t="s">
        <v>5851</v>
      </c>
    </row>
    <row r="3616" spans="1:21" ht="0" hidden="1" customHeight="1" outlineLevel="4">
      <c r="A3616" s="253" t="s">
        <v>4352</v>
      </c>
      <c r="B3616" s="253"/>
      <c r="C3616" s="202" t="s">
        <v>1609</v>
      </c>
      <c r="D3616" s="203">
        <f>'02 项目基础信息（输入）'!$C$87</f>
        <v>0</v>
      </c>
      <c r="E3616" s="204" t="s">
        <v>93</v>
      </c>
      <c r="F3616" s="202" t="s">
        <v>1609</v>
      </c>
      <c r="G3616" s="204">
        <v>1</v>
      </c>
      <c r="H3616" s="204" t="s">
        <v>298</v>
      </c>
      <c r="I3616" s="265">
        <f t="shared" si="421"/>
        <v>0</v>
      </c>
      <c r="J3616" s="204" t="s">
        <v>93</v>
      </c>
      <c r="K3616" s="188"/>
      <c r="L3616" s="210" t="s">
        <v>675</v>
      </c>
      <c r="M3616" s="198">
        <f t="shared" si="422"/>
        <v>0</v>
      </c>
      <c r="N3616" s="212">
        <f>'02 项目基础信息（输入）'!$C$87</f>
        <v>0</v>
      </c>
      <c r="O3616" s="203">
        <f t="shared" si="415"/>
        <v>0</v>
      </c>
      <c r="P3616" s="203">
        <f t="shared" si="417"/>
        <v>0</v>
      </c>
      <c r="Q3616" s="271">
        <f t="shared" si="416"/>
        <v>0</v>
      </c>
      <c r="S3616" s="280"/>
      <c r="T3616" s="222"/>
      <c r="U3616" s="223" t="s">
        <v>5852</v>
      </c>
    </row>
    <row r="3617" spans="1:21" ht="0" hidden="1" customHeight="1" outlineLevel="3">
      <c r="A3617" s="253" t="s">
        <v>4354</v>
      </c>
      <c r="B3617" s="253"/>
      <c r="C3617" s="202" t="s">
        <v>1609</v>
      </c>
      <c r="D3617" s="203">
        <f>'02 项目基础信息（输入）'!$C$87</f>
        <v>0</v>
      </c>
      <c r="E3617" s="204" t="s">
        <v>93</v>
      </c>
      <c r="F3617" s="202" t="s">
        <v>1609</v>
      </c>
      <c r="G3617" s="204">
        <v>1</v>
      </c>
      <c r="H3617" s="204" t="s">
        <v>298</v>
      </c>
      <c r="I3617" s="265">
        <f t="shared" si="421"/>
        <v>0</v>
      </c>
      <c r="J3617" s="204" t="s">
        <v>93</v>
      </c>
      <c r="K3617" s="214"/>
      <c r="L3617" s="210" t="s">
        <v>675</v>
      </c>
      <c r="M3617" s="198">
        <f t="shared" si="422"/>
        <v>0</v>
      </c>
      <c r="N3617" s="212">
        <f>'02 项目基础信息（输入）'!$C$87</f>
        <v>0</v>
      </c>
      <c r="O3617" s="203">
        <f t="shared" si="415"/>
        <v>0</v>
      </c>
      <c r="P3617" s="203">
        <f t="shared" si="417"/>
        <v>0</v>
      </c>
      <c r="Q3617" s="271">
        <f t="shared" si="416"/>
        <v>0</v>
      </c>
      <c r="S3617" s="280"/>
      <c r="T3617" s="222"/>
      <c r="U3617" s="223" t="s">
        <v>5853</v>
      </c>
    </row>
    <row r="3618" spans="1:21" ht="0" hidden="1" customHeight="1" outlineLevel="3">
      <c r="A3618" s="253" t="s">
        <v>4356</v>
      </c>
      <c r="B3618" s="253"/>
      <c r="C3618" s="202" t="s">
        <v>1609</v>
      </c>
      <c r="D3618" s="203">
        <f>'02 项目基础信息（输入）'!$C$87</f>
        <v>0</v>
      </c>
      <c r="E3618" s="204" t="s">
        <v>93</v>
      </c>
      <c r="F3618" s="202" t="s">
        <v>1609</v>
      </c>
      <c r="G3618" s="255">
        <v>1</v>
      </c>
      <c r="H3618" s="204" t="s">
        <v>298</v>
      </c>
      <c r="I3618" s="265">
        <f t="shared" si="421"/>
        <v>0</v>
      </c>
      <c r="J3618" s="204" t="s">
        <v>93</v>
      </c>
      <c r="K3618" s="214"/>
      <c r="L3618" s="210" t="s">
        <v>675</v>
      </c>
      <c r="M3618" s="198">
        <f t="shared" si="422"/>
        <v>0</v>
      </c>
      <c r="N3618" s="212">
        <f>'02 项目基础信息（输入）'!$C$87</f>
        <v>0</v>
      </c>
      <c r="O3618" s="203">
        <f t="shared" si="415"/>
        <v>0</v>
      </c>
      <c r="P3618" s="203">
        <f t="shared" si="417"/>
        <v>0</v>
      </c>
      <c r="Q3618" s="271">
        <f t="shared" si="416"/>
        <v>0</v>
      </c>
      <c r="S3618" s="280"/>
      <c r="T3618" s="222"/>
      <c r="U3618" s="223" t="s">
        <v>5854</v>
      </c>
    </row>
    <row r="3619" spans="1:21" ht="0" hidden="1" customHeight="1" outlineLevel="3">
      <c r="A3619" s="253" t="s">
        <v>4358</v>
      </c>
      <c r="B3619" s="253"/>
      <c r="C3619" s="202" t="s">
        <v>1609</v>
      </c>
      <c r="D3619" s="203">
        <f>'02 项目基础信息（输入）'!$C$87</f>
        <v>0</v>
      </c>
      <c r="E3619" s="204" t="s">
        <v>93</v>
      </c>
      <c r="F3619" s="202" t="s">
        <v>1609</v>
      </c>
      <c r="G3619" s="255">
        <v>1</v>
      </c>
      <c r="H3619" s="204" t="s">
        <v>298</v>
      </c>
      <c r="I3619" s="265">
        <f t="shared" si="421"/>
        <v>0</v>
      </c>
      <c r="J3619" s="204" t="s">
        <v>93</v>
      </c>
      <c r="K3619" s="214"/>
      <c r="L3619" s="210" t="s">
        <v>675</v>
      </c>
      <c r="M3619" s="198">
        <f t="shared" si="422"/>
        <v>0</v>
      </c>
      <c r="N3619" s="212">
        <f>'02 项目基础信息（输入）'!$C$87</f>
        <v>0</v>
      </c>
      <c r="O3619" s="203">
        <f t="shared" si="415"/>
        <v>0</v>
      </c>
      <c r="P3619" s="203">
        <f t="shared" si="417"/>
        <v>0</v>
      </c>
      <c r="Q3619" s="271">
        <f t="shared" si="416"/>
        <v>0</v>
      </c>
      <c r="S3619" s="280"/>
      <c r="T3619" s="222"/>
      <c r="U3619" s="223" t="s">
        <v>5855</v>
      </c>
    </row>
    <row r="3620" spans="1:21" ht="0" hidden="1" customHeight="1" outlineLevel="3">
      <c r="A3620" s="253" t="s">
        <v>4360</v>
      </c>
      <c r="B3620" s="253"/>
      <c r="C3620" s="202" t="s">
        <v>1665</v>
      </c>
      <c r="D3620" s="203">
        <f>ROUND(M3609+M3612+M3617+M3618+M3619,6)*10000</f>
        <v>0</v>
      </c>
      <c r="E3620" s="204" t="s">
        <v>1666</v>
      </c>
      <c r="F3620" s="202" t="s">
        <v>1667</v>
      </c>
      <c r="G3620" s="258">
        <f>IFERROR(I3620*100/D3620,0)</f>
        <v>0</v>
      </c>
      <c r="H3620" s="204" t="s">
        <v>123</v>
      </c>
      <c r="I3620" s="265">
        <f>N3620*K3620</f>
        <v>0</v>
      </c>
      <c r="J3620" s="204" t="s">
        <v>1666</v>
      </c>
      <c r="K3620" s="269"/>
      <c r="L3620" s="210" t="s">
        <v>675</v>
      </c>
      <c r="M3620" s="231">
        <f>ROUND(I3620/10000,6)</f>
        <v>0</v>
      </c>
      <c r="N3620" s="212">
        <f>'02 项目基础信息（输入）'!$C$87</f>
        <v>0</v>
      </c>
      <c r="O3620" s="203">
        <f t="shared" si="415"/>
        <v>0</v>
      </c>
      <c r="P3620" s="203">
        <f t="shared" si="417"/>
        <v>0</v>
      </c>
      <c r="Q3620" s="271">
        <f t="shared" si="416"/>
        <v>0</v>
      </c>
      <c r="S3620" s="280"/>
      <c r="T3620" s="222"/>
      <c r="U3620" s="223" t="s">
        <v>5856</v>
      </c>
    </row>
    <row r="3621" spans="1:21" ht="0" hidden="1" customHeight="1" outlineLevel="2">
      <c r="A3621" s="201" t="s">
        <v>4362</v>
      </c>
      <c r="B3621" s="201"/>
      <c r="C3621" s="202" t="s">
        <v>1609</v>
      </c>
      <c r="D3621" s="203">
        <f>'02 项目基础信息（输入）'!$C$87</f>
        <v>0</v>
      </c>
      <c r="E3621" s="204" t="s">
        <v>93</v>
      </c>
      <c r="F3621" s="202"/>
      <c r="G3621" s="255"/>
      <c r="H3621" s="204"/>
      <c r="I3621" s="203"/>
      <c r="J3621" s="204"/>
      <c r="K3621" s="264"/>
      <c r="L3621" s="210"/>
      <c r="M3621" s="198">
        <f>M3622+M3625+M3631+M3638+M3639+M3642+M3643+M3644+M3645+M3646+M3647+M3648+M3652+M3653</f>
        <v>0</v>
      </c>
      <c r="N3621" s="212">
        <f>'02 项目基础信息（输入）'!$C$87</f>
        <v>0</v>
      </c>
      <c r="O3621" s="203">
        <f t="shared" si="415"/>
        <v>0</v>
      </c>
      <c r="P3621" s="203">
        <f t="shared" si="417"/>
        <v>0</v>
      </c>
      <c r="Q3621" s="271">
        <f t="shared" si="416"/>
        <v>0</v>
      </c>
      <c r="S3621" s="280" t="s">
        <v>1314</v>
      </c>
      <c r="T3621" s="222"/>
      <c r="U3621" s="223" t="s">
        <v>5857</v>
      </c>
    </row>
    <row r="3622" spans="1:21" ht="0" hidden="1" customHeight="1" outlineLevel="3">
      <c r="A3622" s="253" t="s">
        <v>4705</v>
      </c>
      <c r="B3622" s="253"/>
      <c r="C3622" s="202" t="s">
        <v>1609</v>
      </c>
      <c r="D3622" s="203">
        <f>'02 项目基础信息（输入）'!$C$87</f>
        <v>0</v>
      </c>
      <c r="E3622" s="204" t="s">
        <v>93</v>
      </c>
      <c r="F3622" s="202"/>
      <c r="G3622" s="204"/>
      <c r="H3622" s="204"/>
      <c r="I3622" s="265"/>
      <c r="J3622" s="204"/>
      <c r="K3622" s="264"/>
      <c r="L3622" s="210"/>
      <c r="M3622" s="198">
        <f>ROUND(SUM(M3623:M3624),6)</f>
        <v>0</v>
      </c>
      <c r="N3622" s="212">
        <f>'02 项目基础信息（输入）'!$C$87</f>
        <v>0</v>
      </c>
      <c r="O3622" s="203">
        <f t="shared" si="415"/>
        <v>0</v>
      </c>
      <c r="P3622" s="203">
        <f t="shared" si="417"/>
        <v>0</v>
      </c>
      <c r="Q3622" s="271">
        <f t="shared" si="416"/>
        <v>0</v>
      </c>
      <c r="S3622" s="280"/>
      <c r="T3622" s="222"/>
      <c r="U3622" s="223" t="s">
        <v>5858</v>
      </c>
    </row>
    <row r="3623" spans="1:21" ht="0" hidden="1" customHeight="1" outlineLevel="4">
      <c r="A3623" s="253" t="s">
        <v>4707</v>
      </c>
      <c r="B3623" s="253"/>
      <c r="C3623" s="202" t="s">
        <v>1609</v>
      </c>
      <c r="D3623" s="203">
        <f>'02 项目基础信息（输入）'!$C$87</f>
        <v>0</v>
      </c>
      <c r="E3623" s="204" t="s">
        <v>93</v>
      </c>
      <c r="F3623" s="202" t="s">
        <v>1609</v>
      </c>
      <c r="G3623" s="204">
        <v>1</v>
      </c>
      <c r="H3623" s="204" t="s">
        <v>298</v>
      </c>
      <c r="I3623" s="265">
        <f>D3623*G3623</f>
        <v>0</v>
      </c>
      <c r="J3623" s="204" t="s">
        <v>93</v>
      </c>
      <c r="K3623" s="188"/>
      <c r="L3623" s="210" t="s">
        <v>675</v>
      </c>
      <c r="M3623" s="198">
        <f>ROUND(K3623*I3623/10000,6)</f>
        <v>0</v>
      </c>
      <c r="N3623" s="212">
        <f>'02 项目基础信息（输入）'!$C$87</f>
        <v>0</v>
      </c>
      <c r="O3623" s="203">
        <f t="shared" si="415"/>
        <v>0</v>
      </c>
      <c r="P3623" s="203">
        <f t="shared" si="417"/>
        <v>0</v>
      </c>
      <c r="Q3623" s="271">
        <f t="shared" si="416"/>
        <v>0</v>
      </c>
      <c r="S3623" s="280"/>
      <c r="T3623" s="222"/>
      <c r="U3623" s="223" t="s">
        <v>5859</v>
      </c>
    </row>
    <row r="3624" spans="1:21" ht="0" hidden="1" customHeight="1" outlineLevel="4">
      <c r="A3624" s="253" t="s">
        <v>4709</v>
      </c>
      <c r="B3624" s="253"/>
      <c r="C3624" s="202" t="s">
        <v>1609</v>
      </c>
      <c r="D3624" s="203">
        <f>'02 项目基础信息（输入）'!$C$87</f>
        <v>0</v>
      </c>
      <c r="E3624" s="204" t="s">
        <v>93</v>
      </c>
      <c r="F3624" s="202" t="s">
        <v>1609</v>
      </c>
      <c r="G3624" s="204">
        <v>1</v>
      </c>
      <c r="H3624" s="204" t="s">
        <v>298</v>
      </c>
      <c r="I3624" s="265">
        <f>D3624*G3624</f>
        <v>0</v>
      </c>
      <c r="J3624" s="204" t="s">
        <v>93</v>
      </c>
      <c r="K3624" s="188"/>
      <c r="L3624" s="210" t="s">
        <v>675</v>
      </c>
      <c r="M3624" s="198">
        <f>ROUND(K3624*I3624/10000,6)</f>
        <v>0</v>
      </c>
      <c r="N3624" s="212">
        <f>'02 项目基础信息（输入）'!$C$87</f>
        <v>0</v>
      </c>
      <c r="O3624" s="203">
        <f t="shared" si="415"/>
        <v>0</v>
      </c>
      <c r="P3624" s="203">
        <f t="shared" si="417"/>
        <v>0</v>
      </c>
      <c r="Q3624" s="271">
        <f t="shared" si="416"/>
        <v>0</v>
      </c>
      <c r="S3624" s="280"/>
      <c r="T3624" s="222"/>
      <c r="U3624" s="223" t="s">
        <v>5860</v>
      </c>
    </row>
    <row r="3625" spans="1:21" ht="0" hidden="1" customHeight="1" outlineLevel="3">
      <c r="A3625" s="253" t="s">
        <v>4711</v>
      </c>
      <c r="B3625" s="253"/>
      <c r="C3625" s="202" t="s">
        <v>1609</v>
      </c>
      <c r="D3625" s="203">
        <f>'02 项目基础信息（输入）'!$C$87</f>
        <v>0</v>
      </c>
      <c r="E3625" s="204" t="s">
        <v>93</v>
      </c>
      <c r="F3625" s="202"/>
      <c r="G3625" s="204"/>
      <c r="H3625" s="204"/>
      <c r="I3625" s="203"/>
      <c r="J3625" s="204"/>
      <c r="K3625" s="264"/>
      <c r="L3625" s="210"/>
      <c r="M3625" s="198">
        <f>ROUND(SUM(M3626:M3630),6)</f>
        <v>0</v>
      </c>
      <c r="N3625" s="212">
        <f>'02 项目基础信息（输入）'!$C$87</f>
        <v>0</v>
      </c>
      <c r="O3625" s="203">
        <f t="shared" si="415"/>
        <v>0</v>
      </c>
      <c r="P3625" s="203">
        <f t="shared" si="417"/>
        <v>0</v>
      </c>
      <c r="Q3625" s="271">
        <f t="shared" si="416"/>
        <v>0</v>
      </c>
      <c r="S3625" s="280"/>
      <c r="T3625" s="222"/>
      <c r="U3625" s="223" t="s">
        <v>5861</v>
      </c>
    </row>
    <row r="3626" spans="1:21" ht="0" hidden="1" customHeight="1" outlineLevel="4">
      <c r="A3626" s="253" t="s">
        <v>4713</v>
      </c>
      <c r="B3626" s="253"/>
      <c r="C3626" s="202" t="s">
        <v>1609</v>
      </c>
      <c r="D3626" s="203">
        <f>'02 项目基础信息（输入）'!$C$87</f>
        <v>0</v>
      </c>
      <c r="E3626" s="204" t="s">
        <v>93</v>
      </c>
      <c r="F3626" s="202" t="s">
        <v>1609</v>
      </c>
      <c r="G3626" s="204">
        <v>1</v>
      </c>
      <c r="H3626" s="204" t="s">
        <v>298</v>
      </c>
      <c r="I3626" s="265">
        <f>D3626*G3626</f>
        <v>0</v>
      </c>
      <c r="J3626" s="204" t="s">
        <v>93</v>
      </c>
      <c r="K3626" s="214"/>
      <c r="L3626" s="210" t="s">
        <v>675</v>
      </c>
      <c r="M3626" s="198">
        <f>ROUND(K3626*I3626/10000,6)</f>
        <v>0</v>
      </c>
      <c r="N3626" s="212">
        <f>'02 项目基础信息（输入）'!$C$87</f>
        <v>0</v>
      </c>
      <c r="O3626" s="203">
        <f t="shared" si="415"/>
        <v>0</v>
      </c>
      <c r="P3626" s="203">
        <f t="shared" si="417"/>
        <v>0</v>
      </c>
      <c r="Q3626" s="271">
        <f t="shared" si="416"/>
        <v>0</v>
      </c>
      <c r="S3626" s="280"/>
      <c r="T3626" s="222"/>
      <c r="U3626" s="223" t="s">
        <v>5862</v>
      </c>
    </row>
    <row r="3627" spans="1:21" ht="0" hidden="1" customHeight="1" outlineLevel="4">
      <c r="A3627" s="253" t="s">
        <v>4715</v>
      </c>
      <c r="B3627" s="253"/>
      <c r="C3627" s="202" t="s">
        <v>1609</v>
      </c>
      <c r="D3627" s="203">
        <f>'02 项目基础信息（输入）'!$C$87</f>
        <v>0</v>
      </c>
      <c r="E3627" s="204" t="s">
        <v>93</v>
      </c>
      <c r="F3627" s="202" t="s">
        <v>1609</v>
      </c>
      <c r="G3627" s="204">
        <v>1</v>
      </c>
      <c r="H3627" s="204" t="s">
        <v>298</v>
      </c>
      <c r="I3627" s="265">
        <f>D3627*G3627</f>
        <v>0</v>
      </c>
      <c r="J3627" s="204" t="s">
        <v>93</v>
      </c>
      <c r="K3627" s="214"/>
      <c r="L3627" s="210" t="s">
        <v>675</v>
      </c>
      <c r="M3627" s="198">
        <f>ROUND(K3627*I3627/10000,6)</f>
        <v>0</v>
      </c>
      <c r="N3627" s="212">
        <f>'02 项目基础信息（输入）'!$C$87</f>
        <v>0</v>
      </c>
      <c r="O3627" s="203">
        <f t="shared" si="415"/>
        <v>0</v>
      </c>
      <c r="P3627" s="203">
        <f t="shared" si="417"/>
        <v>0</v>
      </c>
      <c r="Q3627" s="271">
        <f t="shared" si="416"/>
        <v>0</v>
      </c>
      <c r="S3627" s="280"/>
      <c r="T3627" s="222"/>
      <c r="U3627" s="223" t="s">
        <v>5863</v>
      </c>
    </row>
    <row r="3628" spans="1:21" ht="0" hidden="1" customHeight="1" outlineLevel="4">
      <c r="A3628" s="253" t="s">
        <v>4717</v>
      </c>
      <c r="B3628" s="253"/>
      <c r="C3628" s="202" t="s">
        <v>1609</v>
      </c>
      <c r="D3628" s="203">
        <f>'02 项目基础信息（输入）'!$C$87</f>
        <v>0</v>
      </c>
      <c r="E3628" s="204" t="s">
        <v>93</v>
      </c>
      <c r="F3628" s="202" t="s">
        <v>1609</v>
      </c>
      <c r="G3628" s="204">
        <v>1</v>
      </c>
      <c r="H3628" s="204" t="s">
        <v>298</v>
      </c>
      <c r="I3628" s="265">
        <f>D3628*G3628</f>
        <v>0</v>
      </c>
      <c r="J3628" s="204" t="s">
        <v>93</v>
      </c>
      <c r="K3628" s="214"/>
      <c r="L3628" s="210" t="s">
        <v>675</v>
      </c>
      <c r="M3628" s="198">
        <f>ROUND(K3628*I3628/10000,6)</f>
        <v>0</v>
      </c>
      <c r="N3628" s="212">
        <f>'02 项目基础信息（输入）'!$C$87</f>
        <v>0</v>
      </c>
      <c r="O3628" s="203">
        <f t="shared" si="415"/>
        <v>0</v>
      </c>
      <c r="P3628" s="203">
        <f t="shared" si="417"/>
        <v>0</v>
      </c>
      <c r="Q3628" s="271">
        <f t="shared" si="416"/>
        <v>0</v>
      </c>
      <c r="S3628" s="280"/>
      <c r="T3628" s="222"/>
      <c r="U3628" s="223" t="s">
        <v>5864</v>
      </c>
    </row>
    <row r="3629" spans="1:21" ht="0" hidden="1" customHeight="1" outlineLevel="4">
      <c r="A3629" s="253" t="s">
        <v>4719</v>
      </c>
      <c r="B3629" s="253"/>
      <c r="C3629" s="202" t="s">
        <v>1609</v>
      </c>
      <c r="D3629" s="203">
        <f>'02 项目基础信息（输入）'!$C$87</f>
        <v>0</v>
      </c>
      <c r="E3629" s="204" t="s">
        <v>93</v>
      </c>
      <c r="F3629" s="202" t="s">
        <v>1609</v>
      </c>
      <c r="G3629" s="204">
        <v>1</v>
      </c>
      <c r="H3629" s="204" t="s">
        <v>298</v>
      </c>
      <c r="I3629" s="265">
        <f>D3629*G3629</f>
        <v>0</v>
      </c>
      <c r="J3629" s="204" t="s">
        <v>93</v>
      </c>
      <c r="K3629" s="214"/>
      <c r="L3629" s="210" t="s">
        <v>675</v>
      </c>
      <c r="M3629" s="198">
        <f>ROUND(K3629*I3629/10000,6)</f>
        <v>0</v>
      </c>
      <c r="N3629" s="212">
        <f>'02 项目基础信息（输入）'!$C$87</f>
        <v>0</v>
      </c>
      <c r="O3629" s="203">
        <f t="shared" si="415"/>
        <v>0</v>
      </c>
      <c r="P3629" s="203">
        <f t="shared" si="417"/>
        <v>0</v>
      </c>
      <c r="Q3629" s="271">
        <f t="shared" si="416"/>
        <v>0</v>
      </c>
      <c r="S3629" s="280"/>
      <c r="T3629" s="222"/>
      <c r="U3629" s="223" t="s">
        <v>5865</v>
      </c>
    </row>
    <row r="3630" spans="1:21" ht="0" hidden="1" customHeight="1" outlineLevel="4">
      <c r="A3630" s="253" t="s">
        <v>5052</v>
      </c>
      <c r="B3630" s="253"/>
      <c r="C3630" s="202" t="s">
        <v>1609</v>
      </c>
      <c r="D3630" s="203">
        <f>'02 项目基础信息（输入）'!$C$87</f>
        <v>0</v>
      </c>
      <c r="E3630" s="204" t="s">
        <v>93</v>
      </c>
      <c r="F3630" s="202" t="s">
        <v>1609</v>
      </c>
      <c r="G3630" s="204">
        <v>1</v>
      </c>
      <c r="H3630" s="204" t="s">
        <v>298</v>
      </c>
      <c r="I3630" s="265">
        <f>D3630*G3630</f>
        <v>0</v>
      </c>
      <c r="J3630" s="204" t="s">
        <v>93</v>
      </c>
      <c r="K3630" s="214"/>
      <c r="L3630" s="210" t="s">
        <v>675</v>
      </c>
      <c r="M3630" s="198">
        <f>ROUND(K3630*I3630/10000,6)</f>
        <v>0</v>
      </c>
      <c r="N3630" s="212">
        <f>'02 项目基础信息（输入）'!$C$87</f>
        <v>0</v>
      </c>
      <c r="O3630" s="203">
        <f t="shared" si="415"/>
        <v>0</v>
      </c>
      <c r="P3630" s="203">
        <f t="shared" si="417"/>
        <v>0</v>
      </c>
      <c r="Q3630" s="271">
        <f t="shared" si="416"/>
        <v>0</v>
      </c>
      <c r="S3630" s="280"/>
      <c r="T3630" s="222"/>
      <c r="U3630" s="223" t="s">
        <v>5866</v>
      </c>
    </row>
    <row r="3631" spans="1:21" ht="0" hidden="1" customHeight="1" outlineLevel="3">
      <c r="A3631" s="253" t="s">
        <v>4721</v>
      </c>
      <c r="B3631" s="253"/>
      <c r="C3631" s="202" t="s">
        <v>1609</v>
      </c>
      <c r="D3631" s="203">
        <f>'02 项目基础信息（输入）'!$C$87</f>
        <v>0</v>
      </c>
      <c r="E3631" s="204" t="s">
        <v>93</v>
      </c>
      <c r="F3631" s="202"/>
      <c r="G3631" s="204"/>
      <c r="H3631" s="204"/>
      <c r="I3631" s="203"/>
      <c r="J3631" s="204"/>
      <c r="K3631" s="264"/>
      <c r="L3631" s="210"/>
      <c r="M3631" s="198">
        <f>ROUND(SUM(M3632:M3637),6)</f>
        <v>0</v>
      </c>
      <c r="N3631" s="212">
        <f>'02 项目基础信息（输入）'!$C$87</f>
        <v>0</v>
      </c>
      <c r="O3631" s="203">
        <f t="shared" si="415"/>
        <v>0</v>
      </c>
      <c r="P3631" s="203">
        <f t="shared" si="417"/>
        <v>0</v>
      </c>
      <c r="Q3631" s="271">
        <f t="shared" si="416"/>
        <v>0</v>
      </c>
      <c r="S3631" s="280"/>
      <c r="T3631" s="222"/>
      <c r="U3631" s="223" t="s">
        <v>5867</v>
      </c>
    </row>
    <row r="3632" spans="1:21" ht="0" hidden="1" customHeight="1" outlineLevel="4">
      <c r="A3632" s="253" t="s">
        <v>4723</v>
      </c>
      <c r="B3632" s="253"/>
      <c r="C3632" s="202" t="s">
        <v>1609</v>
      </c>
      <c r="D3632" s="203">
        <f>'02 项目基础信息（输入）'!$C$87</f>
        <v>0</v>
      </c>
      <c r="E3632" s="204" t="s">
        <v>93</v>
      </c>
      <c r="F3632" s="202" t="s">
        <v>1609</v>
      </c>
      <c r="G3632" s="204">
        <v>1</v>
      </c>
      <c r="H3632" s="204" t="s">
        <v>298</v>
      </c>
      <c r="I3632" s="265">
        <f t="shared" ref="I3632:I3638" si="423">D3632*G3632</f>
        <v>0</v>
      </c>
      <c r="J3632" s="204" t="s">
        <v>93</v>
      </c>
      <c r="K3632" s="188"/>
      <c r="L3632" s="210" t="s">
        <v>675</v>
      </c>
      <c r="M3632" s="198">
        <f t="shared" ref="M3632:M3638" si="424">ROUND(K3632*I3632/10000,6)</f>
        <v>0</v>
      </c>
      <c r="N3632" s="212">
        <f>'02 项目基础信息（输入）'!$C$87</f>
        <v>0</v>
      </c>
      <c r="O3632" s="203">
        <f t="shared" si="415"/>
        <v>0</v>
      </c>
      <c r="P3632" s="203">
        <f t="shared" si="417"/>
        <v>0</v>
      </c>
      <c r="Q3632" s="271">
        <f t="shared" si="416"/>
        <v>0</v>
      </c>
      <c r="S3632" s="280"/>
      <c r="T3632" s="222"/>
      <c r="U3632" s="223" t="s">
        <v>5868</v>
      </c>
    </row>
    <row r="3633" spans="1:21" ht="0" hidden="1" customHeight="1" outlineLevel="4">
      <c r="A3633" s="253" t="s">
        <v>4725</v>
      </c>
      <c r="B3633" s="253"/>
      <c r="C3633" s="202" t="s">
        <v>1609</v>
      </c>
      <c r="D3633" s="203">
        <f>'02 项目基础信息（输入）'!$C$87</f>
        <v>0</v>
      </c>
      <c r="E3633" s="204" t="s">
        <v>93</v>
      </c>
      <c r="F3633" s="202" t="s">
        <v>1609</v>
      </c>
      <c r="G3633" s="204">
        <v>1</v>
      </c>
      <c r="H3633" s="204" t="s">
        <v>298</v>
      </c>
      <c r="I3633" s="265">
        <f t="shared" si="423"/>
        <v>0</v>
      </c>
      <c r="J3633" s="204" t="s">
        <v>93</v>
      </c>
      <c r="K3633" s="214"/>
      <c r="L3633" s="210" t="s">
        <v>675</v>
      </c>
      <c r="M3633" s="198">
        <f t="shared" si="424"/>
        <v>0</v>
      </c>
      <c r="N3633" s="212">
        <f>'02 项目基础信息（输入）'!$C$87</f>
        <v>0</v>
      </c>
      <c r="O3633" s="203">
        <f t="shared" si="415"/>
        <v>0</v>
      </c>
      <c r="P3633" s="203">
        <f t="shared" si="417"/>
        <v>0</v>
      </c>
      <c r="Q3633" s="271">
        <f t="shared" si="416"/>
        <v>0</v>
      </c>
      <c r="S3633" s="280"/>
      <c r="T3633" s="222"/>
      <c r="U3633" s="223" t="s">
        <v>5869</v>
      </c>
    </row>
    <row r="3634" spans="1:21" ht="0" hidden="1" customHeight="1" outlineLevel="4">
      <c r="A3634" s="253" t="s">
        <v>4727</v>
      </c>
      <c r="B3634" s="253"/>
      <c r="C3634" s="202" t="s">
        <v>1609</v>
      </c>
      <c r="D3634" s="203">
        <f>'02 项目基础信息（输入）'!$C$87</f>
        <v>0</v>
      </c>
      <c r="E3634" s="204" t="s">
        <v>93</v>
      </c>
      <c r="F3634" s="202" t="s">
        <v>1609</v>
      </c>
      <c r="G3634" s="204">
        <v>1</v>
      </c>
      <c r="H3634" s="204" t="s">
        <v>298</v>
      </c>
      <c r="I3634" s="265">
        <f t="shared" si="423"/>
        <v>0</v>
      </c>
      <c r="J3634" s="204" t="s">
        <v>93</v>
      </c>
      <c r="K3634" s="214"/>
      <c r="L3634" s="210" t="s">
        <v>675</v>
      </c>
      <c r="M3634" s="198">
        <f t="shared" si="424"/>
        <v>0</v>
      </c>
      <c r="N3634" s="212">
        <f>'02 项目基础信息（输入）'!$C$87</f>
        <v>0</v>
      </c>
      <c r="O3634" s="203">
        <f t="shared" si="415"/>
        <v>0</v>
      </c>
      <c r="P3634" s="203">
        <f t="shared" si="417"/>
        <v>0</v>
      </c>
      <c r="Q3634" s="271">
        <f t="shared" si="416"/>
        <v>0</v>
      </c>
      <c r="S3634" s="280"/>
      <c r="T3634" s="222"/>
      <c r="U3634" s="223" t="s">
        <v>5870</v>
      </c>
    </row>
    <row r="3635" spans="1:21" ht="0" hidden="1" customHeight="1" outlineLevel="4">
      <c r="A3635" s="253" t="s">
        <v>4729</v>
      </c>
      <c r="B3635" s="253"/>
      <c r="C3635" s="202" t="s">
        <v>1609</v>
      </c>
      <c r="D3635" s="203">
        <f>'02 项目基础信息（输入）'!$C$87</f>
        <v>0</v>
      </c>
      <c r="E3635" s="204" t="s">
        <v>93</v>
      </c>
      <c r="F3635" s="202" t="s">
        <v>1609</v>
      </c>
      <c r="G3635" s="204">
        <v>1</v>
      </c>
      <c r="H3635" s="204" t="s">
        <v>298</v>
      </c>
      <c r="I3635" s="265">
        <f t="shared" si="423"/>
        <v>0</v>
      </c>
      <c r="J3635" s="204" t="s">
        <v>93</v>
      </c>
      <c r="K3635" s="214"/>
      <c r="L3635" s="210" t="s">
        <v>675</v>
      </c>
      <c r="M3635" s="198">
        <f t="shared" si="424"/>
        <v>0</v>
      </c>
      <c r="N3635" s="212">
        <f>'02 项目基础信息（输入）'!$C$87</f>
        <v>0</v>
      </c>
      <c r="O3635" s="203">
        <f t="shared" si="415"/>
        <v>0</v>
      </c>
      <c r="P3635" s="203">
        <f t="shared" si="417"/>
        <v>0</v>
      </c>
      <c r="Q3635" s="271">
        <f t="shared" si="416"/>
        <v>0</v>
      </c>
      <c r="S3635" s="280"/>
      <c r="T3635" s="222"/>
      <c r="U3635" s="223" t="s">
        <v>5871</v>
      </c>
    </row>
    <row r="3636" spans="1:21" ht="0" hidden="1" customHeight="1" outlineLevel="4">
      <c r="A3636" s="253" t="s">
        <v>4731</v>
      </c>
      <c r="B3636" s="253"/>
      <c r="C3636" s="202" t="s">
        <v>1609</v>
      </c>
      <c r="D3636" s="203">
        <f>'02 项目基础信息（输入）'!$C$87</f>
        <v>0</v>
      </c>
      <c r="E3636" s="204" t="s">
        <v>93</v>
      </c>
      <c r="F3636" s="202" t="s">
        <v>1609</v>
      </c>
      <c r="G3636" s="204">
        <v>1</v>
      </c>
      <c r="H3636" s="204" t="s">
        <v>298</v>
      </c>
      <c r="I3636" s="265">
        <f t="shared" si="423"/>
        <v>0</v>
      </c>
      <c r="J3636" s="204" t="s">
        <v>93</v>
      </c>
      <c r="K3636" s="214"/>
      <c r="L3636" s="210" t="s">
        <v>675</v>
      </c>
      <c r="M3636" s="198">
        <f t="shared" si="424"/>
        <v>0</v>
      </c>
      <c r="N3636" s="212">
        <f>'02 项目基础信息（输入）'!$C$87</f>
        <v>0</v>
      </c>
      <c r="O3636" s="203">
        <f t="shared" si="415"/>
        <v>0</v>
      </c>
      <c r="P3636" s="203">
        <f t="shared" si="417"/>
        <v>0</v>
      </c>
      <c r="Q3636" s="271">
        <f t="shared" si="416"/>
        <v>0</v>
      </c>
      <c r="S3636" s="280"/>
      <c r="T3636" s="222"/>
      <c r="U3636" s="223" t="s">
        <v>5872</v>
      </c>
    </row>
    <row r="3637" spans="1:21" ht="0" hidden="1" customHeight="1" outlineLevel="4">
      <c r="A3637" s="253" t="s">
        <v>4733</v>
      </c>
      <c r="B3637" s="253"/>
      <c r="C3637" s="202" t="s">
        <v>1609</v>
      </c>
      <c r="D3637" s="203">
        <f>'02 项目基础信息（输入）'!$C$87</f>
        <v>0</v>
      </c>
      <c r="E3637" s="204" t="s">
        <v>93</v>
      </c>
      <c r="F3637" s="202" t="s">
        <v>1609</v>
      </c>
      <c r="G3637" s="204">
        <v>1</v>
      </c>
      <c r="H3637" s="204" t="s">
        <v>298</v>
      </c>
      <c r="I3637" s="265">
        <f t="shared" si="423"/>
        <v>0</v>
      </c>
      <c r="J3637" s="204" t="s">
        <v>93</v>
      </c>
      <c r="K3637" s="214"/>
      <c r="L3637" s="210" t="s">
        <v>675</v>
      </c>
      <c r="M3637" s="198">
        <f t="shared" si="424"/>
        <v>0</v>
      </c>
      <c r="N3637" s="212">
        <f>'02 项目基础信息（输入）'!$C$87</f>
        <v>0</v>
      </c>
      <c r="O3637" s="203">
        <f t="shared" si="415"/>
        <v>0</v>
      </c>
      <c r="P3637" s="203">
        <f t="shared" si="417"/>
        <v>0</v>
      </c>
      <c r="Q3637" s="271">
        <f t="shared" si="416"/>
        <v>0</v>
      </c>
      <c r="S3637" s="280"/>
      <c r="T3637" s="222"/>
      <c r="U3637" s="223" t="s">
        <v>5873</v>
      </c>
    </row>
    <row r="3638" spans="1:21" ht="0" hidden="1" customHeight="1" outlineLevel="3">
      <c r="A3638" s="253" t="s">
        <v>4735</v>
      </c>
      <c r="B3638" s="253"/>
      <c r="C3638" s="202" t="s">
        <v>1609</v>
      </c>
      <c r="D3638" s="203">
        <f>'02 项目基础信息（输入）'!$C$87</f>
        <v>0</v>
      </c>
      <c r="E3638" s="204" t="s">
        <v>93</v>
      </c>
      <c r="F3638" s="202" t="s">
        <v>1609</v>
      </c>
      <c r="G3638" s="204">
        <v>1</v>
      </c>
      <c r="H3638" s="204" t="s">
        <v>298</v>
      </c>
      <c r="I3638" s="265">
        <f t="shared" si="423"/>
        <v>0</v>
      </c>
      <c r="J3638" s="204" t="s">
        <v>93</v>
      </c>
      <c r="K3638" s="214"/>
      <c r="L3638" s="210" t="s">
        <v>675</v>
      </c>
      <c r="M3638" s="198">
        <f t="shared" si="424"/>
        <v>0</v>
      </c>
      <c r="N3638" s="212">
        <f>'02 项目基础信息（输入）'!$C$87</f>
        <v>0</v>
      </c>
      <c r="O3638" s="203">
        <f t="shared" si="415"/>
        <v>0</v>
      </c>
      <c r="P3638" s="203">
        <f t="shared" si="417"/>
        <v>0</v>
      </c>
      <c r="Q3638" s="271">
        <f t="shared" si="416"/>
        <v>0</v>
      </c>
      <c r="S3638" s="280"/>
      <c r="T3638" s="222"/>
      <c r="U3638" s="223" t="s">
        <v>5874</v>
      </c>
    </row>
    <row r="3639" spans="1:21" ht="0" hidden="1" customHeight="1" outlineLevel="3">
      <c r="A3639" s="253" t="s">
        <v>4737</v>
      </c>
      <c r="B3639" s="253"/>
      <c r="C3639" s="202" t="s">
        <v>1609</v>
      </c>
      <c r="D3639" s="203">
        <f>'02 项目基础信息（输入）'!$C$87</f>
        <v>0</v>
      </c>
      <c r="E3639" s="204" t="s">
        <v>93</v>
      </c>
      <c r="F3639" s="256"/>
      <c r="G3639" s="255"/>
      <c r="H3639" s="255"/>
      <c r="I3639" s="212"/>
      <c r="J3639" s="255"/>
      <c r="K3639" s="264"/>
      <c r="L3639" s="205"/>
      <c r="M3639" s="198">
        <f>SUM(M3640:M3641)</f>
        <v>0</v>
      </c>
      <c r="N3639" s="212">
        <f>'02 项目基础信息（输入）'!$C$87</f>
        <v>0</v>
      </c>
      <c r="O3639" s="203">
        <f t="shared" si="415"/>
        <v>0</v>
      </c>
      <c r="P3639" s="203">
        <f t="shared" si="417"/>
        <v>0</v>
      </c>
      <c r="Q3639" s="271">
        <f t="shared" si="416"/>
        <v>0</v>
      </c>
      <c r="S3639" s="280"/>
      <c r="T3639" s="222"/>
      <c r="U3639" s="223" t="s">
        <v>5875</v>
      </c>
    </row>
    <row r="3640" spans="1:21" ht="0" hidden="1" customHeight="1" outlineLevel="4">
      <c r="A3640" s="253" t="s">
        <v>4739</v>
      </c>
      <c r="B3640" s="253"/>
      <c r="C3640" s="202" t="s">
        <v>1609</v>
      </c>
      <c r="D3640" s="203">
        <f>'02 项目基础信息（输入）'!$C$87</f>
        <v>0</v>
      </c>
      <c r="E3640" s="255" t="s">
        <v>93</v>
      </c>
      <c r="F3640" s="256" t="s">
        <v>4740</v>
      </c>
      <c r="G3640" s="205">
        <f>IFERROR(I3640/D3640,0)</f>
        <v>0</v>
      </c>
      <c r="H3640" s="255" t="s">
        <v>298</v>
      </c>
      <c r="I3640" s="285"/>
      <c r="J3640" s="255" t="s">
        <v>93</v>
      </c>
      <c r="K3640" s="349"/>
      <c r="L3640" s="205" t="s">
        <v>675</v>
      </c>
      <c r="M3640" s="198">
        <f>ROUND(I3640*K3640/10000,6)</f>
        <v>0</v>
      </c>
      <c r="N3640" s="212">
        <f>'02 项目基础信息（输入）'!$C$87</f>
        <v>0</v>
      </c>
      <c r="O3640" s="203">
        <f t="shared" si="415"/>
        <v>0</v>
      </c>
      <c r="P3640" s="203">
        <f t="shared" si="417"/>
        <v>0</v>
      </c>
      <c r="Q3640" s="271">
        <f t="shared" si="416"/>
        <v>0</v>
      </c>
      <c r="S3640" s="280"/>
      <c r="T3640" s="222"/>
      <c r="U3640" s="223" t="s">
        <v>5876</v>
      </c>
    </row>
    <row r="3641" spans="1:21" ht="0" hidden="1" customHeight="1" outlineLevel="4">
      <c r="A3641" s="253" t="s">
        <v>4742</v>
      </c>
      <c r="B3641" s="253"/>
      <c r="C3641" s="202" t="s">
        <v>1609</v>
      </c>
      <c r="D3641" s="203">
        <f>'02 项目基础信息（输入）'!$C$87</f>
        <v>0</v>
      </c>
      <c r="E3641" s="255" t="s">
        <v>93</v>
      </c>
      <c r="F3641" s="256" t="s">
        <v>4740</v>
      </c>
      <c r="G3641" s="205">
        <f>IFERROR(I3641/D3641,0)</f>
        <v>0</v>
      </c>
      <c r="H3641" s="255" t="s">
        <v>298</v>
      </c>
      <c r="I3641" s="285"/>
      <c r="J3641" s="255" t="s">
        <v>93</v>
      </c>
      <c r="K3641" s="349"/>
      <c r="L3641" s="205" t="s">
        <v>675</v>
      </c>
      <c r="M3641" s="198">
        <f>ROUND(I3641*K3641/10000,6)</f>
        <v>0</v>
      </c>
      <c r="N3641" s="212">
        <f>'02 项目基础信息（输入）'!$C$87</f>
        <v>0</v>
      </c>
      <c r="O3641" s="203">
        <f t="shared" si="415"/>
        <v>0</v>
      </c>
      <c r="P3641" s="203">
        <f t="shared" si="417"/>
        <v>0</v>
      </c>
      <c r="Q3641" s="271">
        <f t="shared" si="416"/>
        <v>0</v>
      </c>
      <c r="S3641" s="280"/>
      <c r="T3641" s="222"/>
      <c r="U3641" s="223" t="s">
        <v>5877</v>
      </c>
    </row>
    <row r="3642" spans="1:21" ht="0" hidden="1" customHeight="1" outlineLevel="3">
      <c r="A3642" s="253" t="s">
        <v>4744</v>
      </c>
      <c r="B3642" s="253"/>
      <c r="C3642" s="202" t="s">
        <v>1609</v>
      </c>
      <c r="D3642" s="203">
        <f>'02 项目基础信息（输入）'!$C$87</f>
        <v>0</v>
      </c>
      <c r="E3642" s="204" t="s">
        <v>93</v>
      </c>
      <c r="F3642" s="202" t="s">
        <v>1609</v>
      </c>
      <c r="G3642" s="204">
        <v>1</v>
      </c>
      <c r="H3642" s="204" t="s">
        <v>298</v>
      </c>
      <c r="I3642" s="265">
        <f t="shared" ref="I3642:I3647" si="425">D3642*G3642</f>
        <v>0</v>
      </c>
      <c r="J3642" s="204" t="s">
        <v>93</v>
      </c>
      <c r="K3642" s="214"/>
      <c r="L3642" s="210" t="s">
        <v>675</v>
      </c>
      <c r="M3642" s="198">
        <f t="shared" ref="M3642:M3647" si="426">ROUND(K3642*I3642/10000,6)</f>
        <v>0</v>
      </c>
      <c r="N3642" s="212">
        <f>'02 项目基础信息（输入）'!$C$87</f>
        <v>0</v>
      </c>
      <c r="O3642" s="203">
        <f t="shared" si="415"/>
        <v>0</v>
      </c>
      <c r="P3642" s="203">
        <f t="shared" si="417"/>
        <v>0</v>
      </c>
      <c r="Q3642" s="271">
        <f t="shared" si="416"/>
        <v>0</v>
      </c>
      <c r="S3642" s="280"/>
      <c r="T3642" s="222"/>
      <c r="U3642" s="223" t="s">
        <v>5878</v>
      </c>
    </row>
    <row r="3643" spans="1:21" ht="0" hidden="1" customHeight="1" outlineLevel="3">
      <c r="A3643" s="253" t="s">
        <v>5066</v>
      </c>
      <c r="B3643" s="253"/>
      <c r="C3643" s="202" t="s">
        <v>1609</v>
      </c>
      <c r="D3643" s="203">
        <f>'02 项目基础信息（输入）'!$C$87</f>
        <v>0</v>
      </c>
      <c r="E3643" s="204" t="s">
        <v>93</v>
      </c>
      <c r="F3643" s="202" t="s">
        <v>1609</v>
      </c>
      <c r="G3643" s="204">
        <v>1</v>
      </c>
      <c r="H3643" s="204" t="s">
        <v>298</v>
      </c>
      <c r="I3643" s="265">
        <f t="shared" si="425"/>
        <v>0</v>
      </c>
      <c r="J3643" s="204" t="s">
        <v>93</v>
      </c>
      <c r="K3643" s="214"/>
      <c r="L3643" s="210" t="s">
        <v>675</v>
      </c>
      <c r="M3643" s="198">
        <f t="shared" si="426"/>
        <v>0</v>
      </c>
      <c r="N3643" s="212">
        <f>'02 项目基础信息（输入）'!$C$87</f>
        <v>0</v>
      </c>
      <c r="O3643" s="203">
        <f t="shared" si="415"/>
        <v>0</v>
      </c>
      <c r="P3643" s="203">
        <f t="shared" si="417"/>
        <v>0</v>
      </c>
      <c r="Q3643" s="271">
        <f t="shared" si="416"/>
        <v>0</v>
      </c>
      <c r="S3643" s="280"/>
      <c r="T3643" s="222"/>
      <c r="U3643" s="223" t="s">
        <v>5879</v>
      </c>
    </row>
    <row r="3644" spans="1:21" ht="0" hidden="1" customHeight="1" outlineLevel="3">
      <c r="A3644" s="253" t="s">
        <v>5068</v>
      </c>
      <c r="B3644" s="253"/>
      <c r="C3644" s="202" t="s">
        <v>1609</v>
      </c>
      <c r="D3644" s="203">
        <f>'02 项目基础信息（输入）'!$C$87</f>
        <v>0</v>
      </c>
      <c r="E3644" s="204" t="s">
        <v>93</v>
      </c>
      <c r="F3644" s="202" t="s">
        <v>1609</v>
      </c>
      <c r="G3644" s="204">
        <v>1</v>
      </c>
      <c r="H3644" s="204" t="s">
        <v>298</v>
      </c>
      <c r="I3644" s="265">
        <f t="shared" si="425"/>
        <v>0</v>
      </c>
      <c r="J3644" s="204" t="s">
        <v>93</v>
      </c>
      <c r="K3644" s="214"/>
      <c r="L3644" s="210" t="s">
        <v>675</v>
      </c>
      <c r="M3644" s="198">
        <f t="shared" si="426"/>
        <v>0</v>
      </c>
      <c r="N3644" s="212">
        <f>'02 项目基础信息（输入）'!$C$87</f>
        <v>0</v>
      </c>
      <c r="O3644" s="203">
        <f t="shared" si="415"/>
        <v>0</v>
      </c>
      <c r="P3644" s="203">
        <f t="shared" si="417"/>
        <v>0</v>
      </c>
      <c r="Q3644" s="271">
        <f t="shared" si="416"/>
        <v>0</v>
      </c>
      <c r="S3644" s="280"/>
      <c r="T3644" s="222"/>
      <c r="U3644" s="223" t="s">
        <v>5880</v>
      </c>
    </row>
    <row r="3645" spans="1:21" ht="0" hidden="1" customHeight="1" outlineLevel="3">
      <c r="A3645" s="253" t="s">
        <v>4750</v>
      </c>
      <c r="B3645" s="253"/>
      <c r="C3645" s="202" t="s">
        <v>1609</v>
      </c>
      <c r="D3645" s="203">
        <f>'02 项目基础信息（输入）'!$C$87</f>
        <v>0</v>
      </c>
      <c r="E3645" s="204" t="s">
        <v>93</v>
      </c>
      <c r="F3645" s="202" t="s">
        <v>1609</v>
      </c>
      <c r="G3645" s="204">
        <v>1</v>
      </c>
      <c r="H3645" s="204" t="s">
        <v>298</v>
      </c>
      <c r="I3645" s="265">
        <f t="shared" si="425"/>
        <v>0</v>
      </c>
      <c r="J3645" s="204" t="s">
        <v>93</v>
      </c>
      <c r="K3645" s="214"/>
      <c r="L3645" s="210" t="s">
        <v>675</v>
      </c>
      <c r="M3645" s="198">
        <f t="shared" si="426"/>
        <v>0</v>
      </c>
      <c r="N3645" s="212">
        <f>'02 项目基础信息（输入）'!$C$87</f>
        <v>0</v>
      </c>
      <c r="O3645" s="203">
        <f t="shared" si="415"/>
        <v>0</v>
      </c>
      <c r="P3645" s="203">
        <f t="shared" si="417"/>
        <v>0</v>
      </c>
      <c r="Q3645" s="271">
        <f t="shared" si="416"/>
        <v>0</v>
      </c>
      <c r="S3645" s="280"/>
      <c r="T3645" s="222"/>
      <c r="U3645" s="223" t="s">
        <v>5881</v>
      </c>
    </row>
    <row r="3646" spans="1:21" ht="0" hidden="1" customHeight="1" outlineLevel="3">
      <c r="A3646" s="253" t="s">
        <v>5071</v>
      </c>
      <c r="B3646" s="253"/>
      <c r="C3646" s="202" t="s">
        <v>1609</v>
      </c>
      <c r="D3646" s="203">
        <f>'02 项目基础信息（输入）'!$C$87</f>
        <v>0</v>
      </c>
      <c r="E3646" s="204" t="s">
        <v>93</v>
      </c>
      <c r="F3646" s="202" t="s">
        <v>1609</v>
      </c>
      <c r="G3646" s="204">
        <v>1</v>
      </c>
      <c r="H3646" s="204" t="s">
        <v>298</v>
      </c>
      <c r="I3646" s="265">
        <f t="shared" si="425"/>
        <v>0</v>
      </c>
      <c r="J3646" s="204" t="s">
        <v>93</v>
      </c>
      <c r="K3646" s="214"/>
      <c r="L3646" s="210" t="s">
        <v>675</v>
      </c>
      <c r="M3646" s="198">
        <f t="shared" si="426"/>
        <v>0</v>
      </c>
      <c r="N3646" s="212">
        <f>'02 项目基础信息（输入）'!$C$87</f>
        <v>0</v>
      </c>
      <c r="O3646" s="203">
        <f t="shared" si="415"/>
        <v>0</v>
      </c>
      <c r="P3646" s="203">
        <f t="shared" si="417"/>
        <v>0</v>
      </c>
      <c r="Q3646" s="271">
        <f t="shared" si="416"/>
        <v>0</v>
      </c>
      <c r="S3646" s="280"/>
      <c r="T3646" s="222"/>
      <c r="U3646" s="223" t="s">
        <v>5882</v>
      </c>
    </row>
    <row r="3647" spans="1:21" ht="0" hidden="1" customHeight="1" outlineLevel="3">
      <c r="A3647" s="253" t="s">
        <v>4752</v>
      </c>
      <c r="B3647" s="253"/>
      <c r="C3647" s="202" t="s">
        <v>1609</v>
      </c>
      <c r="D3647" s="203">
        <f>'02 项目基础信息（输入）'!$C$87</f>
        <v>0</v>
      </c>
      <c r="E3647" s="204" t="s">
        <v>93</v>
      </c>
      <c r="F3647" s="202" t="s">
        <v>1609</v>
      </c>
      <c r="G3647" s="204">
        <v>1</v>
      </c>
      <c r="H3647" s="204" t="s">
        <v>298</v>
      </c>
      <c r="I3647" s="265">
        <f t="shared" si="425"/>
        <v>0</v>
      </c>
      <c r="J3647" s="204" t="s">
        <v>93</v>
      </c>
      <c r="K3647" s="214"/>
      <c r="L3647" s="210" t="s">
        <v>675</v>
      </c>
      <c r="M3647" s="198">
        <f t="shared" si="426"/>
        <v>0</v>
      </c>
      <c r="N3647" s="212">
        <f>'02 项目基础信息（输入）'!$C$87</f>
        <v>0</v>
      </c>
      <c r="O3647" s="203">
        <f t="shared" si="415"/>
        <v>0</v>
      </c>
      <c r="P3647" s="203">
        <f t="shared" si="417"/>
        <v>0</v>
      </c>
      <c r="Q3647" s="271">
        <f t="shared" si="416"/>
        <v>0</v>
      </c>
      <c r="S3647" s="280"/>
      <c r="T3647" s="222"/>
      <c r="U3647" s="223" t="s">
        <v>5883</v>
      </c>
    </row>
    <row r="3648" spans="1:21" ht="0" hidden="1" customHeight="1" outlineLevel="3">
      <c r="A3648" s="253" t="s">
        <v>4754</v>
      </c>
      <c r="B3648" s="253"/>
      <c r="C3648" s="202" t="s">
        <v>1609</v>
      </c>
      <c r="D3648" s="203">
        <f>'02 项目基础信息（输入）'!$C$87</f>
        <v>0</v>
      </c>
      <c r="E3648" s="204" t="s">
        <v>93</v>
      </c>
      <c r="F3648" s="256"/>
      <c r="G3648" s="255"/>
      <c r="H3648" s="255"/>
      <c r="I3648" s="268"/>
      <c r="J3648" s="255"/>
      <c r="K3648" s="264"/>
      <c r="L3648" s="205"/>
      <c r="M3648" s="198">
        <f>SUM(M3649:M3651)</f>
        <v>0</v>
      </c>
      <c r="N3648" s="212">
        <f>'02 项目基础信息（输入）'!$C$87</f>
        <v>0</v>
      </c>
      <c r="O3648" s="203">
        <f t="shared" si="415"/>
        <v>0</v>
      </c>
      <c r="P3648" s="203">
        <f t="shared" si="417"/>
        <v>0</v>
      </c>
      <c r="Q3648" s="271">
        <f t="shared" si="416"/>
        <v>0</v>
      </c>
      <c r="S3648" s="280"/>
      <c r="T3648" s="222"/>
      <c r="U3648" s="223" t="s">
        <v>5884</v>
      </c>
    </row>
    <row r="3649" spans="1:21" ht="0" hidden="1" customHeight="1" outlineLevel="4">
      <c r="A3649" s="253" t="s">
        <v>4756</v>
      </c>
      <c r="B3649" s="253"/>
      <c r="C3649" s="202" t="s">
        <v>1609</v>
      </c>
      <c r="D3649" s="203">
        <f>'02 项目基础信息（输入）'!$C$87</f>
        <v>0</v>
      </c>
      <c r="E3649" s="204" t="s">
        <v>93</v>
      </c>
      <c r="F3649" s="202" t="s">
        <v>1609</v>
      </c>
      <c r="G3649" s="204">
        <v>1</v>
      </c>
      <c r="H3649" s="204" t="s">
        <v>298</v>
      </c>
      <c r="I3649" s="265">
        <f>D3649*G3649</f>
        <v>0</v>
      </c>
      <c r="J3649" s="204" t="s">
        <v>93</v>
      </c>
      <c r="K3649" s="214"/>
      <c r="L3649" s="210" t="s">
        <v>675</v>
      </c>
      <c r="M3649" s="198">
        <f>ROUND(K3649*I3649/10000,6)</f>
        <v>0</v>
      </c>
      <c r="N3649" s="212">
        <f>'02 项目基础信息（输入）'!$C$87</f>
        <v>0</v>
      </c>
      <c r="O3649" s="203">
        <f t="shared" si="415"/>
        <v>0</v>
      </c>
      <c r="P3649" s="203">
        <f t="shared" si="417"/>
        <v>0</v>
      </c>
      <c r="Q3649" s="271">
        <f t="shared" si="416"/>
        <v>0</v>
      </c>
      <c r="S3649" s="280"/>
      <c r="T3649" s="222"/>
      <c r="U3649" s="223" t="s">
        <v>5885</v>
      </c>
    </row>
    <row r="3650" spans="1:21" ht="0" hidden="1" customHeight="1" outlineLevel="4">
      <c r="A3650" s="253" t="s">
        <v>4758</v>
      </c>
      <c r="B3650" s="253"/>
      <c r="C3650" s="202" t="s">
        <v>1609</v>
      </c>
      <c r="D3650" s="203">
        <f>'02 项目基础信息（输入）'!$C$87</f>
        <v>0</v>
      </c>
      <c r="E3650" s="204" t="s">
        <v>93</v>
      </c>
      <c r="F3650" s="202" t="s">
        <v>1609</v>
      </c>
      <c r="G3650" s="204">
        <v>1</v>
      </c>
      <c r="H3650" s="204" t="s">
        <v>298</v>
      </c>
      <c r="I3650" s="265">
        <f>D3650*G3650</f>
        <v>0</v>
      </c>
      <c r="J3650" s="204" t="s">
        <v>93</v>
      </c>
      <c r="K3650" s="214"/>
      <c r="L3650" s="210" t="s">
        <v>675</v>
      </c>
      <c r="M3650" s="198">
        <f>ROUND(K3650*I3650/10000,6)</f>
        <v>0</v>
      </c>
      <c r="N3650" s="212">
        <f>'02 项目基础信息（输入）'!$C$87</f>
        <v>0</v>
      </c>
      <c r="O3650" s="203">
        <f t="shared" si="415"/>
        <v>0</v>
      </c>
      <c r="P3650" s="203">
        <f t="shared" si="417"/>
        <v>0</v>
      </c>
      <c r="Q3650" s="271">
        <f t="shared" si="416"/>
        <v>0</v>
      </c>
      <c r="S3650" s="280"/>
      <c r="T3650" s="222"/>
      <c r="U3650" s="223" t="s">
        <v>5886</v>
      </c>
    </row>
    <row r="3651" spans="1:21" ht="0" hidden="1" customHeight="1" outlineLevel="4">
      <c r="A3651" s="253" t="s">
        <v>4760</v>
      </c>
      <c r="B3651" s="253"/>
      <c r="C3651" s="202" t="s">
        <v>1609</v>
      </c>
      <c r="D3651" s="203">
        <f>'02 项目基础信息（输入）'!$C$87</f>
        <v>0</v>
      </c>
      <c r="E3651" s="204" t="s">
        <v>93</v>
      </c>
      <c r="F3651" s="202" t="s">
        <v>1609</v>
      </c>
      <c r="G3651" s="204">
        <v>1</v>
      </c>
      <c r="H3651" s="204" t="s">
        <v>298</v>
      </c>
      <c r="I3651" s="265">
        <f>D3651*G3651</f>
        <v>0</v>
      </c>
      <c r="J3651" s="204" t="s">
        <v>93</v>
      </c>
      <c r="K3651" s="214"/>
      <c r="L3651" s="210" t="s">
        <v>675</v>
      </c>
      <c r="M3651" s="198">
        <f>ROUND(K3651*I3651/10000,6)</f>
        <v>0</v>
      </c>
      <c r="N3651" s="212">
        <f>'02 项目基础信息（输入）'!$C$87</f>
        <v>0</v>
      </c>
      <c r="O3651" s="203">
        <f t="shared" ref="O3651:O3714" si="427">ROUND(IFERROR(M3651*10000/N3651,0),2)</f>
        <v>0</v>
      </c>
      <c r="P3651" s="203">
        <f t="shared" si="417"/>
        <v>0</v>
      </c>
      <c r="Q3651" s="271">
        <f t="shared" ref="Q3651:Q3714" si="428">ROUND(IFERROR(M3651*10000/P3651,0),2)</f>
        <v>0</v>
      </c>
      <c r="S3651" s="280"/>
      <c r="T3651" s="222"/>
      <c r="U3651" s="223" t="s">
        <v>5887</v>
      </c>
    </row>
    <row r="3652" spans="1:21" ht="0" hidden="1" customHeight="1" outlineLevel="3">
      <c r="A3652" s="253" t="s">
        <v>4762</v>
      </c>
      <c r="B3652" s="253"/>
      <c r="C3652" s="202" t="s">
        <v>1609</v>
      </c>
      <c r="D3652" s="203">
        <f>'02 项目基础信息（输入）'!$C$87</f>
        <v>0</v>
      </c>
      <c r="E3652" s="204" t="s">
        <v>93</v>
      </c>
      <c r="F3652" s="202" t="s">
        <v>1609</v>
      </c>
      <c r="G3652" s="204">
        <v>1</v>
      </c>
      <c r="H3652" s="204" t="s">
        <v>298</v>
      </c>
      <c r="I3652" s="265">
        <f>D3652*G3652</f>
        <v>0</v>
      </c>
      <c r="J3652" s="204" t="s">
        <v>93</v>
      </c>
      <c r="K3652" s="214"/>
      <c r="L3652" s="210" t="s">
        <v>675</v>
      </c>
      <c r="M3652" s="198">
        <f>ROUND(K3652*I3652/10000,6)</f>
        <v>0</v>
      </c>
      <c r="N3652" s="212">
        <f>'02 项目基础信息（输入）'!$C$87</f>
        <v>0</v>
      </c>
      <c r="O3652" s="203">
        <f t="shared" si="427"/>
        <v>0</v>
      </c>
      <c r="P3652" s="203">
        <f t="shared" si="417"/>
        <v>0</v>
      </c>
      <c r="Q3652" s="271">
        <f t="shared" si="428"/>
        <v>0</v>
      </c>
      <c r="S3652" s="280"/>
      <c r="T3652" s="222"/>
      <c r="U3652" s="223" t="s">
        <v>5888</v>
      </c>
    </row>
    <row r="3653" spans="1:21" ht="0" hidden="1" customHeight="1" outlineLevel="3">
      <c r="A3653" s="253" t="s">
        <v>4371</v>
      </c>
      <c r="B3653" s="253"/>
      <c r="C3653" s="202" t="s">
        <v>1609</v>
      </c>
      <c r="D3653" s="203">
        <f>'02 项目基础信息（输入）'!$C$87</f>
        <v>0</v>
      </c>
      <c r="E3653" s="204" t="s">
        <v>93</v>
      </c>
      <c r="F3653" s="202" t="s">
        <v>1609</v>
      </c>
      <c r="G3653" s="204">
        <v>1</v>
      </c>
      <c r="H3653" s="204" t="s">
        <v>298</v>
      </c>
      <c r="I3653" s="265">
        <f>D3653*G3653</f>
        <v>0</v>
      </c>
      <c r="J3653" s="204" t="s">
        <v>93</v>
      </c>
      <c r="K3653" s="214"/>
      <c r="L3653" s="210" t="s">
        <v>675</v>
      </c>
      <c r="M3653" s="198">
        <f>ROUND(K3653*I3653/10000,6)</f>
        <v>0</v>
      </c>
      <c r="N3653" s="212">
        <f>'02 项目基础信息（输入）'!$C$87</f>
        <v>0</v>
      </c>
      <c r="O3653" s="203">
        <f t="shared" si="427"/>
        <v>0</v>
      </c>
      <c r="P3653" s="203">
        <f t="shared" si="417"/>
        <v>0</v>
      </c>
      <c r="Q3653" s="271">
        <f t="shared" si="428"/>
        <v>0</v>
      </c>
      <c r="S3653" s="280"/>
      <c r="T3653" s="222"/>
      <c r="U3653" s="223" t="s">
        <v>5889</v>
      </c>
    </row>
    <row r="3654" spans="1:21" ht="0" hidden="1" customHeight="1" outlineLevel="2">
      <c r="A3654" s="201" t="s">
        <v>4765</v>
      </c>
      <c r="B3654" s="201"/>
      <c r="C3654" s="202" t="s">
        <v>1609</v>
      </c>
      <c r="D3654" s="203">
        <f>'02 项目基础信息（输入）'!$C$87</f>
        <v>0</v>
      </c>
      <c r="E3654" s="204" t="s">
        <v>93</v>
      </c>
      <c r="F3654" s="256"/>
      <c r="G3654" s="255"/>
      <c r="H3654" s="255"/>
      <c r="I3654" s="212"/>
      <c r="J3654" s="255"/>
      <c r="K3654" s="264"/>
      <c r="L3654" s="205"/>
      <c r="M3654" s="198">
        <f>ROUND(SUM(M3655:M3658),6)</f>
        <v>0</v>
      </c>
      <c r="N3654" s="212">
        <f>'02 项目基础信息（输入）'!$C$87</f>
        <v>0</v>
      </c>
      <c r="O3654" s="203">
        <f t="shared" si="427"/>
        <v>0</v>
      </c>
      <c r="P3654" s="203">
        <f t="shared" si="417"/>
        <v>0</v>
      </c>
      <c r="Q3654" s="271">
        <f t="shared" si="428"/>
        <v>0</v>
      </c>
      <c r="S3654" s="280" t="s">
        <v>1314</v>
      </c>
      <c r="T3654" s="222"/>
      <c r="U3654" s="223" t="s">
        <v>5890</v>
      </c>
    </row>
    <row r="3655" spans="1:21" ht="0" hidden="1" customHeight="1" outlineLevel="3">
      <c r="A3655" s="253" t="s">
        <v>5081</v>
      </c>
      <c r="B3655" s="253"/>
      <c r="C3655" s="202" t="s">
        <v>1609</v>
      </c>
      <c r="D3655" s="203">
        <f>'02 项目基础信息（输入）'!$C$87</f>
        <v>0</v>
      </c>
      <c r="E3655" s="255" t="s">
        <v>93</v>
      </c>
      <c r="F3655" s="288" t="s">
        <v>4768</v>
      </c>
      <c r="G3655" s="296">
        <f>'02 项目基础信息（输入）'!CC87</f>
        <v>0</v>
      </c>
      <c r="H3655" s="255" t="s">
        <v>298</v>
      </c>
      <c r="I3655" s="268">
        <f>D3655*G3655</f>
        <v>0</v>
      </c>
      <c r="J3655" s="255" t="s">
        <v>93</v>
      </c>
      <c r="K3655" s="349"/>
      <c r="L3655" s="205" t="s">
        <v>675</v>
      </c>
      <c r="M3655" s="198">
        <f>ROUND(I3655*K3655/10000,6)</f>
        <v>0</v>
      </c>
      <c r="N3655" s="212">
        <f>'02 项目基础信息（输入）'!$C$87</f>
        <v>0</v>
      </c>
      <c r="O3655" s="203">
        <f t="shared" si="427"/>
        <v>0</v>
      </c>
      <c r="P3655" s="203">
        <f t="shared" si="417"/>
        <v>0</v>
      </c>
      <c r="Q3655" s="271">
        <f t="shared" si="428"/>
        <v>0</v>
      </c>
      <c r="S3655" s="280"/>
      <c r="T3655" s="222"/>
      <c r="U3655" s="223" t="s">
        <v>5891</v>
      </c>
    </row>
    <row r="3656" spans="1:21" ht="0" hidden="1" customHeight="1" outlineLevel="3">
      <c r="A3656" s="253" t="s">
        <v>5083</v>
      </c>
      <c r="B3656" s="253"/>
      <c r="C3656" s="202" t="s">
        <v>1609</v>
      </c>
      <c r="D3656" s="203">
        <f>'02 项目基础信息（输入）'!$C$87</f>
        <v>0</v>
      </c>
      <c r="E3656" s="255" t="s">
        <v>93</v>
      </c>
      <c r="F3656" s="288" t="s">
        <v>4768</v>
      </c>
      <c r="G3656" s="205">
        <f>G3655</f>
        <v>0</v>
      </c>
      <c r="H3656" s="255" t="s">
        <v>298</v>
      </c>
      <c r="I3656" s="268">
        <f>D3656*G3656</f>
        <v>0</v>
      </c>
      <c r="J3656" s="255" t="s">
        <v>93</v>
      </c>
      <c r="K3656" s="349"/>
      <c r="L3656" s="205" t="s">
        <v>675</v>
      </c>
      <c r="M3656" s="198">
        <f>ROUND(I3656*K3656/10000,6)</f>
        <v>0</v>
      </c>
      <c r="N3656" s="212">
        <f>'02 项目基础信息（输入）'!$C$87</f>
        <v>0</v>
      </c>
      <c r="O3656" s="203">
        <f t="shared" si="427"/>
        <v>0</v>
      </c>
      <c r="P3656" s="203">
        <f t="shared" si="417"/>
        <v>0</v>
      </c>
      <c r="Q3656" s="271">
        <f t="shared" si="428"/>
        <v>0</v>
      </c>
      <c r="S3656" s="280"/>
      <c r="T3656" s="222"/>
      <c r="U3656" s="223" t="s">
        <v>5892</v>
      </c>
    </row>
    <row r="3657" spans="1:21" ht="0" hidden="1" customHeight="1" outlineLevel="3">
      <c r="A3657" s="253" t="s">
        <v>5085</v>
      </c>
      <c r="B3657" s="253"/>
      <c r="C3657" s="202" t="s">
        <v>1609</v>
      </c>
      <c r="D3657" s="203">
        <f>'02 项目基础信息（输入）'!$C$87</f>
        <v>0</v>
      </c>
      <c r="E3657" s="255" t="s">
        <v>93</v>
      </c>
      <c r="F3657" s="250" t="s">
        <v>4773</v>
      </c>
      <c r="G3657" s="205">
        <f>IFERROR(I3657/D3657,0)</f>
        <v>0</v>
      </c>
      <c r="H3657" s="255" t="s">
        <v>4385</v>
      </c>
      <c r="I3657" s="285"/>
      <c r="J3657" s="255" t="s">
        <v>400</v>
      </c>
      <c r="K3657" s="214"/>
      <c r="L3657" s="205" t="s">
        <v>1749</v>
      </c>
      <c r="M3657" s="198">
        <f>ROUND(I3657*K3657/10000,6)</f>
        <v>0</v>
      </c>
      <c r="N3657" s="212">
        <f>'02 项目基础信息（输入）'!$C$87</f>
        <v>0</v>
      </c>
      <c r="O3657" s="203">
        <f t="shared" si="427"/>
        <v>0</v>
      </c>
      <c r="P3657" s="203">
        <f t="shared" si="417"/>
        <v>0</v>
      </c>
      <c r="Q3657" s="271">
        <f t="shared" si="428"/>
        <v>0</v>
      </c>
      <c r="S3657" s="280"/>
      <c r="T3657" s="222"/>
      <c r="U3657" s="223" t="s">
        <v>5893</v>
      </c>
    </row>
    <row r="3658" spans="1:21" ht="0" hidden="1" customHeight="1" outlineLevel="3">
      <c r="A3658" s="253" t="s">
        <v>5087</v>
      </c>
      <c r="B3658" s="253"/>
      <c r="C3658" s="202" t="s">
        <v>1609</v>
      </c>
      <c r="D3658" s="203">
        <f>'02 项目基础信息（输入）'!$C$87</f>
        <v>0</v>
      </c>
      <c r="E3658" s="255" t="s">
        <v>93</v>
      </c>
      <c r="F3658" s="256" t="s">
        <v>4740</v>
      </c>
      <c r="G3658" s="205">
        <f>IFERROR(I3658/D3658,0)</f>
        <v>0</v>
      </c>
      <c r="H3658" s="255" t="s">
        <v>298</v>
      </c>
      <c r="I3658" s="285"/>
      <c r="J3658" s="255" t="s">
        <v>93</v>
      </c>
      <c r="K3658" s="214"/>
      <c r="L3658" s="205" t="s">
        <v>675</v>
      </c>
      <c r="M3658" s="198">
        <f>ROUND(I3658*K3658/10000,6)</f>
        <v>0</v>
      </c>
      <c r="N3658" s="212">
        <f>'02 项目基础信息（输入）'!$C$87</f>
        <v>0</v>
      </c>
      <c r="O3658" s="203">
        <f t="shared" si="427"/>
        <v>0</v>
      </c>
      <c r="P3658" s="203">
        <f t="shared" ref="P3658:P3721" si="429">N3658</f>
        <v>0</v>
      </c>
      <c r="Q3658" s="271">
        <f t="shared" si="428"/>
        <v>0</v>
      </c>
      <c r="S3658" s="280"/>
      <c r="T3658" s="222"/>
      <c r="U3658" s="223" t="s">
        <v>5894</v>
      </c>
    </row>
    <row r="3659" spans="1:21" ht="0" hidden="1" customHeight="1" outlineLevel="2">
      <c r="A3659" s="201" t="s">
        <v>4377</v>
      </c>
      <c r="B3659" s="201"/>
      <c r="C3659" s="202" t="s">
        <v>1609</v>
      </c>
      <c r="D3659" s="203">
        <f>'02 项目基础信息（输入）'!$C$87</f>
        <v>0</v>
      </c>
      <c r="E3659" s="204" t="s">
        <v>93</v>
      </c>
      <c r="F3659" s="202"/>
      <c r="G3659" s="204"/>
      <c r="H3659" s="204"/>
      <c r="I3659" s="268"/>
      <c r="J3659" s="204"/>
      <c r="K3659" s="264"/>
      <c r="L3659" s="210"/>
      <c r="M3659" s="198">
        <f>ROUND(SUM(M3660),6)</f>
        <v>0</v>
      </c>
      <c r="N3659" s="212">
        <f>'02 项目基础信息（输入）'!$C$87</f>
        <v>0</v>
      </c>
      <c r="O3659" s="203">
        <f t="shared" si="427"/>
        <v>0</v>
      </c>
      <c r="P3659" s="203">
        <f t="shared" si="429"/>
        <v>0</v>
      </c>
      <c r="Q3659" s="271">
        <f t="shared" si="428"/>
        <v>0</v>
      </c>
      <c r="S3659" s="280" t="s">
        <v>1314</v>
      </c>
      <c r="T3659" s="222"/>
      <c r="U3659" s="223" t="s">
        <v>5895</v>
      </c>
    </row>
    <row r="3660" spans="1:21" ht="0" hidden="1" customHeight="1" outlineLevel="3">
      <c r="A3660" s="253" t="s">
        <v>4379</v>
      </c>
      <c r="B3660" s="253"/>
      <c r="C3660" s="202" t="s">
        <v>1609</v>
      </c>
      <c r="D3660" s="203">
        <f>'02 项目基础信息（输入）'!$C$87</f>
        <v>0</v>
      </c>
      <c r="E3660" s="204" t="s">
        <v>93</v>
      </c>
      <c r="F3660" s="202" t="s">
        <v>1609</v>
      </c>
      <c r="G3660" s="204">
        <v>1</v>
      </c>
      <c r="H3660" s="204" t="s">
        <v>298</v>
      </c>
      <c r="I3660" s="268">
        <f>G3660*D3660</f>
        <v>0</v>
      </c>
      <c r="J3660" s="204" t="s">
        <v>93</v>
      </c>
      <c r="K3660" s="269"/>
      <c r="L3660" s="210" t="s">
        <v>675</v>
      </c>
      <c r="M3660" s="198">
        <f>ROUND(K3660*I3660/10000,6)</f>
        <v>0</v>
      </c>
      <c r="N3660" s="212">
        <f>'02 项目基础信息（输入）'!$C$87</f>
        <v>0</v>
      </c>
      <c r="O3660" s="203">
        <f t="shared" si="427"/>
        <v>0</v>
      </c>
      <c r="P3660" s="203">
        <f t="shared" si="429"/>
        <v>0</v>
      </c>
      <c r="Q3660" s="271">
        <f t="shared" si="428"/>
        <v>0</v>
      </c>
      <c r="S3660" s="280"/>
      <c r="T3660" s="222"/>
      <c r="U3660" s="223" t="s">
        <v>5896</v>
      </c>
    </row>
    <row r="3661" spans="1:21" ht="0" hidden="1" customHeight="1" outlineLevel="2">
      <c r="A3661" s="201" t="s">
        <v>4381</v>
      </c>
      <c r="B3661" s="201"/>
      <c r="C3661" s="202" t="s">
        <v>1609</v>
      </c>
      <c r="D3661" s="203">
        <f>'02 项目基础信息（输入）'!$C$87</f>
        <v>0</v>
      </c>
      <c r="E3661" s="204" t="s">
        <v>93</v>
      </c>
      <c r="F3661" s="256"/>
      <c r="G3661" s="255"/>
      <c r="H3661" s="255"/>
      <c r="I3661" s="212"/>
      <c r="J3661" s="255"/>
      <c r="K3661" s="264"/>
      <c r="L3661" s="205"/>
      <c r="M3661" s="198">
        <f>ROUND(SUM(M3662:M3665),6)</f>
        <v>0</v>
      </c>
      <c r="N3661" s="212">
        <f>'02 项目基础信息（输入）'!$C$87</f>
        <v>0</v>
      </c>
      <c r="O3661" s="203">
        <f t="shared" si="427"/>
        <v>0</v>
      </c>
      <c r="P3661" s="203">
        <f t="shared" si="429"/>
        <v>0</v>
      </c>
      <c r="Q3661" s="271">
        <f t="shared" si="428"/>
        <v>0</v>
      </c>
      <c r="S3661" s="280" t="s">
        <v>1314</v>
      </c>
      <c r="T3661" s="222"/>
      <c r="U3661" s="223" t="s">
        <v>5897</v>
      </c>
    </row>
    <row r="3662" spans="1:21" ht="0" hidden="1" customHeight="1" outlineLevel="3">
      <c r="A3662" s="253" t="s">
        <v>4780</v>
      </c>
      <c r="B3662" s="253"/>
      <c r="C3662" s="202" t="s">
        <v>1609</v>
      </c>
      <c r="D3662" s="203">
        <f>'02 项目基础信息（输入）'!$C$87</f>
        <v>0</v>
      </c>
      <c r="E3662" s="204" t="s">
        <v>93</v>
      </c>
      <c r="F3662" s="250" t="s">
        <v>4781</v>
      </c>
      <c r="G3662" s="205">
        <f>IFERROR(I3662/D3662,0)</f>
        <v>0</v>
      </c>
      <c r="H3662" s="204" t="s">
        <v>5898</v>
      </c>
      <c r="I3662" s="213"/>
      <c r="J3662" s="204" t="s">
        <v>2198</v>
      </c>
      <c r="K3662" s="350"/>
      <c r="L3662" s="210" t="s">
        <v>841</v>
      </c>
      <c r="M3662" s="198">
        <f>ROUND(K3662*I3662/10000,6)</f>
        <v>0</v>
      </c>
      <c r="N3662" s="212">
        <f>'02 项目基础信息（输入）'!$C$87</f>
        <v>0</v>
      </c>
      <c r="O3662" s="203">
        <f t="shared" si="427"/>
        <v>0</v>
      </c>
      <c r="P3662" s="203">
        <f t="shared" si="429"/>
        <v>0</v>
      </c>
      <c r="Q3662" s="271">
        <f t="shared" si="428"/>
        <v>0</v>
      </c>
      <c r="S3662" s="280"/>
      <c r="T3662" s="222"/>
      <c r="U3662" s="223" t="s">
        <v>5899</v>
      </c>
    </row>
    <row r="3663" spans="1:21" ht="0" hidden="1" customHeight="1" outlineLevel="3">
      <c r="A3663" s="253" t="s">
        <v>4784</v>
      </c>
      <c r="B3663" s="253"/>
      <c r="C3663" s="202" t="s">
        <v>1609</v>
      </c>
      <c r="D3663" s="203">
        <f>'02 项目基础信息（输入）'!$C$87</f>
        <v>0</v>
      </c>
      <c r="E3663" s="204" t="s">
        <v>93</v>
      </c>
      <c r="F3663" s="250" t="s">
        <v>4781</v>
      </c>
      <c r="G3663" s="205">
        <f>IFERROR(I3663/D3663,0)</f>
        <v>0</v>
      </c>
      <c r="H3663" s="204" t="s">
        <v>5898</v>
      </c>
      <c r="I3663" s="213"/>
      <c r="J3663" s="204" t="s">
        <v>2198</v>
      </c>
      <c r="K3663" s="350"/>
      <c r="L3663" s="210" t="s">
        <v>841</v>
      </c>
      <c r="M3663" s="198">
        <f>ROUND(K3663*I3663/10000,6)</f>
        <v>0</v>
      </c>
      <c r="N3663" s="212">
        <f>'02 项目基础信息（输入）'!$C$87</f>
        <v>0</v>
      </c>
      <c r="O3663" s="203">
        <f t="shared" si="427"/>
        <v>0</v>
      </c>
      <c r="P3663" s="203">
        <f t="shared" si="429"/>
        <v>0</v>
      </c>
      <c r="Q3663" s="271">
        <f t="shared" si="428"/>
        <v>0</v>
      </c>
      <c r="S3663" s="280"/>
      <c r="T3663" s="222"/>
      <c r="U3663" s="223" t="s">
        <v>5900</v>
      </c>
    </row>
    <row r="3664" spans="1:21" ht="0" hidden="1" customHeight="1" outlineLevel="3">
      <c r="A3664" s="253" t="s">
        <v>5094</v>
      </c>
      <c r="B3664" s="253"/>
      <c r="C3664" s="202" t="s">
        <v>1609</v>
      </c>
      <c r="D3664" s="203">
        <f>'02 项目基础信息（输入）'!$C$87</f>
        <v>0</v>
      </c>
      <c r="E3664" s="204" t="s">
        <v>93</v>
      </c>
      <c r="F3664" s="202" t="s">
        <v>5095</v>
      </c>
      <c r="G3664" s="205">
        <f>IFERROR(I3664/D3664,0)</f>
        <v>0</v>
      </c>
      <c r="H3664" s="255" t="s">
        <v>298</v>
      </c>
      <c r="I3664" s="213"/>
      <c r="J3664" s="255" t="s">
        <v>93</v>
      </c>
      <c r="K3664" s="349"/>
      <c r="L3664" s="205" t="s">
        <v>675</v>
      </c>
      <c r="M3664" s="198">
        <f>ROUND(K3664*I3664/10000,6)</f>
        <v>0</v>
      </c>
      <c r="N3664" s="212">
        <f>'02 项目基础信息（输入）'!$C$87</f>
        <v>0</v>
      </c>
      <c r="O3664" s="203">
        <f t="shared" si="427"/>
        <v>0</v>
      </c>
      <c r="P3664" s="203">
        <f t="shared" si="429"/>
        <v>0</v>
      </c>
      <c r="Q3664" s="271">
        <f t="shared" si="428"/>
        <v>0</v>
      </c>
      <c r="S3664" s="280"/>
      <c r="T3664" s="222"/>
      <c r="U3664" s="223" t="s">
        <v>5901</v>
      </c>
    </row>
    <row r="3665" spans="1:21" ht="0" hidden="1" customHeight="1" outlineLevel="3">
      <c r="A3665" s="253" t="s">
        <v>4796</v>
      </c>
      <c r="B3665" s="253"/>
      <c r="C3665" s="202" t="s">
        <v>1609</v>
      </c>
      <c r="D3665" s="203">
        <f>'02 项目基础信息（输入）'!$C$87</f>
        <v>0</v>
      </c>
      <c r="E3665" s="204" t="s">
        <v>93</v>
      </c>
      <c r="F3665" s="202" t="s">
        <v>1609</v>
      </c>
      <c r="G3665" s="204">
        <v>1</v>
      </c>
      <c r="H3665" s="204" t="s">
        <v>298</v>
      </c>
      <c r="I3665" s="268">
        <f>G3665*D3665</f>
        <v>0</v>
      </c>
      <c r="J3665" s="204" t="s">
        <v>93</v>
      </c>
      <c r="K3665" s="214"/>
      <c r="L3665" s="210" t="s">
        <v>675</v>
      </c>
      <c r="M3665" s="198">
        <f>ROUND(K3665*I3665/10000,6)</f>
        <v>0</v>
      </c>
      <c r="N3665" s="212">
        <f>'02 项目基础信息（输入）'!$C$87</f>
        <v>0</v>
      </c>
      <c r="O3665" s="203">
        <f t="shared" si="427"/>
        <v>0</v>
      </c>
      <c r="P3665" s="203">
        <f t="shared" si="429"/>
        <v>0</v>
      </c>
      <c r="Q3665" s="271">
        <f t="shared" si="428"/>
        <v>0</v>
      </c>
      <c r="S3665" s="280"/>
      <c r="T3665" s="222"/>
      <c r="U3665" s="223" t="s">
        <v>5902</v>
      </c>
    </row>
    <row r="3666" spans="1:21" ht="0" hidden="1" customHeight="1" outlineLevel="1" collapsed="1">
      <c r="A3666" s="248" t="s">
        <v>641</v>
      </c>
      <c r="B3666" s="248"/>
      <c r="C3666" s="202" t="s">
        <v>1609</v>
      </c>
      <c r="D3666" s="212">
        <f>'02 项目基础信息（输入）'!$C$90</f>
        <v>0</v>
      </c>
      <c r="E3666" s="204" t="s">
        <v>93</v>
      </c>
      <c r="F3666" s="202"/>
      <c r="G3666" s="204"/>
      <c r="H3666" s="204"/>
      <c r="I3666" s="202"/>
      <c r="J3666" s="204"/>
      <c r="K3666" s="202"/>
      <c r="L3666" s="210"/>
      <c r="M3666" s="198">
        <f>ROUND(M3667+M3709+M3721+M3741+M3776+M3789+M3793+M3796+M3835+M3848+M3881+M3886+M3888+M3818,6)</f>
        <v>0</v>
      </c>
      <c r="N3666" s="212">
        <f>'02 项目基础信息（输入）'!$C$90</f>
        <v>0</v>
      </c>
      <c r="O3666" s="212">
        <f t="shared" si="427"/>
        <v>0</v>
      </c>
      <c r="P3666" s="212">
        <f t="shared" si="429"/>
        <v>0</v>
      </c>
      <c r="Q3666" s="271">
        <f t="shared" si="428"/>
        <v>0</v>
      </c>
      <c r="S3666" s="280"/>
      <c r="T3666" s="222"/>
      <c r="U3666" s="223" t="s">
        <v>5903</v>
      </c>
    </row>
    <row r="3667" spans="1:21" ht="0" hidden="1" customHeight="1" outlineLevel="2">
      <c r="A3667" s="201" t="s">
        <v>4168</v>
      </c>
      <c r="B3667" s="201"/>
      <c r="C3667" s="202" t="s">
        <v>1609</v>
      </c>
      <c r="D3667" s="212">
        <f>'02 项目基础信息（输入）'!$C$90</f>
        <v>0</v>
      </c>
      <c r="E3667" s="204" t="s">
        <v>93</v>
      </c>
      <c r="F3667" s="202"/>
      <c r="G3667" s="204"/>
      <c r="H3667" s="204"/>
      <c r="I3667" s="203"/>
      <c r="J3667" s="204"/>
      <c r="K3667" s="264"/>
      <c r="L3667" s="210"/>
      <c r="M3667" s="198">
        <f>ROUND(M3668+M3689+M3705,6)</f>
        <v>0</v>
      </c>
      <c r="N3667" s="212">
        <f>'02 项目基础信息（输入）'!$C$90</f>
        <v>0</v>
      </c>
      <c r="O3667" s="203">
        <f t="shared" si="427"/>
        <v>0</v>
      </c>
      <c r="P3667" s="203">
        <f t="shared" si="429"/>
        <v>0</v>
      </c>
      <c r="Q3667" s="271">
        <f t="shared" si="428"/>
        <v>0</v>
      </c>
      <c r="S3667" s="280" t="s">
        <v>1313</v>
      </c>
      <c r="T3667" s="222"/>
      <c r="U3667" s="223" t="s">
        <v>5904</v>
      </c>
    </row>
    <row r="3668" spans="1:21" s="181" customFormat="1" ht="0" hidden="1" customHeight="1" outlineLevel="3">
      <c r="A3668" s="253" t="s">
        <v>4170</v>
      </c>
      <c r="B3668" s="254"/>
      <c r="C3668" s="250" t="s">
        <v>1609</v>
      </c>
      <c r="D3668" s="212">
        <f>'02 项目基础信息（输入）'!$C$90</f>
        <v>0</v>
      </c>
      <c r="E3668" s="204" t="s">
        <v>93</v>
      </c>
      <c r="F3668" s="202"/>
      <c r="G3668" s="204"/>
      <c r="H3668" s="204"/>
      <c r="I3668" s="265"/>
      <c r="J3668" s="204"/>
      <c r="K3668" s="202"/>
      <c r="L3668" s="210"/>
      <c r="M3668" s="198">
        <f>ROUND(M3669+M3672+M3677+M3682+M3686+M3687+M3688,6)</f>
        <v>0</v>
      </c>
      <c r="N3668" s="212">
        <f>'02 项目基础信息（输入）'!$C$90</f>
        <v>0</v>
      </c>
      <c r="O3668" s="203">
        <f t="shared" si="427"/>
        <v>0</v>
      </c>
      <c r="P3668" s="203">
        <f t="shared" si="429"/>
        <v>0</v>
      </c>
      <c r="Q3668" s="271">
        <f t="shared" si="428"/>
        <v>0</v>
      </c>
      <c r="R3668" s="188"/>
      <c r="S3668" s="280"/>
      <c r="T3668" s="222"/>
      <c r="U3668" s="223" t="s">
        <v>5905</v>
      </c>
    </row>
    <row r="3669" spans="1:21" s="181" customFormat="1" ht="0" hidden="1" customHeight="1" outlineLevel="4">
      <c r="A3669" s="253" t="s">
        <v>4172</v>
      </c>
      <c r="B3669" s="254"/>
      <c r="C3669" s="250" t="s">
        <v>1609</v>
      </c>
      <c r="D3669" s="212">
        <f>'02 项目基础信息（输入）'!$C$90</f>
        <v>0</v>
      </c>
      <c r="E3669" s="204" t="s">
        <v>93</v>
      </c>
      <c r="F3669" s="202"/>
      <c r="G3669" s="251"/>
      <c r="H3669" s="204"/>
      <c r="I3669" s="265"/>
      <c r="J3669" s="204"/>
      <c r="K3669" s="266"/>
      <c r="L3669" s="210"/>
      <c r="M3669" s="198">
        <f>ROUND(SUM(M3670:M3671),6)</f>
        <v>0</v>
      </c>
      <c r="N3669" s="212">
        <f>'02 项目基础信息（输入）'!$C$90</f>
        <v>0</v>
      </c>
      <c r="O3669" s="203">
        <f t="shared" si="427"/>
        <v>0</v>
      </c>
      <c r="P3669" s="203">
        <f t="shared" si="429"/>
        <v>0</v>
      </c>
      <c r="Q3669" s="271">
        <f t="shared" si="428"/>
        <v>0</v>
      </c>
      <c r="R3669" s="188"/>
      <c r="S3669" s="280"/>
      <c r="T3669" s="222"/>
      <c r="U3669" s="223" t="s">
        <v>5906</v>
      </c>
    </row>
    <row r="3670" spans="1:21" s="181" customFormat="1" ht="0" hidden="1" customHeight="1" outlineLevel="5">
      <c r="A3670" s="253" t="s">
        <v>4802</v>
      </c>
      <c r="B3670" s="254"/>
      <c r="C3670" s="250" t="s">
        <v>1609</v>
      </c>
      <c r="D3670" s="212">
        <f>'02 项目基础信息（输入）'!$C$90</f>
        <v>0</v>
      </c>
      <c r="E3670" s="204" t="s">
        <v>93</v>
      </c>
      <c r="F3670" s="202" t="s">
        <v>1616</v>
      </c>
      <c r="G3670" s="297"/>
      <c r="H3670" s="204" t="s">
        <v>966</v>
      </c>
      <c r="I3670" s="265">
        <f>D3670*G3670</f>
        <v>0</v>
      </c>
      <c r="J3670" s="204" t="s">
        <v>1617</v>
      </c>
      <c r="K3670" s="214"/>
      <c r="L3670" s="210" t="s">
        <v>664</v>
      </c>
      <c r="M3670" s="198">
        <f>ROUND(K3670*I3670/10000,6)</f>
        <v>0</v>
      </c>
      <c r="N3670" s="212">
        <f>'02 项目基础信息（输入）'!$C$90</f>
        <v>0</v>
      </c>
      <c r="O3670" s="203">
        <f t="shared" si="427"/>
        <v>0</v>
      </c>
      <c r="P3670" s="203">
        <f t="shared" si="429"/>
        <v>0</v>
      </c>
      <c r="Q3670" s="271">
        <f t="shared" si="428"/>
        <v>0</v>
      </c>
      <c r="R3670" s="188"/>
      <c r="S3670" s="280"/>
      <c r="T3670" s="222"/>
      <c r="U3670" s="223" t="s">
        <v>5907</v>
      </c>
    </row>
    <row r="3671" spans="1:21" s="181" customFormat="1" ht="0" hidden="1" customHeight="1" outlineLevel="5">
      <c r="A3671" s="253" t="s">
        <v>4176</v>
      </c>
      <c r="B3671" s="254"/>
      <c r="C3671" s="250" t="s">
        <v>1609</v>
      </c>
      <c r="D3671" s="212">
        <f>'02 项目基础信息（输入）'!$C$90</f>
        <v>0</v>
      </c>
      <c r="E3671" s="204" t="s">
        <v>93</v>
      </c>
      <c r="F3671" s="202" t="s">
        <v>1616</v>
      </c>
      <c r="G3671" s="251">
        <f>G3670</f>
        <v>0</v>
      </c>
      <c r="H3671" s="204" t="s">
        <v>966</v>
      </c>
      <c r="I3671" s="265">
        <f>D3671*G3671</f>
        <v>0</v>
      </c>
      <c r="J3671" s="204" t="s">
        <v>1617</v>
      </c>
      <c r="K3671" s="214"/>
      <c r="L3671" s="210" t="s">
        <v>664</v>
      </c>
      <c r="M3671" s="198">
        <f>ROUND(K3671*I3671/10000,6)</f>
        <v>0</v>
      </c>
      <c r="N3671" s="212">
        <f>'02 项目基础信息（输入）'!$C$90</f>
        <v>0</v>
      </c>
      <c r="O3671" s="203">
        <f t="shared" si="427"/>
        <v>0</v>
      </c>
      <c r="P3671" s="203">
        <f t="shared" si="429"/>
        <v>0</v>
      </c>
      <c r="Q3671" s="271">
        <f t="shared" si="428"/>
        <v>0</v>
      </c>
      <c r="R3671" s="188"/>
      <c r="S3671" s="280"/>
      <c r="T3671" s="222"/>
      <c r="U3671" s="223" t="s">
        <v>5908</v>
      </c>
    </row>
    <row r="3672" spans="1:21" s="181" customFormat="1" ht="0" hidden="1" customHeight="1" outlineLevel="4">
      <c r="A3672" s="253" t="s">
        <v>4178</v>
      </c>
      <c r="B3672" s="254"/>
      <c r="C3672" s="250" t="s">
        <v>1609</v>
      </c>
      <c r="D3672" s="212">
        <f>'02 项目基础信息（输入）'!$C$90</f>
        <v>0</v>
      </c>
      <c r="E3672" s="204" t="s">
        <v>93</v>
      </c>
      <c r="F3672" s="202"/>
      <c r="G3672" s="251"/>
      <c r="H3672" s="255"/>
      <c r="I3672" s="265"/>
      <c r="J3672" s="204"/>
      <c r="K3672" s="264"/>
      <c r="L3672" s="210"/>
      <c r="M3672" s="198">
        <f>ROUND(SUM(M3673:M3676),6)</f>
        <v>0</v>
      </c>
      <c r="N3672" s="212">
        <f>'02 项目基础信息（输入）'!$C$90</f>
        <v>0</v>
      </c>
      <c r="O3672" s="203">
        <f t="shared" si="427"/>
        <v>0</v>
      </c>
      <c r="P3672" s="203">
        <f t="shared" si="429"/>
        <v>0</v>
      </c>
      <c r="Q3672" s="271">
        <f t="shared" si="428"/>
        <v>0</v>
      </c>
      <c r="R3672" s="188"/>
      <c r="S3672" s="280"/>
      <c r="T3672" s="222"/>
      <c r="U3672" s="223" t="s">
        <v>5909</v>
      </c>
    </row>
    <row r="3673" spans="1:21" s="181" customFormat="1" ht="0" hidden="1" customHeight="1" outlineLevel="5">
      <c r="A3673" s="253" t="s">
        <v>4180</v>
      </c>
      <c r="B3673" s="254"/>
      <c r="C3673" s="250" t="s">
        <v>1609</v>
      </c>
      <c r="D3673" s="212">
        <f>'02 项目基础信息（输入）'!$C$90</f>
        <v>0</v>
      </c>
      <c r="E3673" s="204" t="s">
        <v>93</v>
      </c>
      <c r="F3673" s="202" t="s">
        <v>4181</v>
      </c>
      <c r="G3673" s="297"/>
      <c r="H3673" s="204" t="s">
        <v>298</v>
      </c>
      <c r="I3673" s="265">
        <f>D3673*G3673</f>
        <v>0</v>
      </c>
      <c r="J3673" s="204" t="s">
        <v>93</v>
      </c>
      <c r="K3673" s="214"/>
      <c r="L3673" s="210" t="s">
        <v>675</v>
      </c>
      <c r="M3673" s="198">
        <f>ROUND(K3673*I3673/10000,6)</f>
        <v>0</v>
      </c>
      <c r="N3673" s="212">
        <f>'02 项目基础信息（输入）'!$C$90</f>
        <v>0</v>
      </c>
      <c r="O3673" s="203">
        <f t="shared" si="427"/>
        <v>0</v>
      </c>
      <c r="P3673" s="203">
        <f t="shared" si="429"/>
        <v>0</v>
      </c>
      <c r="Q3673" s="271">
        <f t="shared" si="428"/>
        <v>0</v>
      </c>
      <c r="R3673" s="188"/>
      <c r="S3673" s="280"/>
      <c r="T3673" s="222"/>
      <c r="U3673" s="223" t="s">
        <v>5910</v>
      </c>
    </row>
    <row r="3674" spans="1:21" s="181" customFormat="1" ht="0" hidden="1" customHeight="1" outlineLevel="5">
      <c r="A3674" s="253" t="s">
        <v>4402</v>
      </c>
      <c r="B3674" s="254"/>
      <c r="C3674" s="250" t="s">
        <v>1609</v>
      </c>
      <c r="D3674" s="212">
        <f>'02 项目基础信息（输入）'!$C$90</f>
        <v>0</v>
      </c>
      <c r="E3674" s="204" t="s">
        <v>93</v>
      </c>
      <c r="F3674" s="202" t="s">
        <v>4181</v>
      </c>
      <c r="G3674" s="251">
        <f>G3673</f>
        <v>0</v>
      </c>
      <c r="H3674" s="204" t="s">
        <v>298</v>
      </c>
      <c r="I3674" s="265">
        <f>D3674*G3674</f>
        <v>0</v>
      </c>
      <c r="J3674" s="204" t="s">
        <v>93</v>
      </c>
      <c r="K3674" s="269"/>
      <c r="L3674" s="210" t="s">
        <v>675</v>
      </c>
      <c r="M3674" s="198">
        <f>ROUND(K3674*I3674/10000,6)</f>
        <v>0</v>
      </c>
      <c r="N3674" s="212">
        <f>'02 项目基础信息（输入）'!$C$90</f>
        <v>0</v>
      </c>
      <c r="O3674" s="203">
        <f t="shared" si="427"/>
        <v>0</v>
      </c>
      <c r="P3674" s="203">
        <f t="shared" si="429"/>
        <v>0</v>
      </c>
      <c r="Q3674" s="271">
        <f t="shared" si="428"/>
        <v>0</v>
      </c>
      <c r="R3674" s="188"/>
      <c r="S3674" s="280"/>
      <c r="T3674" s="222"/>
      <c r="U3674" s="223" t="s">
        <v>5911</v>
      </c>
    </row>
    <row r="3675" spans="1:21" s="181" customFormat="1" ht="0" hidden="1" customHeight="1" outlineLevel="5">
      <c r="A3675" s="253" t="s">
        <v>4404</v>
      </c>
      <c r="B3675" s="254"/>
      <c r="C3675" s="250" t="s">
        <v>1609</v>
      </c>
      <c r="D3675" s="212">
        <f>'02 项目基础信息（输入）'!$C$90</f>
        <v>0</v>
      </c>
      <c r="E3675" s="204" t="s">
        <v>93</v>
      </c>
      <c r="F3675" s="202" t="s">
        <v>4181</v>
      </c>
      <c r="G3675" s="251">
        <f>G3674</f>
        <v>0</v>
      </c>
      <c r="H3675" s="204" t="s">
        <v>298</v>
      </c>
      <c r="I3675" s="265">
        <f>D3675*G3675</f>
        <v>0</v>
      </c>
      <c r="J3675" s="204" t="s">
        <v>93</v>
      </c>
      <c r="K3675" s="269"/>
      <c r="L3675" s="210" t="s">
        <v>675</v>
      </c>
      <c r="M3675" s="198">
        <f>ROUND(K3675*I3675/10000,6)</f>
        <v>0</v>
      </c>
      <c r="N3675" s="212">
        <f>'02 项目基础信息（输入）'!$C$90</f>
        <v>0</v>
      </c>
      <c r="O3675" s="203">
        <f t="shared" si="427"/>
        <v>0</v>
      </c>
      <c r="P3675" s="203">
        <f t="shared" si="429"/>
        <v>0</v>
      </c>
      <c r="Q3675" s="271">
        <f t="shared" si="428"/>
        <v>0</v>
      </c>
      <c r="R3675" s="188"/>
      <c r="S3675" s="280"/>
      <c r="T3675" s="222"/>
      <c r="U3675" s="223" t="s">
        <v>5912</v>
      </c>
    </row>
    <row r="3676" spans="1:21" s="181" customFormat="1" ht="0" hidden="1" customHeight="1" outlineLevel="5">
      <c r="A3676" s="253" t="s">
        <v>4406</v>
      </c>
      <c r="B3676" s="254"/>
      <c r="C3676" s="250" t="s">
        <v>1609</v>
      </c>
      <c r="D3676" s="212">
        <f>'02 项目基础信息（输入）'!$C$90</f>
        <v>0</v>
      </c>
      <c r="E3676" s="204" t="s">
        <v>93</v>
      </c>
      <c r="F3676" s="202" t="s">
        <v>4181</v>
      </c>
      <c r="G3676" s="297"/>
      <c r="H3676" s="204" t="s">
        <v>298</v>
      </c>
      <c r="I3676" s="265">
        <f>D3676*G3676</f>
        <v>0</v>
      </c>
      <c r="J3676" s="204" t="s">
        <v>93</v>
      </c>
      <c r="K3676" s="269"/>
      <c r="L3676" s="210" t="s">
        <v>675</v>
      </c>
      <c r="M3676" s="198">
        <f>ROUND(K3676*I3676/10000,6)</f>
        <v>0</v>
      </c>
      <c r="N3676" s="212">
        <f>'02 项目基础信息（输入）'!$C$90</f>
        <v>0</v>
      </c>
      <c r="O3676" s="203">
        <f t="shared" si="427"/>
        <v>0</v>
      </c>
      <c r="P3676" s="203">
        <f t="shared" si="429"/>
        <v>0</v>
      </c>
      <c r="Q3676" s="271">
        <f t="shared" si="428"/>
        <v>0</v>
      </c>
      <c r="R3676" s="188"/>
      <c r="S3676" s="280"/>
      <c r="T3676" s="222"/>
      <c r="U3676" s="223" t="s">
        <v>5913</v>
      </c>
    </row>
    <row r="3677" spans="1:21" s="181" customFormat="1" ht="0" hidden="1" customHeight="1" outlineLevel="4">
      <c r="A3677" s="253" t="s">
        <v>4183</v>
      </c>
      <c r="B3677" s="254"/>
      <c r="C3677" s="250" t="s">
        <v>1609</v>
      </c>
      <c r="D3677" s="212">
        <f>'02 项目基础信息（输入）'!$C$90</f>
        <v>0</v>
      </c>
      <c r="E3677" s="204" t="s">
        <v>93</v>
      </c>
      <c r="F3677" s="202"/>
      <c r="G3677" s="251"/>
      <c r="H3677" s="204"/>
      <c r="I3677" s="265"/>
      <c r="J3677" s="204"/>
      <c r="K3677" s="266"/>
      <c r="L3677" s="210"/>
      <c r="M3677" s="198">
        <f>ROUND(SUM(M3678:M3681),6)</f>
        <v>0</v>
      </c>
      <c r="N3677" s="212">
        <f>'02 项目基础信息（输入）'!$C$90</f>
        <v>0</v>
      </c>
      <c r="O3677" s="203">
        <f t="shared" si="427"/>
        <v>0</v>
      </c>
      <c r="P3677" s="203">
        <f t="shared" si="429"/>
        <v>0</v>
      </c>
      <c r="Q3677" s="271">
        <f t="shared" si="428"/>
        <v>0</v>
      </c>
      <c r="R3677" s="188"/>
      <c r="S3677" s="280"/>
      <c r="T3677" s="222"/>
      <c r="U3677" s="223" t="s">
        <v>5914</v>
      </c>
    </row>
    <row r="3678" spans="1:21" s="181" customFormat="1" ht="0" hidden="1" customHeight="1" outlineLevel="5">
      <c r="A3678" s="253" t="s">
        <v>4811</v>
      </c>
      <c r="B3678" s="254"/>
      <c r="C3678" s="250" t="s">
        <v>1609</v>
      </c>
      <c r="D3678" s="212">
        <f>'02 项目基础信息（输入）'!$C$90</f>
        <v>0</v>
      </c>
      <c r="E3678" s="204" t="s">
        <v>93</v>
      </c>
      <c r="F3678" s="202" t="s">
        <v>1627</v>
      </c>
      <c r="G3678" s="297"/>
      <c r="H3678" s="204" t="s">
        <v>1524</v>
      </c>
      <c r="I3678" s="265">
        <f>D3678*G3678</f>
        <v>0</v>
      </c>
      <c r="J3678" s="204" t="s">
        <v>1525</v>
      </c>
      <c r="K3678" s="214"/>
      <c r="L3678" s="210" t="s">
        <v>979</v>
      </c>
      <c r="M3678" s="198">
        <f>ROUND(K3678*I3678/10000,6)</f>
        <v>0</v>
      </c>
      <c r="N3678" s="212">
        <f>'02 项目基础信息（输入）'!$C$90</f>
        <v>0</v>
      </c>
      <c r="O3678" s="203">
        <f t="shared" si="427"/>
        <v>0</v>
      </c>
      <c r="P3678" s="203">
        <f t="shared" si="429"/>
        <v>0</v>
      </c>
      <c r="Q3678" s="271">
        <f t="shared" si="428"/>
        <v>0</v>
      </c>
      <c r="R3678" s="188"/>
      <c r="S3678" s="280"/>
      <c r="T3678" s="222"/>
      <c r="U3678" s="223" t="s">
        <v>5915</v>
      </c>
    </row>
    <row r="3679" spans="1:21" s="181" customFormat="1" ht="0" hidden="1" customHeight="1" outlineLevel="5">
      <c r="A3679" s="253" t="s">
        <v>4187</v>
      </c>
      <c r="B3679" s="254"/>
      <c r="C3679" s="250" t="s">
        <v>1609</v>
      </c>
      <c r="D3679" s="212">
        <f>'02 项目基础信息（输入）'!$C$90</f>
        <v>0</v>
      </c>
      <c r="E3679" s="204" t="s">
        <v>93</v>
      </c>
      <c r="F3679" s="202" t="s">
        <v>1627</v>
      </c>
      <c r="G3679" s="251">
        <f>G3678</f>
        <v>0</v>
      </c>
      <c r="H3679" s="204" t="s">
        <v>1524</v>
      </c>
      <c r="I3679" s="265">
        <f>D3679*G3679</f>
        <v>0</v>
      </c>
      <c r="J3679" s="204" t="s">
        <v>1525</v>
      </c>
      <c r="K3679" s="214"/>
      <c r="L3679" s="210" t="s">
        <v>979</v>
      </c>
      <c r="M3679" s="198">
        <f>ROUND(K3679*I3679/10000,6)</f>
        <v>0</v>
      </c>
      <c r="N3679" s="212">
        <f>'02 项目基础信息（输入）'!$C$90</f>
        <v>0</v>
      </c>
      <c r="O3679" s="203">
        <f t="shared" si="427"/>
        <v>0</v>
      </c>
      <c r="P3679" s="203">
        <f t="shared" si="429"/>
        <v>0</v>
      </c>
      <c r="Q3679" s="271">
        <f t="shared" si="428"/>
        <v>0</v>
      </c>
      <c r="R3679" s="188"/>
      <c r="S3679" s="280"/>
      <c r="T3679" s="222"/>
      <c r="U3679" s="223" t="s">
        <v>5916</v>
      </c>
    </row>
    <row r="3680" spans="1:21" s="181" customFormat="1" ht="0" hidden="1" customHeight="1" outlineLevel="5">
      <c r="A3680" s="253" t="s">
        <v>4814</v>
      </c>
      <c r="B3680" s="254"/>
      <c r="C3680" s="250" t="s">
        <v>1609</v>
      </c>
      <c r="D3680" s="212">
        <f>'02 项目基础信息（输入）'!$C$90</f>
        <v>0</v>
      </c>
      <c r="E3680" s="204" t="s">
        <v>93</v>
      </c>
      <c r="F3680" s="202" t="s">
        <v>1632</v>
      </c>
      <c r="G3680" s="297"/>
      <c r="H3680" s="204" t="s">
        <v>1524</v>
      </c>
      <c r="I3680" s="265">
        <f>D3680*G3680</f>
        <v>0</v>
      </c>
      <c r="J3680" s="204" t="s">
        <v>1525</v>
      </c>
      <c r="K3680" s="269"/>
      <c r="L3680" s="210" t="s">
        <v>979</v>
      </c>
      <c r="M3680" s="198">
        <f>ROUND(K3680*I3680/10000,6)</f>
        <v>0</v>
      </c>
      <c r="N3680" s="212">
        <f>'02 项目基础信息（输入）'!$C$90</f>
        <v>0</v>
      </c>
      <c r="O3680" s="203">
        <f t="shared" si="427"/>
        <v>0</v>
      </c>
      <c r="P3680" s="203">
        <f t="shared" si="429"/>
        <v>0</v>
      </c>
      <c r="Q3680" s="271">
        <f t="shared" si="428"/>
        <v>0</v>
      </c>
      <c r="R3680" s="188"/>
      <c r="S3680" s="280"/>
      <c r="T3680" s="222"/>
      <c r="U3680" s="223" t="s">
        <v>5917</v>
      </c>
    </row>
    <row r="3681" spans="1:21" s="181" customFormat="1" ht="0" hidden="1" customHeight="1" outlineLevel="5">
      <c r="A3681" s="253" t="s">
        <v>4816</v>
      </c>
      <c r="B3681" s="254"/>
      <c r="C3681" s="250" t="s">
        <v>1609</v>
      </c>
      <c r="D3681" s="212">
        <f>'02 项目基础信息（输入）'!$C$90</f>
        <v>0</v>
      </c>
      <c r="E3681" s="204" t="s">
        <v>93</v>
      </c>
      <c r="F3681" s="202" t="s">
        <v>1632</v>
      </c>
      <c r="G3681" s="251">
        <f>G3680</f>
        <v>0</v>
      </c>
      <c r="H3681" s="204" t="s">
        <v>1524</v>
      </c>
      <c r="I3681" s="265">
        <f>D3681*G3681</f>
        <v>0</v>
      </c>
      <c r="J3681" s="204" t="s">
        <v>1525</v>
      </c>
      <c r="K3681" s="269"/>
      <c r="L3681" s="210" t="s">
        <v>979</v>
      </c>
      <c r="M3681" s="198">
        <f>ROUND(K3681*I3681/10000,6)</f>
        <v>0</v>
      </c>
      <c r="N3681" s="212">
        <f>'02 项目基础信息（输入）'!$C$90</f>
        <v>0</v>
      </c>
      <c r="O3681" s="203">
        <f t="shared" si="427"/>
        <v>0</v>
      </c>
      <c r="P3681" s="203">
        <f t="shared" si="429"/>
        <v>0</v>
      </c>
      <c r="Q3681" s="271">
        <f t="shared" si="428"/>
        <v>0</v>
      </c>
      <c r="R3681" s="188"/>
      <c r="S3681" s="280"/>
      <c r="T3681" s="222"/>
      <c r="U3681" s="223" t="s">
        <v>5918</v>
      </c>
    </row>
    <row r="3682" spans="1:21" s="181" customFormat="1" ht="0" hidden="1" customHeight="1" outlineLevel="4">
      <c r="A3682" s="253" t="s">
        <v>4189</v>
      </c>
      <c r="B3682" s="254"/>
      <c r="C3682" s="250" t="s">
        <v>1609</v>
      </c>
      <c r="D3682" s="212">
        <f>'02 项目基础信息（输入）'!$C$90</f>
        <v>0</v>
      </c>
      <c r="E3682" s="204" t="s">
        <v>93</v>
      </c>
      <c r="F3682" s="256"/>
      <c r="G3682" s="255"/>
      <c r="H3682" s="255"/>
      <c r="I3682" s="268"/>
      <c r="J3682" s="255"/>
      <c r="K3682" s="264"/>
      <c r="L3682" s="205"/>
      <c r="M3682" s="198">
        <f>ROUND(SUM(M3683:M3685),6)</f>
        <v>0</v>
      </c>
      <c r="N3682" s="212">
        <f>'02 项目基础信息（输入）'!$C$90</f>
        <v>0</v>
      </c>
      <c r="O3682" s="203">
        <f t="shared" si="427"/>
        <v>0</v>
      </c>
      <c r="P3682" s="203">
        <f t="shared" si="429"/>
        <v>0</v>
      </c>
      <c r="Q3682" s="271">
        <f t="shared" si="428"/>
        <v>0</v>
      </c>
      <c r="R3682" s="188"/>
      <c r="S3682" s="280"/>
      <c r="T3682" s="222"/>
      <c r="U3682" s="223" t="s">
        <v>5919</v>
      </c>
    </row>
    <row r="3683" spans="1:21" s="181" customFormat="1" ht="0" hidden="1" customHeight="1" outlineLevel="5">
      <c r="A3683" s="253" t="s">
        <v>4191</v>
      </c>
      <c r="B3683" s="254"/>
      <c r="C3683" s="250" t="s">
        <v>1609</v>
      </c>
      <c r="D3683" s="212">
        <f>'02 项目基础信息（输入）'!$C$90</f>
        <v>0</v>
      </c>
      <c r="E3683" s="204" t="s">
        <v>93</v>
      </c>
      <c r="F3683" s="250" t="s">
        <v>1637</v>
      </c>
      <c r="G3683" s="257"/>
      <c r="H3683" s="204" t="s">
        <v>1524</v>
      </c>
      <c r="I3683" s="265">
        <f>D3683*G3683</f>
        <v>0</v>
      </c>
      <c r="J3683" s="204" t="s">
        <v>1525</v>
      </c>
      <c r="K3683" s="269"/>
      <c r="L3683" s="210" t="s">
        <v>979</v>
      </c>
      <c r="M3683" s="198">
        <f>ROUND(K3683*I3683/10000,6)</f>
        <v>0</v>
      </c>
      <c r="N3683" s="212">
        <f>'02 项目基础信息（输入）'!$C$90</f>
        <v>0</v>
      </c>
      <c r="O3683" s="203">
        <f t="shared" si="427"/>
        <v>0</v>
      </c>
      <c r="P3683" s="203">
        <f t="shared" si="429"/>
        <v>0</v>
      </c>
      <c r="Q3683" s="271">
        <f t="shared" si="428"/>
        <v>0</v>
      </c>
      <c r="R3683" s="188"/>
      <c r="S3683" s="280"/>
      <c r="T3683" s="222"/>
      <c r="U3683" s="223" t="s">
        <v>5920</v>
      </c>
    </row>
    <row r="3684" spans="1:21" s="181" customFormat="1" ht="0" hidden="1" customHeight="1" outlineLevel="5">
      <c r="A3684" s="253" t="s">
        <v>4820</v>
      </c>
      <c r="B3684" s="254"/>
      <c r="C3684" s="250" t="s">
        <v>1609</v>
      </c>
      <c r="D3684" s="212">
        <f>'02 项目基础信息（输入）'!$C$90</f>
        <v>0</v>
      </c>
      <c r="E3684" s="204" t="s">
        <v>93</v>
      </c>
      <c r="F3684" s="250" t="s">
        <v>1637</v>
      </c>
      <c r="G3684" s="205">
        <f>G3683</f>
        <v>0</v>
      </c>
      <c r="H3684" s="204" t="s">
        <v>1524</v>
      </c>
      <c r="I3684" s="265">
        <f>D3684*G3684</f>
        <v>0</v>
      </c>
      <c r="J3684" s="204" t="s">
        <v>1525</v>
      </c>
      <c r="K3684" s="269"/>
      <c r="L3684" s="210" t="s">
        <v>979</v>
      </c>
      <c r="M3684" s="198">
        <f>ROUND(K3684*I3684/10000,6)</f>
        <v>0</v>
      </c>
      <c r="N3684" s="212">
        <f>'02 项目基础信息（输入）'!$C$90</f>
        <v>0</v>
      </c>
      <c r="O3684" s="203">
        <f t="shared" si="427"/>
        <v>0</v>
      </c>
      <c r="P3684" s="203">
        <f t="shared" si="429"/>
        <v>0</v>
      </c>
      <c r="Q3684" s="271">
        <f t="shared" si="428"/>
        <v>0</v>
      </c>
      <c r="R3684" s="188"/>
      <c r="S3684" s="280"/>
      <c r="T3684" s="222"/>
      <c r="U3684" s="223" t="s">
        <v>5921</v>
      </c>
    </row>
    <row r="3685" spans="1:21" s="181" customFormat="1" ht="0" hidden="1" customHeight="1" outlineLevel="5">
      <c r="A3685" s="253" t="s">
        <v>4422</v>
      </c>
      <c r="B3685" s="254"/>
      <c r="C3685" s="250" t="s">
        <v>1609</v>
      </c>
      <c r="D3685" s="212">
        <f>'02 项目基础信息（输入）'!$C$90</f>
        <v>0</v>
      </c>
      <c r="E3685" s="204" t="s">
        <v>93</v>
      </c>
      <c r="F3685" s="250" t="s">
        <v>1637</v>
      </c>
      <c r="G3685" s="205">
        <f>G3683</f>
        <v>0</v>
      </c>
      <c r="H3685" s="204" t="s">
        <v>1524</v>
      </c>
      <c r="I3685" s="265">
        <f>D3685*G3685</f>
        <v>0</v>
      </c>
      <c r="J3685" s="204" t="s">
        <v>1525</v>
      </c>
      <c r="K3685" s="269"/>
      <c r="L3685" s="210" t="s">
        <v>979</v>
      </c>
      <c r="M3685" s="198">
        <f>ROUND(K3685*I3685/10000,6)</f>
        <v>0</v>
      </c>
      <c r="N3685" s="212">
        <f>'02 项目基础信息（输入）'!$C$90</f>
        <v>0</v>
      </c>
      <c r="O3685" s="203">
        <f t="shared" si="427"/>
        <v>0</v>
      </c>
      <c r="P3685" s="203">
        <f t="shared" si="429"/>
        <v>0</v>
      </c>
      <c r="Q3685" s="271">
        <f t="shared" si="428"/>
        <v>0</v>
      </c>
      <c r="R3685" s="188"/>
      <c r="S3685" s="280"/>
      <c r="T3685" s="222"/>
      <c r="U3685" s="223" t="s">
        <v>5922</v>
      </c>
    </row>
    <row r="3686" spans="1:21" s="181" customFormat="1" ht="0" hidden="1" customHeight="1" outlineLevel="4">
      <c r="A3686" s="253" t="s">
        <v>4193</v>
      </c>
      <c r="B3686" s="254"/>
      <c r="C3686" s="250" t="s">
        <v>1609</v>
      </c>
      <c r="D3686" s="212">
        <f>'02 项目基础信息（输入）'!$C$90</f>
        <v>0</v>
      </c>
      <c r="E3686" s="204" t="s">
        <v>93</v>
      </c>
      <c r="F3686" s="250" t="s">
        <v>1609</v>
      </c>
      <c r="G3686" s="255">
        <v>1</v>
      </c>
      <c r="H3686" s="204" t="s">
        <v>298</v>
      </c>
      <c r="I3686" s="265">
        <f>D3686*G3686</f>
        <v>0</v>
      </c>
      <c r="J3686" s="204" t="s">
        <v>93</v>
      </c>
      <c r="K3686" s="269"/>
      <c r="L3686" s="210" t="s">
        <v>675</v>
      </c>
      <c r="M3686" s="198">
        <f>ROUND(K3686*I3686/10000,6)</f>
        <v>0</v>
      </c>
      <c r="N3686" s="212">
        <f>'02 项目基础信息（输入）'!$C$90</f>
        <v>0</v>
      </c>
      <c r="O3686" s="203">
        <f t="shared" si="427"/>
        <v>0</v>
      </c>
      <c r="P3686" s="203">
        <f t="shared" si="429"/>
        <v>0</v>
      </c>
      <c r="Q3686" s="271">
        <f t="shared" si="428"/>
        <v>0</v>
      </c>
      <c r="R3686" s="188"/>
      <c r="S3686" s="280"/>
      <c r="T3686" s="222"/>
      <c r="U3686" s="223" t="s">
        <v>5923</v>
      </c>
    </row>
    <row r="3687" spans="1:21" s="181" customFormat="1" ht="0" hidden="1" customHeight="1" outlineLevel="4">
      <c r="A3687" s="253" t="s">
        <v>4195</v>
      </c>
      <c r="B3687" s="254"/>
      <c r="C3687" s="250" t="s">
        <v>1609</v>
      </c>
      <c r="D3687" s="212">
        <f>'02 项目基础信息（输入）'!$C$90</f>
        <v>0</v>
      </c>
      <c r="E3687" s="204" t="s">
        <v>93</v>
      </c>
      <c r="F3687" s="250" t="s">
        <v>1609</v>
      </c>
      <c r="G3687" s="255">
        <v>1</v>
      </c>
      <c r="H3687" s="204" t="s">
        <v>298</v>
      </c>
      <c r="I3687" s="265">
        <f>D3687*G3687</f>
        <v>0</v>
      </c>
      <c r="J3687" s="204" t="s">
        <v>93</v>
      </c>
      <c r="K3687" s="269"/>
      <c r="L3687" s="210" t="s">
        <v>675</v>
      </c>
      <c r="M3687" s="198">
        <f>ROUND(K3687*I3687/10000,6)</f>
        <v>0</v>
      </c>
      <c r="N3687" s="212">
        <f>'02 项目基础信息（输入）'!$C$90</f>
        <v>0</v>
      </c>
      <c r="O3687" s="203">
        <f t="shared" si="427"/>
        <v>0</v>
      </c>
      <c r="P3687" s="203">
        <f t="shared" si="429"/>
        <v>0</v>
      </c>
      <c r="Q3687" s="271">
        <f t="shared" si="428"/>
        <v>0</v>
      </c>
      <c r="R3687" s="188"/>
      <c r="S3687" s="280"/>
      <c r="T3687" s="222"/>
      <c r="U3687" s="223" t="s">
        <v>5924</v>
      </c>
    </row>
    <row r="3688" spans="1:21" s="181" customFormat="1" ht="0" hidden="1" customHeight="1" outlineLevel="4">
      <c r="A3688" s="253" t="s">
        <v>4197</v>
      </c>
      <c r="B3688" s="254"/>
      <c r="C3688" s="250" t="s">
        <v>1665</v>
      </c>
      <c r="D3688" s="203">
        <f>ROUND(M3669+M3672+M3677+M3682+M3686+M3687,6)*10000</f>
        <v>0</v>
      </c>
      <c r="E3688" s="204" t="s">
        <v>1666</v>
      </c>
      <c r="F3688" s="202" t="s">
        <v>1667</v>
      </c>
      <c r="G3688" s="258">
        <f>IFERROR(I3688*100/D3688,0)</f>
        <v>0</v>
      </c>
      <c r="H3688" s="204" t="s">
        <v>123</v>
      </c>
      <c r="I3688" s="265">
        <f>N3688*K3688</f>
        <v>0</v>
      </c>
      <c r="J3688" s="204" t="s">
        <v>1666</v>
      </c>
      <c r="K3688" s="269"/>
      <c r="L3688" s="210" t="s">
        <v>675</v>
      </c>
      <c r="M3688" s="231">
        <f>ROUND(I3688/10000,6)</f>
        <v>0</v>
      </c>
      <c r="N3688" s="212">
        <f>'02 项目基础信息（输入）'!$C$90</f>
        <v>0</v>
      </c>
      <c r="O3688" s="203">
        <f t="shared" si="427"/>
        <v>0</v>
      </c>
      <c r="P3688" s="203">
        <f t="shared" si="429"/>
        <v>0</v>
      </c>
      <c r="Q3688" s="271">
        <f t="shared" si="428"/>
        <v>0</v>
      </c>
      <c r="R3688" s="188"/>
      <c r="S3688" s="280"/>
      <c r="T3688" s="222"/>
      <c r="U3688" s="223" t="s">
        <v>5925</v>
      </c>
    </row>
    <row r="3689" spans="1:21" s="181" customFormat="1" ht="0" hidden="1" customHeight="1" outlineLevel="3">
      <c r="A3689" s="253" t="s">
        <v>4211</v>
      </c>
      <c r="B3689" s="254"/>
      <c r="C3689" s="250" t="s">
        <v>1609</v>
      </c>
      <c r="D3689" s="212">
        <f>'02 项目基础信息（输入）'!$C$90</f>
        <v>0</v>
      </c>
      <c r="E3689" s="204" t="s">
        <v>93</v>
      </c>
      <c r="F3689" s="202"/>
      <c r="G3689" s="255"/>
      <c r="H3689" s="204"/>
      <c r="I3689" s="265"/>
      <c r="J3689" s="204"/>
      <c r="K3689" s="202"/>
      <c r="L3689" s="210"/>
      <c r="M3689" s="198">
        <f>ROUND(M3690+M3693+M3696+M3699+M3702,6)</f>
        <v>0</v>
      </c>
      <c r="N3689" s="212">
        <f>'02 项目基础信息（输入）'!$C$90</f>
        <v>0</v>
      </c>
      <c r="O3689" s="203">
        <f t="shared" si="427"/>
        <v>0</v>
      </c>
      <c r="P3689" s="203">
        <f t="shared" si="429"/>
        <v>0</v>
      </c>
      <c r="Q3689" s="271">
        <f t="shared" si="428"/>
        <v>0</v>
      </c>
      <c r="R3689" s="188"/>
      <c r="S3689" s="280"/>
      <c r="T3689" s="222"/>
      <c r="U3689" s="223" t="s">
        <v>5926</v>
      </c>
    </row>
    <row r="3690" spans="1:21" s="181" customFormat="1" ht="0" hidden="1" customHeight="1" outlineLevel="4">
      <c r="A3690" s="253" t="s">
        <v>4438</v>
      </c>
      <c r="B3690" s="254"/>
      <c r="C3690" s="250" t="s">
        <v>1609</v>
      </c>
      <c r="D3690" s="212">
        <f>'02 项目基础信息（输入）'!$C$90</f>
        <v>0</v>
      </c>
      <c r="E3690" s="204" t="s">
        <v>93</v>
      </c>
      <c r="F3690" s="202"/>
      <c r="G3690" s="261"/>
      <c r="H3690" s="255"/>
      <c r="I3690" s="264"/>
      <c r="J3690" s="255"/>
      <c r="K3690" s="264"/>
      <c r="L3690" s="205"/>
      <c r="M3690" s="198">
        <f>ROUND(SUM(M3691:M3692),6)</f>
        <v>0</v>
      </c>
      <c r="N3690" s="212">
        <f>'02 项目基础信息（输入）'!$C$90</f>
        <v>0</v>
      </c>
      <c r="O3690" s="203">
        <f t="shared" si="427"/>
        <v>0</v>
      </c>
      <c r="P3690" s="203">
        <f t="shared" si="429"/>
        <v>0</v>
      </c>
      <c r="Q3690" s="271">
        <f t="shared" si="428"/>
        <v>0</v>
      </c>
      <c r="R3690" s="188"/>
      <c r="S3690" s="280"/>
      <c r="T3690" s="222"/>
      <c r="U3690" s="223" t="s">
        <v>5927</v>
      </c>
    </row>
    <row r="3691" spans="1:21" s="181" customFormat="1" ht="0" hidden="1" customHeight="1" outlineLevel="5">
      <c r="A3691" s="253" t="s">
        <v>4828</v>
      </c>
      <c r="B3691" s="254"/>
      <c r="C3691" s="250" t="s">
        <v>1609</v>
      </c>
      <c r="D3691" s="212">
        <f>'02 项目基础信息（输入）'!$C$90</f>
        <v>0</v>
      </c>
      <c r="E3691" s="204" t="s">
        <v>93</v>
      </c>
      <c r="F3691" s="202" t="s">
        <v>1682</v>
      </c>
      <c r="G3691" s="261">
        <f>IFERROR(I3691/D3691,0)</f>
        <v>0</v>
      </c>
      <c r="H3691" s="204" t="s">
        <v>298</v>
      </c>
      <c r="I3691" s="270"/>
      <c r="J3691" s="204" t="s">
        <v>93</v>
      </c>
      <c r="K3691" s="269"/>
      <c r="L3691" s="210" t="s">
        <v>675</v>
      </c>
      <c r="M3691" s="198">
        <f>ROUND(K3691*I3691/10000,6)</f>
        <v>0</v>
      </c>
      <c r="N3691" s="212">
        <f>'02 项目基础信息（输入）'!$C$90</f>
        <v>0</v>
      </c>
      <c r="O3691" s="203">
        <f t="shared" si="427"/>
        <v>0</v>
      </c>
      <c r="P3691" s="203">
        <f t="shared" si="429"/>
        <v>0</v>
      </c>
      <c r="Q3691" s="271">
        <f t="shared" si="428"/>
        <v>0</v>
      </c>
      <c r="R3691" s="188"/>
      <c r="S3691" s="280"/>
      <c r="T3691" s="222"/>
      <c r="U3691" s="223" t="s">
        <v>5928</v>
      </c>
    </row>
    <row r="3692" spans="1:21" s="181" customFormat="1" ht="0" hidden="1" customHeight="1" outlineLevel="5">
      <c r="A3692" s="253" t="s">
        <v>4830</v>
      </c>
      <c r="B3692" s="254"/>
      <c r="C3692" s="250" t="s">
        <v>1609</v>
      </c>
      <c r="D3692" s="212">
        <f>'02 项目基础信息（输入）'!$C$90</f>
        <v>0</v>
      </c>
      <c r="E3692" s="204" t="s">
        <v>93</v>
      </c>
      <c r="F3692" s="202" t="s">
        <v>1682</v>
      </c>
      <c r="G3692" s="261">
        <f>IFERROR(I3692/D3692,0)</f>
        <v>0</v>
      </c>
      <c r="H3692" s="204" t="s">
        <v>298</v>
      </c>
      <c r="I3692" s="268">
        <f>I3691</f>
        <v>0</v>
      </c>
      <c r="J3692" s="204" t="s">
        <v>93</v>
      </c>
      <c r="K3692" s="269"/>
      <c r="L3692" s="210" t="s">
        <v>675</v>
      </c>
      <c r="M3692" s="198">
        <f>ROUND(K3692*I3692/10000,6)</f>
        <v>0</v>
      </c>
      <c r="N3692" s="212">
        <f>'02 项目基础信息（输入）'!$C$90</f>
        <v>0</v>
      </c>
      <c r="O3692" s="203">
        <f t="shared" si="427"/>
        <v>0</v>
      </c>
      <c r="P3692" s="203">
        <f t="shared" si="429"/>
        <v>0</v>
      </c>
      <c r="Q3692" s="271">
        <f t="shared" si="428"/>
        <v>0</v>
      </c>
      <c r="R3692" s="188"/>
      <c r="S3692" s="280"/>
      <c r="T3692" s="222"/>
      <c r="U3692" s="223" t="s">
        <v>5929</v>
      </c>
    </row>
    <row r="3693" spans="1:21" s="181" customFormat="1" ht="0" hidden="1" customHeight="1" outlineLevel="4">
      <c r="A3693" s="253" t="s">
        <v>4444</v>
      </c>
      <c r="B3693" s="254"/>
      <c r="C3693" s="250" t="s">
        <v>1609</v>
      </c>
      <c r="D3693" s="212">
        <f>'02 项目基础信息（输入）'!$C$90</f>
        <v>0</v>
      </c>
      <c r="E3693" s="204" t="s">
        <v>93</v>
      </c>
      <c r="F3693" s="202"/>
      <c r="G3693" s="261"/>
      <c r="H3693" s="255"/>
      <c r="I3693" s="264"/>
      <c r="J3693" s="255"/>
      <c r="K3693" s="264"/>
      <c r="L3693" s="205"/>
      <c r="M3693" s="198">
        <f>ROUND(SUM(M3694:M3695),6)</f>
        <v>0</v>
      </c>
      <c r="N3693" s="212">
        <f>'02 项目基础信息（输入）'!$C$90</f>
        <v>0</v>
      </c>
      <c r="O3693" s="203">
        <f t="shared" si="427"/>
        <v>0</v>
      </c>
      <c r="P3693" s="203">
        <f t="shared" si="429"/>
        <v>0</v>
      </c>
      <c r="Q3693" s="271">
        <f t="shared" si="428"/>
        <v>0</v>
      </c>
      <c r="R3693" s="188"/>
      <c r="S3693" s="280"/>
      <c r="T3693" s="222"/>
      <c r="U3693" s="223" t="s">
        <v>5930</v>
      </c>
    </row>
    <row r="3694" spans="1:21" s="181" customFormat="1" ht="0" hidden="1" customHeight="1" outlineLevel="5">
      <c r="A3694" s="253" t="s">
        <v>4446</v>
      </c>
      <c r="B3694" s="254"/>
      <c r="C3694" s="250" t="s">
        <v>1609</v>
      </c>
      <c r="D3694" s="212">
        <f>'02 项目基础信息（输入）'!$C$90</f>
        <v>0</v>
      </c>
      <c r="E3694" s="204" t="s">
        <v>93</v>
      </c>
      <c r="F3694" s="202" t="s">
        <v>1682</v>
      </c>
      <c r="G3694" s="261">
        <f>IFERROR(I3694/D3694,0)</f>
        <v>0</v>
      </c>
      <c r="H3694" s="204" t="s">
        <v>298</v>
      </c>
      <c r="I3694" s="351"/>
      <c r="J3694" s="204" t="s">
        <v>93</v>
      </c>
      <c r="K3694" s="269"/>
      <c r="L3694" s="210" t="s">
        <v>675</v>
      </c>
      <c r="M3694" s="198">
        <f>ROUND(K3694*I3694/10000,6)</f>
        <v>0</v>
      </c>
      <c r="N3694" s="212">
        <f>'02 项目基础信息（输入）'!$C$90</f>
        <v>0</v>
      </c>
      <c r="O3694" s="203">
        <f t="shared" si="427"/>
        <v>0</v>
      </c>
      <c r="P3694" s="203">
        <f t="shared" si="429"/>
        <v>0</v>
      </c>
      <c r="Q3694" s="271">
        <f t="shared" si="428"/>
        <v>0</v>
      </c>
      <c r="R3694" s="188"/>
      <c r="S3694" s="280"/>
      <c r="T3694" s="222"/>
      <c r="U3694" s="223" t="s">
        <v>5931</v>
      </c>
    </row>
    <row r="3695" spans="1:21" s="181" customFormat="1" ht="0" hidden="1" customHeight="1" outlineLevel="5">
      <c r="A3695" s="253" t="s">
        <v>4448</v>
      </c>
      <c r="B3695" s="254"/>
      <c r="C3695" s="250" t="s">
        <v>1609</v>
      </c>
      <c r="D3695" s="212">
        <f>'02 项目基础信息（输入）'!$C$90</f>
        <v>0</v>
      </c>
      <c r="E3695" s="204" t="s">
        <v>93</v>
      </c>
      <c r="F3695" s="202" t="s">
        <v>1682</v>
      </c>
      <c r="G3695" s="261">
        <f>IFERROR(I3695/D3695,0)</f>
        <v>0</v>
      </c>
      <c r="H3695" s="204" t="s">
        <v>298</v>
      </c>
      <c r="I3695" s="268">
        <f>I3694</f>
        <v>0</v>
      </c>
      <c r="J3695" s="204" t="s">
        <v>93</v>
      </c>
      <c r="K3695" s="269"/>
      <c r="L3695" s="210" t="s">
        <v>675</v>
      </c>
      <c r="M3695" s="198">
        <f>ROUND(K3695*I3695/10000,6)</f>
        <v>0</v>
      </c>
      <c r="N3695" s="212">
        <f>'02 项目基础信息（输入）'!$C$90</f>
        <v>0</v>
      </c>
      <c r="O3695" s="203">
        <f t="shared" si="427"/>
        <v>0</v>
      </c>
      <c r="P3695" s="203">
        <f t="shared" si="429"/>
        <v>0</v>
      </c>
      <c r="Q3695" s="271">
        <f t="shared" si="428"/>
        <v>0</v>
      </c>
      <c r="R3695" s="188"/>
      <c r="S3695" s="280"/>
      <c r="T3695" s="222"/>
      <c r="U3695" s="223" t="s">
        <v>5932</v>
      </c>
    </row>
    <row r="3696" spans="1:21" s="181" customFormat="1" ht="0" hidden="1" customHeight="1" outlineLevel="4">
      <c r="A3696" s="253" t="s">
        <v>4450</v>
      </c>
      <c r="B3696" s="254"/>
      <c r="C3696" s="250" t="s">
        <v>1609</v>
      </c>
      <c r="D3696" s="212">
        <f>'02 项目基础信息（输入）'!$C$90</f>
        <v>0</v>
      </c>
      <c r="E3696" s="204" t="s">
        <v>93</v>
      </c>
      <c r="F3696" s="202"/>
      <c r="G3696" s="261"/>
      <c r="H3696" s="255"/>
      <c r="I3696" s="264"/>
      <c r="J3696" s="255"/>
      <c r="K3696" s="264"/>
      <c r="L3696" s="205"/>
      <c r="M3696" s="198">
        <f>ROUND(SUM(M3697:M3698),6)</f>
        <v>0</v>
      </c>
      <c r="N3696" s="212">
        <f>'02 项目基础信息（输入）'!$C$90</f>
        <v>0</v>
      </c>
      <c r="O3696" s="203">
        <f t="shared" si="427"/>
        <v>0</v>
      </c>
      <c r="P3696" s="203">
        <f t="shared" si="429"/>
        <v>0</v>
      </c>
      <c r="Q3696" s="271">
        <f t="shared" si="428"/>
        <v>0</v>
      </c>
      <c r="R3696" s="188"/>
      <c r="S3696" s="280"/>
      <c r="T3696" s="222"/>
      <c r="U3696" s="223" t="s">
        <v>5933</v>
      </c>
    </row>
    <row r="3697" spans="1:21" s="181" customFormat="1" ht="0" hidden="1" customHeight="1" outlineLevel="5">
      <c r="A3697" s="253" t="s">
        <v>4452</v>
      </c>
      <c r="B3697" s="254"/>
      <c r="C3697" s="250" t="s">
        <v>1609</v>
      </c>
      <c r="D3697" s="212">
        <f>'02 项目基础信息（输入）'!$C$90</f>
        <v>0</v>
      </c>
      <c r="E3697" s="204" t="s">
        <v>93</v>
      </c>
      <c r="F3697" s="202" t="s">
        <v>1682</v>
      </c>
      <c r="G3697" s="261">
        <f>IFERROR(I3697/D3697,0)</f>
        <v>0</v>
      </c>
      <c r="H3697" s="204" t="s">
        <v>298</v>
      </c>
      <c r="I3697" s="286"/>
      <c r="J3697" s="204" t="s">
        <v>93</v>
      </c>
      <c r="K3697" s="269"/>
      <c r="L3697" s="210" t="s">
        <v>675</v>
      </c>
      <c r="M3697" s="198">
        <f>ROUND(K3697*I3697/10000,6)</f>
        <v>0</v>
      </c>
      <c r="N3697" s="212">
        <f>'02 项目基础信息（输入）'!$C$90</f>
        <v>0</v>
      </c>
      <c r="O3697" s="203">
        <f t="shared" si="427"/>
        <v>0</v>
      </c>
      <c r="P3697" s="203">
        <f t="shared" si="429"/>
        <v>0</v>
      </c>
      <c r="Q3697" s="271">
        <f t="shared" si="428"/>
        <v>0</v>
      </c>
      <c r="R3697" s="188"/>
      <c r="S3697" s="280"/>
      <c r="T3697" s="222"/>
      <c r="U3697" s="223" t="s">
        <v>5934</v>
      </c>
    </row>
    <row r="3698" spans="1:21" s="181" customFormat="1" ht="0" hidden="1" customHeight="1" outlineLevel="5">
      <c r="A3698" s="253" t="s">
        <v>4454</v>
      </c>
      <c r="B3698" s="254"/>
      <c r="C3698" s="250" t="s">
        <v>1609</v>
      </c>
      <c r="D3698" s="212">
        <f>'02 项目基础信息（输入）'!$C$90</f>
        <v>0</v>
      </c>
      <c r="E3698" s="204" t="s">
        <v>93</v>
      </c>
      <c r="F3698" s="202" t="s">
        <v>1682</v>
      </c>
      <c r="G3698" s="261">
        <f>IFERROR(I3698/D3698,0)</f>
        <v>0</v>
      </c>
      <c r="H3698" s="204" t="s">
        <v>298</v>
      </c>
      <c r="I3698" s="268">
        <f>I3697</f>
        <v>0</v>
      </c>
      <c r="J3698" s="204" t="s">
        <v>93</v>
      </c>
      <c r="K3698" s="269"/>
      <c r="L3698" s="210" t="s">
        <v>675</v>
      </c>
      <c r="M3698" s="198">
        <f>ROUND(K3698*I3698/10000,6)</f>
        <v>0</v>
      </c>
      <c r="N3698" s="212">
        <f>'02 项目基础信息（输入）'!$C$90</f>
        <v>0</v>
      </c>
      <c r="O3698" s="203">
        <f t="shared" si="427"/>
        <v>0</v>
      </c>
      <c r="P3698" s="203">
        <f t="shared" si="429"/>
        <v>0</v>
      </c>
      <c r="Q3698" s="271">
        <f t="shared" si="428"/>
        <v>0</v>
      </c>
      <c r="R3698" s="188"/>
      <c r="S3698" s="280"/>
      <c r="T3698" s="222"/>
      <c r="U3698" s="223" t="s">
        <v>5935</v>
      </c>
    </row>
    <row r="3699" spans="1:21" s="181" customFormat="1" ht="0" hidden="1" customHeight="1" outlineLevel="4">
      <c r="A3699" s="253" t="s">
        <v>4456</v>
      </c>
      <c r="B3699" s="254"/>
      <c r="C3699" s="250" t="s">
        <v>1609</v>
      </c>
      <c r="D3699" s="212">
        <f>'02 项目基础信息（输入）'!$C$90</f>
        <v>0</v>
      </c>
      <c r="E3699" s="204" t="s">
        <v>93</v>
      </c>
      <c r="F3699" s="202"/>
      <c r="G3699" s="261"/>
      <c r="H3699" s="255"/>
      <c r="I3699" s="264"/>
      <c r="J3699" s="255"/>
      <c r="K3699" s="264"/>
      <c r="L3699" s="205"/>
      <c r="M3699" s="198">
        <f>ROUND(SUM(M3700:M3701),6)</f>
        <v>0</v>
      </c>
      <c r="N3699" s="212">
        <f>'02 项目基础信息（输入）'!$C$90</f>
        <v>0</v>
      </c>
      <c r="O3699" s="203">
        <f t="shared" si="427"/>
        <v>0</v>
      </c>
      <c r="P3699" s="203">
        <f t="shared" si="429"/>
        <v>0</v>
      </c>
      <c r="Q3699" s="271">
        <f t="shared" si="428"/>
        <v>0</v>
      </c>
      <c r="R3699" s="188"/>
      <c r="S3699" s="280"/>
      <c r="T3699" s="222"/>
      <c r="U3699" s="223" t="s">
        <v>5936</v>
      </c>
    </row>
    <row r="3700" spans="1:21" s="181" customFormat="1" ht="0" hidden="1" customHeight="1" outlineLevel="5">
      <c r="A3700" s="253" t="s">
        <v>4458</v>
      </c>
      <c r="B3700" s="254"/>
      <c r="C3700" s="250" t="s">
        <v>1609</v>
      </c>
      <c r="D3700" s="212">
        <f>'02 项目基础信息（输入）'!$C$90</f>
        <v>0</v>
      </c>
      <c r="E3700" s="204" t="s">
        <v>93</v>
      </c>
      <c r="F3700" s="202" t="s">
        <v>1682</v>
      </c>
      <c r="G3700" s="261">
        <f>IFERROR(I3700/D3700,0)</f>
        <v>0</v>
      </c>
      <c r="H3700" s="204" t="s">
        <v>298</v>
      </c>
      <c r="I3700" s="286"/>
      <c r="J3700" s="204" t="s">
        <v>93</v>
      </c>
      <c r="K3700" s="269"/>
      <c r="L3700" s="210" t="s">
        <v>675</v>
      </c>
      <c r="M3700" s="198">
        <f>ROUND(K3700*I3700/10000,6)</f>
        <v>0</v>
      </c>
      <c r="N3700" s="212">
        <f>'02 项目基础信息（输入）'!$C$90</f>
        <v>0</v>
      </c>
      <c r="O3700" s="203">
        <f t="shared" si="427"/>
        <v>0</v>
      </c>
      <c r="P3700" s="203">
        <f t="shared" si="429"/>
        <v>0</v>
      </c>
      <c r="Q3700" s="271">
        <f t="shared" si="428"/>
        <v>0</v>
      </c>
      <c r="R3700" s="188"/>
      <c r="S3700" s="280"/>
      <c r="T3700" s="222"/>
      <c r="U3700" s="223" t="s">
        <v>5937</v>
      </c>
    </row>
    <row r="3701" spans="1:21" s="181" customFormat="1" ht="0" hidden="1" customHeight="1" outlineLevel="5">
      <c r="A3701" s="253" t="s">
        <v>4460</v>
      </c>
      <c r="B3701" s="254"/>
      <c r="C3701" s="250" t="s">
        <v>1609</v>
      </c>
      <c r="D3701" s="212">
        <f>'02 项目基础信息（输入）'!$C$90</f>
        <v>0</v>
      </c>
      <c r="E3701" s="204" t="s">
        <v>93</v>
      </c>
      <c r="F3701" s="202" t="s">
        <v>1682</v>
      </c>
      <c r="G3701" s="261">
        <f>IFERROR(I3701/D3701,0)</f>
        <v>0</v>
      </c>
      <c r="H3701" s="204" t="s">
        <v>298</v>
      </c>
      <c r="I3701" s="268">
        <f>I3700</f>
        <v>0</v>
      </c>
      <c r="J3701" s="204" t="s">
        <v>93</v>
      </c>
      <c r="K3701" s="269"/>
      <c r="L3701" s="210" t="s">
        <v>675</v>
      </c>
      <c r="M3701" s="198">
        <f>ROUND(K3701*I3701/10000,6)</f>
        <v>0</v>
      </c>
      <c r="N3701" s="212">
        <f>'02 项目基础信息（输入）'!$C$90</f>
        <v>0</v>
      </c>
      <c r="O3701" s="203">
        <f t="shared" si="427"/>
        <v>0</v>
      </c>
      <c r="P3701" s="203">
        <f t="shared" si="429"/>
        <v>0</v>
      </c>
      <c r="Q3701" s="271">
        <f t="shared" si="428"/>
        <v>0</v>
      </c>
      <c r="R3701" s="188"/>
      <c r="S3701" s="280"/>
      <c r="T3701" s="222"/>
      <c r="U3701" s="223" t="s">
        <v>5938</v>
      </c>
    </row>
    <row r="3702" spans="1:21" s="181" customFormat="1" ht="0" hidden="1" customHeight="1" outlineLevel="4">
      <c r="A3702" s="253" t="s">
        <v>4231</v>
      </c>
      <c r="B3702" s="254"/>
      <c r="C3702" s="250" t="s">
        <v>1609</v>
      </c>
      <c r="D3702" s="212">
        <f>'02 项目基础信息（输入）'!$C$90</f>
        <v>0</v>
      </c>
      <c r="E3702" s="204" t="s">
        <v>93</v>
      </c>
      <c r="F3702" s="202"/>
      <c r="G3702" s="261"/>
      <c r="H3702" s="255"/>
      <c r="I3702" s="264"/>
      <c r="J3702" s="255"/>
      <c r="K3702" s="264"/>
      <c r="L3702" s="205"/>
      <c r="M3702" s="198">
        <f>ROUND(SUM(M3703:M3704),6)</f>
        <v>0</v>
      </c>
      <c r="N3702" s="212">
        <f>'02 项目基础信息（输入）'!$C$90</f>
        <v>0</v>
      </c>
      <c r="O3702" s="203">
        <f t="shared" si="427"/>
        <v>0</v>
      </c>
      <c r="P3702" s="203">
        <f t="shared" si="429"/>
        <v>0</v>
      </c>
      <c r="Q3702" s="271">
        <f t="shared" si="428"/>
        <v>0</v>
      </c>
      <c r="R3702" s="188"/>
      <c r="S3702" s="280"/>
      <c r="T3702" s="222"/>
      <c r="U3702" s="223" t="s">
        <v>5939</v>
      </c>
    </row>
    <row r="3703" spans="1:21" s="181" customFormat="1" ht="0" hidden="1" customHeight="1" outlineLevel="5">
      <c r="A3703" s="253" t="s">
        <v>4233</v>
      </c>
      <c r="B3703" s="254"/>
      <c r="C3703" s="250" t="s">
        <v>1609</v>
      </c>
      <c r="D3703" s="212">
        <f>'02 项目基础信息（输入）'!$C$90</f>
        <v>0</v>
      </c>
      <c r="E3703" s="204" t="s">
        <v>93</v>
      </c>
      <c r="F3703" s="202" t="s">
        <v>1682</v>
      </c>
      <c r="G3703" s="261">
        <f>IFERROR(I3703/D3703,0)</f>
        <v>0</v>
      </c>
      <c r="H3703" s="204" t="s">
        <v>298</v>
      </c>
      <c r="I3703" s="270"/>
      <c r="J3703" s="204" t="s">
        <v>93</v>
      </c>
      <c r="K3703" s="269"/>
      <c r="L3703" s="210" t="s">
        <v>675</v>
      </c>
      <c r="M3703" s="198">
        <f>ROUND(K3703*I3703/10000,6)</f>
        <v>0</v>
      </c>
      <c r="N3703" s="212">
        <f>'02 项目基础信息（输入）'!$C$90</f>
        <v>0</v>
      </c>
      <c r="O3703" s="203">
        <f t="shared" si="427"/>
        <v>0</v>
      </c>
      <c r="P3703" s="203">
        <f t="shared" si="429"/>
        <v>0</v>
      </c>
      <c r="Q3703" s="271">
        <f t="shared" si="428"/>
        <v>0</v>
      </c>
      <c r="R3703" s="188"/>
      <c r="S3703" s="280"/>
      <c r="T3703" s="222"/>
      <c r="U3703" s="223" t="s">
        <v>5940</v>
      </c>
    </row>
    <row r="3704" spans="1:21" s="181" customFormat="1" ht="0" hidden="1" customHeight="1" outlineLevel="5">
      <c r="A3704" s="253" t="s">
        <v>4235</v>
      </c>
      <c r="B3704" s="254"/>
      <c r="C3704" s="250" t="s">
        <v>1609</v>
      </c>
      <c r="D3704" s="212">
        <f>'02 项目基础信息（输入）'!$C$90</f>
        <v>0</v>
      </c>
      <c r="E3704" s="204" t="s">
        <v>93</v>
      </c>
      <c r="F3704" s="202" t="s">
        <v>1682</v>
      </c>
      <c r="G3704" s="261">
        <f>IFERROR(I3704/D3704,0)</f>
        <v>0</v>
      </c>
      <c r="H3704" s="204" t="s">
        <v>298</v>
      </c>
      <c r="I3704" s="268">
        <f>I3703</f>
        <v>0</v>
      </c>
      <c r="J3704" s="204" t="s">
        <v>93</v>
      </c>
      <c r="K3704" s="269"/>
      <c r="L3704" s="210" t="s">
        <v>675</v>
      </c>
      <c r="M3704" s="198">
        <f>ROUND(K3704*I3704/10000,6)</f>
        <v>0</v>
      </c>
      <c r="N3704" s="212">
        <f>'02 项目基础信息（输入）'!$C$90</f>
        <v>0</v>
      </c>
      <c r="O3704" s="203">
        <f t="shared" si="427"/>
        <v>0</v>
      </c>
      <c r="P3704" s="203">
        <f t="shared" si="429"/>
        <v>0</v>
      </c>
      <c r="Q3704" s="271">
        <f t="shared" si="428"/>
        <v>0</v>
      </c>
      <c r="R3704" s="188"/>
      <c r="S3704" s="280"/>
      <c r="T3704" s="222"/>
      <c r="U3704" s="223" t="s">
        <v>5941</v>
      </c>
    </row>
    <row r="3705" spans="1:21" s="181" customFormat="1" ht="0" hidden="1" customHeight="1" outlineLevel="3">
      <c r="A3705" s="253" t="s">
        <v>4237</v>
      </c>
      <c r="B3705" s="254"/>
      <c r="C3705" s="250" t="s">
        <v>1609</v>
      </c>
      <c r="D3705" s="212">
        <f>'02 项目基础信息（输入）'!$C$90</f>
        <v>0</v>
      </c>
      <c r="E3705" s="204" t="s">
        <v>93</v>
      </c>
      <c r="F3705" s="202"/>
      <c r="G3705" s="255"/>
      <c r="H3705" s="204"/>
      <c r="I3705" s="265"/>
      <c r="J3705" s="204"/>
      <c r="K3705" s="203"/>
      <c r="L3705" s="210"/>
      <c r="M3705" s="198">
        <f>ROUND(SUM(M3706:M3708),6)</f>
        <v>0</v>
      </c>
      <c r="N3705" s="212">
        <f>'02 项目基础信息（输入）'!$C$90</f>
        <v>0</v>
      </c>
      <c r="O3705" s="203">
        <f t="shared" si="427"/>
        <v>0</v>
      </c>
      <c r="P3705" s="203">
        <f t="shared" si="429"/>
        <v>0</v>
      </c>
      <c r="Q3705" s="271">
        <f t="shared" si="428"/>
        <v>0</v>
      </c>
      <c r="R3705" s="188"/>
      <c r="S3705" s="280"/>
      <c r="T3705" s="222"/>
      <c r="U3705" s="223" t="s">
        <v>5942</v>
      </c>
    </row>
    <row r="3706" spans="1:21" s="181" customFormat="1" ht="0" hidden="1" customHeight="1" outlineLevel="4">
      <c r="A3706" s="253" t="s">
        <v>4239</v>
      </c>
      <c r="B3706" s="254"/>
      <c r="C3706" s="250" t="s">
        <v>1609</v>
      </c>
      <c r="D3706" s="212">
        <f>'02 项目基础信息（输入）'!$C$90</f>
        <v>0</v>
      </c>
      <c r="E3706" s="204" t="s">
        <v>93</v>
      </c>
      <c r="F3706" s="202" t="s">
        <v>1701</v>
      </c>
      <c r="G3706" s="261">
        <f>IFERROR(I3706/D3706,0)</f>
        <v>0</v>
      </c>
      <c r="H3706" s="204" t="s">
        <v>298</v>
      </c>
      <c r="I3706" s="270"/>
      <c r="J3706" s="204" t="s">
        <v>93</v>
      </c>
      <c r="K3706" s="269"/>
      <c r="L3706" s="210" t="s">
        <v>675</v>
      </c>
      <c r="M3706" s="198">
        <f>ROUND(K3706*I3706/10000,6)</f>
        <v>0</v>
      </c>
      <c r="N3706" s="212">
        <f>'02 项目基础信息（输入）'!$C$90</f>
        <v>0</v>
      </c>
      <c r="O3706" s="203">
        <f t="shared" si="427"/>
        <v>0</v>
      </c>
      <c r="P3706" s="203">
        <f t="shared" si="429"/>
        <v>0</v>
      </c>
      <c r="Q3706" s="271">
        <f t="shared" si="428"/>
        <v>0</v>
      </c>
      <c r="R3706" s="188"/>
      <c r="S3706" s="280"/>
      <c r="T3706" s="222"/>
      <c r="U3706" s="223" t="s">
        <v>5943</v>
      </c>
    </row>
    <row r="3707" spans="1:21" s="181" customFormat="1" ht="0" hidden="1" customHeight="1" outlineLevel="4">
      <c r="A3707" s="253" t="s">
        <v>4241</v>
      </c>
      <c r="B3707" s="254"/>
      <c r="C3707" s="250" t="s">
        <v>1609</v>
      </c>
      <c r="D3707" s="212">
        <f>'02 项目基础信息（输入）'!$C$90</f>
        <v>0</v>
      </c>
      <c r="E3707" s="204" t="s">
        <v>93</v>
      </c>
      <c r="F3707" s="202" t="s">
        <v>1704</v>
      </c>
      <c r="G3707" s="261">
        <f>IFERROR(I3707/D3707,0)</f>
        <v>0</v>
      </c>
      <c r="H3707" s="204" t="s">
        <v>298</v>
      </c>
      <c r="I3707" s="270"/>
      <c r="J3707" s="204" t="s">
        <v>93</v>
      </c>
      <c r="K3707" s="269"/>
      <c r="L3707" s="210" t="s">
        <v>675</v>
      </c>
      <c r="M3707" s="198">
        <f>ROUND(K3707*I3707/10000,6)</f>
        <v>0</v>
      </c>
      <c r="N3707" s="212">
        <f>'02 项目基础信息（输入）'!$C$90</f>
        <v>0</v>
      </c>
      <c r="O3707" s="203">
        <f t="shared" si="427"/>
        <v>0</v>
      </c>
      <c r="P3707" s="203">
        <f t="shared" si="429"/>
        <v>0</v>
      </c>
      <c r="Q3707" s="271">
        <f t="shared" si="428"/>
        <v>0</v>
      </c>
      <c r="R3707" s="188"/>
      <c r="S3707" s="280"/>
      <c r="T3707" s="222"/>
      <c r="U3707" s="223" t="s">
        <v>5944</v>
      </c>
    </row>
    <row r="3708" spans="1:21" s="181" customFormat="1" ht="0" hidden="1" customHeight="1" outlineLevel="4">
      <c r="A3708" s="253" t="s">
        <v>4243</v>
      </c>
      <c r="B3708" s="254"/>
      <c r="C3708" s="250" t="s">
        <v>1609</v>
      </c>
      <c r="D3708" s="212">
        <f>'02 项目基础信息（输入）'!$C$90</f>
        <v>0</v>
      </c>
      <c r="E3708" s="204" t="s">
        <v>93</v>
      </c>
      <c r="F3708" s="202" t="s">
        <v>4244</v>
      </c>
      <c r="G3708" s="261">
        <f>IFERROR(I3708/D3708,0)</f>
        <v>0</v>
      </c>
      <c r="H3708" s="204" t="s">
        <v>1473</v>
      </c>
      <c r="I3708" s="270"/>
      <c r="J3708" s="204" t="s">
        <v>131</v>
      </c>
      <c r="K3708" s="269"/>
      <c r="L3708" s="210" t="s">
        <v>675</v>
      </c>
      <c r="M3708" s="198">
        <f>ROUND(K3708*I3708/10000,6)</f>
        <v>0</v>
      </c>
      <c r="N3708" s="212">
        <f>'02 项目基础信息（输入）'!$C$90</f>
        <v>0</v>
      </c>
      <c r="O3708" s="203">
        <f t="shared" si="427"/>
        <v>0</v>
      </c>
      <c r="P3708" s="203">
        <f t="shared" si="429"/>
        <v>0</v>
      </c>
      <c r="Q3708" s="271">
        <f t="shared" si="428"/>
        <v>0</v>
      </c>
      <c r="R3708" s="188"/>
      <c r="S3708" s="280"/>
      <c r="T3708" s="222"/>
      <c r="U3708" s="223" t="s">
        <v>5945</v>
      </c>
    </row>
    <row r="3709" spans="1:21" ht="0" hidden="1" customHeight="1" outlineLevel="2">
      <c r="A3709" s="201" t="s">
        <v>4252</v>
      </c>
      <c r="B3709" s="249"/>
      <c r="C3709" s="250" t="s">
        <v>1609</v>
      </c>
      <c r="D3709" s="212">
        <f>'02 项目基础信息（输入）'!$C$90</f>
        <v>0</v>
      </c>
      <c r="E3709" s="204" t="s">
        <v>93</v>
      </c>
      <c r="F3709" s="202"/>
      <c r="G3709" s="255"/>
      <c r="H3709" s="204"/>
      <c r="I3709" s="203"/>
      <c r="J3709" s="204"/>
      <c r="K3709" s="264"/>
      <c r="L3709" s="210"/>
      <c r="M3709" s="198">
        <f>ROUND(M3710+M3713+M3714+M3715+M3716+M3717+M3718+M3719+M3720,6)</f>
        <v>0</v>
      </c>
      <c r="N3709" s="212">
        <f>'02 项目基础信息（输入）'!$C$90</f>
        <v>0</v>
      </c>
      <c r="O3709" s="203">
        <f t="shared" si="427"/>
        <v>0</v>
      </c>
      <c r="P3709" s="203">
        <f t="shared" si="429"/>
        <v>0</v>
      </c>
      <c r="Q3709" s="271">
        <f t="shared" si="428"/>
        <v>0</v>
      </c>
      <c r="S3709" s="280" t="s">
        <v>1313</v>
      </c>
      <c r="T3709" s="222"/>
      <c r="U3709" s="223" t="s">
        <v>5946</v>
      </c>
    </row>
    <row r="3710" spans="1:21" s="181" customFormat="1" ht="0" hidden="1" customHeight="1" outlineLevel="4">
      <c r="A3710" s="253" t="s">
        <v>4254</v>
      </c>
      <c r="B3710" s="254"/>
      <c r="C3710" s="250" t="s">
        <v>1609</v>
      </c>
      <c r="D3710" s="212">
        <f>'02 项目基础信息（输入）'!$C$90</f>
        <v>0</v>
      </c>
      <c r="E3710" s="204" t="s">
        <v>93</v>
      </c>
      <c r="F3710" s="256"/>
      <c r="G3710" s="258"/>
      <c r="H3710" s="255"/>
      <c r="I3710" s="268"/>
      <c r="J3710" s="255"/>
      <c r="K3710" s="264"/>
      <c r="L3710" s="205"/>
      <c r="M3710" s="198">
        <f>ROUND(SUM(M3711:M3712),6)</f>
        <v>0</v>
      </c>
      <c r="N3710" s="212">
        <f>'02 项目基础信息（输入）'!$C$90</f>
        <v>0</v>
      </c>
      <c r="O3710" s="203">
        <f t="shared" si="427"/>
        <v>0</v>
      </c>
      <c r="P3710" s="203">
        <f t="shared" si="429"/>
        <v>0</v>
      </c>
      <c r="Q3710" s="271">
        <f t="shared" si="428"/>
        <v>0</v>
      </c>
      <c r="R3710" s="188"/>
      <c r="S3710" s="280"/>
      <c r="T3710" s="222"/>
      <c r="U3710" s="223" t="s">
        <v>5947</v>
      </c>
    </row>
    <row r="3711" spans="1:21" s="181" customFormat="1" ht="0" hidden="1" customHeight="1" outlineLevel="5">
      <c r="A3711" s="253" t="s">
        <v>4850</v>
      </c>
      <c r="B3711" s="254"/>
      <c r="C3711" s="250" t="s">
        <v>1609</v>
      </c>
      <c r="D3711" s="212">
        <f>'02 项目基础信息（输入）'!$C$90</f>
        <v>0</v>
      </c>
      <c r="E3711" s="204" t="s">
        <v>93</v>
      </c>
      <c r="F3711" s="202" t="s">
        <v>984</v>
      </c>
      <c r="G3711" s="284"/>
      <c r="H3711" s="204" t="s">
        <v>966</v>
      </c>
      <c r="I3711" s="265">
        <f t="shared" ref="I3711:I3719" si="430">D3711*G3711</f>
        <v>0</v>
      </c>
      <c r="J3711" s="204" t="s">
        <v>1617</v>
      </c>
      <c r="K3711" s="214"/>
      <c r="L3711" s="210" t="s">
        <v>664</v>
      </c>
      <c r="M3711" s="198">
        <f t="shared" ref="M3711:M3719" si="431">ROUND(K3711*I3711/10000,6)</f>
        <v>0</v>
      </c>
      <c r="N3711" s="212">
        <f>'02 项目基础信息（输入）'!$C$90</f>
        <v>0</v>
      </c>
      <c r="O3711" s="203">
        <f t="shared" si="427"/>
        <v>0</v>
      </c>
      <c r="P3711" s="203">
        <f t="shared" si="429"/>
        <v>0</v>
      </c>
      <c r="Q3711" s="271">
        <f t="shared" si="428"/>
        <v>0</v>
      </c>
      <c r="R3711" s="188"/>
      <c r="S3711" s="280"/>
      <c r="T3711" s="222"/>
      <c r="U3711" s="223" t="s">
        <v>5948</v>
      </c>
    </row>
    <row r="3712" spans="1:21" s="181" customFormat="1" ht="0" hidden="1" customHeight="1" outlineLevel="5">
      <c r="A3712" s="253" t="s">
        <v>4258</v>
      </c>
      <c r="B3712" s="254"/>
      <c r="C3712" s="250" t="s">
        <v>1609</v>
      </c>
      <c r="D3712" s="212">
        <f>'02 项目基础信息（输入）'!$C$90</f>
        <v>0</v>
      </c>
      <c r="E3712" s="204" t="s">
        <v>93</v>
      </c>
      <c r="F3712" s="202" t="s">
        <v>984</v>
      </c>
      <c r="G3712" s="258">
        <f>G3711</f>
        <v>0</v>
      </c>
      <c r="H3712" s="204" t="s">
        <v>966</v>
      </c>
      <c r="I3712" s="265">
        <f t="shared" si="430"/>
        <v>0</v>
      </c>
      <c r="J3712" s="204" t="s">
        <v>1617</v>
      </c>
      <c r="K3712" s="214"/>
      <c r="L3712" s="210" t="s">
        <v>664</v>
      </c>
      <c r="M3712" s="198">
        <f t="shared" si="431"/>
        <v>0</v>
      </c>
      <c r="N3712" s="212">
        <f>'02 项目基础信息（输入）'!$C$90</f>
        <v>0</v>
      </c>
      <c r="O3712" s="203">
        <f t="shared" si="427"/>
        <v>0</v>
      </c>
      <c r="P3712" s="203">
        <f t="shared" si="429"/>
        <v>0</v>
      </c>
      <c r="Q3712" s="271">
        <f t="shared" si="428"/>
        <v>0</v>
      </c>
      <c r="R3712" s="188"/>
      <c r="S3712" s="280"/>
      <c r="T3712" s="222"/>
      <c r="U3712" s="223" t="s">
        <v>5949</v>
      </c>
    </row>
    <row r="3713" spans="1:21" s="181" customFormat="1" ht="0" hidden="1" customHeight="1" outlineLevel="4">
      <c r="A3713" s="253" t="s">
        <v>4260</v>
      </c>
      <c r="B3713" s="254"/>
      <c r="C3713" s="250" t="s">
        <v>1609</v>
      </c>
      <c r="D3713" s="212">
        <f>'02 项目基础信息（输入）'!$C$90</f>
        <v>0</v>
      </c>
      <c r="E3713" s="204" t="s">
        <v>93</v>
      </c>
      <c r="F3713" s="202" t="s">
        <v>984</v>
      </c>
      <c r="G3713" s="258">
        <f>G3712</f>
        <v>0</v>
      </c>
      <c r="H3713" s="204" t="s">
        <v>966</v>
      </c>
      <c r="I3713" s="265">
        <f t="shared" si="430"/>
        <v>0</v>
      </c>
      <c r="J3713" s="204" t="s">
        <v>1617</v>
      </c>
      <c r="K3713" s="269"/>
      <c r="L3713" s="210" t="s">
        <v>664</v>
      </c>
      <c r="M3713" s="198">
        <f t="shared" si="431"/>
        <v>0</v>
      </c>
      <c r="N3713" s="212">
        <f>'02 项目基础信息（输入）'!$C$90</f>
        <v>0</v>
      </c>
      <c r="O3713" s="203">
        <f t="shared" si="427"/>
        <v>0</v>
      </c>
      <c r="P3713" s="203">
        <f t="shared" si="429"/>
        <v>0</v>
      </c>
      <c r="Q3713" s="271">
        <f t="shared" si="428"/>
        <v>0</v>
      </c>
      <c r="R3713" s="188"/>
      <c r="S3713" s="280"/>
      <c r="T3713" s="222"/>
      <c r="U3713" s="223" t="s">
        <v>5950</v>
      </c>
    </row>
    <row r="3714" spans="1:21" s="181" customFormat="1" ht="0" hidden="1" customHeight="1" outlineLevel="3">
      <c r="A3714" s="253" t="s">
        <v>4854</v>
      </c>
      <c r="B3714" s="254"/>
      <c r="C3714" s="250" t="s">
        <v>1609</v>
      </c>
      <c r="D3714" s="212">
        <f>'02 项目基础信息（输入）'!$C$90</f>
        <v>0</v>
      </c>
      <c r="E3714" s="204" t="s">
        <v>93</v>
      </c>
      <c r="F3714" s="202" t="s">
        <v>4478</v>
      </c>
      <c r="G3714" s="286"/>
      <c r="H3714" s="204" t="s">
        <v>298</v>
      </c>
      <c r="I3714" s="265">
        <f t="shared" si="430"/>
        <v>0</v>
      </c>
      <c r="J3714" s="204" t="s">
        <v>93</v>
      </c>
      <c r="K3714" s="269"/>
      <c r="L3714" s="210" t="s">
        <v>675</v>
      </c>
      <c r="M3714" s="198">
        <f t="shared" si="431"/>
        <v>0</v>
      </c>
      <c r="N3714" s="212">
        <f>'02 项目基础信息（输入）'!$C$90</f>
        <v>0</v>
      </c>
      <c r="O3714" s="203">
        <f t="shared" si="427"/>
        <v>0</v>
      </c>
      <c r="P3714" s="203">
        <f t="shared" si="429"/>
        <v>0</v>
      </c>
      <c r="Q3714" s="271">
        <f t="shared" si="428"/>
        <v>0</v>
      </c>
      <c r="R3714" s="188"/>
      <c r="S3714" s="280"/>
      <c r="T3714" s="222"/>
      <c r="U3714" s="223" t="s">
        <v>5951</v>
      </c>
    </row>
    <row r="3715" spans="1:21" s="181" customFormat="1" ht="0" hidden="1" customHeight="1" outlineLevel="3">
      <c r="A3715" s="253" t="s">
        <v>4856</v>
      </c>
      <c r="B3715" s="254"/>
      <c r="C3715" s="250" t="s">
        <v>1609</v>
      </c>
      <c r="D3715" s="212">
        <f>'02 项目基础信息（输入）'!$C$90</f>
        <v>0</v>
      </c>
      <c r="E3715" s="204" t="s">
        <v>93</v>
      </c>
      <c r="F3715" s="202" t="s">
        <v>984</v>
      </c>
      <c r="G3715" s="286"/>
      <c r="H3715" s="204" t="s">
        <v>966</v>
      </c>
      <c r="I3715" s="265">
        <f t="shared" si="430"/>
        <v>0</v>
      </c>
      <c r="J3715" s="204" t="s">
        <v>1617</v>
      </c>
      <c r="K3715" s="269"/>
      <c r="L3715" s="210" t="s">
        <v>664</v>
      </c>
      <c r="M3715" s="198">
        <f t="shared" si="431"/>
        <v>0</v>
      </c>
      <c r="N3715" s="212">
        <f>'02 项目基础信息（输入）'!$C$90</f>
        <v>0</v>
      </c>
      <c r="O3715" s="203">
        <f t="shared" ref="O3715:O3778" si="432">ROUND(IFERROR(M3715*10000/N3715,0),2)</f>
        <v>0</v>
      </c>
      <c r="P3715" s="203">
        <f t="shared" si="429"/>
        <v>0</v>
      </c>
      <c r="Q3715" s="271">
        <f t="shared" ref="Q3715:Q3778" si="433">ROUND(IFERROR(M3715*10000/P3715,0),2)</f>
        <v>0</v>
      </c>
      <c r="R3715" s="188"/>
      <c r="S3715" s="280"/>
      <c r="T3715" s="222"/>
      <c r="U3715" s="223" t="s">
        <v>5952</v>
      </c>
    </row>
    <row r="3716" spans="1:21" s="181" customFormat="1" ht="0" hidden="1" customHeight="1" outlineLevel="3">
      <c r="A3716" s="253" t="s">
        <v>4858</v>
      </c>
      <c r="B3716" s="254"/>
      <c r="C3716" s="250" t="s">
        <v>1609</v>
      </c>
      <c r="D3716" s="212">
        <f>'02 项目基础信息（输入）'!$C$90</f>
        <v>0</v>
      </c>
      <c r="E3716" s="204" t="s">
        <v>93</v>
      </c>
      <c r="F3716" s="202" t="s">
        <v>984</v>
      </c>
      <c r="G3716" s="286"/>
      <c r="H3716" s="204" t="s">
        <v>966</v>
      </c>
      <c r="I3716" s="265">
        <f t="shared" si="430"/>
        <v>0</v>
      </c>
      <c r="J3716" s="204" t="s">
        <v>1617</v>
      </c>
      <c r="K3716" s="269"/>
      <c r="L3716" s="210" t="s">
        <v>664</v>
      </c>
      <c r="M3716" s="198">
        <f t="shared" si="431"/>
        <v>0</v>
      </c>
      <c r="N3716" s="212">
        <f>'02 项目基础信息（输入）'!$C$90</f>
        <v>0</v>
      </c>
      <c r="O3716" s="203">
        <f t="shared" si="432"/>
        <v>0</v>
      </c>
      <c r="P3716" s="203">
        <f t="shared" si="429"/>
        <v>0</v>
      </c>
      <c r="Q3716" s="271">
        <f t="shared" si="433"/>
        <v>0</v>
      </c>
      <c r="R3716" s="188"/>
      <c r="S3716" s="280"/>
      <c r="T3716" s="222"/>
      <c r="U3716" s="223" t="s">
        <v>5953</v>
      </c>
    </row>
    <row r="3717" spans="1:21" s="181" customFormat="1" ht="0" hidden="1" customHeight="1" outlineLevel="3">
      <c r="A3717" s="253" t="s">
        <v>4860</v>
      </c>
      <c r="B3717" s="254"/>
      <c r="C3717" s="250" t="s">
        <v>1609</v>
      </c>
      <c r="D3717" s="212">
        <f>'02 项目基础信息（输入）'!$C$90</f>
        <v>0</v>
      </c>
      <c r="E3717" s="204" t="s">
        <v>93</v>
      </c>
      <c r="F3717" s="282" t="s">
        <v>1609</v>
      </c>
      <c r="G3717" s="283">
        <v>1</v>
      </c>
      <c r="H3717" s="204" t="s">
        <v>298</v>
      </c>
      <c r="I3717" s="265">
        <f t="shared" si="430"/>
        <v>0</v>
      </c>
      <c r="J3717" s="204" t="s">
        <v>93</v>
      </c>
      <c r="K3717" s="269"/>
      <c r="L3717" s="210" t="s">
        <v>675</v>
      </c>
      <c r="M3717" s="198">
        <f t="shared" si="431"/>
        <v>0</v>
      </c>
      <c r="N3717" s="212">
        <f>'02 项目基础信息（输入）'!$C$90</f>
        <v>0</v>
      </c>
      <c r="O3717" s="203">
        <f t="shared" si="432"/>
        <v>0</v>
      </c>
      <c r="P3717" s="203">
        <f t="shared" si="429"/>
        <v>0</v>
      </c>
      <c r="Q3717" s="271">
        <f t="shared" si="433"/>
        <v>0</v>
      </c>
      <c r="R3717" s="188"/>
      <c r="S3717" s="280"/>
      <c r="T3717" s="222"/>
      <c r="U3717" s="223" t="s">
        <v>5954</v>
      </c>
    </row>
    <row r="3718" spans="1:21" s="181" customFormat="1" ht="0" hidden="1" customHeight="1" outlineLevel="3">
      <c r="A3718" s="253" t="s">
        <v>4262</v>
      </c>
      <c r="B3718" s="254"/>
      <c r="C3718" s="250" t="s">
        <v>1609</v>
      </c>
      <c r="D3718" s="212">
        <f>'02 项目基础信息（输入）'!$C$90</f>
        <v>0</v>
      </c>
      <c r="E3718" s="204" t="s">
        <v>93</v>
      </c>
      <c r="F3718" s="202" t="s">
        <v>984</v>
      </c>
      <c r="G3718" s="284"/>
      <c r="H3718" s="204" t="s">
        <v>966</v>
      </c>
      <c r="I3718" s="265">
        <f t="shared" si="430"/>
        <v>0</v>
      </c>
      <c r="J3718" s="204" t="s">
        <v>1617</v>
      </c>
      <c r="K3718" s="269"/>
      <c r="L3718" s="210" t="s">
        <v>664</v>
      </c>
      <c r="M3718" s="198">
        <f t="shared" si="431"/>
        <v>0</v>
      </c>
      <c r="N3718" s="212">
        <f>'02 项目基础信息（输入）'!$C$90</f>
        <v>0</v>
      </c>
      <c r="O3718" s="203">
        <f t="shared" si="432"/>
        <v>0</v>
      </c>
      <c r="P3718" s="203">
        <f t="shared" si="429"/>
        <v>0</v>
      </c>
      <c r="Q3718" s="271">
        <f t="shared" si="433"/>
        <v>0</v>
      </c>
      <c r="R3718" s="188"/>
      <c r="S3718" s="280"/>
      <c r="T3718" s="222"/>
      <c r="U3718" s="223" t="s">
        <v>5955</v>
      </c>
    </row>
    <row r="3719" spans="1:21" s="181" customFormat="1" ht="0" hidden="1" customHeight="1" outlineLevel="3">
      <c r="A3719" s="253" t="s">
        <v>4264</v>
      </c>
      <c r="B3719" s="254"/>
      <c r="C3719" s="250" t="s">
        <v>1609</v>
      </c>
      <c r="D3719" s="212">
        <f>'02 项目基础信息（输入）'!$C$90</f>
        <v>0</v>
      </c>
      <c r="E3719" s="204" t="s">
        <v>93</v>
      </c>
      <c r="F3719" s="202" t="s">
        <v>984</v>
      </c>
      <c r="G3719" s="258">
        <f>G3711+G3714+G3715+G3716+G3718</f>
        <v>0</v>
      </c>
      <c r="H3719" s="204" t="s">
        <v>966</v>
      </c>
      <c r="I3719" s="265">
        <f t="shared" si="430"/>
        <v>0</v>
      </c>
      <c r="J3719" s="204" t="s">
        <v>1617</v>
      </c>
      <c r="K3719" s="269"/>
      <c r="L3719" s="210" t="s">
        <v>664</v>
      </c>
      <c r="M3719" s="198">
        <f t="shared" si="431"/>
        <v>0</v>
      </c>
      <c r="N3719" s="212">
        <f>'02 项目基础信息（输入）'!$C$90</f>
        <v>0</v>
      </c>
      <c r="O3719" s="203">
        <f t="shared" si="432"/>
        <v>0</v>
      </c>
      <c r="P3719" s="203">
        <f t="shared" si="429"/>
        <v>0</v>
      </c>
      <c r="Q3719" s="271">
        <f t="shared" si="433"/>
        <v>0</v>
      </c>
      <c r="R3719" s="188"/>
      <c r="S3719" s="280"/>
      <c r="T3719" s="222"/>
      <c r="U3719" s="223" t="s">
        <v>5956</v>
      </c>
    </row>
    <row r="3720" spans="1:21" s="181" customFormat="1" ht="0" hidden="1" customHeight="1" outlineLevel="3">
      <c r="A3720" s="253" t="s">
        <v>4266</v>
      </c>
      <c r="B3720" s="254"/>
      <c r="C3720" s="250" t="s">
        <v>1665</v>
      </c>
      <c r="D3720" s="203">
        <f>ROUND(M3710+M3713+M3714+M3715+M3716+M3717+M3718,6)*10000</f>
        <v>0</v>
      </c>
      <c r="E3720" s="204" t="s">
        <v>1666</v>
      </c>
      <c r="F3720" s="202" t="s">
        <v>1667</v>
      </c>
      <c r="G3720" s="258">
        <f>IFERROR(I3720*100/D3720,0)</f>
        <v>0</v>
      </c>
      <c r="H3720" s="204" t="s">
        <v>123</v>
      </c>
      <c r="I3720" s="265">
        <f>N3720*K3720</f>
        <v>0</v>
      </c>
      <c r="J3720" s="204" t="s">
        <v>1666</v>
      </c>
      <c r="K3720" s="269"/>
      <c r="L3720" s="210" t="s">
        <v>675</v>
      </c>
      <c r="M3720" s="231">
        <f>ROUND(I3720/10000,6)</f>
        <v>0</v>
      </c>
      <c r="N3720" s="212">
        <f>'02 项目基础信息（输入）'!$C$90</f>
        <v>0</v>
      </c>
      <c r="O3720" s="203">
        <f t="shared" si="432"/>
        <v>0</v>
      </c>
      <c r="P3720" s="203">
        <f t="shared" si="429"/>
        <v>0</v>
      </c>
      <c r="Q3720" s="271">
        <f t="shared" si="433"/>
        <v>0</v>
      </c>
      <c r="R3720" s="188"/>
      <c r="S3720" s="280"/>
      <c r="T3720" s="222"/>
      <c r="U3720" s="223" t="s">
        <v>5957</v>
      </c>
    </row>
    <row r="3721" spans="1:21" ht="0" hidden="1" customHeight="1" outlineLevel="2">
      <c r="A3721" s="201" t="s">
        <v>4489</v>
      </c>
      <c r="B3721" s="201"/>
      <c r="C3721" s="202" t="s">
        <v>1609</v>
      </c>
      <c r="D3721" s="212">
        <f>'02 项目基础信息（输入）'!$C$90</f>
        <v>0</v>
      </c>
      <c r="E3721" s="204" t="s">
        <v>93</v>
      </c>
      <c r="F3721" s="202"/>
      <c r="G3721" s="204"/>
      <c r="H3721" s="204"/>
      <c r="I3721" s="203"/>
      <c r="J3721" s="204"/>
      <c r="K3721" s="264"/>
      <c r="L3721" s="210"/>
      <c r="M3721" s="198">
        <f>ROUND(M3722+M3736+M3739,6)</f>
        <v>0</v>
      </c>
      <c r="N3721" s="212">
        <f>'02 项目基础信息（输入）'!$C$90</f>
        <v>0</v>
      </c>
      <c r="O3721" s="203">
        <f t="shared" si="432"/>
        <v>0</v>
      </c>
      <c r="P3721" s="203">
        <f t="shared" si="429"/>
        <v>0</v>
      </c>
      <c r="Q3721" s="271">
        <f t="shared" si="433"/>
        <v>0</v>
      </c>
      <c r="S3721" s="280" t="s">
        <v>1314</v>
      </c>
      <c r="T3721" s="222"/>
      <c r="U3721" s="223" t="s">
        <v>5958</v>
      </c>
    </row>
    <row r="3722" spans="1:21" s="181" customFormat="1" ht="0" hidden="1" customHeight="1" outlineLevel="3">
      <c r="A3722" s="253" t="s">
        <v>4491</v>
      </c>
      <c r="B3722" s="254"/>
      <c r="C3722" s="250" t="s">
        <v>1609</v>
      </c>
      <c r="D3722" s="212">
        <f>'02 项目基础信息（输入）'!$C$90</f>
        <v>0</v>
      </c>
      <c r="E3722" s="204" t="s">
        <v>93</v>
      </c>
      <c r="F3722" s="202"/>
      <c r="G3722" s="204"/>
      <c r="H3722" s="204"/>
      <c r="I3722" s="265"/>
      <c r="J3722" s="204"/>
      <c r="K3722" s="203"/>
      <c r="L3722" s="210"/>
      <c r="M3722" s="198">
        <f>ROUND(M3723+M3726+M3727+M3728+M3729+M3732+M3733+M3734+M3735,6)</f>
        <v>0</v>
      </c>
      <c r="N3722" s="212">
        <f>'02 项目基础信息（输入）'!$C$90</f>
        <v>0</v>
      </c>
      <c r="O3722" s="203">
        <f t="shared" si="432"/>
        <v>0</v>
      </c>
      <c r="P3722" s="203">
        <f t="shared" ref="P3722:P3785" si="434">N3722</f>
        <v>0</v>
      </c>
      <c r="Q3722" s="271">
        <f t="shared" si="433"/>
        <v>0</v>
      </c>
      <c r="R3722" s="188"/>
      <c r="S3722" s="280"/>
      <c r="T3722" s="222"/>
      <c r="U3722" s="223" t="s">
        <v>5959</v>
      </c>
    </row>
    <row r="3723" spans="1:21" s="181" customFormat="1" ht="0" hidden="1" customHeight="1" outlineLevel="4">
      <c r="A3723" s="253" t="s">
        <v>4493</v>
      </c>
      <c r="B3723" s="254"/>
      <c r="C3723" s="250" t="s">
        <v>1609</v>
      </c>
      <c r="D3723" s="212">
        <f>'02 项目基础信息（输入）'!$C$90</f>
        <v>0</v>
      </c>
      <c r="E3723" s="204" t="s">
        <v>93</v>
      </c>
      <c r="F3723" s="202"/>
      <c r="G3723" s="221"/>
      <c r="H3723" s="204"/>
      <c r="I3723" s="265"/>
      <c r="J3723" s="204"/>
      <c r="K3723" s="266"/>
      <c r="L3723" s="210"/>
      <c r="M3723" s="198">
        <f>ROUND(SUM(M3724:M3725),6)</f>
        <v>0</v>
      </c>
      <c r="N3723" s="212">
        <f>'02 项目基础信息（输入）'!$C$90</f>
        <v>0</v>
      </c>
      <c r="O3723" s="203">
        <f t="shared" si="432"/>
        <v>0</v>
      </c>
      <c r="P3723" s="203">
        <f t="shared" si="434"/>
        <v>0</v>
      </c>
      <c r="Q3723" s="271">
        <f t="shared" si="433"/>
        <v>0</v>
      </c>
      <c r="R3723" s="188"/>
      <c r="S3723" s="280"/>
      <c r="T3723" s="222"/>
      <c r="U3723" s="223" t="s">
        <v>5960</v>
      </c>
    </row>
    <row r="3724" spans="1:21" s="181" customFormat="1" ht="0" hidden="1" customHeight="1" outlineLevel="5">
      <c r="A3724" s="253" t="s">
        <v>4868</v>
      </c>
      <c r="B3724" s="254"/>
      <c r="C3724" s="250" t="s">
        <v>1609</v>
      </c>
      <c r="D3724" s="212">
        <f>'02 项目基础信息（输入）'!$C$90</f>
        <v>0</v>
      </c>
      <c r="E3724" s="204" t="s">
        <v>93</v>
      </c>
      <c r="F3724" s="202" t="s">
        <v>4496</v>
      </c>
      <c r="G3724" s="296">
        <f>IFERROR('02 项目基础信息（输入）'!BX90/'02 项目基础信息（输入）'!D90,0)</f>
        <v>0</v>
      </c>
      <c r="H3724" s="204" t="s">
        <v>298</v>
      </c>
      <c r="I3724" s="265">
        <f>D3724*G3724</f>
        <v>0</v>
      </c>
      <c r="J3724" s="204" t="s">
        <v>93</v>
      </c>
      <c r="K3724" s="269"/>
      <c r="L3724" s="210" t="s">
        <v>675</v>
      </c>
      <c r="M3724" s="198">
        <f>ROUND(K3724*I3724/10000,6)</f>
        <v>0</v>
      </c>
      <c r="N3724" s="212">
        <f>'02 项目基础信息（输入）'!$C$90</f>
        <v>0</v>
      </c>
      <c r="O3724" s="203">
        <f t="shared" si="432"/>
        <v>0</v>
      </c>
      <c r="P3724" s="203">
        <f t="shared" si="434"/>
        <v>0</v>
      </c>
      <c r="Q3724" s="271">
        <f t="shared" si="433"/>
        <v>0</v>
      </c>
      <c r="R3724" s="188"/>
      <c r="S3724" s="280"/>
      <c r="T3724" s="222"/>
      <c r="U3724" s="223" t="s">
        <v>5961</v>
      </c>
    </row>
    <row r="3725" spans="1:21" s="181" customFormat="1" ht="0" hidden="1" customHeight="1" outlineLevel="5">
      <c r="A3725" s="253" t="s">
        <v>4870</v>
      </c>
      <c r="B3725" s="254"/>
      <c r="C3725" s="250" t="s">
        <v>1609</v>
      </c>
      <c r="D3725" s="212">
        <f>'02 项目基础信息（输入）'!$C$90</f>
        <v>0</v>
      </c>
      <c r="E3725" s="204" t="s">
        <v>93</v>
      </c>
      <c r="F3725" s="202" t="s">
        <v>4496</v>
      </c>
      <c r="G3725" s="221">
        <f>G3724</f>
        <v>0</v>
      </c>
      <c r="H3725" s="204" t="s">
        <v>298</v>
      </c>
      <c r="I3725" s="265">
        <f>D3725*G3725</f>
        <v>0</v>
      </c>
      <c r="J3725" s="204" t="s">
        <v>93</v>
      </c>
      <c r="K3725" s="269"/>
      <c r="L3725" s="210" t="s">
        <v>675</v>
      </c>
      <c r="M3725" s="198">
        <f>ROUND(K3725*I3725/10000,6)</f>
        <v>0</v>
      </c>
      <c r="N3725" s="212">
        <f>'02 项目基础信息（输入）'!$C$90</f>
        <v>0</v>
      </c>
      <c r="O3725" s="203">
        <f t="shared" si="432"/>
        <v>0</v>
      </c>
      <c r="P3725" s="203">
        <f t="shared" si="434"/>
        <v>0</v>
      </c>
      <c r="Q3725" s="271">
        <f t="shared" si="433"/>
        <v>0</v>
      </c>
      <c r="R3725" s="188"/>
      <c r="S3725" s="280"/>
      <c r="T3725" s="222"/>
      <c r="U3725" s="223" t="s">
        <v>5962</v>
      </c>
    </row>
    <row r="3726" spans="1:21" s="181" customFormat="1" ht="0" hidden="1" customHeight="1" outlineLevel="4">
      <c r="A3726" s="253" t="s">
        <v>4872</v>
      </c>
      <c r="B3726" s="254"/>
      <c r="C3726" s="250" t="s">
        <v>1609</v>
      </c>
      <c r="D3726" s="212">
        <f>'02 项目基础信息（输入）'!$C$90</f>
        <v>0</v>
      </c>
      <c r="E3726" s="204" t="s">
        <v>93</v>
      </c>
      <c r="F3726" s="202" t="s">
        <v>4501</v>
      </c>
      <c r="G3726" s="281">
        <f>IFERROR('02 项目基础信息（输入）'!BW90/'02 项目基础信息（输入）'!D90,0)</f>
        <v>0</v>
      </c>
      <c r="H3726" s="204" t="s">
        <v>298</v>
      </c>
      <c r="I3726" s="265">
        <f>D3726*G3726</f>
        <v>0</v>
      </c>
      <c r="J3726" s="204" t="s">
        <v>93</v>
      </c>
      <c r="K3726" s="269"/>
      <c r="L3726" s="210" t="s">
        <v>675</v>
      </c>
      <c r="M3726" s="198">
        <f>ROUND(K3726*I3726/10000,6)</f>
        <v>0</v>
      </c>
      <c r="N3726" s="212">
        <f>'02 项目基础信息（输入）'!$C$90</f>
        <v>0</v>
      </c>
      <c r="O3726" s="203">
        <f t="shared" si="432"/>
        <v>0</v>
      </c>
      <c r="P3726" s="203">
        <f t="shared" si="434"/>
        <v>0</v>
      </c>
      <c r="Q3726" s="271">
        <f t="shared" si="433"/>
        <v>0</v>
      </c>
      <c r="R3726" s="188"/>
      <c r="S3726" s="280"/>
      <c r="T3726" s="222"/>
      <c r="U3726" s="223" t="s">
        <v>5963</v>
      </c>
    </row>
    <row r="3727" spans="1:21" s="181" customFormat="1" ht="0" hidden="1" customHeight="1" outlineLevel="4">
      <c r="A3727" s="253" t="s">
        <v>4874</v>
      </c>
      <c r="B3727" s="254"/>
      <c r="C3727" s="250" t="s">
        <v>1609</v>
      </c>
      <c r="D3727" s="212">
        <f>'02 项目基础信息（输入）'!$C$90</f>
        <v>0</v>
      </c>
      <c r="E3727" s="204" t="s">
        <v>93</v>
      </c>
      <c r="F3727" s="202" t="s">
        <v>4504</v>
      </c>
      <c r="G3727" s="281">
        <f>IFERROR('02 项目基础信息（输入）'!BY90/'02 项目基础信息（输入）'!D90,0)</f>
        <v>0</v>
      </c>
      <c r="H3727" s="204" t="s">
        <v>298</v>
      </c>
      <c r="I3727" s="265">
        <f>D3727*G3727</f>
        <v>0</v>
      </c>
      <c r="J3727" s="204" t="s">
        <v>93</v>
      </c>
      <c r="K3727" s="269"/>
      <c r="L3727" s="210" t="s">
        <v>675</v>
      </c>
      <c r="M3727" s="198">
        <f>ROUND(K3727*I3727/10000,6)</f>
        <v>0</v>
      </c>
      <c r="N3727" s="212">
        <f>'02 项目基础信息（输入）'!$C$90</f>
        <v>0</v>
      </c>
      <c r="O3727" s="203">
        <f t="shared" si="432"/>
        <v>0</v>
      </c>
      <c r="P3727" s="203">
        <f t="shared" si="434"/>
        <v>0</v>
      </c>
      <c r="Q3727" s="271">
        <f t="shared" si="433"/>
        <v>0</v>
      </c>
      <c r="R3727" s="188"/>
      <c r="S3727" s="280"/>
      <c r="T3727" s="222"/>
      <c r="U3727" s="223" t="s">
        <v>5964</v>
      </c>
    </row>
    <row r="3728" spans="1:21" s="181" customFormat="1" ht="0" hidden="1" customHeight="1" outlineLevel="4">
      <c r="A3728" s="253" t="s">
        <v>4876</v>
      </c>
      <c r="B3728" s="254"/>
      <c r="C3728" s="250" t="s">
        <v>1609</v>
      </c>
      <c r="D3728" s="212">
        <f>'02 项目基础信息（输入）'!$C$90</f>
        <v>0</v>
      </c>
      <c r="E3728" s="204" t="s">
        <v>93</v>
      </c>
      <c r="F3728" s="202" t="s">
        <v>475</v>
      </c>
      <c r="G3728" s="281">
        <f>IFERROR('02 项目基础信息（输入）'!BZ90/'02 项目基础信息（输入）'!D90,0)</f>
        <v>0</v>
      </c>
      <c r="H3728" s="204" t="s">
        <v>298</v>
      </c>
      <c r="I3728" s="265">
        <f>D3728*G3728</f>
        <v>0</v>
      </c>
      <c r="J3728" s="204" t="s">
        <v>93</v>
      </c>
      <c r="K3728" s="269"/>
      <c r="L3728" s="210" t="s">
        <v>675</v>
      </c>
      <c r="M3728" s="198">
        <f>ROUND(K3728*I3728/10000,6)</f>
        <v>0</v>
      </c>
      <c r="N3728" s="212">
        <f>'02 项目基础信息（输入）'!$C$90</f>
        <v>0</v>
      </c>
      <c r="O3728" s="203">
        <f t="shared" si="432"/>
        <v>0</v>
      </c>
      <c r="P3728" s="203">
        <f t="shared" si="434"/>
        <v>0</v>
      </c>
      <c r="Q3728" s="271">
        <f t="shared" si="433"/>
        <v>0</v>
      </c>
      <c r="R3728" s="188"/>
      <c r="S3728" s="280"/>
      <c r="T3728" s="222"/>
      <c r="U3728" s="223" t="s">
        <v>5965</v>
      </c>
    </row>
    <row r="3729" spans="1:21" s="181" customFormat="1" ht="0" hidden="1" customHeight="1" outlineLevel="4">
      <c r="A3729" s="253" t="s">
        <v>4508</v>
      </c>
      <c r="B3729" s="254"/>
      <c r="C3729" s="250" t="s">
        <v>1609</v>
      </c>
      <c r="D3729" s="212">
        <f>'02 项目基础信息（输入）'!$C$90</f>
        <v>0</v>
      </c>
      <c r="E3729" s="204" t="s">
        <v>93</v>
      </c>
      <c r="F3729" s="202"/>
      <c r="G3729" s="210"/>
      <c r="H3729" s="204"/>
      <c r="I3729" s="265"/>
      <c r="J3729" s="204"/>
      <c r="K3729" s="266"/>
      <c r="L3729" s="210"/>
      <c r="M3729" s="198">
        <f>ROUND(SUM(M3730:M3731),6)</f>
        <v>0</v>
      </c>
      <c r="N3729" s="212">
        <f>'02 项目基础信息（输入）'!$C$90</f>
        <v>0</v>
      </c>
      <c r="O3729" s="203">
        <f t="shared" si="432"/>
        <v>0</v>
      </c>
      <c r="P3729" s="203">
        <f t="shared" si="434"/>
        <v>0</v>
      </c>
      <c r="Q3729" s="271">
        <f t="shared" si="433"/>
        <v>0</v>
      </c>
      <c r="R3729" s="188"/>
      <c r="S3729" s="280"/>
      <c r="T3729" s="222"/>
      <c r="U3729" s="223" t="s">
        <v>5966</v>
      </c>
    </row>
    <row r="3730" spans="1:21" s="181" customFormat="1" ht="0" hidden="1" customHeight="1" outlineLevel="5">
      <c r="A3730" s="253" t="s">
        <v>4879</v>
      </c>
      <c r="B3730" s="254"/>
      <c r="C3730" s="250" t="s">
        <v>1609</v>
      </c>
      <c r="D3730" s="212">
        <f>'02 项目基础信息（输入）'!$C$90</f>
        <v>0</v>
      </c>
      <c r="E3730" s="204" t="s">
        <v>93</v>
      </c>
      <c r="F3730" s="202" t="s">
        <v>4511</v>
      </c>
      <c r="G3730" s="309"/>
      <c r="H3730" s="204" t="s">
        <v>298</v>
      </c>
      <c r="I3730" s="265">
        <f>D3730*G3730</f>
        <v>0</v>
      </c>
      <c r="J3730" s="204" t="s">
        <v>93</v>
      </c>
      <c r="K3730" s="269"/>
      <c r="L3730" s="210" t="s">
        <v>675</v>
      </c>
      <c r="M3730" s="198">
        <f>ROUND(K3730*I3730/10000,6)</f>
        <v>0</v>
      </c>
      <c r="N3730" s="212">
        <f>'02 项目基础信息（输入）'!$C$90</f>
        <v>0</v>
      </c>
      <c r="O3730" s="203">
        <f t="shared" si="432"/>
        <v>0</v>
      </c>
      <c r="P3730" s="203">
        <f t="shared" si="434"/>
        <v>0</v>
      </c>
      <c r="Q3730" s="271">
        <f t="shared" si="433"/>
        <v>0</v>
      </c>
      <c r="R3730" s="188"/>
      <c r="S3730" s="280"/>
      <c r="T3730" s="222"/>
      <c r="U3730" s="223" t="s">
        <v>5967</v>
      </c>
    </row>
    <row r="3731" spans="1:21" s="181" customFormat="1" ht="0" hidden="1" customHeight="1" outlineLevel="5">
      <c r="A3731" s="253" t="s">
        <v>4881</v>
      </c>
      <c r="B3731" s="254"/>
      <c r="C3731" s="250" t="s">
        <v>1609</v>
      </c>
      <c r="D3731" s="212">
        <f>'02 项目基础信息（输入）'!$C$90</f>
        <v>0</v>
      </c>
      <c r="E3731" s="204" t="s">
        <v>93</v>
      </c>
      <c r="F3731" s="202" t="s">
        <v>4511</v>
      </c>
      <c r="G3731" s="221">
        <f>G3730</f>
        <v>0</v>
      </c>
      <c r="H3731" s="204" t="s">
        <v>298</v>
      </c>
      <c r="I3731" s="265">
        <f>D3731*G3731</f>
        <v>0</v>
      </c>
      <c r="J3731" s="204" t="s">
        <v>93</v>
      </c>
      <c r="K3731" s="269"/>
      <c r="L3731" s="210" t="s">
        <v>675</v>
      </c>
      <c r="M3731" s="198">
        <f>ROUND(K3731*I3731/10000,6)</f>
        <v>0</v>
      </c>
      <c r="N3731" s="212">
        <f>'02 项目基础信息（输入）'!$C$90</f>
        <v>0</v>
      </c>
      <c r="O3731" s="203">
        <f t="shared" si="432"/>
        <v>0</v>
      </c>
      <c r="P3731" s="203">
        <f t="shared" si="434"/>
        <v>0</v>
      </c>
      <c r="Q3731" s="271">
        <f t="shared" si="433"/>
        <v>0</v>
      </c>
      <c r="R3731" s="188"/>
      <c r="S3731" s="280"/>
      <c r="T3731" s="222"/>
      <c r="U3731" s="223" t="s">
        <v>5968</v>
      </c>
    </row>
    <row r="3732" spans="1:21" s="181" customFormat="1" ht="0" hidden="1" customHeight="1" outlineLevel="4">
      <c r="A3732" s="253" t="s">
        <v>4883</v>
      </c>
      <c r="B3732" s="254"/>
      <c r="C3732" s="250" t="s">
        <v>1609</v>
      </c>
      <c r="D3732" s="212">
        <f>'02 项目基础信息（输入）'!$C$90</f>
        <v>0</v>
      </c>
      <c r="E3732" s="204" t="s">
        <v>93</v>
      </c>
      <c r="F3732" s="202" t="s">
        <v>4884</v>
      </c>
      <c r="G3732" s="261">
        <f>IFERROR(I3732/D3732,0)</f>
        <v>0</v>
      </c>
      <c r="H3732" s="204" t="s">
        <v>298</v>
      </c>
      <c r="I3732" s="270"/>
      <c r="J3732" s="204" t="s">
        <v>93</v>
      </c>
      <c r="K3732" s="269"/>
      <c r="L3732" s="210" t="s">
        <v>675</v>
      </c>
      <c r="M3732" s="198">
        <f>ROUND(K3732*I3732/10000,6)</f>
        <v>0</v>
      </c>
      <c r="N3732" s="212">
        <f>'02 项目基础信息（输入）'!$C$90</f>
        <v>0</v>
      </c>
      <c r="O3732" s="203">
        <f t="shared" si="432"/>
        <v>0</v>
      </c>
      <c r="P3732" s="203">
        <f t="shared" si="434"/>
        <v>0</v>
      </c>
      <c r="Q3732" s="271">
        <f t="shared" si="433"/>
        <v>0</v>
      </c>
      <c r="R3732" s="188"/>
      <c r="S3732" s="280"/>
      <c r="T3732" s="222"/>
      <c r="U3732" s="223" t="s">
        <v>5969</v>
      </c>
    </row>
    <row r="3733" spans="1:21" s="181" customFormat="1" ht="0" hidden="1" customHeight="1" outlineLevel="4">
      <c r="A3733" s="253" t="s">
        <v>4886</v>
      </c>
      <c r="B3733" s="254"/>
      <c r="C3733" s="250" t="s">
        <v>1609</v>
      </c>
      <c r="D3733" s="212">
        <f>'02 项目基础信息（输入）'!$C$90</f>
        <v>0</v>
      </c>
      <c r="E3733" s="204" t="s">
        <v>93</v>
      </c>
      <c r="F3733" s="202" t="s">
        <v>4884</v>
      </c>
      <c r="G3733" s="261">
        <f>IFERROR(I3733/D3733,0)</f>
        <v>0</v>
      </c>
      <c r="H3733" s="204" t="s">
        <v>298</v>
      </c>
      <c r="I3733" s="270"/>
      <c r="J3733" s="204" t="s">
        <v>93</v>
      </c>
      <c r="K3733" s="269"/>
      <c r="L3733" s="210" t="s">
        <v>675</v>
      </c>
      <c r="M3733" s="198">
        <f>ROUND(K3733*I3733/10000,6)</f>
        <v>0</v>
      </c>
      <c r="N3733" s="212">
        <f>'02 项目基础信息（输入）'!$C$90</f>
        <v>0</v>
      </c>
      <c r="O3733" s="203">
        <f t="shared" si="432"/>
        <v>0</v>
      </c>
      <c r="P3733" s="203">
        <f t="shared" si="434"/>
        <v>0</v>
      </c>
      <c r="Q3733" s="271">
        <f t="shared" si="433"/>
        <v>0</v>
      </c>
      <c r="R3733" s="188"/>
      <c r="S3733" s="280"/>
      <c r="T3733" s="222"/>
      <c r="U3733" s="223" t="s">
        <v>5970</v>
      </c>
    </row>
    <row r="3734" spans="1:21" s="181" customFormat="1" ht="0" hidden="1" customHeight="1" outlineLevel="4">
      <c r="A3734" s="253" t="s">
        <v>4888</v>
      </c>
      <c r="B3734" s="254"/>
      <c r="C3734" s="250" t="s">
        <v>1609</v>
      </c>
      <c r="D3734" s="212">
        <f>'02 项目基础信息（输入）'!$C$90</f>
        <v>0</v>
      </c>
      <c r="E3734" s="204" t="s">
        <v>93</v>
      </c>
      <c r="F3734" s="202" t="s">
        <v>4525</v>
      </c>
      <c r="G3734" s="286"/>
      <c r="H3734" s="204" t="s">
        <v>298</v>
      </c>
      <c r="I3734" s="265">
        <f>D3734*G3734</f>
        <v>0</v>
      </c>
      <c r="J3734" s="204" t="s">
        <v>93</v>
      </c>
      <c r="K3734" s="269"/>
      <c r="L3734" s="210" t="s">
        <v>675</v>
      </c>
      <c r="M3734" s="198">
        <f>ROUND(K3734*I3734/10000,6)</f>
        <v>0</v>
      </c>
      <c r="N3734" s="212">
        <f>'02 项目基础信息（输入）'!$C$90</f>
        <v>0</v>
      </c>
      <c r="O3734" s="203">
        <f t="shared" si="432"/>
        <v>0</v>
      </c>
      <c r="P3734" s="203">
        <f t="shared" si="434"/>
        <v>0</v>
      </c>
      <c r="Q3734" s="271">
        <f t="shared" si="433"/>
        <v>0</v>
      </c>
      <c r="R3734" s="188"/>
      <c r="S3734" s="280"/>
      <c r="T3734" s="222"/>
      <c r="U3734" s="223" t="s">
        <v>5971</v>
      </c>
    </row>
    <row r="3735" spans="1:21" s="181" customFormat="1" ht="0" hidden="1" customHeight="1" outlineLevel="4">
      <c r="A3735" s="253" t="s">
        <v>4527</v>
      </c>
      <c r="B3735" s="254"/>
      <c r="C3735" s="250" t="s">
        <v>1665</v>
      </c>
      <c r="D3735" s="203">
        <f>ROUND(M3723+M3726+M3727+M3728+M3729+M3732+M3733+M3734,6)*10000</f>
        <v>0</v>
      </c>
      <c r="E3735" s="204" t="s">
        <v>1666</v>
      </c>
      <c r="F3735" s="202" t="s">
        <v>1667</v>
      </c>
      <c r="G3735" s="258">
        <f>IFERROR(I3735*100/D3735,0)</f>
        <v>0</v>
      </c>
      <c r="H3735" s="204" t="s">
        <v>123</v>
      </c>
      <c r="I3735" s="265">
        <f>N3735*K3735</f>
        <v>0</v>
      </c>
      <c r="J3735" s="204" t="s">
        <v>1666</v>
      </c>
      <c r="K3735" s="269"/>
      <c r="L3735" s="210" t="s">
        <v>675</v>
      </c>
      <c r="M3735" s="231">
        <f>ROUND(I3735/10000,6)</f>
        <v>0</v>
      </c>
      <c r="N3735" s="212">
        <f>'02 项目基础信息（输入）'!$C$90</f>
        <v>0</v>
      </c>
      <c r="O3735" s="203">
        <f t="shared" si="432"/>
        <v>0</v>
      </c>
      <c r="P3735" s="203">
        <f t="shared" si="434"/>
        <v>0</v>
      </c>
      <c r="Q3735" s="271">
        <f t="shared" si="433"/>
        <v>0</v>
      </c>
      <c r="R3735" s="188"/>
      <c r="S3735" s="280"/>
      <c r="T3735" s="222"/>
      <c r="U3735" s="223" t="s">
        <v>5972</v>
      </c>
    </row>
    <row r="3736" spans="1:21" s="181" customFormat="1" ht="0" hidden="1" customHeight="1" outlineLevel="3">
      <c r="A3736" s="253" t="s">
        <v>4529</v>
      </c>
      <c r="B3736" s="254"/>
      <c r="C3736" s="250" t="s">
        <v>1609</v>
      </c>
      <c r="D3736" s="212">
        <f>'02 项目基础信息（输入）'!$C$90</f>
        <v>0</v>
      </c>
      <c r="E3736" s="204" t="s">
        <v>93</v>
      </c>
      <c r="F3736" s="202"/>
      <c r="G3736" s="204"/>
      <c r="H3736" s="204"/>
      <c r="I3736" s="265"/>
      <c r="J3736" s="204"/>
      <c r="K3736" s="203"/>
      <c r="L3736" s="210"/>
      <c r="M3736" s="198">
        <f>ROUND(SUM(M3737:M3738),6)</f>
        <v>0</v>
      </c>
      <c r="N3736" s="212">
        <f>'02 项目基础信息（输入）'!$C$90</f>
        <v>0</v>
      </c>
      <c r="O3736" s="203">
        <f t="shared" si="432"/>
        <v>0</v>
      </c>
      <c r="P3736" s="203">
        <f t="shared" si="434"/>
        <v>0</v>
      </c>
      <c r="Q3736" s="271">
        <f t="shared" si="433"/>
        <v>0</v>
      </c>
      <c r="R3736" s="188"/>
      <c r="S3736" s="280"/>
      <c r="T3736" s="222"/>
      <c r="U3736" s="223" t="s">
        <v>5973</v>
      </c>
    </row>
    <row r="3737" spans="1:21" s="181" customFormat="1" ht="0" hidden="1" customHeight="1" outlineLevel="4">
      <c r="A3737" s="253" t="s">
        <v>4892</v>
      </c>
      <c r="B3737" s="254"/>
      <c r="C3737" s="250" t="s">
        <v>1609</v>
      </c>
      <c r="D3737" s="212">
        <f>'02 项目基础信息（输入）'!$C$90</f>
        <v>0</v>
      </c>
      <c r="E3737" s="204" t="s">
        <v>93</v>
      </c>
      <c r="F3737" s="202" t="s">
        <v>4532</v>
      </c>
      <c r="G3737" s="286"/>
      <c r="H3737" s="204" t="s">
        <v>298</v>
      </c>
      <c r="I3737" s="265">
        <f>D3737*G3737</f>
        <v>0</v>
      </c>
      <c r="J3737" s="204" t="s">
        <v>93</v>
      </c>
      <c r="K3737" s="269"/>
      <c r="L3737" s="210" t="s">
        <v>675</v>
      </c>
      <c r="M3737" s="198">
        <f>ROUND(K3737*I3737/10000,6)</f>
        <v>0</v>
      </c>
      <c r="N3737" s="212">
        <f>'02 项目基础信息（输入）'!$C$90</f>
        <v>0</v>
      </c>
      <c r="O3737" s="203">
        <f t="shared" si="432"/>
        <v>0</v>
      </c>
      <c r="P3737" s="203">
        <f t="shared" si="434"/>
        <v>0</v>
      </c>
      <c r="Q3737" s="271">
        <f t="shared" si="433"/>
        <v>0</v>
      </c>
      <c r="R3737" s="188"/>
      <c r="S3737" s="280"/>
      <c r="T3737" s="222"/>
      <c r="U3737" s="223" t="s">
        <v>5974</v>
      </c>
    </row>
    <row r="3738" spans="1:21" s="181" customFormat="1" ht="0" hidden="1" customHeight="1" outlineLevel="4">
      <c r="A3738" s="253" t="s">
        <v>4894</v>
      </c>
      <c r="B3738" s="254"/>
      <c r="C3738" s="250" t="s">
        <v>1609</v>
      </c>
      <c r="D3738" s="212">
        <f>'02 项目基础信息（输入）'!$C$90</f>
        <v>0</v>
      </c>
      <c r="E3738" s="204" t="s">
        <v>93</v>
      </c>
      <c r="F3738" s="250" t="s">
        <v>4535</v>
      </c>
      <c r="G3738" s="204">
        <v>1</v>
      </c>
      <c r="H3738" s="204" t="s">
        <v>298</v>
      </c>
      <c r="I3738" s="265">
        <f>D3738*G3738</f>
        <v>0</v>
      </c>
      <c r="J3738" s="204" t="s">
        <v>93</v>
      </c>
      <c r="K3738" s="269"/>
      <c r="L3738" s="210" t="s">
        <v>675</v>
      </c>
      <c r="M3738" s="198">
        <f>ROUND(K3738*I3738/10000,6)</f>
        <v>0</v>
      </c>
      <c r="N3738" s="212">
        <f>'02 项目基础信息（输入）'!$C$90</f>
        <v>0</v>
      </c>
      <c r="O3738" s="203">
        <f t="shared" si="432"/>
        <v>0</v>
      </c>
      <c r="P3738" s="203">
        <f t="shared" si="434"/>
        <v>0</v>
      </c>
      <c r="Q3738" s="271">
        <f t="shared" si="433"/>
        <v>0</v>
      </c>
      <c r="R3738" s="188"/>
      <c r="S3738" s="280"/>
      <c r="T3738" s="222"/>
      <c r="U3738" s="223" t="s">
        <v>5975</v>
      </c>
    </row>
    <row r="3739" spans="1:21" s="181" customFormat="1" ht="0" hidden="1" customHeight="1" outlineLevel="3">
      <c r="A3739" s="253" t="s">
        <v>4537</v>
      </c>
      <c r="B3739" s="254"/>
      <c r="C3739" s="250" t="s">
        <v>1609</v>
      </c>
      <c r="D3739" s="212">
        <f>'02 项目基础信息（输入）'!$C$90</f>
        <v>0</v>
      </c>
      <c r="E3739" s="204" t="s">
        <v>93</v>
      </c>
      <c r="F3739" s="202"/>
      <c r="G3739" s="204"/>
      <c r="H3739" s="204"/>
      <c r="I3739" s="265"/>
      <c r="J3739" s="204"/>
      <c r="K3739" s="203"/>
      <c r="L3739" s="210"/>
      <c r="M3739" s="198">
        <f>ROUND(SUM(M3740),6)</f>
        <v>0</v>
      </c>
      <c r="N3739" s="212">
        <f>'02 项目基础信息（输入）'!$C$90</f>
        <v>0</v>
      </c>
      <c r="O3739" s="203">
        <f t="shared" si="432"/>
        <v>0</v>
      </c>
      <c r="P3739" s="203">
        <f t="shared" si="434"/>
        <v>0</v>
      </c>
      <c r="Q3739" s="271">
        <f t="shared" si="433"/>
        <v>0</v>
      </c>
      <c r="R3739" s="188"/>
      <c r="S3739" s="280"/>
      <c r="T3739" s="222"/>
      <c r="U3739" s="223" t="s">
        <v>5976</v>
      </c>
    </row>
    <row r="3740" spans="1:21" s="181" customFormat="1" ht="0" hidden="1" customHeight="1" outlineLevel="4">
      <c r="A3740" s="253" t="s">
        <v>4897</v>
      </c>
      <c r="B3740" s="254"/>
      <c r="C3740" s="250" t="s">
        <v>1609</v>
      </c>
      <c r="D3740" s="212">
        <f>'02 项目基础信息（输入）'!$C$90</f>
        <v>0</v>
      </c>
      <c r="E3740" s="204" t="s">
        <v>93</v>
      </c>
      <c r="F3740" s="202" t="s">
        <v>4540</v>
      </c>
      <c r="G3740" s="286"/>
      <c r="H3740" s="204" t="s">
        <v>298</v>
      </c>
      <c r="I3740" s="265">
        <f>D3740*G3740</f>
        <v>0</v>
      </c>
      <c r="J3740" s="204" t="s">
        <v>93</v>
      </c>
      <c r="K3740" s="269"/>
      <c r="L3740" s="210" t="s">
        <v>675</v>
      </c>
      <c r="M3740" s="198">
        <f>ROUND(K3740*I3740/10000,6)</f>
        <v>0</v>
      </c>
      <c r="N3740" s="212">
        <f>'02 项目基础信息（输入）'!$C$90</f>
        <v>0</v>
      </c>
      <c r="O3740" s="203">
        <f t="shared" si="432"/>
        <v>0</v>
      </c>
      <c r="P3740" s="203">
        <f t="shared" si="434"/>
        <v>0</v>
      </c>
      <c r="Q3740" s="271">
        <f t="shared" si="433"/>
        <v>0</v>
      </c>
      <c r="R3740" s="188"/>
      <c r="S3740" s="280"/>
      <c r="T3740" s="222"/>
      <c r="U3740" s="223" t="s">
        <v>5977</v>
      </c>
    </row>
    <row r="3741" spans="1:21" ht="0" hidden="1" customHeight="1" outlineLevel="2">
      <c r="A3741" s="201" t="s">
        <v>4542</v>
      </c>
      <c r="B3741" s="201"/>
      <c r="C3741" s="202" t="s">
        <v>1609</v>
      </c>
      <c r="D3741" s="212">
        <f>'02 项目基础信息（输入）'!$C$90</f>
        <v>0</v>
      </c>
      <c r="E3741" s="204" t="s">
        <v>93</v>
      </c>
      <c r="F3741" s="202"/>
      <c r="G3741" s="204"/>
      <c r="H3741" s="204"/>
      <c r="I3741" s="203"/>
      <c r="J3741" s="255"/>
      <c r="K3741" s="264"/>
      <c r="L3741" s="205"/>
      <c r="M3741" s="198">
        <f>ROUND(M3742+M3746+M3750+M3754+M3758+M3762+M3765+M3769+M3772+M3773+M3774+M3775,6)</f>
        <v>0</v>
      </c>
      <c r="N3741" s="212">
        <f>'02 项目基础信息（输入）'!$C$90</f>
        <v>0</v>
      </c>
      <c r="O3741" s="203">
        <f t="shared" si="432"/>
        <v>0</v>
      </c>
      <c r="P3741" s="203">
        <f t="shared" si="434"/>
        <v>0</v>
      </c>
      <c r="Q3741" s="271">
        <f t="shared" si="433"/>
        <v>0</v>
      </c>
      <c r="S3741" s="280" t="s">
        <v>1314</v>
      </c>
      <c r="T3741" s="222"/>
      <c r="U3741" s="223" t="s">
        <v>5978</v>
      </c>
    </row>
    <row r="3742" spans="1:21" s="181" customFormat="1" ht="0" hidden="1" customHeight="1" outlineLevel="3">
      <c r="A3742" s="253" t="s">
        <v>4900</v>
      </c>
      <c r="B3742" s="254"/>
      <c r="C3742" s="250" t="s">
        <v>1609</v>
      </c>
      <c r="D3742" s="212">
        <f>'02 项目基础信息（输入）'!$C$90</f>
        <v>0</v>
      </c>
      <c r="E3742" s="204" t="s">
        <v>93</v>
      </c>
      <c r="F3742" s="288"/>
      <c r="G3742" s="277"/>
      <c r="H3742" s="255"/>
      <c r="I3742" s="268"/>
      <c r="J3742" s="255"/>
      <c r="K3742" s="264"/>
      <c r="L3742" s="205"/>
      <c r="M3742" s="198">
        <f>ROUND(SUM(M3743:M3745),6)</f>
        <v>0</v>
      </c>
      <c r="N3742" s="212">
        <f>'02 项目基础信息（输入）'!$C$90</f>
        <v>0</v>
      </c>
      <c r="O3742" s="203">
        <f t="shared" si="432"/>
        <v>0</v>
      </c>
      <c r="P3742" s="203">
        <f t="shared" si="434"/>
        <v>0</v>
      </c>
      <c r="Q3742" s="271">
        <f t="shared" si="433"/>
        <v>0</v>
      </c>
      <c r="R3742" s="188"/>
      <c r="S3742" s="280"/>
      <c r="T3742" s="222"/>
      <c r="U3742" s="223" t="s">
        <v>5979</v>
      </c>
    </row>
    <row r="3743" spans="1:21" s="181" customFormat="1" ht="0" hidden="1" customHeight="1" outlineLevel="4">
      <c r="A3743" s="253" t="s">
        <v>4902</v>
      </c>
      <c r="B3743" s="253"/>
      <c r="C3743" s="202" t="s">
        <v>4903</v>
      </c>
      <c r="D3743" s="301">
        <f>'02 项目基础信息（输入）'!AB90</f>
        <v>0</v>
      </c>
      <c r="E3743" s="204" t="s">
        <v>400</v>
      </c>
      <c r="F3743" s="250" t="s">
        <v>4904</v>
      </c>
      <c r="G3743" s="310">
        <f>IFERROR(N3743*('02 项目基础信息（输入）'!AC90/'02 项目基础信息（输入）'!C90)/D3743,0)</f>
        <v>0</v>
      </c>
      <c r="H3743" s="204" t="s">
        <v>411</v>
      </c>
      <c r="I3743" s="265">
        <f>D3743*G3743</f>
        <v>0</v>
      </c>
      <c r="J3743" s="204" t="s">
        <v>93</v>
      </c>
      <c r="K3743" s="269"/>
      <c r="L3743" s="210" t="s">
        <v>675</v>
      </c>
      <c r="M3743" s="198">
        <f>ROUND(K3743*I3743/10000,6)</f>
        <v>0</v>
      </c>
      <c r="N3743" s="212">
        <f>'02 项目基础信息（输入）'!$C$90</f>
        <v>0</v>
      </c>
      <c r="O3743" s="203">
        <f t="shared" si="432"/>
        <v>0</v>
      </c>
      <c r="P3743" s="203">
        <f t="shared" si="434"/>
        <v>0</v>
      </c>
      <c r="Q3743" s="271">
        <f t="shared" si="433"/>
        <v>0</v>
      </c>
      <c r="R3743" s="188"/>
      <c r="S3743" s="280"/>
      <c r="T3743" s="222"/>
      <c r="U3743" s="223" t="s">
        <v>5980</v>
      </c>
    </row>
    <row r="3744" spans="1:21" s="181" customFormat="1" ht="0" hidden="1" customHeight="1" outlineLevel="4">
      <c r="A3744" s="253" t="s">
        <v>4906</v>
      </c>
      <c r="B3744" s="253"/>
      <c r="C3744" s="202" t="s">
        <v>4903</v>
      </c>
      <c r="D3744" s="288">
        <f>D3743</f>
        <v>0</v>
      </c>
      <c r="E3744" s="204" t="s">
        <v>400</v>
      </c>
      <c r="F3744" s="250" t="s">
        <v>4904</v>
      </c>
      <c r="G3744" s="303">
        <f>G3743</f>
        <v>0</v>
      </c>
      <c r="H3744" s="204" t="s">
        <v>411</v>
      </c>
      <c r="I3744" s="265">
        <f>D3744*G3744</f>
        <v>0</v>
      </c>
      <c r="J3744" s="204" t="s">
        <v>93</v>
      </c>
      <c r="K3744" s="269"/>
      <c r="L3744" s="210" t="s">
        <v>675</v>
      </c>
      <c r="M3744" s="198">
        <f>ROUND(K3744*I3744/10000,6)</f>
        <v>0</v>
      </c>
      <c r="N3744" s="212">
        <f>'02 项目基础信息（输入）'!$C$90</f>
        <v>0</v>
      </c>
      <c r="O3744" s="203">
        <f t="shared" si="432"/>
        <v>0</v>
      </c>
      <c r="P3744" s="203">
        <f t="shared" si="434"/>
        <v>0</v>
      </c>
      <c r="Q3744" s="271">
        <f t="shared" si="433"/>
        <v>0</v>
      </c>
      <c r="R3744" s="188"/>
      <c r="S3744" s="280"/>
      <c r="T3744" s="222"/>
      <c r="U3744" s="223" t="s">
        <v>5981</v>
      </c>
    </row>
    <row r="3745" spans="1:21" s="181" customFormat="1" ht="0" hidden="1" customHeight="1" outlineLevel="4">
      <c r="A3745" s="253" t="s">
        <v>4908</v>
      </c>
      <c r="B3745" s="253"/>
      <c r="C3745" s="202" t="s">
        <v>4903</v>
      </c>
      <c r="D3745" s="288">
        <f>D3744</f>
        <v>0</v>
      </c>
      <c r="E3745" s="204" t="s">
        <v>400</v>
      </c>
      <c r="F3745" s="250" t="s">
        <v>4904</v>
      </c>
      <c r="G3745" s="303">
        <f>G3744</f>
        <v>0</v>
      </c>
      <c r="H3745" s="204" t="s">
        <v>411</v>
      </c>
      <c r="I3745" s="265">
        <f>D3745*G3745</f>
        <v>0</v>
      </c>
      <c r="J3745" s="204" t="s">
        <v>93</v>
      </c>
      <c r="K3745" s="269"/>
      <c r="L3745" s="210" t="s">
        <v>675</v>
      </c>
      <c r="M3745" s="198">
        <f>ROUND(K3745*I3745/10000,6)</f>
        <v>0</v>
      </c>
      <c r="N3745" s="212">
        <f>'02 项目基础信息（输入）'!$C$90</f>
        <v>0</v>
      </c>
      <c r="O3745" s="203">
        <f t="shared" si="432"/>
        <v>0</v>
      </c>
      <c r="P3745" s="203">
        <f t="shared" si="434"/>
        <v>0</v>
      </c>
      <c r="Q3745" s="271">
        <f t="shared" si="433"/>
        <v>0</v>
      </c>
      <c r="R3745" s="188"/>
      <c r="S3745" s="280"/>
      <c r="T3745" s="222"/>
      <c r="U3745" s="223" t="s">
        <v>5982</v>
      </c>
    </row>
    <row r="3746" spans="1:21" s="181" customFormat="1" ht="0" hidden="1" customHeight="1" outlineLevel="3">
      <c r="A3746" s="253" t="s">
        <v>4910</v>
      </c>
      <c r="B3746" s="254"/>
      <c r="C3746" s="250" t="s">
        <v>1609</v>
      </c>
      <c r="D3746" s="212">
        <f>'02 项目基础信息（输入）'!$C$90</f>
        <v>0</v>
      </c>
      <c r="E3746" s="204" t="s">
        <v>93</v>
      </c>
      <c r="F3746" s="288"/>
      <c r="G3746" s="277"/>
      <c r="H3746" s="255"/>
      <c r="I3746" s="268"/>
      <c r="J3746" s="255"/>
      <c r="K3746" s="264"/>
      <c r="L3746" s="205"/>
      <c r="M3746" s="198">
        <f>ROUND(SUM(M3747:M3749),6)</f>
        <v>0</v>
      </c>
      <c r="N3746" s="212">
        <f>'02 项目基础信息（输入）'!$C$90</f>
        <v>0</v>
      </c>
      <c r="O3746" s="203">
        <f t="shared" si="432"/>
        <v>0</v>
      </c>
      <c r="P3746" s="203">
        <f t="shared" si="434"/>
        <v>0</v>
      </c>
      <c r="Q3746" s="271">
        <f t="shared" si="433"/>
        <v>0</v>
      </c>
      <c r="R3746" s="188"/>
      <c r="S3746" s="280"/>
      <c r="T3746" s="222"/>
      <c r="U3746" s="223" t="s">
        <v>5983</v>
      </c>
    </row>
    <row r="3747" spans="1:21" s="181" customFormat="1" ht="0" hidden="1" customHeight="1" outlineLevel="4">
      <c r="A3747" s="253" t="s">
        <v>4912</v>
      </c>
      <c r="B3747" s="253"/>
      <c r="C3747" s="202" t="s">
        <v>4913</v>
      </c>
      <c r="D3747" s="304">
        <f>'02 项目基础信息（输入）'!T90</f>
        <v>0</v>
      </c>
      <c r="E3747" s="204" t="s">
        <v>1838</v>
      </c>
      <c r="F3747" s="250" t="s">
        <v>4914</v>
      </c>
      <c r="G3747" s="310">
        <f>IFERROR(N3747/D3747*('02 项目基础信息（输入）'!AE90/'02 项目基础信息（输入）'!C90),0)</f>
        <v>0</v>
      </c>
      <c r="H3747" s="204" t="s">
        <v>4915</v>
      </c>
      <c r="I3747" s="265">
        <f>D3747*G3747</f>
        <v>0</v>
      </c>
      <c r="J3747" s="204" t="s">
        <v>93</v>
      </c>
      <c r="K3747" s="269"/>
      <c r="L3747" s="210" t="s">
        <v>675</v>
      </c>
      <c r="M3747" s="198">
        <f>ROUND(K3747*I3747/10000,6)</f>
        <v>0</v>
      </c>
      <c r="N3747" s="212">
        <f>'02 项目基础信息（输入）'!$C$90</f>
        <v>0</v>
      </c>
      <c r="O3747" s="203">
        <f t="shared" si="432"/>
        <v>0</v>
      </c>
      <c r="P3747" s="203">
        <f t="shared" si="434"/>
        <v>0</v>
      </c>
      <c r="Q3747" s="271">
        <f t="shared" si="433"/>
        <v>0</v>
      </c>
      <c r="R3747" s="188"/>
      <c r="S3747" s="280"/>
      <c r="T3747" s="222"/>
      <c r="U3747" s="223" t="s">
        <v>5984</v>
      </c>
    </row>
    <row r="3748" spans="1:21" s="181" customFormat="1" ht="0" hidden="1" customHeight="1" outlineLevel="4">
      <c r="A3748" s="253" t="s">
        <v>4917</v>
      </c>
      <c r="B3748" s="253"/>
      <c r="C3748" s="202" t="s">
        <v>4913</v>
      </c>
      <c r="D3748" s="288">
        <f>D3747</f>
        <v>0</v>
      </c>
      <c r="E3748" s="204" t="s">
        <v>1838</v>
      </c>
      <c r="F3748" s="250" t="s">
        <v>4914</v>
      </c>
      <c r="G3748" s="258">
        <f>G3747</f>
        <v>0</v>
      </c>
      <c r="H3748" s="204" t="s">
        <v>4915</v>
      </c>
      <c r="I3748" s="265">
        <f>D3748*G3748</f>
        <v>0</v>
      </c>
      <c r="J3748" s="204" t="s">
        <v>93</v>
      </c>
      <c r="K3748" s="269"/>
      <c r="L3748" s="210" t="s">
        <v>675</v>
      </c>
      <c r="M3748" s="198">
        <f>ROUND(K3748*I3748/10000,6)</f>
        <v>0</v>
      </c>
      <c r="N3748" s="212">
        <f>'02 项目基础信息（输入）'!$C$90</f>
        <v>0</v>
      </c>
      <c r="O3748" s="203">
        <f t="shared" si="432"/>
        <v>0</v>
      </c>
      <c r="P3748" s="203">
        <f t="shared" si="434"/>
        <v>0</v>
      </c>
      <c r="Q3748" s="271">
        <f t="shared" si="433"/>
        <v>0</v>
      </c>
      <c r="R3748" s="188"/>
      <c r="S3748" s="280"/>
      <c r="T3748" s="222"/>
      <c r="U3748" s="223" t="s">
        <v>5985</v>
      </c>
    </row>
    <row r="3749" spans="1:21" s="181" customFormat="1" ht="0" hidden="1" customHeight="1" outlineLevel="4">
      <c r="A3749" s="253" t="s">
        <v>4919</v>
      </c>
      <c r="B3749" s="253"/>
      <c r="C3749" s="202" t="s">
        <v>4913</v>
      </c>
      <c r="D3749" s="288">
        <f>D3748</f>
        <v>0</v>
      </c>
      <c r="E3749" s="204" t="s">
        <v>1838</v>
      </c>
      <c r="F3749" s="250" t="s">
        <v>4914</v>
      </c>
      <c r="G3749" s="258">
        <f>G3748</f>
        <v>0</v>
      </c>
      <c r="H3749" s="204" t="s">
        <v>4915</v>
      </c>
      <c r="I3749" s="265">
        <f>D3749*G3749</f>
        <v>0</v>
      </c>
      <c r="J3749" s="204" t="s">
        <v>93</v>
      </c>
      <c r="K3749" s="269"/>
      <c r="L3749" s="210" t="s">
        <v>675</v>
      </c>
      <c r="M3749" s="198">
        <f>ROUND(K3749*I3749/10000,6)</f>
        <v>0</v>
      </c>
      <c r="N3749" s="212">
        <f>'02 项目基础信息（输入）'!$C$90</f>
        <v>0</v>
      </c>
      <c r="O3749" s="203">
        <f t="shared" si="432"/>
        <v>0</v>
      </c>
      <c r="P3749" s="203">
        <f t="shared" si="434"/>
        <v>0</v>
      </c>
      <c r="Q3749" s="271">
        <f t="shared" si="433"/>
        <v>0</v>
      </c>
      <c r="R3749" s="188"/>
      <c r="S3749" s="280"/>
      <c r="T3749" s="222"/>
      <c r="U3749" s="223" t="s">
        <v>5986</v>
      </c>
    </row>
    <row r="3750" spans="1:21" s="181" customFormat="1" ht="0" hidden="1" customHeight="1" outlineLevel="3">
      <c r="A3750" s="253" t="s">
        <v>4921</v>
      </c>
      <c r="B3750" s="254"/>
      <c r="C3750" s="250" t="s">
        <v>1609</v>
      </c>
      <c r="D3750" s="212">
        <f>'02 项目基础信息（输入）'!$C$90</f>
        <v>0</v>
      </c>
      <c r="E3750" s="204" t="s">
        <v>93</v>
      </c>
      <c r="F3750" s="288"/>
      <c r="G3750" s="277"/>
      <c r="H3750" s="255"/>
      <c r="I3750" s="268"/>
      <c r="J3750" s="255"/>
      <c r="K3750" s="264"/>
      <c r="L3750" s="205"/>
      <c r="M3750" s="198">
        <f>ROUND(SUM(M3751:M3753),6)</f>
        <v>0</v>
      </c>
      <c r="N3750" s="212">
        <f>'02 项目基础信息（输入）'!$C$90</f>
        <v>0</v>
      </c>
      <c r="O3750" s="203">
        <f t="shared" si="432"/>
        <v>0</v>
      </c>
      <c r="P3750" s="203">
        <f t="shared" si="434"/>
        <v>0</v>
      </c>
      <c r="Q3750" s="271">
        <f t="shared" si="433"/>
        <v>0</v>
      </c>
      <c r="R3750" s="188"/>
      <c r="S3750" s="280"/>
      <c r="T3750" s="222"/>
      <c r="U3750" s="223" t="s">
        <v>5987</v>
      </c>
    </row>
    <row r="3751" spans="1:21" s="181" customFormat="1" ht="0" hidden="1" customHeight="1" outlineLevel="4">
      <c r="A3751" s="253" t="s">
        <v>4923</v>
      </c>
      <c r="B3751" s="253"/>
      <c r="C3751" s="202" t="s">
        <v>4913</v>
      </c>
      <c r="D3751" s="352">
        <f>D3747</f>
        <v>0</v>
      </c>
      <c r="E3751" s="204" t="s">
        <v>1838</v>
      </c>
      <c r="F3751" s="250" t="s">
        <v>4924</v>
      </c>
      <c r="G3751" s="302">
        <f>IFERROR(N3751*('02 项目基础信息（输入）'!AF90/'02 项目基础信息（输入）'!C90)/D3751,0)</f>
        <v>0</v>
      </c>
      <c r="H3751" s="204" t="s">
        <v>4915</v>
      </c>
      <c r="I3751" s="265">
        <f>D3751*G3751</f>
        <v>0</v>
      </c>
      <c r="J3751" s="204" t="s">
        <v>93</v>
      </c>
      <c r="K3751" s="269"/>
      <c r="L3751" s="210" t="s">
        <v>675</v>
      </c>
      <c r="M3751" s="198">
        <f>ROUND(K3751*I3751/10000,6)</f>
        <v>0</v>
      </c>
      <c r="N3751" s="212">
        <f>'02 项目基础信息（输入）'!$C$90</f>
        <v>0</v>
      </c>
      <c r="O3751" s="203">
        <f t="shared" si="432"/>
        <v>0</v>
      </c>
      <c r="P3751" s="203">
        <f t="shared" si="434"/>
        <v>0</v>
      </c>
      <c r="Q3751" s="271">
        <f t="shared" si="433"/>
        <v>0</v>
      </c>
      <c r="R3751" s="188"/>
      <c r="S3751" s="280"/>
      <c r="T3751" s="222"/>
      <c r="U3751" s="223" t="s">
        <v>5988</v>
      </c>
    </row>
    <row r="3752" spans="1:21" s="181" customFormat="1" ht="0" hidden="1" customHeight="1" outlineLevel="4">
      <c r="A3752" s="253" t="s">
        <v>4926</v>
      </c>
      <c r="B3752" s="253"/>
      <c r="C3752" s="202" t="s">
        <v>4913</v>
      </c>
      <c r="D3752" s="288">
        <f>D3751</f>
        <v>0</v>
      </c>
      <c r="E3752" s="204" t="s">
        <v>1838</v>
      </c>
      <c r="F3752" s="250" t="s">
        <v>4924</v>
      </c>
      <c r="G3752" s="258">
        <f>G3751</f>
        <v>0</v>
      </c>
      <c r="H3752" s="204" t="s">
        <v>4915</v>
      </c>
      <c r="I3752" s="265">
        <f>D3752*G3752</f>
        <v>0</v>
      </c>
      <c r="J3752" s="204" t="s">
        <v>93</v>
      </c>
      <c r="K3752" s="269"/>
      <c r="L3752" s="210" t="s">
        <v>675</v>
      </c>
      <c r="M3752" s="198">
        <f>ROUND(K3752*I3752/10000,6)</f>
        <v>0</v>
      </c>
      <c r="N3752" s="212">
        <f>'02 项目基础信息（输入）'!$C$90</f>
        <v>0</v>
      </c>
      <c r="O3752" s="203">
        <f t="shared" si="432"/>
        <v>0</v>
      </c>
      <c r="P3752" s="203">
        <f t="shared" si="434"/>
        <v>0</v>
      </c>
      <c r="Q3752" s="271">
        <f t="shared" si="433"/>
        <v>0</v>
      </c>
      <c r="R3752" s="188"/>
      <c r="S3752" s="280"/>
      <c r="T3752" s="222"/>
      <c r="U3752" s="223" t="s">
        <v>5989</v>
      </c>
    </row>
    <row r="3753" spans="1:21" s="181" customFormat="1" ht="0" hidden="1" customHeight="1" outlineLevel="4">
      <c r="A3753" s="253" t="s">
        <v>4928</v>
      </c>
      <c r="B3753" s="253"/>
      <c r="C3753" s="202" t="s">
        <v>4913</v>
      </c>
      <c r="D3753" s="288">
        <f>D3752</f>
        <v>0</v>
      </c>
      <c r="E3753" s="204" t="s">
        <v>1838</v>
      </c>
      <c r="F3753" s="250" t="s">
        <v>4924</v>
      </c>
      <c r="G3753" s="258">
        <f>G3752</f>
        <v>0</v>
      </c>
      <c r="H3753" s="204" t="s">
        <v>4915</v>
      </c>
      <c r="I3753" s="265">
        <f>D3753*G3753</f>
        <v>0</v>
      </c>
      <c r="J3753" s="204" t="s">
        <v>93</v>
      </c>
      <c r="K3753" s="269"/>
      <c r="L3753" s="210" t="s">
        <v>675</v>
      </c>
      <c r="M3753" s="198">
        <f>ROUND(K3753*I3753/10000,6)</f>
        <v>0</v>
      </c>
      <c r="N3753" s="212">
        <f>'02 项目基础信息（输入）'!$C$90</f>
        <v>0</v>
      </c>
      <c r="O3753" s="203">
        <f t="shared" si="432"/>
        <v>0</v>
      </c>
      <c r="P3753" s="203">
        <f t="shared" si="434"/>
        <v>0</v>
      </c>
      <c r="Q3753" s="271">
        <f t="shared" si="433"/>
        <v>0</v>
      </c>
      <c r="R3753" s="188"/>
      <c r="S3753" s="280"/>
      <c r="T3753" s="222"/>
      <c r="U3753" s="223" t="s">
        <v>5990</v>
      </c>
    </row>
    <row r="3754" spans="1:21" s="181" customFormat="1" ht="0" hidden="1" customHeight="1" outlineLevel="3">
      <c r="A3754" s="253" t="s">
        <v>4930</v>
      </c>
      <c r="B3754" s="254"/>
      <c r="C3754" s="250" t="s">
        <v>1609</v>
      </c>
      <c r="D3754" s="212">
        <f>'02 项目基础信息（输入）'!$C$90</f>
        <v>0</v>
      </c>
      <c r="E3754" s="204" t="s">
        <v>93</v>
      </c>
      <c r="F3754" s="288"/>
      <c r="G3754" s="277"/>
      <c r="H3754" s="255"/>
      <c r="I3754" s="268"/>
      <c r="J3754" s="255"/>
      <c r="K3754" s="264"/>
      <c r="L3754" s="205"/>
      <c r="M3754" s="198">
        <f>ROUND(SUM(M3755:M3757),6)</f>
        <v>0</v>
      </c>
      <c r="N3754" s="212">
        <f>'02 项目基础信息（输入）'!$C$90</f>
        <v>0</v>
      </c>
      <c r="O3754" s="203">
        <f t="shared" si="432"/>
        <v>0</v>
      </c>
      <c r="P3754" s="203">
        <f t="shared" si="434"/>
        <v>0</v>
      </c>
      <c r="Q3754" s="271">
        <f t="shared" si="433"/>
        <v>0</v>
      </c>
      <c r="R3754" s="188"/>
      <c r="S3754" s="280"/>
      <c r="T3754" s="222"/>
      <c r="U3754" s="223" t="s">
        <v>5991</v>
      </c>
    </row>
    <row r="3755" spans="1:21" s="181" customFormat="1" ht="0" hidden="1" customHeight="1" outlineLevel="4">
      <c r="A3755" s="253" t="s">
        <v>4932</v>
      </c>
      <c r="B3755" s="253"/>
      <c r="C3755" s="202" t="s">
        <v>4913</v>
      </c>
      <c r="D3755" s="352">
        <f>$D$3524</f>
        <v>0</v>
      </c>
      <c r="E3755" s="204" t="s">
        <v>1838</v>
      </c>
      <c r="F3755" s="250" t="s">
        <v>4933</v>
      </c>
      <c r="G3755" s="310">
        <f>IFERROR(N3755*('02 项目基础信息（输入）'!AG90/'02 项目基础信息（输入）'!C90)/D3755,0)</f>
        <v>0</v>
      </c>
      <c r="H3755" s="204" t="s">
        <v>4915</v>
      </c>
      <c r="I3755" s="265">
        <f>D3755*G3755</f>
        <v>0</v>
      </c>
      <c r="J3755" s="204" t="s">
        <v>93</v>
      </c>
      <c r="K3755" s="269"/>
      <c r="L3755" s="210" t="s">
        <v>675</v>
      </c>
      <c r="M3755" s="198">
        <f>ROUND(K3755*I3755/10000,6)</f>
        <v>0</v>
      </c>
      <c r="N3755" s="212">
        <f>'02 项目基础信息（输入）'!$C$90</f>
        <v>0</v>
      </c>
      <c r="O3755" s="203">
        <f t="shared" si="432"/>
        <v>0</v>
      </c>
      <c r="P3755" s="203">
        <f t="shared" si="434"/>
        <v>0</v>
      </c>
      <c r="Q3755" s="271">
        <f t="shared" si="433"/>
        <v>0</v>
      </c>
      <c r="R3755" s="188"/>
      <c r="S3755" s="280"/>
      <c r="T3755" s="222"/>
      <c r="U3755" s="223" t="s">
        <v>5992</v>
      </c>
    </row>
    <row r="3756" spans="1:21" s="181" customFormat="1" ht="0" hidden="1" customHeight="1" outlineLevel="4">
      <c r="A3756" s="253" t="s">
        <v>4935</v>
      </c>
      <c r="B3756" s="253"/>
      <c r="C3756" s="202" t="s">
        <v>4913</v>
      </c>
      <c r="D3756" s="288">
        <f>D3755</f>
        <v>0</v>
      </c>
      <c r="E3756" s="204" t="s">
        <v>1838</v>
      </c>
      <c r="F3756" s="250" t="s">
        <v>4933</v>
      </c>
      <c r="G3756" s="258">
        <f>G3755</f>
        <v>0</v>
      </c>
      <c r="H3756" s="204" t="s">
        <v>4915</v>
      </c>
      <c r="I3756" s="265">
        <f>D3756*G3756</f>
        <v>0</v>
      </c>
      <c r="J3756" s="204" t="s">
        <v>93</v>
      </c>
      <c r="K3756" s="269"/>
      <c r="L3756" s="210" t="s">
        <v>675</v>
      </c>
      <c r="M3756" s="198">
        <f>ROUND(K3756*I3756/10000,6)</f>
        <v>0</v>
      </c>
      <c r="N3756" s="212">
        <f>'02 项目基础信息（输入）'!$C$90</f>
        <v>0</v>
      </c>
      <c r="O3756" s="203">
        <f t="shared" si="432"/>
        <v>0</v>
      </c>
      <c r="P3756" s="203">
        <f t="shared" si="434"/>
        <v>0</v>
      </c>
      <c r="Q3756" s="271">
        <f t="shared" si="433"/>
        <v>0</v>
      </c>
      <c r="R3756" s="188"/>
      <c r="S3756" s="280"/>
      <c r="T3756" s="222"/>
      <c r="U3756" s="223" t="s">
        <v>5993</v>
      </c>
    </row>
    <row r="3757" spans="1:21" s="181" customFormat="1" ht="0" hidden="1" customHeight="1" outlineLevel="4">
      <c r="A3757" s="253" t="s">
        <v>4937</v>
      </c>
      <c r="B3757" s="253"/>
      <c r="C3757" s="202" t="s">
        <v>4913</v>
      </c>
      <c r="D3757" s="288">
        <f>D3756</f>
        <v>0</v>
      </c>
      <c r="E3757" s="204" t="s">
        <v>1838</v>
      </c>
      <c r="F3757" s="250" t="s">
        <v>4933</v>
      </c>
      <c r="G3757" s="258">
        <f>G3756</f>
        <v>0</v>
      </c>
      <c r="H3757" s="204" t="s">
        <v>4915</v>
      </c>
      <c r="I3757" s="265">
        <f>D3757*G3757</f>
        <v>0</v>
      </c>
      <c r="J3757" s="204" t="s">
        <v>93</v>
      </c>
      <c r="K3757" s="269"/>
      <c r="L3757" s="210" t="s">
        <v>675</v>
      </c>
      <c r="M3757" s="198">
        <f>ROUND(K3757*I3757/10000,6)</f>
        <v>0</v>
      </c>
      <c r="N3757" s="212">
        <f>'02 项目基础信息（输入）'!$C$90</f>
        <v>0</v>
      </c>
      <c r="O3757" s="203">
        <f t="shared" si="432"/>
        <v>0</v>
      </c>
      <c r="P3757" s="203">
        <f t="shared" si="434"/>
        <v>0</v>
      </c>
      <c r="Q3757" s="271">
        <f t="shared" si="433"/>
        <v>0</v>
      </c>
      <c r="R3757" s="188"/>
      <c r="S3757" s="280"/>
      <c r="T3757" s="222"/>
      <c r="U3757" s="223" t="s">
        <v>5994</v>
      </c>
    </row>
    <row r="3758" spans="1:21" s="181" customFormat="1" ht="0" hidden="1" customHeight="1" outlineLevel="3">
      <c r="A3758" s="253" t="s">
        <v>4939</v>
      </c>
      <c r="B3758" s="254"/>
      <c r="C3758" s="250" t="s">
        <v>1609</v>
      </c>
      <c r="D3758" s="212">
        <f>'02 项目基础信息（输入）'!$C$90</f>
        <v>0</v>
      </c>
      <c r="E3758" s="204" t="s">
        <v>93</v>
      </c>
      <c r="F3758" s="288"/>
      <c r="G3758" s="277"/>
      <c r="H3758" s="255"/>
      <c r="I3758" s="268"/>
      <c r="J3758" s="255"/>
      <c r="K3758" s="264"/>
      <c r="L3758" s="205"/>
      <c r="M3758" s="198">
        <f>ROUND(SUM(M3759:M3761),6)</f>
        <v>0</v>
      </c>
      <c r="N3758" s="212">
        <f>'02 项目基础信息（输入）'!$C$90</f>
        <v>0</v>
      </c>
      <c r="O3758" s="203">
        <f t="shared" si="432"/>
        <v>0</v>
      </c>
      <c r="P3758" s="203">
        <f t="shared" si="434"/>
        <v>0</v>
      </c>
      <c r="Q3758" s="271">
        <f t="shared" si="433"/>
        <v>0</v>
      </c>
      <c r="R3758" s="188"/>
      <c r="S3758" s="280"/>
      <c r="T3758" s="222"/>
      <c r="U3758" s="223" t="s">
        <v>5995</v>
      </c>
    </row>
    <row r="3759" spans="1:21" s="181" customFormat="1" ht="0" hidden="1" customHeight="1" outlineLevel="4">
      <c r="A3759" s="253" t="s">
        <v>4941</v>
      </c>
      <c r="B3759" s="253"/>
      <c r="C3759" s="202" t="s">
        <v>4913</v>
      </c>
      <c r="D3759" s="352">
        <f>$D$3524</f>
        <v>0</v>
      </c>
      <c r="E3759" s="204" t="s">
        <v>1838</v>
      </c>
      <c r="F3759" s="250" t="s">
        <v>4942</v>
      </c>
      <c r="G3759" s="310">
        <f>IFERROR(N3759*('02 项目基础信息（输入）'!AH90/'02 项目基础信息（输入）'!C90)/D3759,0)</f>
        <v>0</v>
      </c>
      <c r="H3759" s="204" t="s">
        <v>4915</v>
      </c>
      <c r="I3759" s="265">
        <f>D3759*G3759</f>
        <v>0</v>
      </c>
      <c r="J3759" s="204" t="s">
        <v>93</v>
      </c>
      <c r="K3759" s="269"/>
      <c r="L3759" s="210" t="s">
        <v>675</v>
      </c>
      <c r="M3759" s="198">
        <f>ROUND(K3759*I3759/10000,6)</f>
        <v>0</v>
      </c>
      <c r="N3759" s="212">
        <f>'02 项目基础信息（输入）'!$C$90</f>
        <v>0</v>
      </c>
      <c r="O3759" s="203">
        <f t="shared" si="432"/>
        <v>0</v>
      </c>
      <c r="P3759" s="203">
        <f t="shared" si="434"/>
        <v>0</v>
      </c>
      <c r="Q3759" s="271">
        <f t="shared" si="433"/>
        <v>0</v>
      </c>
      <c r="R3759" s="188"/>
      <c r="S3759" s="280"/>
      <c r="T3759" s="222"/>
      <c r="U3759" s="223" t="s">
        <v>5996</v>
      </c>
    </row>
    <row r="3760" spans="1:21" s="181" customFormat="1" ht="0" hidden="1" customHeight="1" outlineLevel="4">
      <c r="A3760" s="253" t="s">
        <v>4944</v>
      </c>
      <c r="B3760" s="253"/>
      <c r="C3760" s="202" t="s">
        <v>4913</v>
      </c>
      <c r="D3760" s="288">
        <f>D3759</f>
        <v>0</v>
      </c>
      <c r="E3760" s="204" t="s">
        <v>1838</v>
      </c>
      <c r="F3760" s="250" t="s">
        <v>4942</v>
      </c>
      <c r="G3760" s="258">
        <f>G3759</f>
        <v>0</v>
      </c>
      <c r="H3760" s="204" t="s">
        <v>4915</v>
      </c>
      <c r="I3760" s="265">
        <f>D3760*G3760</f>
        <v>0</v>
      </c>
      <c r="J3760" s="204" t="s">
        <v>93</v>
      </c>
      <c r="K3760" s="269"/>
      <c r="L3760" s="210" t="s">
        <v>675</v>
      </c>
      <c r="M3760" s="198">
        <f>ROUND(K3760*I3760/10000,6)</f>
        <v>0</v>
      </c>
      <c r="N3760" s="212">
        <f>'02 项目基础信息（输入）'!$C$90</f>
        <v>0</v>
      </c>
      <c r="O3760" s="203">
        <f t="shared" si="432"/>
        <v>0</v>
      </c>
      <c r="P3760" s="203">
        <f t="shared" si="434"/>
        <v>0</v>
      </c>
      <c r="Q3760" s="271">
        <f t="shared" si="433"/>
        <v>0</v>
      </c>
      <c r="R3760" s="188"/>
      <c r="S3760" s="280"/>
      <c r="T3760" s="222"/>
      <c r="U3760" s="223" t="s">
        <v>5997</v>
      </c>
    </row>
    <row r="3761" spans="1:21" s="181" customFormat="1" ht="0" hidden="1" customHeight="1" outlineLevel="4">
      <c r="A3761" s="253" t="s">
        <v>4946</v>
      </c>
      <c r="B3761" s="253"/>
      <c r="C3761" s="202" t="s">
        <v>4913</v>
      </c>
      <c r="D3761" s="288">
        <f>D3760</f>
        <v>0</v>
      </c>
      <c r="E3761" s="204" t="s">
        <v>1838</v>
      </c>
      <c r="F3761" s="250" t="s">
        <v>4942</v>
      </c>
      <c r="G3761" s="258">
        <f>G3760</f>
        <v>0</v>
      </c>
      <c r="H3761" s="204" t="s">
        <v>4915</v>
      </c>
      <c r="I3761" s="265">
        <f>D3761*G3761</f>
        <v>0</v>
      </c>
      <c r="J3761" s="204" t="s">
        <v>93</v>
      </c>
      <c r="K3761" s="269"/>
      <c r="L3761" s="210" t="s">
        <v>675</v>
      </c>
      <c r="M3761" s="198">
        <f>ROUND(K3761*I3761/10000,6)</f>
        <v>0</v>
      </c>
      <c r="N3761" s="212">
        <f>'02 项目基础信息（输入）'!$C$90</f>
        <v>0</v>
      </c>
      <c r="O3761" s="203">
        <f t="shared" si="432"/>
        <v>0</v>
      </c>
      <c r="P3761" s="203">
        <f t="shared" si="434"/>
        <v>0</v>
      </c>
      <c r="Q3761" s="271">
        <f t="shared" si="433"/>
        <v>0</v>
      </c>
      <c r="R3761" s="188"/>
      <c r="S3761" s="280"/>
      <c r="T3761" s="222"/>
      <c r="U3761" s="223" t="s">
        <v>5998</v>
      </c>
    </row>
    <row r="3762" spans="1:21" s="181" customFormat="1" ht="0" hidden="1" customHeight="1" outlineLevel="3">
      <c r="A3762" s="253" t="s">
        <v>4948</v>
      </c>
      <c r="B3762" s="254"/>
      <c r="C3762" s="250" t="s">
        <v>1609</v>
      </c>
      <c r="D3762" s="212">
        <f>'02 项目基础信息（输入）'!$C$90</f>
        <v>0</v>
      </c>
      <c r="E3762" s="204" t="s">
        <v>93</v>
      </c>
      <c r="F3762" s="288"/>
      <c r="G3762" s="277"/>
      <c r="H3762" s="255"/>
      <c r="I3762" s="268"/>
      <c r="J3762" s="255"/>
      <c r="K3762" s="264"/>
      <c r="L3762" s="205"/>
      <c r="M3762" s="198">
        <f>ROUND(SUM(M3763:M3764),6)</f>
        <v>0</v>
      </c>
      <c r="N3762" s="212">
        <f>'02 项目基础信息（输入）'!$C$90</f>
        <v>0</v>
      </c>
      <c r="O3762" s="203">
        <f t="shared" si="432"/>
        <v>0</v>
      </c>
      <c r="P3762" s="203">
        <f t="shared" si="434"/>
        <v>0</v>
      </c>
      <c r="Q3762" s="271">
        <f t="shared" si="433"/>
        <v>0</v>
      </c>
      <c r="R3762" s="188"/>
      <c r="S3762" s="280"/>
      <c r="T3762" s="222"/>
      <c r="U3762" s="223" t="s">
        <v>5999</v>
      </c>
    </row>
    <row r="3763" spans="1:21" s="181" customFormat="1" ht="0" hidden="1" customHeight="1" outlineLevel="4">
      <c r="A3763" s="253" t="s">
        <v>4950</v>
      </c>
      <c r="B3763" s="253"/>
      <c r="C3763" s="202" t="s">
        <v>4913</v>
      </c>
      <c r="D3763" s="352">
        <f>$D$3524</f>
        <v>0</v>
      </c>
      <c r="E3763" s="204" t="s">
        <v>1838</v>
      </c>
      <c r="F3763" s="250" t="s">
        <v>4951</v>
      </c>
      <c r="G3763" s="310">
        <f>IFERROR(N3763*('02 项目基础信息（输入）'!BD90/'02 项目基础信息（输入）'!C90)/D3763,0)</f>
        <v>0</v>
      </c>
      <c r="H3763" s="204" t="s">
        <v>4915</v>
      </c>
      <c r="I3763" s="265">
        <f>D3763*G3763</f>
        <v>0</v>
      </c>
      <c r="J3763" s="204" t="s">
        <v>93</v>
      </c>
      <c r="K3763" s="269"/>
      <c r="L3763" s="210" t="s">
        <v>675</v>
      </c>
      <c r="M3763" s="198">
        <f>ROUND(K3763*I3763/10000,6)</f>
        <v>0</v>
      </c>
      <c r="N3763" s="212">
        <f>'02 项目基础信息（输入）'!$C$90</f>
        <v>0</v>
      </c>
      <c r="O3763" s="203">
        <f t="shared" si="432"/>
        <v>0</v>
      </c>
      <c r="P3763" s="203">
        <f t="shared" si="434"/>
        <v>0</v>
      </c>
      <c r="Q3763" s="271">
        <f t="shared" si="433"/>
        <v>0</v>
      </c>
      <c r="R3763" s="188"/>
      <c r="S3763" s="280"/>
      <c r="T3763" s="222"/>
      <c r="U3763" s="223" t="s">
        <v>6000</v>
      </c>
    </row>
    <row r="3764" spans="1:21" s="181" customFormat="1" ht="0" hidden="1" customHeight="1" outlineLevel="4">
      <c r="A3764" s="253" t="s">
        <v>4953</v>
      </c>
      <c r="B3764" s="253"/>
      <c r="C3764" s="202" t="s">
        <v>4913</v>
      </c>
      <c r="D3764" s="288">
        <f>D3763</f>
        <v>0</v>
      </c>
      <c r="E3764" s="204" t="s">
        <v>1838</v>
      </c>
      <c r="F3764" s="250" t="s">
        <v>4951</v>
      </c>
      <c r="G3764" s="258">
        <f>G3763</f>
        <v>0</v>
      </c>
      <c r="H3764" s="204" t="s">
        <v>4915</v>
      </c>
      <c r="I3764" s="265">
        <f>D3764*G3764</f>
        <v>0</v>
      </c>
      <c r="J3764" s="204" t="s">
        <v>93</v>
      </c>
      <c r="K3764" s="269"/>
      <c r="L3764" s="210" t="s">
        <v>675</v>
      </c>
      <c r="M3764" s="198">
        <f>ROUND(K3764*I3764/10000,6)</f>
        <v>0</v>
      </c>
      <c r="N3764" s="212">
        <f>'02 项目基础信息（输入）'!$C$90</f>
        <v>0</v>
      </c>
      <c r="O3764" s="203">
        <f t="shared" si="432"/>
        <v>0</v>
      </c>
      <c r="P3764" s="203">
        <f t="shared" si="434"/>
        <v>0</v>
      </c>
      <c r="Q3764" s="271">
        <f t="shared" si="433"/>
        <v>0</v>
      </c>
      <c r="R3764" s="188"/>
      <c r="S3764" s="280"/>
      <c r="T3764" s="222"/>
      <c r="U3764" s="223" t="s">
        <v>6001</v>
      </c>
    </row>
    <row r="3765" spans="1:21" s="181" customFormat="1" ht="0" hidden="1" customHeight="1" outlineLevel="3">
      <c r="A3765" s="253" t="s">
        <v>4955</v>
      </c>
      <c r="B3765" s="254"/>
      <c r="C3765" s="250" t="s">
        <v>1609</v>
      </c>
      <c r="D3765" s="212">
        <f>'02 项目基础信息（输入）'!$C$90</f>
        <v>0</v>
      </c>
      <c r="E3765" s="204" t="s">
        <v>93</v>
      </c>
      <c r="F3765" s="288"/>
      <c r="G3765" s="277"/>
      <c r="H3765" s="255"/>
      <c r="I3765" s="268"/>
      <c r="J3765" s="255"/>
      <c r="K3765" s="264"/>
      <c r="L3765" s="205"/>
      <c r="M3765" s="198">
        <f>ROUND(SUM(M3766:M3768),6)</f>
        <v>0</v>
      </c>
      <c r="N3765" s="212">
        <f>'02 项目基础信息（输入）'!$C$90</f>
        <v>0</v>
      </c>
      <c r="O3765" s="203">
        <f t="shared" si="432"/>
        <v>0</v>
      </c>
      <c r="P3765" s="203">
        <f t="shared" si="434"/>
        <v>0</v>
      </c>
      <c r="Q3765" s="271">
        <f t="shared" si="433"/>
        <v>0</v>
      </c>
      <c r="R3765" s="188"/>
      <c r="S3765" s="280"/>
      <c r="T3765" s="222"/>
      <c r="U3765" s="223" t="s">
        <v>6002</v>
      </c>
    </row>
    <row r="3766" spans="1:21" s="181" customFormat="1" ht="0" hidden="1" customHeight="1" outlineLevel="4">
      <c r="A3766" s="253" t="s">
        <v>4957</v>
      </c>
      <c r="B3766" s="254"/>
      <c r="C3766" s="250" t="s">
        <v>1609</v>
      </c>
      <c r="D3766" s="212">
        <f>'02 项目基础信息（输入）'!$C$90</f>
        <v>0</v>
      </c>
      <c r="E3766" s="204" t="s">
        <v>93</v>
      </c>
      <c r="F3766" s="250" t="s">
        <v>4958</v>
      </c>
      <c r="G3766" s="210">
        <f>IFERROR(I3766/D3766,0)</f>
        <v>0</v>
      </c>
      <c r="H3766" s="204" t="s">
        <v>298</v>
      </c>
      <c r="I3766" s="292"/>
      <c r="J3766" s="204" t="s">
        <v>93</v>
      </c>
      <c r="K3766" s="269"/>
      <c r="L3766" s="210" t="s">
        <v>675</v>
      </c>
      <c r="M3766" s="198">
        <f>ROUND(K3766*I3766/10000,6)</f>
        <v>0</v>
      </c>
      <c r="N3766" s="212">
        <f>'02 项目基础信息（输入）'!$C$90</f>
        <v>0</v>
      </c>
      <c r="O3766" s="203">
        <f t="shared" si="432"/>
        <v>0</v>
      </c>
      <c r="P3766" s="203">
        <f t="shared" si="434"/>
        <v>0</v>
      </c>
      <c r="Q3766" s="271">
        <f t="shared" si="433"/>
        <v>0</v>
      </c>
      <c r="R3766" s="188"/>
      <c r="S3766" s="280"/>
      <c r="T3766" s="222"/>
      <c r="U3766" s="223" t="s">
        <v>6003</v>
      </c>
    </row>
    <row r="3767" spans="1:21" s="181" customFormat="1" ht="0" hidden="1" customHeight="1" outlineLevel="4">
      <c r="A3767" s="253" t="s">
        <v>4960</v>
      </c>
      <c r="B3767" s="254"/>
      <c r="C3767" s="250" t="s">
        <v>1609</v>
      </c>
      <c r="D3767" s="212">
        <f>'02 项目基础信息（输入）'!$C$90</f>
        <v>0</v>
      </c>
      <c r="E3767" s="204" t="s">
        <v>93</v>
      </c>
      <c r="F3767" s="250" t="s">
        <v>4958</v>
      </c>
      <c r="G3767" s="210">
        <f>IFERROR(I3767/D3767,0)</f>
        <v>0</v>
      </c>
      <c r="H3767" s="204" t="s">
        <v>298</v>
      </c>
      <c r="I3767" s="212">
        <f>I3766</f>
        <v>0</v>
      </c>
      <c r="J3767" s="204" t="s">
        <v>93</v>
      </c>
      <c r="K3767" s="269"/>
      <c r="L3767" s="210" t="s">
        <v>675</v>
      </c>
      <c r="M3767" s="198">
        <f>ROUND(K3767*I3767/10000,6)</f>
        <v>0</v>
      </c>
      <c r="N3767" s="212">
        <f>'02 项目基础信息（输入）'!$C$90</f>
        <v>0</v>
      </c>
      <c r="O3767" s="203">
        <f t="shared" si="432"/>
        <v>0</v>
      </c>
      <c r="P3767" s="203">
        <f t="shared" si="434"/>
        <v>0</v>
      </c>
      <c r="Q3767" s="271">
        <f t="shared" si="433"/>
        <v>0</v>
      </c>
      <c r="R3767" s="188"/>
      <c r="S3767" s="280"/>
      <c r="T3767" s="222"/>
      <c r="U3767" s="223" t="s">
        <v>6004</v>
      </c>
    </row>
    <row r="3768" spans="1:21" s="181" customFormat="1" ht="0" hidden="1" customHeight="1" outlineLevel="4">
      <c r="A3768" s="253" t="s">
        <v>4962</v>
      </c>
      <c r="B3768" s="254"/>
      <c r="C3768" s="250" t="s">
        <v>1609</v>
      </c>
      <c r="D3768" s="212">
        <f>'02 项目基础信息（输入）'!$C$90</f>
        <v>0</v>
      </c>
      <c r="E3768" s="204" t="s">
        <v>93</v>
      </c>
      <c r="F3768" s="250" t="s">
        <v>4958</v>
      </c>
      <c r="G3768" s="210">
        <f>IFERROR(I3768/D3768,0)</f>
        <v>0</v>
      </c>
      <c r="H3768" s="204" t="s">
        <v>298</v>
      </c>
      <c r="I3768" s="212">
        <f>I3767</f>
        <v>0</v>
      </c>
      <c r="J3768" s="204" t="s">
        <v>93</v>
      </c>
      <c r="K3768" s="269"/>
      <c r="L3768" s="210" t="s">
        <v>675</v>
      </c>
      <c r="M3768" s="198">
        <f>ROUND(K3768*I3768/10000,6)</f>
        <v>0</v>
      </c>
      <c r="N3768" s="212">
        <f>'02 项目基础信息（输入）'!$C$90</f>
        <v>0</v>
      </c>
      <c r="O3768" s="203">
        <f t="shared" si="432"/>
        <v>0</v>
      </c>
      <c r="P3768" s="203">
        <f t="shared" si="434"/>
        <v>0</v>
      </c>
      <c r="Q3768" s="271">
        <f t="shared" si="433"/>
        <v>0</v>
      </c>
      <c r="R3768" s="188"/>
      <c r="S3768" s="280"/>
      <c r="T3768" s="222"/>
      <c r="U3768" s="223" t="s">
        <v>6005</v>
      </c>
    </row>
    <row r="3769" spans="1:21" s="181" customFormat="1" ht="0" hidden="1" customHeight="1" outlineLevel="3">
      <c r="A3769" s="253" t="s">
        <v>4572</v>
      </c>
      <c r="B3769" s="254"/>
      <c r="C3769" s="250" t="s">
        <v>1609</v>
      </c>
      <c r="D3769" s="212">
        <f>'02 项目基础信息（输入）'!$C$90</f>
        <v>0</v>
      </c>
      <c r="E3769" s="204" t="s">
        <v>93</v>
      </c>
      <c r="F3769" s="288"/>
      <c r="G3769" s="277"/>
      <c r="H3769" s="255"/>
      <c r="I3769" s="268"/>
      <c r="J3769" s="255"/>
      <c r="K3769" s="264"/>
      <c r="L3769" s="205"/>
      <c r="M3769" s="198">
        <f>ROUND(SUM(M3770:M3771),6)</f>
        <v>0</v>
      </c>
      <c r="N3769" s="212">
        <f>'02 项目基础信息（输入）'!$C$90</f>
        <v>0</v>
      </c>
      <c r="O3769" s="203">
        <f t="shared" si="432"/>
        <v>0</v>
      </c>
      <c r="P3769" s="203">
        <f t="shared" si="434"/>
        <v>0</v>
      </c>
      <c r="Q3769" s="271">
        <f t="shared" si="433"/>
        <v>0</v>
      </c>
      <c r="R3769" s="188"/>
      <c r="S3769" s="280"/>
      <c r="T3769" s="222"/>
      <c r="U3769" s="223" t="s">
        <v>6006</v>
      </c>
    </row>
    <row r="3770" spans="1:21" s="181" customFormat="1" ht="0" hidden="1" customHeight="1" outlineLevel="4">
      <c r="A3770" s="253" t="s">
        <v>4574</v>
      </c>
      <c r="B3770" s="254"/>
      <c r="C3770" s="250" t="s">
        <v>4575</v>
      </c>
      <c r="D3770" s="273">
        <f>'02 项目基础信息（输入）'!AQ90</f>
        <v>0</v>
      </c>
      <c r="E3770" s="204" t="s">
        <v>93</v>
      </c>
      <c r="F3770" s="202" t="s">
        <v>4576</v>
      </c>
      <c r="G3770" s="204">
        <v>1</v>
      </c>
      <c r="H3770" s="204" t="s">
        <v>298</v>
      </c>
      <c r="I3770" s="265">
        <f>D3770*G3770</f>
        <v>0</v>
      </c>
      <c r="J3770" s="204" t="s">
        <v>93</v>
      </c>
      <c r="K3770" s="269"/>
      <c r="L3770" s="210" t="s">
        <v>1749</v>
      </c>
      <c r="M3770" s="198">
        <f>ROUND(K3770*I3770/10000,6)</f>
        <v>0</v>
      </c>
      <c r="N3770" s="212">
        <f>'02 项目基础信息（输入）'!$C$90</f>
        <v>0</v>
      </c>
      <c r="O3770" s="203">
        <f t="shared" si="432"/>
        <v>0</v>
      </c>
      <c r="P3770" s="203">
        <f t="shared" si="434"/>
        <v>0</v>
      </c>
      <c r="Q3770" s="271">
        <f t="shared" si="433"/>
        <v>0</v>
      </c>
      <c r="R3770" s="188"/>
      <c r="S3770" s="280"/>
      <c r="T3770" s="222"/>
      <c r="U3770" s="223" t="s">
        <v>6007</v>
      </c>
    </row>
    <row r="3771" spans="1:21" s="181" customFormat="1" ht="0" hidden="1" customHeight="1" outlineLevel="4">
      <c r="A3771" s="253" t="s">
        <v>4578</v>
      </c>
      <c r="B3771" s="254"/>
      <c r="C3771" s="250" t="s">
        <v>4575</v>
      </c>
      <c r="D3771" s="212">
        <f>D3770</f>
        <v>0</v>
      </c>
      <c r="E3771" s="204" t="s">
        <v>93</v>
      </c>
      <c r="F3771" s="202" t="s">
        <v>4576</v>
      </c>
      <c r="G3771" s="204">
        <v>1</v>
      </c>
      <c r="H3771" s="204" t="s">
        <v>298</v>
      </c>
      <c r="I3771" s="265">
        <f>D3771*G3771</f>
        <v>0</v>
      </c>
      <c r="J3771" s="204" t="s">
        <v>93</v>
      </c>
      <c r="K3771" s="269"/>
      <c r="L3771" s="210" t="s">
        <v>1749</v>
      </c>
      <c r="M3771" s="198">
        <f>ROUND(K3771*I3771/10000,6)</f>
        <v>0</v>
      </c>
      <c r="N3771" s="212">
        <f>'02 项目基础信息（输入）'!$C$90</f>
        <v>0</v>
      </c>
      <c r="O3771" s="203">
        <f t="shared" si="432"/>
        <v>0</v>
      </c>
      <c r="P3771" s="203">
        <f t="shared" si="434"/>
        <v>0</v>
      </c>
      <c r="Q3771" s="271">
        <f t="shared" si="433"/>
        <v>0</v>
      </c>
      <c r="R3771" s="188"/>
      <c r="S3771" s="280"/>
      <c r="T3771" s="222"/>
      <c r="U3771" s="223" t="s">
        <v>6008</v>
      </c>
    </row>
    <row r="3772" spans="1:21" s="181" customFormat="1" ht="0" hidden="1" customHeight="1" outlineLevel="3">
      <c r="A3772" s="253" t="s">
        <v>4580</v>
      </c>
      <c r="B3772" s="254"/>
      <c r="C3772" s="250" t="s">
        <v>4581</v>
      </c>
      <c r="D3772" s="289">
        <f>'02 项目基础信息（输入）'!BA90</f>
        <v>0</v>
      </c>
      <c r="E3772" s="204" t="s">
        <v>1082</v>
      </c>
      <c r="F3772" s="250" t="s">
        <v>4581</v>
      </c>
      <c r="G3772" s="204">
        <v>1</v>
      </c>
      <c r="H3772" s="204" t="s">
        <v>1918</v>
      </c>
      <c r="I3772" s="265">
        <f>D3772*G3772</f>
        <v>0</v>
      </c>
      <c r="J3772" s="204" t="s">
        <v>400</v>
      </c>
      <c r="K3772" s="269"/>
      <c r="L3772" s="210" t="s">
        <v>1087</v>
      </c>
      <c r="M3772" s="198">
        <f>ROUND(K3772*I3772/10000,6)</f>
        <v>0</v>
      </c>
      <c r="N3772" s="212">
        <f>'02 项目基础信息（输入）'!$C$90</f>
        <v>0</v>
      </c>
      <c r="O3772" s="203">
        <f t="shared" si="432"/>
        <v>0</v>
      </c>
      <c r="P3772" s="203">
        <f t="shared" si="434"/>
        <v>0</v>
      </c>
      <c r="Q3772" s="271">
        <f t="shared" si="433"/>
        <v>0</v>
      </c>
      <c r="R3772" s="188"/>
      <c r="S3772" s="280"/>
      <c r="T3772" s="222"/>
      <c r="U3772" s="223" t="s">
        <v>6009</v>
      </c>
    </row>
    <row r="3773" spans="1:21" s="181" customFormat="1" ht="0" hidden="1" customHeight="1" outlineLevel="3">
      <c r="A3773" s="253" t="s">
        <v>4583</v>
      </c>
      <c r="B3773" s="254"/>
      <c r="C3773" s="250" t="s">
        <v>1609</v>
      </c>
      <c r="D3773" s="212">
        <f>'02 项目基础信息（输入）'!$C$90</f>
        <v>0</v>
      </c>
      <c r="E3773" s="204" t="s">
        <v>93</v>
      </c>
      <c r="F3773" s="250" t="s">
        <v>4584</v>
      </c>
      <c r="G3773" s="210">
        <f>IFERROR(I3773/D3773,0)</f>
        <v>0</v>
      </c>
      <c r="H3773" s="204" t="s">
        <v>298</v>
      </c>
      <c r="I3773" s="285"/>
      <c r="J3773" s="204" t="s">
        <v>93</v>
      </c>
      <c r="K3773" s="269"/>
      <c r="L3773" s="210" t="s">
        <v>675</v>
      </c>
      <c r="M3773" s="198">
        <f>ROUND(K3773*I3773/10000,6)</f>
        <v>0</v>
      </c>
      <c r="N3773" s="212">
        <f>'02 项目基础信息（输入）'!$C$90</f>
        <v>0</v>
      </c>
      <c r="O3773" s="203">
        <f t="shared" si="432"/>
        <v>0</v>
      </c>
      <c r="P3773" s="203">
        <f t="shared" si="434"/>
        <v>0</v>
      </c>
      <c r="Q3773" s="271">
        <f t="shared" si="433"/>
        <v>0</v>
      </c>
      <c r="R3773" s="188"/>
      <c r="S3773" s="280"/>
      <c r="T3773" s="222"/>
      <c r="U3773" s="223" t="s">
        <v>6010</v>
      </c>
    </row>
    <row r="3774" spans="1:21" s="181" customFormat="1" ht="0" hidden="1" customHeight="1" outlineLevel="3">
      <c r="A3774" s="253" t="s">
        <v>4586</v>
      </c>
      <c r="B3774" s="254"/>
      <c r="C3774" s="250" t="s">
        <v>1609</v>
      </c>
      <c r="D3774" s="212">
        <f>'02 项目基础信息（输入）'!$C$90</f>
        <v>0</v>
      </c>
      <c r="E3774" s="204" t="s">
        <v>93</v>
      </c>
      <c r="F3774" s="250" t="s">
        <v>1960</v>
      </c>
      <c r="G3774" s="237"/>
      <c r="H3774" s="278" t="s">
        <v>123</v>
      </c>
      <c r="I3774" s="268">
        <f>G3774*D3774/100</f>
        <v>0</v>
      </c>
      <c r="J3774" s="204" t="s">
        <v>93</v>
      </c>
      <c r="K3774" s="269"/>
      <c r="L3774" s="210" t="s">
        <v>675</v>
      </c>
      <c r="M3774" s="198">
        <f>ROUND(K3774*I3774/10000,6)</f>
        <v>0</v>
      </c>
      <c r="N3774" s="212">
        <f>'02 项目基础信息（输入）'!$C$90</f>
        <v>0</v>
      </c>
      <c r="O3774" s="203">
        <f t="shared" si="432"/>
        <v>0</v>
      </c>
      <c r="P3774" s="203">
        <f t="shared" si="434"/>
        <v>0</v>
      </c>
      <c r="Q3774" s="271">
        <f t="shared" si="433"/>
        <v>0</v>
      </c>
      <c r="R3774" s="188"/>
      <c r="S3774" s="280"/>
      <c r="T3774" s="222"/>
      <c r="U3774" s="223" t="s">
        <v>6011</v>
      </c>
    </row>
    <row r="3775" spans="1:21" s="181" customFormat="1" ht="0" hidden="1" customHeight="1" outlineLevel="3">
      <c r="A3775" s="253" t="s">
        <v>4588</v>
      </c>
      <c r="B3775" s="254"/>
      <c r="C3775" s="250" t="s">
        <v>1665</v>
      </c>
      <c r="D3775" s="203">
        <f>ROUND(M3742+M3746+M3750+M3754+M3758+M3762+M3765+M3769+M3772+M3773+M3774,6)*10000</f>
        <v>0</v>
      </c>
      <c r="E3775" s="204" t="s">
        <v>1666</v>
      </c>
      <c r="F3775" s="202" t="s">
        <v>1667</v>
      </c>
      <c r="G3775" s="258">
        <f>IFERROR(I3775*100/D3775,0)</f>
        <v>0</v>
      </c>
      <c r="H3775" s="204" t="s">
        <v>123</v>
      </c>
      <c r="I3775" s="265">
        <f>N3775*K3775</f>
        <v>0</v>
      </c>
      <c r="J3775" s="204" t="s">
        <v>1666</v>
      </c>
      <c r="K3775" s="269"/>
      <c r="L3775" s="210" t="s">
        <v>675</v>
      </c>
      <c r="M3775" s="231">
        <f>ROUND(I3775/10000,6)</f>
        <v>0</v>
      </c>
      <c r="N3775" s="212">
        <f>'02 项目基础信息（输入）'!$C$90</f>
        <v>0</v>
      </c>
      <c r="O3775" s="203">
        <f t="shared" si="432"/>
        <v>0</v>
      </c>
      <c r="P3775" s="203">
        <f t="shared" si="434"/>
        <v>0</v>
      </c>
      <c r="Q3775" s="271">
        <f t="shared" si="433"/>
        <v>0</v>
      </c>
      <c r="R3775" s="188"/>
      <c r="S3775" s="280"/>
      <c r="T3775" s="222"/>
      <c r="U3775" s="223" t="s">
        <v>6012</v>
      </c>
    </row>
    <row r="3776" spans="1:21" ht="0" hidden="1" customHeight="1" outlineLevel="2">
      <c r="A3776" s="201" t="s">
        <v>4590</v>
      </c>
      <c r="B3776" s="201"/>
      <c r="C3776" s="202" t="s">
        <v>1609</v>
      </c>
      <c r="D3776" s="212">
        <f>'02 项目基础信息（输入）'!$C$90</f>
        <v>0</v>
      </c>
      <c r="E3776" s="204" t="s">
        <v>93</v>
      </c>
      <c r="F3776" s="256"/>
      <c r="G3776" s="255"/>
      <c r="H3776" s="255"/>
      <c r="I3776" s="212"/>
      <c r="J3776" s="255"/>
      <c r="K3776" s="264"/>
      <c r="L3776" s="205"/>
      <c r="M3776" s="198">
        <f>M3777+M3785</f>
        <v>0</v>
      </c>
      <c r="N3776" s="212">
        <f>'02 项目基础信息（输入）'!$C$90</f>
        <v>0</v>
      </c>
      <c r="O3776" s="203">
        <f t="shared" si="432"/>
        <v>0</v>
      </c>
      <c r="P3776" s="203">
        <f t="shared" si="434"/>
        <v>0</v>
      </c>
      <c r="Q3776" s="271">
        <f t="shared" si="433"/>
        <v>0</v>
      </c>
      <c r="S3776" s="280" t="s">
        <v>1314</v>
      </c>
      <c r="T3776" s="222"/>
      <c r="U3776" s="223" t="s">
        <v>6013</v>
      </c>
    </row>
    <row r="3777" spans="1:21" ht="0" hidden="1" customHeight="1" outlineLevel="3">
      <c r="A3777" s="201" t="s">
        <v>4592</v>
      </c>
      <c r="B3777" s="201"/>
      <c r="C3777" s="202" t="s">
        <v>1609</v>
      </c>
      <c r="D3777" s="212">
        <f>'02 项目基础信息（输入）'!$C$90</f>
        <v>0</v>
      </c>
      <c r="E3777" s="204" t="s">
        <v>93</v>
      </c>
      <c r="F3777" s="202"/>
      <c r="G3777" s="204"/>
      <c r="H3777" s="204"/>
      <c r="I3777" s="203"/>
      <c r="J3777" s="255"/>
      <c r="K3777" s="264"/>
      <c r="L3777" s="205"/>
      <c r="M3777" s="198">
        <f>ROUND(M3778+M3781+M3784,6)</f>
        <v>0</v>
      </c>
      <c r="N3777" s="212">
        <f>'02 项目基础信息（输入）'!$C$90</f>
        <v>0</v>
      </c>
      <c r="O3777" s="203">
        <f t="shared" si="432"/>
        <v>0</v>
      </c>
      <c r="P3777" s="203">
        <f t="shared" si="434"/>
        <v>0</v>
      </c>
      <c r="Q3777" s="271">
        <f t="shared" si="433"/>
        <v>0</v>
      </c>
      <c r="S3777" s="280"/>
      <c r="T3777" s="222"/>
      <c r="U3777" s="223" t="s">
        <v>6014</v>
      </c>
    </row>
    <row r="3778" spans="1:21" s="181" customFormat="1" ht="0" hidden="1" customHeight="1" outlineLevel="4">
      <c r="A3778" s="253" t="s">
        <v>4594</v>
      </c>
      <c r="B3778" s="254"/>
      <c r="C3778" s="250" t="s">
        <v>1609</v>
      </c>
      <c r="D3778" s="212">
        <f>'02 项目基础信息（输入）'!$C$90</f>
        <v>0</v>
      </c>
      <c r="E3778" s="204" t="s">
        <v>93</v>
      </c>
      <c r="F3778" s="202"/>
      <c r="G3778" s="280"/>
      <c r="H3778" s="204"/>
      <c r="I3778" s="268"/>
      <c r="J3778" s="204"/>
      <c r="K3778" s="203"/>
      <c r="L3778" s="210"/>
      <c r="M3778" s="198">
        <f>ROUND(SUM(M3779:M3780),6)</f>
        <v>0</v>
      </c>
      <c r="N3778" s="212">
        <f>'02 项目基础信息（输入）'!$C$90</f>
        <v>0</v>
      </c>
      <c r="O3778" s="203">
        <f t="shared" si="432"/>
        <v>0</v>
      </c>
      <c r="P3778" s="203">
        <f t="shared" si="434"/>
        <v>0</v>
      </c>
      <c r="Q3778" s="271">
        <f t="shared" si="433"/>
        <v>0</v>
      </c>
      <c r="R3778" s="188"/>
      <c r="S3778" s="280"/>
      <c r="T3778" s="222"/>
      <c r="U3778" s="223" t="s">
        <v>6015</v>
      </c>
    </row>
    <row r="3779" spans="1:21" s="181" customFormat="1" ht="0" hidden="1" customHeight="1" outlineLevel="5">
      <c r="A3779" s="253" t="s">
        <v>4596</v>
      </c>
      <c r="B3779" s="254"/>
      <c r="C3779" s="250" t="s">
        <v>1609</v>
      </c>
      <c r="D3779" s="212">
        <f>'02 项目基础信息（输入）'!$C$90</f>
        <v>0</v>
      </c>
      <c r="E3779" s="204" t="s">
        <v>93</v>
      </c>
      <c r="F3779" s="202" t="s">
        <v>4597</v>
      </c>
      <c r="G3779" s="210">
        <f>IFERROR(I3779/D3779,0)</f>
        <v>0</v>
      </c>
      <c r="H3779" s="204" t="s">
        <v>4598</v>
      </c>
      <c r="I3779" s="292"/>
      <c r="J3779" s="204" t="s">
        <v>1052</v>
      </c>
      <c r="K3779" s="292"/>
      <c r="L3779" s="210" t="s">
        <v>746</v>
      </c>
      <c r="M3779" s="198">
        <f>ROUND(K3779*I3779/10000,6)</f>
        <v>0</v>
      </c>
      <c r="N3779" s="212">
        <f>'02 项目基础信息（输入）'!$C$90</f>
        <v>0</v>
      </c>
      <c r="O3779" s="203">
        <f t="shared" ref="O3779:O3842" si="435">ROUND(IFERROR(M3779*10000/N3779,0),2)</f>
        <v>0</v>
      </c>
      <c r="P3779" s="203">
        <f t="shared" si="434"/>
        <v>0</v>
      </c>
      <c r="Q3779" s="271">
        <f t="shared" ref="Q3779:Q3842" si="436">ROUND(IFERROR(M3779*10000/P3779,0),2)</f>
        <v>0</v>
      </c>
      <c r="R3779" s="188"/>
      <c r="S3779" s="280"/>
      <c r="T3779" s="222"/>
      <c r="U3779" s="223" t="s">
        <v>6016</v>
      </c>
    </row>
    <row r="3780" spans="1:21" s="181" customFormat="1" ht="0" hidden="1" customHeight="1" outlineLevel="5">
      <c r="A3780" s="253" t="s">
        <v>4600</v>
      </c>
      <c r="B3780" s="254"/>
      <c r="C3780" s="250" t="s">
        <v>1609</v>
      </c>
      <c r="D3780" s="212">
        <f>'02 项目基础信息（输入）'!$C$90</f>
        <v>0</v>
      </c>
      <c r="E3780" s="204" t="s">
        <v>93</v>
      </c>
      <c r="F3780" s="202" t="s">
        <v>4597</v>
      </c>
      <c r="G3780" s="210">
        <f>IFERROR(I3780/D3780,0)</f>
        <v>0</v>
      </c>
      <c r="H3780" s="204" t="s">
        <v>4598</v>
      </c>
      <c r="I3780" s="212">
        <f>I3779</f>
        <v>0</v>
      </c>
      <c r="J3780" s="204" t="s">
        <v>1052</v>
      </c>
      <c r="K3780" s="292"/>
      <c r="L3780" s="210" t="s">
        <v>746</v>
      </c>
      <c r="M3780" s="198">
        <f>ROUND(K3780*I3780/10000,6)</f>
        <v>0</v>
      </c>
      <c r="N3780" s="212">
        <f>'02 项目基础信息（输入）'!$C$90</f>
        <v>0</v>
      </c>
      <c r="O3780" s="203">
        <f t="shared" si="435"/>
        <v>0</v>
      </c>
      <c r="P3780" s="203">
        <f t="shared" si="434"/>
        <v>0</v>
      </c>
      <c r="Q3780" s="271">
        <f t="shared" si="436"/>
        <v>0</v>
      </c>
      <c r="R3780" s="188"/>
      <c r="S3780" s="280"/>
      <c r="T3780" s="222"/>
      <c r="U3780" s="223" t="s">
        <v>6017</v>
      </c>
    </row>
    <row r="3781" spans="1:21" s="181" customFormat="1" ht="0" hidden="1" customHeight="1" outlineLevel="4">
      <c r="A3781" s="253" t="s">
        <v>4602</v>
      </c>
      <c r="B3781" s="254"/>
      <c r="C3781" s="250" t="s">
        <v>1609</v>
      </c>
      <c r="D3781" s="212">
        <f>'02 项目基础信息（输入）'!$C$90</f>
        <v>0</v>
      </c>
      <c r="E3781" s="204" t="s">
        <v>93</v>
      </c>
      <c r="F3781" s="202"/>
      <c r="G3781" s="280"/>
      <c r="H3781" s="204"/>
      <c r="I3781" s="268"/>
      <c r="J3781" s="204"/>
      <c r="K3781" s="203"/>
      <c r="L3781" s="210"/>
      <c r="M3781" s="198">
        <f>ROUND(SUM(M3782:M3783),6)</f>
        <v>0</v>
      </c>
      <c r="N3781" s="212">
        <f>'02 项目基础信息（输入）'!$C$90</f>
        <v>0</v>
      </c>
      <c r="O3781" s="203">
        <f t="shared" si="435"/>
        <v>0</v>
      </c>
      <c r="P3781" s="203">
        <f t="shared" si="434"/>
        <v>0</v>
      </c>
      <c r="Q3781" s="271">
        <f t="shared" si="436"/>
        <v>0</v>
      </c>
      <c r="R3781" s="188"/>
      <c r="S3781" s="280"/>
      <c r="T3781" s="222"/>
      <c r="U3781" s="223" t="s">
        <v>6018</v>
      </c>
    </row>
    <row r="3782" spans="1:21" s="181" customFormat="1" ht="0" hidden="1" customHeight="1" outlineLevel="5">
      <c r="A3782" s="253" t="s">
        <v>4604</v>
      </c>
      <c r="B3782" s="254"/>
      <c r="C3782" s="250" t="s">
        <v>1609</v>
      </c>
      <c r="D3782" s="212">
        <f>'02 项目基础信息（输入）'!$C$90</f>
        <v>0</v>
      </c>
      <c r="E3782" s="204" t="s">
        <v>93</v>
      </c>
      <c r="F3782" s="202" t="s">
        <v>4605</v>
      </c>
      <c r="G3782" s="210">
        <f>IFERROR(I3782/D3782,0)</f>
        <v>0</v>
      </c>
      <c r="H3782" s="204" t="s">
        <v>4606</v>
      </c>
      <c r="I3782" s="292"/>
      <c r="J3782" s="204" t="s">
        <v>1946</v>
      </c>
      <c r="K3782" s="292"/>
      <c r="L3782" s="210" t="s">
        <v>1948</v>
      </c>
      <c r="M3782" s="198">
        <f>ROUND(K3782*I3782/10000,6)</f>
        <v>0</v>
      </c>
      <c r="N3782" s="212">
        <f>'02 项目基础信息（输入）'!$C$90</f>
        <v>0</v>
      </c>
      <c r="O3782" s="203">
        <f t="shared" si="435"/>
        <v>0</v>
      </c>
      <c r="P3782" s="203">
        <f t="shared" si="434"/>
        <v>0</v>
      </c>
      <c r="Q3782" s="271">
        <f t="shared" si="436"/>
        <v>0</v>
      </c>
      <c r="R3782" s="188"/>
      <c r="S3782" s="280"/>
      <c r="T3782" s="222"/>
      <c r="U3782" s="223" t="s">
        <v>6019</v>
      </c>
    </row>
    <row r="3783" spans="1:21" s="181" customFormat="1" ht="0" hidden="1" customHeight="1" outlineLevel="5">
      <c r="A3783" s="253" t="s">
        <v>4608</v>
      </c>
      <c r="B3783" s="254"/>
      <c r="C3783" s="250" t="s">
        <v>1609</v>
      </c>
      <c r="D3783" s="212">
        <f>'02 项目基础信息（输入）'!$C$90</f>
        <v>0</v>
      </c>
      <c r="E3783" s="204" t="s">
        <v>93</v>
      </c>
      <c r="F3783" s="202" t="s">
        <v>4605</v>
      </c>
      <c r="G3783" s="210">
        <f>IFERROR(I3783/D3783,0)</f>
        <v>0</v>
      </c>
      <c r="H3783" s="204" t="s">
        <v>4606</v>
      </c>
      <c r="I3783" s="212">
        <f>I3782</f>
        <v>0</v>
      </c>
      <c r="J3783" s="204" t="s">
        <v>1946</v>
      </c>
      <c r="K3783" s="292"/>
      <c r="L3783" s="210" t="s">
        <v>1948</v>
      </c>
      <c r="M3783" s="198">
        <f>ROUND(K3783*I3783/10000,6)</f>
        <v>0</v>
      </c>
      <c r="N3783" s="212">
        <f>'02 项目基础信息（输入）'!$C$90</f>
        <v>0</v>
      </c>
      <c r="O3783" s="203">
        <f t="shared" si="435"/>
        <v>0</v>
      </c>
      <c r="P3783" s="203">
        <f t="shared" si="434"/>
        <v>0</v>
      </c>
      <c r="Q3783" s="271">
        <f t="shared" si="436"/>
        <v>0</v>
      </c>
      <c r="R3783" s="188"/>
      <c r="S3783" s="280"/>
      <c r="T3783" s="222"/>
      <c r="U3783" s="223" t="s">
        <v>6020</v>
      </c>
    </row>
    <row r="3784" spans="1:21" s="181" customFormat="1" ht="0" hidden="1" customHeight="1" outlineLevel="4">
      <c r="A3784" s="253" t="s">
        <v>4610</v>
      </c>
      <c r="B3784" s="254"/>
      <c r="C3784" s="250" t="s">
        <v>1609</v>
      </c>
      <c r="D3784" s="212">
        <f>'02 项目基础信息（输入）'!$C$90</f>
        <v>0</v>
      </c>
      <c r="E3784" s="204" t="s">
        <v>93</v>
      </c>
      <c r="F3784" s="202" t="s">
        <v>1648</v>
      </c>
      <c r="G3784" s="290">
        <v>1</v>
      </c>
      <c r="H3784" s="204" t="s">
        <v>298</v>
      </c>
      <c r="I3784" s="265">
        <f>D3784*G3784</f>
        <v>0</v>
      </c>
      <c r="J3784" s="204" t="s">
        <v>93</v>
      </c>
      <c r="K3784" s="292"/>
      <c r="L3784" s="210" t="s">
        <v>675</v>
      </c>
      <c r="M3784" s="198">
        <f>ROUND(K3784*I3784/10000,6)</f>
        <v>0</v>
      </c>
      <c r="N3784" s="212">
        <f>'02 项目基础信息（输入）'!$C$90</f>
        <v>0</v>
      </c>
      <c r="O3784" s="203">
        <f t="shared" si="435"/>
        <v>0</v>
      </c>
      <c r="P3784" s="203">
        <f t="shared" si="434"/>
        <v>0</v>
      </c>
      <c r="Q3784" s="271">
        <f t="shared" si="436"/>
        <v>0</v>
      </c>
      <c r="R3784" s="188"/>
      <c r="S3784" s="280"/>
      <c r="T3784" s="222"/>
      <c r="U3784" s="223" t="s">
        <v>6021</v>
      </c>
    </row>
    <row r="3785" spans="1:21" ht="0" hidden="1" customHeight="1" outlineLevel="3">
      <c r="A3785" s="201" t="s">
        <v>4612</v>
      </c>
      <c r="B3785" s="201"/>
      <c r="C3785" s="202" t="s">
        <v>1609</v>
      </c>
      <c r="D3785" s="212">
        <f>'02 项目基础信息（输入）'!$C$90</f>
        <v>0</v>
      </c>
      <c r="E3785" s="204" t="s">
        <v>93</v>
      </c>
      <c r="F3785" s="202"/>
      <c r="G3785" s="204"/>
      <c r="H3785" s="204"/>
      <c r="I3785" s="212"/>
      <c r="J3785" s="255"/>
      <c r="K3785" s="264"/>
      <c r="L3785" s="205"/>
      <c r="M3785" s="198">
        <f>ROUND(SUM(M3786:M3788),6)</f>
        <v>0</v>
      </c>
      <c r="N3785" s="212">
        <f>'02 项目基础信息（输入）'!$C$90</f>
        <v>0</v>
      </c>
      <c r="O3785" s="203">
        <f t="shared" si="435"/>
        <v>0</v>
      </c>
      <c r="P3785" s="203">
        <f t="shared" si="434"/>
        <v>0</v>
      </c>
      <c r="Q3785" s="271">
        <f t="shared" si="436"/>
        <v>0</v>
      </c>
      <c r="S3785" s="280"/>
      <c r="T3785" s="222"/>
      <c r="U3785" s="223" t="s">
        <v>6022</v>
      </c>
    </row>
    <row r="3786" spans="1:21" s="181" customFormat="1" ht="0" hidden="1" customHeight="1" outlineLevel="5">
      <c r="A3786" s="253" t="s">
        <v>4614</v>
      </c>
      <c r="B3786" s="253"/>
      <c r="C3786" s="202" t="s">
        <v>1609</v>
      </c>
      <c r="D3786" s="212">
        <f>'02 项目基础信息（输入）'!$C$90</f>
        <v>0</v>
      </c>
      <c r="E3786" s="204" t="s">
        <v>93</v>
      </c>
      <c r="F3786" s="202" t="s">
        <v>4615</v>
      </c>
      <c r="G3786" s="210">
        <f>IFERROR(I3786/D3786,0)</f>
        <v>0</v>
      </c>
      <c r="H3786" s="204" t="s">
        <v>4598</v>
      </c>
      <c r="I3786" s="286"/>
      <c r="J3786" s="204" t="s">
        <v>1052</v>
      </c>
      <c r="K3786" s="269"/>
      <c r="L3786" s="210" t="s">
        <v>746</v>
      </c>
      <c r="M3786" s="198">
        <f>ROUND(K3786*I3786/10000,6)</f>
        <v>0</v>
      </c>
      <c r="N3786" s="212">
        <f>'02 项目基础信息（输入）'!$C$90</f>
        <v>0</v>
      </c>
      <c r="O3786" s="203">
        <f t="shared" si="435"/>
        <v>0</v>
      </c>
      <c r="P3786" s="203">
        <f t="shared" ref="P3786:P3849" si="437">N3786</f>
        <v>0</v>
      </c>
      <c r="Q3786" s="271">
        <f t="shared" si="436"/>
        <v>0</v>
      </c>
      <c r="R3786" s="188"/>
      <c r="S3786" s="280"/>
      <c r="T3786" s="222"/>
      <c r="U3786" s="223" t="s">
        <v>6023</v>
      </c>
    </row>
    <row r="3787" spans="1:21" s="181" customFormat="1" ht="0" hidden="1" customHeight="1" outlineLevel="5">
      <c r="A3787" s="253" t="s">
        <v>4617</v>
      </c>
      <c r="B3787" s="253"/>
      <c r="C3787" s="202" t="s">
        <v>1609</v>
      </c>
      <c r="D3787" s="212">
        <f>'02 项目基础信息（输入）'!$C$90</f>
        <v>0</v>
      </c>
      <c r="E3787" s="204" t="s">
        <v>93</v>
      </c>
      <c r="F3787" s="202" t="s">
        <v>4618</v>
      </c>
      <c r="G3787" s="210">
        <f>IFERROR(I3787/D3787,0)</f>
        <v>0</v>
      </c>
      <c r="H3787" s="204" t="s">
        <v>4598</v>
      </c>
      <c r="I3787" s="286"/>
      <c r="J3787" s="204" t="s">
        <v>1052</v>
      </c>
      <c r="K3787" s="269"/>
      <c r="L3787" s="210" t="s">
        <v>746</v>
      </c>
      <c r="M3787" s="198">
        <f>ROUND(K3787*I3787/10000,6)</f>
        <v>0</v>
      </c>
      <c r="N3787" s="212">
        <f>'02 项目基础信息（输入）'!$C$90</f>
        <v>0</v>
      </c>
      <c r="O3787" s="203">
        <f t="shared" si="435"/>
        <v>0</v>
      </c>
      <c r="P3787" s="203">
        <f t="shared" si="437"/>
        <v>0</v>
      </c>
      <c r="Q3787" s="271">
        <f t="shared" si="436"/>
        <v>0</v>
      </c>
      <c r="R3787" s="188"/>
      <c r="S3787" s="280"/>
      <c r="T3787" s="222"/>
      <c r="U3787" s="223" t="s">
        <v>6024</v>
      </c>
    </row>
    <row r="3788" spans="1:21" s="181" customFormat="1" ht="0" hidden="1" customHeight="1" outlineLevel="5">
      <c r="A3788" s="253" t="s">
        <v>4620</v>
      </c>
      <c r="B3788" s="253"/>
      <c r="C3788" s="202" t="s">
        <v>1609</v>
      </c>
      <c r="D3788" s="212">
        <f>'02 项目基础信息（输入）'!$C$90</f>
        <v>0</v>
      </c>
      <c r="E3788" s="204" t="s">
        <v>93</v>
      </c>
      <c r="F3788" s="202" t="s">
        <v>4621</v>
      </c>
      <c r="G3788" s="210">
        <f>IFERROR(I3788/D3788,0)</f>
        <v>0</v>
      </c>
      <c r="H3788" s="204" t="s">
        <v>4598</v>
      </c>
      <c r="I3788" s="286"/>
      <c r="J3788" s="204" t="s">
        <v>1052</v>
      </c>
      <c r="K3788" s="269"/>
      <c r="L3788" s="210" t="s">
        <v>746</v>
      </c>
      <c r="M3788" s="198">
        <f>ROUND(K3788*I3788/10000,6)</f>
        <v>0</v>
      </c>
      <c r="N3788" s="212">
        <f>'02 项目基础信息（输入）'!$C$90</f>
        <v>0</v>
      </c>
      <c r="O3788" s="203">
        <f t="shared" si="435"/>
        <v>0</v>
      </c>
      <c r="P3788" s="203">
        <f t="shared" si="437"/>
        <v>0</v>
      </c>
      <c r="Q3788" s="271">
        <f t="shared" si="436"/>
        <v>0</v>
      </c>
      <c r="R3788" s="188"/>
      <c r="S3788" s="280"/>
      <c r="T3788" s="222"/>
      <c r="U3788" s="223" t="s">
        <v>6025</v>
      </c>
    </row>
    <row r="3789" spans="1:21" ht="0" hidden="1" customHeight="1" outlineLevel="2">
      <c r="A3789" s="201" t="s">
        <v>4623</v>
      </c>
      <c r="B3789" s="201"/>
      <c r="C3789" s="202" t="s">
        <v>1609</v>
      </c>
      <c r="D3789" s="212">
        <f>'02 项目基础信息（输入）'!$C$90</f>
        <v>0</v>
      </c>
      <c r="E3789" s="204" t="s">
        <v>93</v>
      </c>
      <c r="F3789" s="256"/>
      <c r="G3789" s="255"/>
      <c r="H3789" s="255"/>
      <c r="I3789" s="212"/>
      <c r="J3789" s="255"/>
      <c r="K3789" s="231"/>
      <c r="L3789" s="205"/>
      <c r="M3789" s="198">
        <f>ROUND(SUM(M3790:M3792),6)</f>
        <v>0</v>
      </c>
      <c r="N3789" s="212">
        <f>'02 项目基础信息（输入）'!$C$90</f>
        <v>0</v>
      </c>
      <c r="O3789" s="203">
        <f t="shared" si="435"/>
        <v>0</v>
      </c>
      <c r="P3789" s="203">
        <f t="shared" si="437"/>
        <v>0</v>
      </c>
      <c r="Q3789" s="271">
        <f t="shared" si="436"/>
        <v>0</v>
      </c>
      <c r="S3789" s="280" t="s">
        <v>1314</v>
      </c>
      <c r="T3789" s="222"/>
      <c r="U3789" s="223" t="s">
        <v>6026</v>
      </c>
    </row>
    <row r="3790" spans="1:21" s="181" customFormat="1" ht="0" hidden="1" customHeight="1" outlineLevel="3">
      <c r="A3790" s="253" t="s">
        <v>4625</v>
      </c>
      <c r="B3790" s="254"/>
      <c r="C3790" s="250" t="s">
        <v>1609</v>
      </c>
      <c r="D3790" s="212">
        <f>'02 项目基础信息（输入）'!$C$90</f>
        <v>0</v>
      </c>
      <c r="E3790" s="204" t="s">
        <v>93</v>
      </c>
      <c r="F3790" s="202" t="s">
        <v>694</v>
      </c>
      <c r="G3790" s="261">
        <f>IFERROR(I3790/D3790,0)</f>
        <v>0</v>
      </c>
      <c r="H3790" s="204" t="s">
        <v>1473</v>
      </c>
      <c r="I3790" s="270"/>
      <c r="J3790" s="204" t="s">
        <v>131</v>
      </c>
      <c r="K3790" s="269"/>
      <c r="L3790" s="210" t="s">
        <v>792</v>
      </c>
      <c r="M3790" s="198">
        <f>ROUND(K3790*I3790/10000,6)</f>
        <v>0</v>
      </c>
      <c r="N3790" s="212">
        <f>'02 项目基础信息（输入）'!$C$90</f>
        <v>0</v>
      </c>
      <c r="O3790" s="203">
        <f t="shared" si="435"/>
        <v>0</v>
      </c>
      <c r="P3790" s="203">
        <f t="shared" si="437"/>
        <v>0</v>
      </c>
      <c r="Q3790" s="271">
        <f t="shared" si="436"/>
        <v>0</v>
      </c>
      <c r="R3790" s="188"/>
      <c r="S3790" s="280"/>
      <c r="T3790" s="222"/>
      <c r="U3790" s="223" t="s">
        <v>6027</v>
      </c>
    </row>
    <row r="3791" spans="1:21" s="181" customFormat="1" ht="0" hidden="1" customHeight="1" outlineLevel="3">
      <c r="A3791" s="253" t="s">
        <v>4627</v>
      </c>
      <c r="B3791" s="254"/>
      <c r="C3791" s="250" t="s">
        <v>1609</v>
      </c>
      <c r="D3791" s="212">
        <f>'02 项目基础信息（输入）'!$C$90</f>
        <v>0</v>
      </c>
      <c r="E3791" s="204" t="s">
        <v>93</v>
      </c>
      <c r="F3791" s="202" t="s">
        <v>694</v>
      </c>
      <c r="G3791" s="261">
        <f>IFERROR(I3791/D3791,0)</f>
        <v>0</v>
      </c>
      <c r="H3791" s="204" t="s">
        <v>1473</v>
      </c>
      <c r="I3791" s="270"/>
      <c r="J3791" s="204" t="s">
        <v>131</v>
      </c>
      <c r="K3791" s="269"/>
      <c r="L3791" s="210" t="s">
        <v>792</v>
      </c>
      <c r="M3791" s="198">
        <f>ROUND(K3791*I3791/10000,6)</f>
        <v>0</v>
      </c>
      <c r="N3791" s="212">
        <f>'02 项目基础信息（输入）'!$C$90</f>
        <v>0</v>
      </c>
      <c r="O3791" s="203">
        <f t="shared" si="435"/>
        <v>0</v>
      </c>
      <c r="P3791" s="203">
        <f t="shared" si="437"/>
        <v>0</v>
      </c>
      <c r="Q3791" s="271">
        <f t="shared" si="436"/>
        <v>0</v>
      </c>
      <c r="R3791" s="188"/>
      <c r="S3791" s="280"/>
      <c r="T3791" s="222"/>
      <c r="U3791" s="223" t="s">
        <v>6028</v>
      </c>
    </row>
    <row r="3792" spans="1:21" s="181" customFormat="1" ht="0" hidden="1" customHeight="1" outlineLevel="3">
      <c r="A3792" s="253" t="s">
        <v>4629</v>
      </c>
      <c r="B3792" s="254"/>
      <c r="C3792" s="250" t="s">
        <v>1609</v>
      </c>
      <c r="D3792" s="212">
        <f>'02 项目基础信息（输入）'!$C$90</f>
        <v>0</v>
      </c>
      <c r="E3792" s="204" t="s">
        <v>131</v>
      </c>
      <c r="F3792" s="202" t="s">
        <v>694</v>
      </c>
      <c r="G3792" s="261">
        <f>IFERROR(I3792/D3792,0)</f>
        <v>0</v>
      </c>
      <c r="H3792" s="204" t="s">
        <v>1473</v>
      </c>
      <c r="I3792" s="270"/>
      <c r="J3792" s="204" t="s">
        <v>131</v>
      </c>
      <c r="K3792" s="269"/>
      <c r="L3792" s="210" t="s">
        <v>792</v>
      </c>
      <c r="M3792" s="198">
        <f>ROUND(K3792*I3792/10000,6)</f>
        <v>0</v>
      </c>
      <c r="N3792" s="212">
        <f>'02 项目基础信息（输入）'!$C$90</f>
        <v>0</v>
      </c>
      <c r="O3792" s="203">
        <f t="shared" si="435"/>
        <v>0</v>
      </c>
      <c r="P3792" s="203">
        <f t="shared" si="437"/>
        <v>0</v>
      </c>
      <c r="Q3792" s="271">
        <f t="shared" si="436"/>
        <v>0</v>
      </c>
      <c r="R3792" s="188"/>
      <c r="S3792" s="280"/>
      <c r="T3792" s="222"/>
      <c r="U3792" s="223" t="s">
        <v>6029</v>
      </c>
    </row>
    <row r="3793" spans="1:21" ht="0" hidden="1" customHeight="1" outlineLevel="2">
      <c r="A3793" s="201" t="s">
        <v>4631</v>
      </c>
      <c r="B3793" s="201"/>
      <c r="C3793" s="202" t="s">
        <v>1609</v>
      </c>
      <c r="D3793" s="212">
        <f>'02 项目基础信息（输入）'!$C$90</f>
        <v>0</v>
      </c>
      <c r="E3793" s="204" t="s">
        <v>93</v>
      </c>
      <c r="F3793" s="202"/>
      <c r="G3793" s="204"/>
      <c r="H3793" s="204"/>
      <c r="I3793" s="203"/>
      <c r="J3793" s="204"/>
      <c r="K3793" s="264"/>
      <c r="L3793" s="205"/>
      <c r="M3793" s="198">
        <f>ROUND(SUM(M3794:M3795),6)</f>
        <v>0</v>
      </c>
      <c r="N3793" s="212">
        <f>'02 项目基础信息（输入）'!$C$90</f>
        <v>0</v>
      </c>
      <c r="O3793" s="203">
        <f t="shared" si="435"/>
        <v>0</v>
      </c>
      <c r="P3793" s="203">
        <f t="shared" si="437"/>
        <v>0</v>
      </c>
      <c r="Q3793" s="271">
        <f t="shared" si="436"/>
        <v>0</v>
      </c>
      <c r="S3793" s="280" t="s">
        <v>1314</v>
      </c>
      <c r="T3793" s="222"/>
      <c r="U3793" s="223" t="s">
        <v>6030</v>
      </c>
    </row>
    <row r="3794" spans="1:21" ht="0" hidden="1" customHeight="1" outlineLevel="3">
      <c r="A3794" s="253" t="s">
        <v>4633</v>
      </c>
      <c r="B3794" s="253"/>
      <c r="C3794" s="202" t="s">
        <v>1081</v>
      </c>
      <c r="D3794" s="289">
        <f>'02 项目基础信息（输入）'!AX90</f>
        <v>0</v>
      </c>
      <c r="E3794" s="204" t="s">
        <v>1082</v>
      </c>
      <c r="F3794" s="202" t="s">
        <v>1081</v>
      </c>
      <c r="G3794" s="204">
        <v>1</v>
      </c>
      <c r="H3794" s="204" t="s">
        <v>1918</v>
      </c>
      <c r="I3794" s="293">
        <f>D3794*G3794</f>
        <v>0</v>
      </c>
      <c r="J3794" s="204" t="s">
        <v>1082</v>
      </c>
      <c r="K3794" s="214"/>
      <c r="L3794" s="210" t="s">
        <v>1087</v>
      </c>
      <c r="M3794" s="198">
        <f>ROUND(K3794*I3794/10000,6)</f>
        <v>0</v>
      </c>
      <c r="N3794" s="212">
        <f>'02 项目基础信息（输入）'!$C$90</f>
        <v>0</v>
      </c>
      <c r="O3794" s="203">
        <f t="shared" si="435"/>
        <v>0</v>
      </c>
      <c r="P3794" s="203">
        <f t="shared" si="437"/>
        <v>0</v>
      </c>
      <c r="Q3794" s="271">
        <f t="shared" si="436"/>
        <v>0</v>
      </c>
      <c r="S3794" s="280"/>
      <c r="T3794" s="222"/>
      <c r="U3794" s="223" t="s">
        <v>6031</v>
      </c>
    </row>
    <row r="3795" spans="1:21" ht="0" hidden="1" customHeight="1" outlineLevel="3">
      <c r="A3795" s="253" t="s">
        <v>4635</v>
      </c>
      <c r="B3795" s="253"/>
      <c r="C3795" s="202" t="s">
        <v>1081</v>
      </c>
      <c r="D3795" s="291">
        <f>D3794</f>
        <v>0</v>
      </c>
      <c r="E3795" s="204" t="s">
        <v>1082</v>
      </c>
      <c r="F3795" s="202" t="s">
        <v>1081</v>
      </c>
      <c r="G3795" s="204">
        <v>1</v>
      </c>
      <c r="H3795" s="204" t="s">
        <v>1918</v>
      </c>
      <c r="I3795" s="293">
        <f>D3795*G3795</f>
        <v>0</v>
      </c>
      <c r="J3795" s="204" t="s">
        <v>1082</v>
      </c>
      <c r="K3795" s="214"/>
      <c r="L3795" s="210" t="s">
        <v>1087</v>
      </c>
      <c r="M3795" s="198">
        <f>ROUND(K3795*I3795/10000,6)</f>
        <v>0</v>
      </c>
      <c r="N3795" s="212">
        <f>'02 项目基础信息（输入）'!$C$90</f>
        <v>0</v>
      </c>
      <c r="O3795" s="203">
        <f t="shared" si="435"/>
        <v>0</v>
      </c>
      <c r="P3795" s="203">
        <f t="shared" si="437"/>
        <v>0</v>
      </c>
      <c r="Q3795" s="271">
        <f t="shared" si="436"/>
        <v>0</v>
      </c>
      <c r="S3795" s="280"/>
      <c r="T3795" s="222"/>
      <c r="U3795" s="223" t="s">
        <v>6032</v>
      </c>
    </row>
    <row r="3796" spans="1:21" ht="0" hidden="1" customHeight="1" outlineLevel="2">
      <c r="A3796" s="201" t="s">
        <v>4268</v>
      </c>
      <c r="B3796" s="201"/>
      <c r="C3796" s="202" t="s">
        <v>1609</v>
      </c>
      <c r="D3796" s="212">
        <f>'02 项目基础信息（输入）'!$C$90</f>
        <v>0</v>
      </c>
      <c r="E3796" s="204" t="s">
        <v>93</v>
      </c>
      <c r="F3796" s="202"/>
      <c r="G3796" s="204"/>
      <c r="H3796" s="255"/>
      <c r="I3796" s="212"/>
      <c r="J3796" s="255"/>
      <c r="K3796" s="264"/>
      <c r="L3796" s="205"/>
      <c r="M3796" s="198">
        <f>ROUND(M3797+M3804+M3814+M3815+M3816+M3817,6)</f>
        <v>0</v>
      </c>
      <c r="N3796" s="212">
        <f>'02 项目基础信息（输入）'!$C$90</f>
        <v>0</v>
      </c>
      <c r="O3796" s="203">
        <f t="shared" si="435"/>
        <v>0</v>
      </c>
      <c r="P3796" s="203">
        <f t="shared" si="437"/>
        <v>0</v>
      </c>
      <c r="Q3796" s="271">
        <f t="shared" si="436"/>
        <v>0</v>
      </c>
      <c r="S3796" s="280" t="s">
        <v>1313</v>
      </c>
      <c r="T3796" s="222"/>
      <c r="U3796" s="223" t="s">
        <v>6033</v>
      </c>
    </row>
    <row r="3797" spans="1:21" ht="0" hidden="1" customHeight="1" outlineLevel="3">
      <c r="A3797" s="253" t="s">
        <v>4270</v>
      </c>
      <c r="B3797" s="253"/>
      <c r="C3797" s="202" t="s">
        <v>1609</v>
      </c>
      <c r="D3797" s="212">
        <f>'02 项目基础信息（输入）'!$C$90</f>
        <v>0</v>
      </c>
      <c r="E3797" s="204" t="s">
        <v>93</v>
      </c>
      <c r="F3797" s="202"/>
      <c r="G3797" s="204"/>
      <c r="H3797" s="255"/>
      <c r="I3797" s="212"/>
      <c r="J3797" s="255"/>
      <c r="K3797" s="264"/>
      <c r="L3797" s="205"/>
      <c r="M3797" s="198">
        <f>ROUND(SUM(M3798:M3803),6)</f>
        <v>0</v>
      </c>
      <c r="N3797" s="212">
        <f>'02 项目基础信息（输入）'!$C$90</f>
        <v>0</v>
      </c>
      <c r="O3797" s="203">
        <f t="shared" si="435"/>
        <v>0</v>
      </c>
      <c r="P3797" s="203">
        <f t="shared" si="437"/>
        <v>0</v>
      </c>
      <c r="Q3797" s="271">
        <f t="shared" si="436"/>
        <v>0</v>
      </c>
      <c r="S3797" s="280"/>
      <c r="T3797" s="222"/>
      <c r="U3797" s="223" t="s">
        <v>6034</v>
      </c>
    </row>
    <row r="3798" spans="1:21" ht="0" hidden="1" customHeight="1" outlineLevel="4">
      <c r="A3798" s="253" t="s">
        <v>4272</v>
      </c>
      <c r="B3798" s="253"/>
      <c r="C3798" s="202" t="s">
        <v>1609</v>
      </c>
      <c r="D3798" s="212">
        <f>'02 项目基础信息（输入）'!$C$90</f>
        <v>0</v>
      </c>
      <c r="E3798" s="204" t="s">
        <v>93</v>
      </c>
      <c r="F3798" s="202" t="s">
        <v>1609</v>
      </c>
      <c r="G3798" s="204">
        <v>1</v>
      </c>
      <c r="H3798" s="204" t="s">
        <v>298</v>
      </c>
      <c r="I3798" s="265">
        <f t="shared" ref="I3798:I3803" si="438">D3798*G3798</f>
        <v>0</v>
      </c>
      <c r="J3798" s="204" t="s">
        <v>93</v>
      </c>
      <c r="K3798" s="214"/>
      <c r="L3798" s="210" t="s">
        <v>675</v>
      </c>
      <c r="M3798" s="198">
        <f t="shared" ref="M3798:M3803" si="439">ROUND(K3798*I3798/10000,6)</f>
        <v>0</v>
      </c>
      <c r="N3798" s="212">
        <f>'02 项目基础信息（输入）'!$C$90</f>
        <v>0</v>
      </c>
      <c r="O3798" s="203">
        <f t="shared" si="435"/>
        <v>0</v>
      </c>
      <c r="P3798" s="203">
        <f t="shared" si="437"/>
        <v>0</v>
      </c>
      <c r="Q3798" s="271">
        <f t="shared" si="436"/>
        <v>0</v>
      </c>
      <c r="S3798" s="280"/>
      <c r="T3798" s="222"/>
      <c r="U3798" s="223" t="s">
        <v>6035</v>
      </c>
    </row>
    <row r="3799" spans="1:21" ht="0" hidden="1" customHeight="1" outlineLevel="4">
      <c r="A3799" s="253" t="s">
        <v>4274</v>
      </c>
      <c r="B3799" s="253"/>
      <c r="C3799" s="202" t="s">
        <v>1609</v>
      </c>
      <c r="D3799" s="212">
        <f>'02 项目基础信息（输入）'!$C$90</f>
        <v>0</v>
      </c>
      <c r="E3799" s="204" t="s">
        <v>93</v>
      </c>
      <c r="F3799" s="202" t="s">
        <v>1609</v>
      </c>
      <c r="G3799" s="204">
        <v>1</v>
      </c>
      <c r="H3799" s="204" t="s">
        <v>298</v>
      </c>
      <c r="I3799" s="265">
        <f t="shared" si="438"/>
        <v>0</v>
      </c>
      <c r="J3799" s="204" t="s">
        <v>93</v>
      </c>
      <c r="K3799" s="214"/>
      <c r="L3799" s="210" t="s">
        <v>675</v>
      </c>
      <c r="M3799" s="198">
        <f t="shared" si="439"/>
        <v>0</v>
      </c>
      <c r="N3799" s="212">
        <f>'02 项目基础信息（输入）'!$C$90</f>
        <v>0</v>
      </c>
      <c r="O3799" s="203">
        <f t="shared" si="435"/>
        <v>0</v>
      </c>
      <c r="P3799" s="203">
        <f t="shared" si="437"/>
        <v>0</v>
      </c>
      <c r="Q3799" s="271">
        <f t="shared" si="436"/>
        <v>0</v>
      </c>
      <c r="S3799" s="280"/>
      <c r="T3799" s="222"/>
      <c r="U3799" s="223" t="s">
        <v>6036</v>
      </c>
    </row>
    <row r="3800" spans="1:21" ht="0" hidden="1" customHeight="1" outlineLevel="4">
      <c r="A3800" s="253" t="s">
        <v>4276</v>
      </c>
      <c r="B3800" s="253"/>
      <c r="C3800" s="202" t="s">
        <v>1609</v>
      </c>
      <c r="D3800" s="212">
        <f>'02 项目基础信息（输入）'!$C$90</f>
        <v>0</v>
      </c>
      <c r="E3800" s="204" t="s">
        <v>93</v>
      </c>
      <c r="F3800" s="202" t="s">
        <v>1609</v>
      </c>
      <c r="G3800" s="204">
        <v>1</v>
      </c>
      <c r="H3800" s="204" t="s">
        <v>298</v>
      </c>
      <c r="I3800" s="265">
        <f t="shared" si="438"/>
        <v>0</v>
      </c>
      <c r="J3800" s="204" t="s">
        <v>93</v>
      </c>
      <c r="K3800" s="214"/>
      <c r="L3800" s="210" t="s">
        <v>675</v>
      </c>
      <c r="M3800" s="198">
        <f t="shared" si="439"/>
        <v>0</v>
      </c>
      <c r="N3800" s="212">
        <f>'02 项目基础信息（输入）'!$C$90</f>
        <v>0</v>
      </c>
      <c r="O3800" s="203">
        <f t="shared" si="435"/>
        <v>0</v>
      </c>
      <c r="P3800" s="203">
        <f t="shared" si="437"/>
        <v>0</v>
      </c>
      <c r="Q3800" s="271">
        <f t="shared" si="436"/>
        <v>0</v>
      </c>
      <c r="S3800" s="280"/>
      <c r="T3800" s="222"/>
      <c r="U3800" s="223" t="s">
        <v>6037</v>
      </c>
    </row>
    <row r="3801" spans="1:21" ht="0" hidden="1" customHeight="1" outlineLevel="4">
      <c r="A3801" s="253" t="s">
        <v>4278</v>
      </c>
      <c r="B3801" s="253"/>
      <c r="C3801" s="202" t="s">
        <v>1609</v>
      </c>
      <c r="D3801" s="212">
        <f>'02 项目基础信息（输入）'!$C$90</f>
        <v>0</v>
      </c>
      <c r="E3801" s="204" t="s">
        <v>93</v>
      </c>
      <c r="F3801" s="202" t="s">
        <v>1609</v>
      </c>
      <c r="G3801" s="204">
        <v>1</v>
      </c>
      <c r="H3801" s="204" t="s">
        <v>298</v>
      </c>
      <c r="I3801" s="265">
        <f t="shared" si="438"/>
        <v>0</v>
      </c>
      <c r="J3801" s="204" t="s">
        <v>93</v>
      </c>
      <c r="K3801" s="214"/>
      <c r="L3801" s="210" t="s">
        <v>675</v>
      </c>
      <c r="M3801" s="198">
        <f t="shared" si="439"/>
        <v>0</v>
      </c>
      <c r="N3801" s="212">
        <f>'02 项目基础信息（输入）'!$C$90</f>
        <v>0</v>
      </c>
      <c r="O3801" s="203">
        <f t="shared" si="435"/>
        <v>0</v>
      </c>
      <c r="P3801" s="203">
        <f t="shared" si="437"/>
        <v>0</v>
      </c>
      <c r="Q3801" s="271">
        <f t="shared" si="436"/>
        <v>0</v>
      </c>
      <c r="S3801" s="280"/>
      <c r="T3801" s="222"/>
      <c r="U3801" s="223" t="s">
        <v>6038</v>
      </c>
    </row>
    <row r="3802" spans="1:21" ht="0" hidden="1" customHeight="1" outlineLevel="4">
      <c r="A3802" s="253" t="s">
        <v>4280</v>
      </c>
      <c r="B3802" s="253"/>
      <c r="C3802" s="202" t="s">
        <v>1609</v>
      </c>
      <c r="D3802" s="212">
        <f>'02 项目基础信息（输入）'!$C$90</f>
        <v>0</v>
      </c>
      <c r="E3802" s="204" t="s">
        <v>93</v>
      </c>
      <c r="F3802" s="202" t="s">
        <v>1609</v>
      </c>
      <c r="G3802" s="204">
        <v>1</v>
      </c>
      <c r="H3802" s="204" t="s">
        <v>298</v>
      </c>
      <c r="I3802" s="265">
        <f t="shared" si="438"/>
        <v>0</v>
      </c>
      <c r="J3802" s="204" t="s">
        <v>93</v>
      </c>
      <c r="K3802" s="214"/>
      <c r="L3802" s="210" t="s">
        <v>675</v>
      </c>
      <c r="M3802" s="198">
        <f t="shared" si="439"/>
        <v>0</v>
      </c>
      <c r="N3802" s="212">
        <f>'02 项目基础信息（输入）'!$C$90</f>
        <v>0</v>
      </c>
      <c r="O3802" s="203">
        <f t="shared" si="435"/>
        <v>0</v>
      </c>
      <c r="P3802" s="203">
        <f t="shared" si="437"/>
        <v>0</v>
      </c>
      <c r="Q3802" s="271">
        <f t="shared" si="436"/>
        <v>0</v>
      </c>
      <c r="S3802" s="280"/>
      <c r="T3802" s="222"/>
      <c r="U3802" s="223" t="s">
        <v>6039</v>
      </c>
    </row>
    <row r="3803" spans="1:21" ht="0" hidden="1" customHeight="1" outlineLevel="4">
      <c r="A3803" s="253" t="s">
        <v>4282</v>
      </c>
      <c r="B3803" s="253"/>
      <c r="C3803" s="202" t="s">
        <v>1609</v>
      </c>
      <c r="D3803" s="212">
        <f>'02 项目基础信息（输入）'!$C$90</f>
        <v>0</v>
      </c>
      <c r="E3803" s="204" t="s">
        <v>93</v>
      </c>
      <c r="F3803" s="202" t="s">
        <v>1609</v>
      </c>
      <c r="G3803" s="204">
        <v>1</v>
      </c>
      <c r="H3803" s="204" t="s">
        <v>298</v>
      </c>
      <c r="I3803" s="265">
        <f t="shared" si="438"/>
        <v>0</v>
      </c>
      <c r="J3803" s="204" t="s">
        <v>93</v>
      </c>
      <c r="K3803" s="214"/>
      <c r="L3803" s="210" t="s">
        <v>675</v>
      </c>
      <c r="M3803" s="198">
        <f t="shared" si="439"/>
        <v>0</v>
      </c>
      <c r="N3803" s="212">
        <f>'02 项目基础信息（输入）'!$C$90</f>
        <v>0</v>
      </c>
      <c r="O3803" s="203">
        <f t="shared" si="435"/>
        <v>0</v>
      </c>
      <c r="P3803" s="203">
        <f t="shared" si="437"/>
        <v>0</v>
      </c>
      <c r="Q3803" s="271">
        <f t="shared" si="436"/>
        <v>0</v>
      </c>
      <c r="S3803" s="280"/>
      <c r="T3803" s="222"/>
      <c r="U3803" s="223" t="s">
        <v>6040</v>
      </c>
    </row>
    <row r="3804" spans="1:21" ht="0" hidden="1" customHeight="1" outlineLevel="3">
      <c r="A3804" s="253" t="s">
        <v>4284</v>
      </c>
      <c r="B3804" s="253"/>
      <c r="C3804" s="202" t="s">
        <v>1609</v>
      </c>
      <c r="D3804" s="212">
        <f>'02 项目基础信息（输入）'!$C$90</f>
        <v>0</v>
      </c>
      <c r="E3804" s="204" t="s">
        <v>93</v>
      </c>
      <c r="F3804" s="202"/>
      <c r="G3804" s="204"/>
      <c r="H3804" s="204"/>
      <c r="I3804" s="203"/>
      <c r="J3804" s="255"/>
      <c r="K3804" s="264"/>
      <c r="L3804" s="205"/>
      <c r="M3804" s="198">
        <f>ROUND(SUM(M3805:M3813),6)</f>
        <v>0</v>
      </c>
      <c r="N3804" s="212">
        <f>'02 项目基础信息（输入）'!$C$90</f>
        <v>0</v>
      </c>
      <c r="O3804" s="203">
        <f t="shared" si="435"/>
        <v>0</v>
      </c>
      <c r="P3804" s="203">
        <f t="shared" si="437"/>
        <v>0</v>
      </c>
      <c r="Q3804" s="271">
        <f t="shared" si="436"/>
        <v>0</v>
      </c>
      <c r="S3804" s="280"/>
      <c r="T3804" s="222"/>
      <c r="U3804" s="223" t="s">
        <v>6041</v>
      </c>
    </row>
    <row r="3805" spans="1:21" ht="0" hidden="1" customHeight="1" outlineLevel="4">
      <c r="A3805" s="253" t="s">
        <v>4286</v>
      </c>
      <c r="B3805" s="253"/>
      <c r="C3805" s="202" t="s">
        <v>1609</v>
      </c>
      <c r="D3805" s="212">
        <f>'02 项目基础信息（输入）'!$C$90</f>
        <v>0</v>
      </c>
      <c r="E3805" s="204" t="s">
        <v>93</v>
      </c>
      <c r="F3805" s="202" t="s">
        <v>1609</v>
      </c>
      <c r="G3805" s="204">
        <v>1</v>
      </c>
      <c r="H3805" s="204" t="s">
        <v>298</v>
      </c>
      <c r="I3805" s="265">
        <f t="shared" ref="I3805:I3816" si="440">D3805*G3805</f>
        <v>0</v>
      </c>
      <c r="J3805" s="204" t="s">
        <v>93</v>
      </c>
      <c r="K3805" s="214"/>
      <c r="L3805" s="210" t="s">
        <v>675</v>
      </c>
      <c r="M3805" s="198">
        <f t="shared" ref="M3805:M3816" si="441">ROUND(K3805*I3805/10000,6)</f>
        <v>0</v>
      </c>
      <c r="N3805" s="212">
        <f>'02 项目基础信息（输入）'!$C$90</f>
        <v>0</v>
      </c>
      <c r="O3805" s="203">
        <f t="shared" si="435"/>
        <v>0</v>
      </c>
      <c r="P3805" s="203">
        <f t="shared" si="437"/>
        <v>0</v>
      </c>
      <c r="Q3805" s="271">
        <f t="shared" si="436"/>
        <v>0</v>
      </c>
      <c r="S3805" s="280"/>
      <c r="T3805" s="222"/>
      <c r="U3805" s="223" t="s">
        <v>6042</v>
      </c>
    </row>
    <row r="3806" spans="1:21" ht="0" hidden="1" customHeight="1" outlineLevel="4">
      <c r="A3806" s="253" t="s">
        <v>4288</v>
      </c>
      <c r="B3806" s="253"/>
      <c r="C3806" s="202" t="s">
        <v>1609</v>
      </c>
      <c r="D3806" s="212">
        <f>'02 项目基础信息（输入）'!$C$90</f>
        <v>0</v>
      </c>
      <c r="E3806" s="204" t="s">
        <v>93</v>
      </c>
      <c r="F3806" s="202" t="s">
        <v>1609</v>
      </c>
      <c r="G3806" s="204">
        <v>1</v>
      </c>
      <c r="H3806" s="204" t="s">
        <v>298</v>
      </c>
      <c r="I3806" s="265">
        <f t="shared" si="440"/>
        <v>0</v>
      </c>
      <c r="J3806" s="204" t="s">
        <v>93</v>
      </c>
      <c r="K3806" s="214"/>
      <c r="L3806" s="210" t="s">
        <v>675</v>
      </c>
      <c r="M3806" s="198">
        <f t="shared" si="441"/>
        <v>0</v>
      </c>
      <c r="N3806" s="212">
        <f>'02 项目基础信息（输入）'!$C$90</f>
        <v>0</v>
      </c>
      <c r="O3806" s="203">
        <f t="shared" si="435"/>
        <v>0</v>
      </c>
      <c r="P3806" s="203">
        <f t="shared" si="437"/>
        <v>0</v>
      </c>
      <c r="Q3806" s="271">
        <f t="shared" si="436"/>
        <v>0</v>
      </c>
      <c r="S3806" s="280"/>
      <c r="T3806" s="222"/>
      <c r="U3806" s="223" t="s">
        <v>6043</v>
      </c>
    </row>
    <row r="3807" spans="1:21" ht="0" hidden="1" customHeight="1" outlineLevel="4">
      <c r="A3807" s="253" t="s">
        <v>4290</v>
      </c>
      <c r="B3807" s="253"/>
      <c r="C3807" s="202" t="s">
        <v>1609</v>
      </c>
      <c r="D3807" s="212">
        <f>'02 项目基础信息（输入）'!$C$90</f>
        <v>0</v>
      </c>
      <c r="E3807" s="204" t="s">
        <v>93</v>
      </c>
      <c r="F3807" s="202" t="s">
        <v>1609</v>
      </c>
      <c r="G3807" s="204">
        <v>1</v>
      </c>
      <c r="H3807" s="204" t="s">
        <v>298</v>
      </c>
      <c r="I3807" s="265">
        <f t="shared" si="440"/>
        <v>0</v>
      </c>
      <c r="J3807" s="204" t="s">
        <v>93</v>
      </c>
      <c r="K3807" s="214"/>
      <c r="L3807" s="210" t="s">
        <v>675</v>
      </c>
      <c r="M3807" s="198">
        <f t="shared" si="441"/>
        <v>0</v>
      </c>
      <c r="N3807" s="212">
        <f>'02 项目基础信息（输入）'!$C$90</f>
        <v>0</v>
      </c>
      <c r="O3807" s="203">
        <f t="shared" si="435"/>
        <v>0</v>
      </c>
      <c r="P3807" s="203">
        <f t="shared" si="437"/>
        <v>0</v>
      </c>
      <c r="Q3807" s="271">
        <f t="shared" si="436"/>
        <v>0</v>
      </c>
      <c r="S3807" s="280"/>
      <c r="T3807" s="222"/>
      <c r="U3807" s="223" t="s">
        <v>6044</v>
      </c>
    </row>
    <row r="3808" spans="1:21" ht="0" hidden="1" customHeight="1" outlineLevel="4">
      <c r="A3808" s="253" t="s">
        <v>4657</v>
      </c>
      <c r="B3808" s="253"/>
      <c r="C3808" s="202" t="s">
        <v>1609</v>
      </c>
      <c r="D3808" s="212">
        <f>'02 项目基础信息（输入）'!$C$90</f>
        <v>0</v>
      </c>
      <c r="E3808" s="204" t="s">
        <v>93</v>
      </c>
      <c r="F3808" s="202" t="s">
        <v>1609</v>
      </c>
      <c r="G3808" s="204">
        <v>1</v>
      </c>
      <c r="H3808" s="204" t="s">
        <v>298</v>
      </c>
      <c r="I3808" s="265">
        <f t="shared" si="440"/>
        <v>0</v>
      </c>
      <c r="J3808" s="204" t="s">
        <v>93</v>
      </c>
      <c r="K3808" s="214"/>
      <c r="L3808" s="210" t="s">
        <v>675</v>
      </c>
      <c r="M3808" s="198">
        <f t="shared" si="441"/>
        <v>0</v>
      </c>
      <c r="N3808" s="212">
        <f>'02 项目基础信息（输入）'!$C$90</f>
        <v>0</v>
      </c>
      <c r="O3808" s="203">
        <f t="shared" si="435"/>
        <v>0</v>
      </c>
      <c r="P3808" s="203">
        <f t="shared" si="437"/>
        <v>0</v>
      </c>
      <c r="Q3808" s="271">
        <f t="shared" si="436"/>
        <v>0</v>
      </c>
      <c r="S3808" s="280"/>
      <c r="T3808" s="222"/>
      <c r="U3808" s="223" t="s">
        <v>6045</v>
      </c>
    </row>
    <row r="3809" spans="1:21" ht="0" hidden="1" customHeight="1" outlineLevel="4">
      <c r="A3809" s="253" t="s">
        <v>4292</v>
      </c>
      <c r="B3809" s="253"/>
      <c r="C3809" s="202" t="s">
        <v>1609</v>
      </c>
      <c r="D3809" s="212">
        <f>'02 项目基础信息（输入）'!$C$90</f>
        <v>0</v>
      </c>
      <c r="E3809" s="204" t="s">
        <v>93</v>
      </c>
      <c r="F3809" s="202" t="s">
        <v>1609</v>
      </c>
      <c r="G3809" s="204">
        <v>1</v>
      </c>
      <c r="H3809" s="204" t="s">
        <v>298</v>
      </c>
      <c r="I3809" s="265">
        <f t="shared" si="440"/>
        <v>0</v>
      </c>
      <c r="J3809" s="204" t="s">
        <v>93</v>
      </c>
      <c r="K3809" s="214"/>
      <c r="L3809" s="210" t="s">
        <v>675</v>
      </c>
      <c r="M3809" s="198">
        <f t="shared" si="441"/>
        <v>0</v>
      </c>
      <c r="N3809" s="212">
        <f>'02 项目基础信息（输入）'!$C$90</f>
        <v>0</v>
      </c>
      <c r="O3809" s="203">
        <f t="shared" si="435"/>
        <v>0</v>
      </c>
      <c r="P3809" s="203">
        <f t="shared" si="437"/>
        <v>0</v>
      </c>
      <c r="Q3809" s="271">
        <f t="shared" si="436"/>
        <v>0</v>
      </c>
      <c r="S3809" s="280"/>
      <c r="T3809" s="222"/>
      <c r="U3809" s="223" t="s">
        <v>6046</v>
      </c>
    </row>
    <row r="3810" spans="1:21" ht="0" hidden="1" customHeight="1" outlineLevel="4">
      <c r="A3810" s="253" t="s">
        <v>4294</v>
      </c>
      <c r="B3810" s="253"/>
      <c r="C3810" s="202" t="s">
        <v>1609</v>
      </c>
      <c r="D3810" s="212">
        <f>'02 项目基础信息（输入）'!$C$90</f>
        <v>0</v>
      </c>
      <c r="E3810" s="204" t="s">
        <v>93</v>
      </c>
      <c r="F3810" s="202" t="s">
        <v>1609</v>
      </c>
      <c r="G3810" s="204">
        <v>1</v>
      </c>
      <c r="H3810" s="204" t="s">
        <v>298</v>
      </c>
      <c r="I3810" s="265">
        <f t="shared" si="440"/>
        <v>0</v>
      </c>
      <c r="J3810" s="204" t="s">
        <v>93</v>
      </c>
      <c r="K3810" s="214"/>
      <c r="L3810" s="210" t="s">
        <v>675</v>
      </c>
      <c r="M3810" s="198">
        <f t="shared" si="441"/>
        <v>0</v>
      </c>
      <c r="N3810" s="212">
        <f>'02 项目基础信息（输入）'!$C$90</f>
        <v>0</v>
      </c>
      <c r="O3810" s="203">
        <f t="shared" si="435"/>
        <v>0</v>
      </c>
      <c r="P3810" s="203">
        <f t="shared" si="437"/>
        <v>0</v>
      </c>
      <c r="Q3810" s="271">
        <f t="shared" si="436"/>
        <v>0</v>
      </c>
      <c r="S3810" s="280"/>
      <c r="T3810" s="222"/>
      <c r="U3810" s="223" t="s">
        <v>6047</v>
      </c>
    </row>
    <row r="3811" spans="1:21" ht="0" hidden="1" customHeight="1" outlineLevel="4">
      <c r="A3811" s="253" t="s">
        <v>4296</v>
      </c>
      <c r="B3811" s="253"/>
      <c r="C3811" s="202" t="s">
        <v>1609</v>
      </c>
      <c r="D3811" s="212">
        <f>'02 项目基础信息（输入）'!$C$90</f>
        <v>0</v>
      </c>
      <c r="E3811" s="204" t="s">
        <v>93</v>
      </c>
      <c r="F3811" s="202" t="s">
        <v>1609</v>
      </c>
      <c r="G3811" s="204">
        <v>1</v>
      </c>
      <c r="H3811" s="204" t="s">
        <v>298</v>
      </c>
      <c r="I3811" s="265">
        <f t="shared" si="440"/>
        <v>0</v>
      </c>
      <c r="J3811" s="204" t="s">
        <v>93</v>
      </c>
      <c r="K3811" s="214"/>
      <c r="L3811" s="210" t="s">
        <v>675</v>
      </c>
      <c r="M3811" s="198">
        <f t="shared" si="441"/>
        <v>0</v>
      </c>
      <c r="N3811" s="212">
        <f>'02 项目基础信息（输入）'!$C$90</f>
        <v>0</v>
      </c>
      <c r="O3811" s="203">
        <f t="shared" si="435"/>
        <v>0</v>
      </c>
      <c r="P3811" s="203">
        <f t="shared" si="437"/>
        <v>0</v>
      </c>
      <c r="Q3811" s="271">
        <f t="shared" si="436"/>
        <v>0</v>
      </c>
      <c r="S3811" s="280"/>
      <c r="T3811" s="222"/>
      <c r="U3811" s="223" t="s">
        <v>6048</v>
      </c>
    </row>
    <row r="3812" spans="1:21" ht="0" hidden="1" customHeight="1" outlineLevel="4">
      <c r="A3812" s="253" t="s">
        <v>4298</v>
      </c>
      <c r="B3812" s="253"/>
      <c r="C3812" s="202" t="s">
        <v>1609</v>
      </c>
      <c r="D3812" s="212">
        <f>'02 项目基础信息（输入）'!$C$90</f>
        <v>0</v>
      </c>
      <c r="E3812" s="204" t="s">
        <v>93</v>
      </c>
      <c r="F3812" s="202" t="s">
        <v>1609</v>
      </c>
      <c r="G3812" s="204">
        <v>1</v>
      </c>
      <c r="H3812" s="204" t="s">
        <v>298</v>
      </c>
      <c r="I3812" s="265">
        <f t="shared" si="440"/>
        <v>0</v>
      </c>
      <c r="J3812" s="204" t="s">
        <v>93</v>
      </c>
      <c r="K3812" s="214"/>
      <c r="L3812" s="210" t="s">
        <v>675</v>
      </c>
      <c r="M3812" s="198">
        <f t="shared" si="441"/>
        <v>0</v>
      </c>
      <c r="N3812" s="212">
        <f>'02 项目基础信息（输入）'!$C$90</f>
        <v>0</v>
      </c>
      <c r="O3812" s="203">
        <f t="shared" si="435"/>
        <v>0</v>
      </c>
      <c r="P3812" s="203">
        <f t="shared" si="437"/>
        <v>0</v>
      </c>
      <c r="Q3812" s="271">
        <f t="shared" si="436"/>
        <v>0</v>
      </c>
      <c r="S3812" s="280"/>
      <c r="T3812" s="222"/>
      <c r="U3812" s="223" t="s">
        <v>6049</v>
      </c>
    </row>
    <row r="3813" spans="1:21" ht="0" hidden="1" customHeight="1" outlineLevel="4">
      <c r="A3813" s="253" t="s">
        <v>4300</v>
      </c>
      <c r="B3813" s="253"/>
      <c r="C3813" s="202" t="s">
        <v>1609</v>
      </c>
      <c r="D3813" s="212">
        <f>'02 项目基础信息（输入）'!$C$90</f>
        <v>0</v>
      </c>
      <c r="E3813" s="204" t="s">
        <v>93</v>
      </c>
      <c r="F3813" s="202" t="s">
        <v>1609</v>
      </c>
      <c r="G3813" s="204">
        <v>1</v>
      </c>
      <c r="H3813" s="204" t="s">
        <v>298</v>
      </c>
      <c r="I3813" s="265">
        <f t="shared" si="440"/>
        <v>0</v>
      </c>
      <c r="J3813" s="204" t="s">
        <v>93</v>
      </c>
      <c r="K3813" s="214"/>
      <c r="L3813" s="210" t="s">
        <v>675</v>
      </c>
      <c r="M3813" s="198">
        <f t="shared" si="441"/>
        <v>0</v>
      </c>
      <c r="N3813" s="212">
        <f>'02 项目基础信息（输入）'!$C$90</f>
        <v>0</v>
      </c>
      <c r="O3813" s="203">
        <f t="shared" si="435"/>
        <v>0</v>
      </c>
      <c r="P3813" s="203">
        <f t="shared" si="437"/>
        <v>0</v>
      </c>
      <c r="Q3813" s="271">
        <f t="shared" si="436"/>
        <v>0</v>
      </c>
      <c r="S3813" s="280"/>
      <c r="T3813" s="222"/>
      <c r="U3813" s="223" t="s">
        <v>6050</v>
      </c>
    </row>
    <row r="3814" spans="1:21" ht="0" hidden="1" customHeight="1" outlineLevel="3">
      <c r="A3814" s="253" t="s">
        <v>4302</v>
      </c>
      <c r="B3814" s="253"/>
      <c r="C3814" s="202" t="s">
        <v>1609</v>
      </c>
      <c r="D3814" s="212">
        <f>'02 项目基础信息（输入）'!$C$90</f>
        <v>0</v>
      </c>
      <c r="E3814" s="204" t="s">
        <v>93</v>
      </c>
      <c r="F3814" s="202" t="s">
        <v>1609</v>
      </c>
      <c r="G3814" s="204">
        <v>1</v>
      </c>
      <c r="H3814" s="204" t="s">
        <v>298</v>
      </c>
      <c r="I3814" s="265">
        <f t="shared" si="440"/>
        <v>0</v>
      </c>
      <c r="J3814" s="204" t="s">
        <v>93</v>
      </c>
      <c r="K3814" s="214"/>
      <c r="L3814" s="210" t="s">
        <v>675</v>
      </c>
      <c r="M3814" s="198">
        <f t="shared" si="441"/>
        <v>0</v>
      </c>
      <c r="N3814" s="212">
        <f>'02 项目基础信息（输入）'!$C$90</f>
        <v>0</v>
      </c>
      <c r="O3814" s="203">
        <f t="shared" si="435"/>
        <v>0</v>
      </c>
      <c r="P3814" s="203">
        <f t="shared" si="437"/>
        <v>0</v>
      </c>
      <c r="Q3814" s="271">
        <f t="shared" si="436"/>
        <v>0</v>
      </c>
      <c r="S3814" s="280"/>
      <c r="T3814" s="222"/>
      <c r="U3814" s="223" t="s">
        <v>6051</v>
      </c>
    </row>
    <row r="3815" spans="1:21" ht="0" hidden="1" customHeight="1" outlineLevel="3">
      <c r="A3815" s="253" t="s">
        <v>4306</v>
      </c>
      <c r="B3815" s="253"/>
      <c r="C3815" s="202" t="s">
        <v>1609</v>
      </c>
      <c r="D3815" s="212">
        <f>'02 项目基础信息（输入）'!$C$90</f>
        <v>0</v>
      </c>
      <c r="E3815" s="204" t="s">
        <v>93</v>
      </c>
      <c r="F3815" s="202" t="s">
        <v>1609</v>
      </c>
      <c r="G3815" s="255">
        <v>1</v>
      </c>
      <c r="H3815" s="204" t="s">
        <v>298</v>
      </c>
      <c r="I3815" s="265">
        <f t="shared" si="440"/>
        <v>0</v>
      </c>
      <c r="J3815" s="204" t="s">
        <v>93</v>
      </c>
      <c r="K3815" s="214"/>
      <c r="L3815" s="210" t="s">
        <v>675</v>
      </c>
      <c r="M3815" s="198">
        <f t="shared" si="441"/>
        <v>0</v>
      </c>
      <c r="N3815" s="212">
        <f>'02 项目基础信息（输入）'!$C$90</f>
        <v>0</v>
      </c>
      <c r="O3815" s="203">
        <f t="shared" si="435"/>
        <v>0</v>
      </c>
      <c r="P3815" s="203">
        <f t="shared" si="437"/>
        <v>0</v>
      </c>
      <c r="Q3815" s="271">
        <f t="shared" si="436"/>
        <v>0</v>
      </c>
      <c r="S3815" s="280"/>
      <c r="T3815" s="222"/>
      <c r="U3815" s="223" t="s">
        <v>6052</v>
      </c>
    </row>
    <row r="3816" spans="1:21" ht="0" hidden="1" customHeight="1" outlineLevel="3">
      <c r="A3816" s="253" t="s">
        <v>4308</v>
      </c>
      <c r="B3816" s="253"/>
      <c r="C3816" s="202" t="s">
        <v>1609</v>
      </c>
      <c r="D3816" s="212">
        <f>'02 项目基础信息（输入）'!$C$90</f>
        <v>0</v>
      </c>
      <c r="E3816" s="204" t="s">
        <v>93</v>
      </c>
      <c r="F3816" s="202" t="s">
        <v>1609</v>
      </c>
      <c r="G3816" s="255">
        <v>1</v>
      </c>
      <c r="H3816" s="204" t="s">
        <v>298</v>
      </c>
      <c r="I3816" s="265">
        <f t="shared" si="440"/>
        <v>0</v>
      </c>
      <c r="J3816" s="204" t="s">
        <v>93</v>
      </c>
      <c r="K3816" s="269"/>
      <c r="L3816" s="210" t="s">
        <v>675</v>
      </c>
      <c r="M3816" s="198">
        <f t="shared" si="441"/>
        <v>0</v>
      </c>
      <c r="N3816" s="212">
        <f>'02 项目基础信息（输入）'!$C$90</f>
        <v>0</v>
      </c>
      <c r="O3816" s="203">
        <f t="shared" si="435"/>
        <v>0</v>
      </c>
      <c r="P3816" s="203">
        <f t="shared" si="437"/>
        <v>0</v>
      </c>
      <c r="Q3816" s="271">
        <f t="shared" si="436"/>
        <v>0</v>
      </c>
      <c r="S3816" s="280"/>
      <c r="T3816" s="222"/>
      <c r="U3816" s="223" t="s">
        <v>6053</v>
      </c>
    </row>
    <row r="3817" spans="1:21" ht="0" hidden="1" customHeight="1" outlineLevel="3">
      <c r="A3817" s="253" t="s">
        <v>4310</v>
      </c>
      <c r="B3817" s="253"/>
      <c r="C3817" s="202" t="s">
        <v>1665</v>
      </c>
      <c r="D3817" s="203">
        <f>ROUND(M3797+M3804+M3814+M3815+M3816,6)*10000</f>
        <v>0</v>
      </c>
      <c r="E3817" s="204" t="s">
        <v>1666</v>
      </c>
      <c r="F3817" s="202" t="s">
        <v>1667</v>
      </c>
      <c r="G3817" s="258">
        <f>IFERROR(I3817*100/D3817,0)</f>
        <v>0</v>
      </c>
      <c r="H3817" s="204" t="s">
        <v>123</v>
      </c>
      <c r="I3817" s="265">
        <f>N3817*K3817</f>
        <v>0</v>
      </c>
      <c r="J3817" s="204" t="s">
        <v>1666</v>
      </c>
      <c r="K3817" s="269"/>
      <c r="L3817" s="210" t="s">
        <v>675</v>
      </c>
      <c r="M3817" s="231">
        <f>ROUND(I3817/10000,6)</f>
        <v>0</v>
      </c>
      <c r="N3817" s="212">
        <f>'02 项目基础信息（输入）'!$C$90</f>
        <v>0</v>
      </c>
      <c r="O3817" s="203">
        <f t="shared" si="435"/>
        <v>0</v>
      </c>
      <c r="P3817" s="203">
        <f t="shared" si="437"/>
        <v>0</v>
      </c>
      <c r="Q3817" s="271">
        <f t="shared" si="436"/>
        <v>0</v>
      </c>
      <c r="S3817" s="280"/>
      <c r="T3817" s="222"/>
      <c r="U3817" s="223" t="s">
        <v>6054</v>
      </c>
    </row>
    <row r="3818" spans="1:21" ht="0" hidden="1" customHeight="1" outlineLevel="2">
      <c r="A3818" s="201" t="s">
        <v>4312</v>
      </c>
      <c r="B3818" s="201"/>
      <c r="C3818" s="202" t="s">
        <v>1609</v>
      </c>
      <c r="D3818" s="212">
        <f>'02 项目基础信息（输入）'!$C$90</f>
        <v>0</v>
      </c>
      <c r="E3818" s="204" t="s">
        <v>93</v>
      </c>
      <c r="F3818" s="202"/>
      <c r="G3818" s="221"/>
      <c r="H3818" s="204"/>
      <c r="I3818" s="203"/>
      <c r="J3818" s="204"/>
      <c r="K3818" s="266"/>
      <c r="L3818" s="210"/>
      <c r="M3818" s="198">
        <f>ROUND(M3819+M3820+M3821+M3822+M3832+M3833+M3834,6)</f>
        <v>0</v>
      </c>
      <c r="N3818" s="212">
        <f>'02 项目基础信息（输入）'!$C$90</f>
        <v>0</v>
      </c>
      <c r="O3818" s="203">
        <f t="shared" si="435"/>
        <v>0</v>
      </c>
      <c r="P3818" s="203">
        <f t="shared" si="437"/>
        <v>0</v>
      </c>
      <c r="Q3818" s="271">
        <f t="shared" si="436"/>
        <v>0</v>
      </c>
      <c r="S3818" s="280" t="s">
        <v>1314</v>
      </c>
      <c r="T3818" s="222"/>
      <c r="U3818" s="223" t="s">
        <v>6055</v>
      </c>
    </row>
    <row r="3819" spans="1:21" ht="0" hidden="1" customHeight="1" outlineLevel="3">
      <c r="A3819" s="253" t="s">
        <v>4314</v>
      </c>
      <c r="B3819" s="253"/>
      <c r="C3819" s="202" t="s">
        <v>1609</v>
      </c>
      <c r="D3819" s="212">
        <f>'02 项目基础信息（输入）'!$C$90</f>
        <v>0</v>
      </c>
      <c r="E3819" s="204" t="s">
        <v>93</v>
      </c>
      <c r="F3819" s="202" t="s">
        <v>4315</v>
      </c>
      <c r="G3819" s="258">
        <f>IFERROR(I3819/D3819,0)</f>
        <v>0</v>
      </c>
      <c r="H3819" s="204" t="s">
        <v>298</v>
      </c>
      <c r="I3819" s="285"/>
      <c r="J3819" s="204" t="s">
        <v>93</v>
      </c>
      <c r="K3819" s="214"/>
      <c r="L3819" s="210" t="s">
        <v>675</v>
      </c>
      <c r="M3819" s="198">
        <f>ROUND(K3819*I3819/10000,6)</f>
        <v>0</v>
      </c>
      <c r="N3819" s="212">
        <f>'02 项目基础信息（输入）'!$C$90</f>
        <v>0</v>
      </c>
      <c r="O3819" s="203">
        <f t="shared" si="435"/>
        <v>0</v>
      </c>
      <c r="P3819" s="203">
        <f t="shared" si="437"/>
        <v>0</v>
      </c>
      <c r="Q3819" s="271">
        <f t="shared" si="436"/>
        <v>0</v>
      </c>
      <c r="S3819" s="280"/>
      <c r="T3819" s="222"/>
      <c r="U3819" s="223" t="s">
        <v>6056</v>
      </c>
    </row>
    <row r="3820" spans="1:21" ht="0" hidden="1" customHeight="1" outlineLevel="3">
      <c r="A3820" s="253" t="s">
        <v>4317</v>
      </c>
      <c r="B3820" s="253"/>
      <c r="C3820" s="202" t="s">
        <v>1609</v>
      </c>
      <c r="D3820" s="212">
        <f>'02 项目基础信息（输入）'!$C$90</f>
        <v>0</v>
      </c>
      <c r="E3820" s="204" t="s">
        <v>93</v>
      </c>
      <c r="F3820" s="202" t="s">
        <v>1609</v>
      </c>
      <c r="G3820" s="255">
        <v>1</v>
      </c>
      <c r="H3820" s="204" t="s">
        <v>298</v>
      </c>
      <c r="I3820" s="265">
        <f>D3820*G3820</f>
        <v>0</v>
      </c>
      <c r="J3820" s="204" t="s">
        <v>93</v>
      </c>
      <c r="K3820" s="214"/>
      <c r="L3820" s="210" t="s">
        <v>675</v>
      </c>
      <c r="M3820" s="198">
        <f>ROUND(K3820*I3820/10000,6)</f>
        <v>0</v>
      </c>
      <c r="N3820" s="212">
        <f>'02 项目基础信息（输入）'!$C$90</f>
        <v>0</v>
      </c>
      <c r="O3820" s="203">
        <f t="shared" si="435"/>
        <v>0</v>
      </c>
      <c r="P3820" s="203">
        <f t="shared" si="437"/>
        <v>0</v>
      </c>
      <c r="Q3820" s="271">
        <f t="shared" si="436"/>
        <v>0</v>
      </c>
      <c r="S3820" s="280"/>
      <c r="T3820" s="222"/>
      <c r="U3820" s="223" t="s">
        <v>6057</v>
      </c>
    </row>
    <row r="3821" spans="1:21" ht="0" hidden="1" customHeight="1" outlineLevel="3">
      <c r="A3821" s="253" t="s">
        <v>4319</v>
      </c>
      <c r="B3821" s="253"/>
      <c r="C3821" s="202" t="s">
        <v>1609</v>
      </c>
      <c r="D3821" s="212">
        <f>'02 项目基础信息（输入）'!$C$90</f>
        <v>0</v>
      </c>
      <c r="E3821" s="204" t="s">
        <v>93</v>
      </c>
      <c r="F3821" s="202" t="s">
        <v>1609</v>
      </c>
      <c r="G3821" s="255">
        <v>1</v>
      </c>
      <c r="H3821" s="204" t="s">
        <v>298</v>
      </c>
      <c r="I3821" s="265">
        <f>D3821*G3821</f>
        <v>0</v>
      </c>
      <c r="J3821" s="204" t="s">
        <v>93</v>
      </c>
      <c r="K3821" s="214"/>
      <c r="L3821" s="210" t="s">
        <v>675</v>
      </c>
      <c r="M3821" s="198">
        <f>ROUND(K3821*I3821/10000,6)</f>
        <v>0</v>
      </c>
      <c r="N3821" s="212">
        <f>'02 项目基础信息（输入）'!$C$90</f>
        <v>0</v>
      </c>
      <c r="O3821" s="203">
        <f t="shared" si="435"/>
        <v>0</v>
      </c>
      <c r="P3821" s="203">
        <f t="shared" si="437"/>
        <v>0</v>
      </c>
      <c r="Q3821" s="271">
        <f t="shared" si="436"/>
        <v>0</v>
      </c>
      <c r="S3821" s="280"/>
      <c r="T3821" s="222"/>
      <c r="U3821" s="223" t="s">
        <v>6058</v>
      </c>
    </row>
    <row r="3822" spans="1:21" ht="0" hidden="1" customHeight="1" outlineLevel="3">
      <c r="A3822" s="253" t="s">
        <v>4321</v>
      </c>
      <c r="B3822" s="253"/>
      <c r="C3822" s="202" t="s">
        <v>1609</v>
      </c>
      <c r="D3822" s="212">
        <f>'02 项目基础信息（输入）'!$C$90</f>
        <v>0</v>
      </c>
      <c r="E3822" s="204" t="s">
        <v>93</v>
      </c>
      <c r="F3822" s="202"/>
      <c r="G3822" s="255"/>
      <c r="H3822" s="204"/>
      <c r="I3822" s="212"/>
      <c r="J3822" s="255"/>
      <c r="K3822" s="264"/>
      <c r="L3822" s="205"/>
      <c r="M3822" s="198">
        <f>ROUND(SUM(M3823:M3831),6)</f>
        <v>0</v>
      </c>
      <c r="N3822" s="212">
        <f>'02 项目基础信息（输入）'!$C$90</f>
        <v>0</v>
      </c>
      <c r="O3822" s="203">
        <f t="shared" si="435"/>
        <v>0</v>
      </c>
      <c r="P3822" s="203">
        <f t="shared" si="437"/>
        <v>0</v>
      </c>
      <c r="Q3822" s="271">
        <f t="shared" si="436"/>
        <v>0</v>
      </c>
      <c r="S3822" s="280"/>
      <c r="T3822" s="222"/>
      <c r="U3822" s="223" t="s">
        <v>6059</v>
      </c>
    </row>
    <row r="3823" spans="1:21" ht="0" hidden="1" customHeight="1" outlineLevel="4">
      <c r="A3823" s="253" t="s">
        <v>4673</v>
      </c>
      <c r="B3823" s="253"/>
      <c r="C3823" s="202" t="s">
        <v>1609</v>
      </c>
      <c r="D3823" s="212">
        <f>'02 项目基础信息（输入）'!$C$90</f>
        <v>0</v>
      </c>
      <c r="E3823" s="204" t="s">
        <v>93</v>
      </c>
      <c r="F3823" s="202" t="s">
        <v>4324</v>
      </c>
      <c r="G3823" s="258">
        <f t="shared" ref="G3823:G3831" si="442">IFERROR(I3823/D3823,0)</f>
        <v>0</v>
      </c>
      <c r="H3823" s="204" t="s">
        <v>298</v>
      </c>
      <c r="I3823" s="285"/>
      <c r="J3823" s="204" t="s">
        <v>93</v>
      </c>
      <c r="K3823" s="214"/>
      <c r="L3823" s="210" t="s">
        <v>675</v>
      </c>
      <c r="M3823" s="198">
        <f t="shared" ref="M3823:M3833" si="443">ROUND(K3823*I3823/10000,6)</f>
        <v>0</v>
      </c>
      <c r="N3823" s="212">
        <f>'02 项目基础信息（输入）'!$C$90</f>
        <v>0</v>
      </c>
      <c r="O3823" s="203">
        <f t="shared" si="435"/>
        <v>0</v>
      </c>
      <c r="P3823" s="203">
        <f t="shared" si="437"/>
        <v>0</v>
      </c>
      <c r="Q3823" s="271">
        <f t="shared" si="436"/>
        <v>0</v>
      </c>
      <c r="S3823" s="280"/>
      <c r="T3823" s="222"/>
      <c r="U3823" s="223" t="s">
        <v>6060</v>
      </c>
    </row>
    <row r="3824" spans="1:21" ht="0" hidden="1" customHeight="1" outlineLevel="4">
      <c r="A3824" s="253" t="s">
        <v>4675</v>
      </c>
      <c r="B3824" s="253"/>
      <c r="C3824" s="202" t="s">
        <v>1609</v>
      </c>
      <c r="D3824" s="212">
        <f>'02 项目基础信息（输入）'!$C$90</f>
        <v>0</v>
      </c>
      <c r="E3824" s="204" t="s">
        <v>93</v>
      </c>
      <c r="F3824" s="202" t="s">
        <v>4324</v>
      </c>
      <c r="G3824" s="258">
        <f t="shared" si="442"/>
        <v>0</v>
      </c>
      <c r="H3824" s="204" t="s">
        <v>298</v>
      </c>
      <c r="I3824" s="265">
        <f t="shared" ref="I3824:I3831" si="444">I3823</f>
        <v>0</v>
      </c>
      <c r="J3824" s="204" t="s">
        <v>93</v>
      </c>
      <c r="K3824" s="214"/>
      <c r="L3824" s="210" t="s">
        <v>675</v>
      </c>
      <c r="M3824" s="198">
        <f t="shared" si="443"/>
        <v>0</v>
      </c>
      <c r="N3824" s="212">
        <f>'02 项目基础信息（输入）'!$C$90</f>
        <v>0</v>
      </c>
      <c r="O3824" s="203">
        <f t="shared" si="435"/>
        <v>0</v>
      </c>
      <c r="P3824" s="203">
        <f t="shared" si="437"/>
        <v>0</v>
      </c>
      <c r="Q3824" s="271">
        <f t="shared" si="436"/>
        <v>0</v>
      </c>
      <c r="S3824" s="280"/>
      <c r="T3824" s="222"/>
      <c r="U3824" s="223" t="s">
        <v>6061</v>
      </c>
    </row>
    <row r="3825" spans="1:21" ht="0" hidden="1" customHeight="1" outlineLevel="4">
      <c r="A3825" s="253" t="s">
        <v>4677</v>
      </c>
      <c r="B3825" s="253"/>
      <c r="C3825" s="202" t="s">
        <v>1609</v>
      </c>
      <c r="D3825" s="212">
        <f>'02 项目基础信息（输入）'!$C$90</f>
        <v>0</v>
      </c>
      <c r="E3825" s="204" t="s">
        <v>93</v>
      </c>
      <c r="F3825" s="202" t="s">
        <v>4324</v>
      </c>
      <c r="G3825" s="258">
        <f t="shared" si="442"/>
        <v>0</v>
      </c>
      <c r="H3825" s="204" t="s">
        <v>298</v>
      </c>
      <c r="I3825" s="265">
        <f t="shared" si="444"/>
        <v>0</v>
      </c>
      <c r="J3825" s="204" t="s">
        <v>93</v>
      </c>
      <c r="K3825" s="214"/>
      <c r="L3825" s="210" t="s">
        <v>675</v>
      </c>
      <c r="M3825" s="198">
        <f t="shared" si="443"/>
        <v>0</v>
      </c>
      <c r="N3825" s="212">
        <f>'02 项目基础信息（输入）'!$C$90</f>
        <v>0</v>
      </c>
      <c r="O3825" s="203">
        <f t="shared" si="435"/>
        <v>0</v>
      </c>
      <c r="P3825" s="203">
        <f t="shared" si="437"/>
        <v>0</v>
      </c>
      <c r="Q3825" s="271">
        <f t="shared" si="436"/>
        <v>0</v>
      </c>
      <c r="S3825" s="280"/>
      <c r="T3825" s="222"/>
      <c r="U3825" s="223" t="s">
        <v>6062</v>
      </c>
    </row>
    <row r="3826" spans="1:21" ht="0" hidden="1" customHeight="1" outlineLevel="4">
      <c r="A3826" s="253" t="s">
        <v>4679</v>
      </c>
      <c r="B3826" s="253"/>
      <c r="C3826" s="202" t="s">
        <v>1609</v>
      </c>
      <c r="D3826" s="212">
        <f>'02 项目基础信息（输入）'!$C$90</f>
        <v>0</v>
      </c>
      <c r="E3826" s="204" t="s">
        <v>93</v>
      </c>
      <c r="F3826" s="202" t="s">
        <v>4324</v>
      </c>
      <c r="G3826" s="258">
        <f t="shared" si="442"/>
        <v>0</v>
      </c>
      <c r="H3826" s="204" t="s">
        <v>298</v>
      </c>
      <c r="I3826" s="265">
        <f t="shared" si="444"/>
        <v>0</v>
      </c>
      <c r="J3826" s="204" t="s">
        <v>93</v>
      </c>
      <c r="K3826" s="214"/>
      <c r="L3826" s="210" t="s">
        <v>675</v>
      </c>
      <c r="M3826" s="198">
        <f t="shared" si="443"/>
        <v>0</v>
      </c>
      <c r="N3826" s="212">
        <f>'02 项目基础信息（输入）'!$C$90</f>
        <v>0</v>
      </c>
      <c r="O3826" s="203">
        <f t="shared" si="435"/>
        <v>0</v>
      </c>
      <c r="P3826" s="203">
        <f t="shared" si="437"/>
        <v>0</v>
      </c>
      <c r="Q3826" s="271">
        <f t="shared" si="436"/>
        <v>0</v>
      </c>
      <c r="S3826" s="280"/>
      <c r="T3826" s="222"/>
      <c r="U3826" s="223" t="s">
        <v>6063</v>
      </c>
    </row>
    <row r="3827" spans="1:21" ht="0" hidden="1" customHeight="1" outlineLevel="4">
      <c r="A3827" s="253" t="s">
        <v>4681</v>
      </c>
      <c r="B3827" s="253"/>
      <c r="C3827" s="202" t="s">
        <v>1609</v>
      </c>
      <c r="D3827" s="212">
        <f>'02 项目基础信息（输入）'!$C$90</f>
        <v>0</v>
      </c>
      <c r="E3827" s="204" t="s">
        <v>93</v>
      </c>
      <c r="F3827" s="202" t="s">
        <v>4324</v>
      </c>
      <c r="G3827" s="258">
        <f t="shared" si="442"/>
        <v>0</v>
      </c>
      <c r="H3827" s="204" t="s">
        <v>298</v>
      </c>
      <c r="I3827" s="265">
        <f t="shared" si="444"/>
        <v>0</v>
      </c>
      <c r="J3827" s="204" t="s">
        <v>93</v>
      </c>
      <c r="K3827" s="214"/>
      <c r="L3827" s="210" t="s">
        <v>675</v>
      </c>
      <c r="M3827" s="198">
        <f t="shared" si="443"/>
        <v>0</v>
      </c>
      <c r="N3827" s="212">
        <f>'02 项目基础信息（输入）'!$C$90</f>
        <v>0</v>
      </c>
      <c r="O3827" s="203">
        <f t="shared" si="435"/>
        <v>0</v>
      </c>
      <c r="P3827" s="203">
        <f t="shared" si="437"/>
        <v>0</v>
      </c>
      <c r="Q3827" s="271">
        <f t="shared" si="436"/>
        <v>0</v>
      </c>
      <c r="S3827" s="280"/>
      <c r="T3827" s="222"/>
      <c r="U3827" s="223" t="s">
        <v>6064</v>
      </c>
    </row>
    <row r="3828" spans="1:21" ht="0" hidden="1" customHeight="1" outlineLevel="4">
      <c r="A3828" s="253" t="s">
        <v>4683</v>
      </c>
      <c r="B3828" s="253"/>
      <c r="C3828" s="202" t="s">
        <v>1609</v>
      </c>
      <c r="D3828" s="212">
        <f>'02 项目基础信息（输入）'!$C$90</f>
        <v>0</v>
      </c>
      <c r="E3828" s="204" t="s">
        <v>93</v>
      </c>
      <c r="F3828" s="202" t="s">
        <v>4324</v>
      </c>
      <c r="G3828" s="258">
        <f t="shared" si="442"/>
        <v>0</v>
      </c>
      <c r="H3828" s="204" t="s">
        <v>298</v>
      </c>
      <c r="I3828" s="265">
        <f t="shared" si="444"/>
        <v>0</v>
      </c>
      <c r="J3828" s="204" t="s">
        <v>93</v>
      </c>
      <c r="K3828" s="214"/>
      <c r="L3828" s="210" t="s">
        <v>675</v>
      </c>
      <c r="M3828" s="198">
        <f t="shared" si="443"/>
        <v>0</v>
      </c>
      <c r="N3828" s="212">
        <f>'02 项目基础信息（输入）'!$C$90</f>
        <v>0</v>
      </c>
      <c r="O3828" s="203">
        <f t="shared" si="435"/>
        <v>0</v>
      </c>
      <c r="P3828" s="203">
        <f t="shared" si="437"/>
        <v>0</v>
      </c>
      <c r="Q3828" s="271">
        <f t="shared" si="436"/>
        <v>0</v>
      </c>
      <c r="S3828" s="280"/>
      <c r="T3828" s="222"/>
      <c r="U3828" s="223" t="s">
        <v>6065</v>
      </c>
    </row>
    <row r="3829" spans="1:21" ht="0" hidden="1" customHeight="1" outlineLevel="4">
      <c r="A3829" s="253" t="s">
        <v>4323</v>
      </c>
      <c r="B3829" s="253"/>
      <c r="C3829" s="202" t="s">
        <v>1609</v>
      </c>
      <c r="D3829" s="212">
        <f>'02 项目基础信息（输入）'!$C$90</f>
        <v>0</v>
      </c>
      <c r="E3829" s="204" t="s">
        <v>93</v>
      </c>
      <c r="F3829" s="202" t="s">
        <v>4324</v>
      </c>
      <c r="G3829" s="258">
        <f t="shared" si="442"/>
        <v>0</v>
      </c>
      <c r="H3829" s="204" t="s">
        <v>298</v>
      </c>
      <c r="I3829" s="265">
        <f t="shared" si="444"/>
        <v>0</v>
      </c>
      <c r="J3829" s="204" t="s">
        <v>93</v>
      </c>
      <c r="K3829" s="214"/>
      <c r="L3829" s="210" t="s">
        <v>675</v>
      </c>
      <c r="M3829" s="198">
        <f t="shared" si="443"/>
        <v>0</v>
      </c>
      <c r="N3829" s="212">
        <f>'02 项目基础信息（输入）'!$C$90</f>
        <v>0</v>
      </c>
      <c r="O3829" s="203">
        <f t="shared" si="435"/>
        <v>0</v>
      </c>
      <c r="P3829" s="203">
        <f t="shared" si="437"/>
        <v>0</v>
      </c>
      <c r="Q3829" s="271">
        <f t="shared" si="436"/>
        <v>0</v>
      </c>
      <c r="S3829" s="280"/>
      <c r="T3829" s="222"/>
      <c r="U3829" s="223" t="s">
        <v>6066</v>
      </c>
    </row>
    <row r="3830" spans="1:21" ht="0" hidden="1" customHeight="1" outlineLevel="4">
      <c r="A3830" s="253" t="s">
        <v>4326</v>
      </c>
      <c r="B3830" s="253"/>
      <c r="C3830" s="202" t="s">
        <v>1609</v>
      </c>
      <c r="D3830" s="212">
        <f>'02 项目基础信息（输入）'!$C$90</f>
        <v>0</v>
      </c>
      <c r="E3830" s="204" t="s">
        <v>93</v>
      </c>
      <c r="F3830" s="202" t="s">
        <v>4324</v>
      </c>
      <c r="G3830" s="258">
        <f t="shared" si="442"/>
        <v>0</v>
      </c>
      <c r="H3830" s="204" t="s">
        <v>298</v>
      </c>
      <c r="I3830" s="265">
        <f t="shared" si="444"/>
        <v>0</v>
      </c>
      <c r="J3830" s="204" t="s">
        <v>93</v>
      </c>
      <c r="K3830" s="214"/>
      <c r="L3830" s="210" t="s">
        <v>675</v>
      </c>
      <c r="M3830" s="198">
        <f t="shared" si="443"/>
        <v>0</v>
      </c>
      <c r="N3830" s="212">
        <f>'02 项目基础信息（输入）'!$C$90</f>
        <v>0</v>
      </c>
      <c r="O3830" s="203">
        <f t="shared" si="435"/>
        <v>0</v>
      </c>
      <c r="P3830" s="203">
        <f t="shared" si="437"/>
        <v>0</v>
      </c>
      <c r="Q3830" s="271">
        <f t="shared" si="436"/>
        <v>0</v>
      </c>
      <c r="S3830" s="280"/>
      <c r="T3830" s="222"/>
      <c r="U3830" s="223" t="s">
        <v>6067</v>
      </c>
    </row>
    <row r="3831" spans="1:21" ht="0" hidden="1" customHeight="1" outlineLevel="4">
      <c r="A3831" s="253" t="s">
        <v>4328</v>
      </c>
      <c r="B3831" s="253"/>
      <c r="C3831" s="202" t="s">
        <v>1609</v>
      </c>
      <c r="D3831" s="212">
        <f>'02 项目基础信息（输入）'!$C$90</f>
        <v>0</v>
      </c>
      <c r="E3831" s="204" t="s">
        <v>93</v>
      </c>
      <c r="F3831" s="202" t="s">
        <v>4324</v>
      </c>
      <c r="G3831" s="258">
        <f t="shared" si="442"/>
        <v>0</v>
      </c>
      <c r="H3831" s="204" t="s">
        <v>298</v>
      </c>
      <c r="I3831" s="265">
        <f t="shared" si="444"/>
        <v>0</v>
      </c>
      <c r="J3831" s="204" t="s">
        <v>93</v>
      </c>
      <c r="K3831" s="214"/>
      <c r="L3831" s="210" t="s">
        <v>675</v>
      </c>
      <c r="M3831" s="198">
        <f t="shared" si="443"/>
        <v>0</v>
      </c>
      <c r="N3831" s="212">
        <f>'02 项目基础信息（输入）'!$C$90</f>
        <v>0</v>
      </c>
      <c r="O3831" s="203">
        <f t="shared" si="435"/>
        <v>0</v>
      </c>
      <c r="P3831" s="203">
        <f t="shared" si="437"/>
        <v>0</v>
      </c>
      <c r="Q3831" s="271">
        <f t="shared" si="436"/>
        <v>0</v>
      </c>
      <c r="S3831" s="280"/>
      <c r="T3831" s="222"/>
      <c r="U3831" s="223" t="s">
        <v>6068</v>
      </c>
    </row>
    <row r="3832" spans="1:21" ht="0" hidden="1" customHeight="1" outlineLevel="3">
      <c r="A3832" s="253" t="s">
        <v>4330</v>
      </c>
      <c r="B3832" s="253"/>
      <c r="C3832" s="202" t="s">
        <v>1609</v>
      </c>
      <c r="D3832" s="212">
        <f>'02 项目基础信息（输入）'!$C$90</f>
        <v>0</v>
      </c>
      <c r="E3832" s="204" t="s">
        <v>93</v>
      </c>
      <c r="F3832" s="202" t="s">
        <v>1609</v>
      </c>
      <c r="G3832" s="255">
        <v>1</v>
      </c>
      <c r="H3832" s="204" t="s">
        <v>298</v>
      </c>
      <c r="I3832" s="265">
        <f>D3832*G3832</f>
        <v>0</v>
      </c>
      <c r="J3832" s="204" t="s">
        <v>93</v>
      </c>
      <c r="K3832" s="214"/>
      <c r="L3832" s="210" t="s">
        <v>675</v>
      </c>
      <c r="M3832" s="198">
        <f t="shared" si="443"/>
        <v>0</v>
      </c>
      <c r="N3832" s="212">
        <f>'02 项目基础信息（输入）'!$C$90</f>
        <v>0</v>
      </c>
      <c r="O3832" s="203">
        <f t="shared" si="435"/>
        <v>0</v>
      </c>
      <c r="P3832" s="203">
        <f t="shared" si="437"/>
        <v>0</v>
      </c>
      <c r="Q3832" s="271">
        <f t="shared" si="436"/>
        <v>0</v>
      </c>
      <c r="S3832" s="280"/>
      <c r="T3832" s="222"/>
      <c r="U3832" s="223" t="s">
        <v>6069</v>
      </c>
    </row>
    <row r="3833" spans="1:21" ht="0" hidden="1" customHeight="1" outlineLevel="3">
      <c r="A3833" s="253" t="s">
        <v>4332</v>
      </c>
      <c r="B3833" s="253"/>
      <c r="C3833" s="202" t="s">
        <v>1609</v>
      </c>
      <c r="D3833" s="212">
        <f>'02 项目基础信息（输入）'!$C$90</f>
        <v>0</v>
      </c>
      <c r="E3833" s="204" t="s">
        <v>93</v>
      </c>
      <c r="F3833" s="202" t="s">
        <v>1609</v>
      </c>
      <c r="G3833" s="255">
        <v>1</v>
      </c>
      <c r="H3833" s="204" t="s">
        <v>298</v>
      </c>
      <c r="I3833" s="265">
        <f>D3833*G3833</f>
        <v>0</v>
      </c>
      <c r="J3833" s="204" t="s">
        <v>93</v>
      </c>
      <c r="K3833" s="214"/>
      <c r="L3833" s="210" t="s">
        <v>675</v>
      </c>
      <c r="M3833" s="198">
        <f t="shared" si="443"/>
        <v>0</v>
      </c>
      <c r="N3833" s="212">
        <f>'02 项目基础信息（输入）'!$C$90</f>
        <v>0</v>
      </c>
      <c r="O3833" s="203">
        <f t="shared" si="435"/>
        <v>0</v>
      </c>
      <c r="P3833" s="203">
        <f t="shared" si="437"/>
        <v>0</v>
      </c>
      <c r="Q3833" s="271">
        <f t="shared" si="436"/>
        <v>0</v>
      </c>
      <c r="S3833" s="280"/>
      <c r="T3833" s="222"/>
      <c r="U3833" s="223" t="s">
        <v>6070</v>
      </c>
    </row>
    <row r="3834" spans="1:21" ht="0" hidden="1" customHeight="1" outlineLevel="3">
      <c r="A3834" s="253" t="s">
        <v>4334</v>
      </c>
      <c r="B3834" s="253"/>
      <c r="C3834" s="202" t="s">
        <v>1665</v>
      </c>
      <c r="D3834" s="203">
        <f>ROUND(M3819+M3820+M3821+M3822+M3833,6)*10000</f>
        <v>0</v>
      </c>
      <c r="E3834" s="204" t="s">
        <v>1666</v>
      </c>
      <c r="F3834" s="202" t="s">
        <v>1667</v>
      </c>
      <c r="G3834" s="258">
        <f>IFERROR(I3834*100/D3834,0)</f>
        <v>0</v>
      </c>
      <c r="H3834" s="204" t="s">
        <v>123</v>
      </c>
      <c r="I3834" s="265">
        <f>N3834*K3834</f>
        <v>0</v>
      </c>
      <c r="J3834" s="204" t="s">
        <v>1666</v>
      </c>
      <c r="K3834" s="269"/>
      <c r="L3834" s="210" t="s">
        <v>675</v>
      </c>
      <c r="M3834" s="231">
        <f>ROUND(I3834/10000,6)</f>
        <v>0</v>
      </c>
      <c r="N3834" s="212">
        <f>'02 项目基础信息（输入）'!$C$90</f>
        <v>0</v>
      </c>
      <c r="O3834" s="203">
        <f t="shared" si="435"/>
        <v>0</v>
      </c>
      <c r="P3834" s="203">
        <f t="shared" si="437"/>
        <v>0</v>
      </c>
      <c r="Q3834" s="271">
        <f t="shared" si="436"/>
        <v>0</v>
      </c>
      <c r="S3834" s="280"/>
      <c r="T3834" s="222"/>
      <c r="U3834" s="223" t="s">
        <v>6071</v>
      </c>
    </row>
    <row r="3835" spans="1:21" ht="0" hidden="1" customHeight="1" outlineLevel="2">
      <c r="A3835" s="201" t="s">
        <v>4336</v>
      </c>
      <c r="B3835" s="201"/>
      <c r="C3835" s="202" t="s">
        <v>1609</v>
      </c>
      <c r="D3835" s="212">
        <f>'02 项目基础信息（输入）'!$C$90</f>
        <v>0</v>
      </c>
      <c r="E3835" s="204" t="s">
        <v>93</v>
      </c>
      <c r="F3835" s="202"/>
      <c r="G3835" s="255"/>
      <c r="H3835" s="204"/>
      <c r="I3835" s="203"/>
      <c r="J3835" s="204"/>
      <c r="K3835" s="264"/>
      <c r="L3835" s="210"/>
      <c r="M3835" s="198">
        <f>ROUND(M3836+M3839+M3844+M3845+M3846+M3847,6)</f>
        <v>0</v>
      </c>
      <c r="N3835" s="212">
        <f>'02 项目基础信息（输入）'!$C$90</f>
        <v>0</v>
      </c>
      <c r="O3835" s="203">
        <f t="shared" si="435"/>
        <v>0</v>
      </c>
      <c r="P3835" s="203">
        <f t="shared" si="437"/>
        <v>0</v>
      </c>
      <c r="Q3835" s="271">
        <f t="shared" si="436"/>
        <v>0</v>
      </c>
      <c r="S3835" s="280" t="s">
        <v>1313</v>
      </c>
      <c r="T3835" s="222"/>
      <c r="U3835" s="223" t="s">
        <v>6072</v>
      </c>
    </row>
    <row r="3836" spans="1:21" ht="0" hidden="1" customHeight="1" outlineLevel="3">
      <c r="A3836" s="253" t="s">
        <v>4338</v>
      </c>
      <c r="B3836" s="253"/>
      <c r="C3836" s="202" t="s">
        <v>1609</v>
      </c>
      <c r="D3836" s="212">
        <f>'02 项目基础信息（输入）'!$C$90</f>
        <v>0</v>
      </c>
      <c r="E3836" s="204" t="s">
        <v>93</v>
      </c>
      <c r="F3836" s="202"/>
      <c r="G3836" s="204"/>
      <c r="H3836" s="204"/>
      <c r="I3836" s="203"/>
      <c r="J3836" s="204"/>
      <c r="K3836" s="264"/>
      <c r="L3836" s="210"/>
      <c r="M3836" s="198">
        <f>ROUND(SUM(M3837:M3838),6)</f>
        <v>0</v>
      </c>
      <c r="N3836" s="212">
        <f>'02 项目基础信息（输入）'!$C$90</f>
        <v>0</v>
      </c>
      <c r="O3836" s="203">
        <f t="shared" si="435"/>
        <v>0</v>
      </c>
      <c r="P3836" s="203">
        <f t="shared" si="437"/>
        <v>0</v>
      </c>
      <c r="Q3836" s="271">
        <f t="shared" si="436"/>
        <v>0</v>
      </c>
      <c r="S3836" s="280"/>
      <c r="T3836" s="222"/>
      <c r="U3836" s="223" t="s">
        <v>6073</v>
      </c>
    </row>
    <row r="3837" spans="1:21" ht="0" hidden="1" customHeight="1" outlineLevel="4">
      <c r="A3837" s="253" t="s">
        <v>4340</v>
      </c>
      <c r="B3837" s="253"/>
      <c r="C3837" s="202" t="s">
        <v>1609</v>
      </c>
      <c r="D3837" s="212">
        <f>'02 项目基础信息（输入）'!$C$90</f>
        <v>0</v>
      </c>
      <c r="E3837" s="204" t="s">
        <v>93</v>
      </c>
      <c r="F3837" s="202" t="s">
        <v>1609</v>
      </c>
      <c r="G3837" s="204">
        <v>1</v>
      </c>
      <c r="H3837" s="204" t="s">
        <v>298</v>
      </c>
      <c r="I3837" s="265">
        <f>D3837*G3837</f>
        <v>0</v>
      </c>
      <c r="J3837" s="204" t="s">
        <v>93</v>
      </c>
      <c r="K3837" s="214"/>
      <c r="L3837" s="210" t="s">
        <v>675</v>
      </c>
      <c r="M3837" s="198">
        <f>ROUND(K3837*I3837/10000,6)</f>
        <v>0</v>
      </c>
      <c r="N3837" s="212">
        <f>'02 项目基础信息（输入）'!$C$90</f>
        <v>0</v>
      </c>
      <c r="O3837" s="203">
        <f t="shared" si="435"/>
        <v>0</v>
      </c>
      <c r="P3837" s="203">
        <f t="shared" si="437"/>
        <v>0</v>
      </c>
      <c r="Q3837" s="271">
        <f t="shared" si="436"/>
        <v>0</v>
      </c>
      <c r="S3837" s="280"/>
      <c r="T3837" s="222"/>
      <c r="U3837" s="223" t="s">
        <v>6074</v>
      </c>
    </row>
    <row r="3838" spans="1:21" ht="0" hidden="1" customHeight="1" outlineLevel="4">
      <c r="A3838" s="253" t="s">
        <v>4342</v>
      </c>
      <c r="B3838" s="253"/>
      <c r="C3838" s="202" t="s">
        <v>1609</v>
      </c>
      <c r="D3838" s="212">
        <f>'02 项目基础信息（输入）'!$C$90</f>
        <v>0</v>
      </c>
      <c r="E3838" s="204" t="s">
        <v>93</v>
      </c>
      <c r="F3838" s="202" t="s">
        <v>1609</v>
      </c>
      <c r="G3838" s="204">
        <v>1</v>
      </c>
      <c r="H3838" s="204" t="s">
        <v>298</v>
      </c>
      <c r="I3838" s="265">
        <f>D3838*G3838</f>
        <v>0</v>
      </c>
      <c r="J3838" s="204" t="s">
        <v>93</v>
      </c>
      <c r="K3838" s="214"/>
      <c r="L3838" s="210" t="s">
        <v>675</v>
      </c>
      <c r="M3838" s="198">
        <f>ROUND(K3838*I3838/10000,6)</f>
        <v>0</v>
      </c>
      <c r="N3838" s="212">
        <f>'02 项目基础信息（输入）'!$C$90</f>
        <v>0</v>
      </c>
      <c r="O3838" s="203">
        <f t="shared" si="435"/>
        <v>0</v>
      </c>
      <c r="P3838" s="203">
        <f t="shared" si="437"/>
        <v>0</v>
      </c>
      <c r="Q3838" s="271">
        <f t="shared" si="436"/>
        <v>0</v>
      </c>
      <c r="S3838" s="280"/>
      <c r="T3838" s="222"/>
      <c r="U3838" s="223" t="s">
        <v>6075</v>
      </c>
    </row>
    <row r="3839" spans="1:21" ht="0" hidden="1" customHeight="1" outlineLevel="3">
      <c r="A3839" s="253" t="s">
        <v>4344</v>
      </c>
      <c r="B3839" s="253"/>
      <c r="C3839" s="202" t="s">
        <v>1609</v>
      </c>
      <c r="D3839" s="212">
        <f>'02 项目基础信息（输入）'!$C$90</f>
        <v>0</v>
      </c>
      <c r="E3839" s="204" t="s">
        <v>93</v>
      </c>
      <c r="F3839" s="202"/>
      <c r="G3839" s="204"/>
      <c r="H3839" s="204"/>
      <c r="I3839" s="203"/>
      <c r="J3839" s="204"/>
      <c r="K3839" s="264"/>
      <c r="L3839" s="210"/>
      <c r="M3839" s="198">
        <f>ROUND(SUM(M3840:M3843),6)</f>
        <v>0</v>
      </c>
      <c r="N3839" s="212">
        <f>'02 项目基础信息（输入）'!$C$90</f>
        <v>0</v>
      </c>
      <c r="O3839" s="203">
        <f t="shared" si="435"/>
        <v>0</v>
      </c>
      <c r="P3839" s="203">
        <f t="shared" si="437"/>
        <v>0</v>
      </c>
      <c r="Q3839" s="271">
        <f t="shared" si="436"/>
        <v>0</v>
      </c>
      <c r="S3839" s="280"/>
      <c r="T3839" s="222"/>
      <c r="U3839" s="223" t="s">
        <v>6076</v>
      </c>
    </row>
    <row r="3840" spans="1:21" ht="0" hidden="1" customHeight="1" outlineLevel="4">
      <c r="A3840" s="253" t="s">
        <v>4346</v>
      </c>
      <c r="B3840" s="253"/>
      <c r="C3840" s="202" t="s">
        <v>1609</v>
      </c>
      <c r="D3840" s="212">
        <f>'02 项目基础信息（输入）'!$C$90</f>
        <v>0</v>
      </c>
      <c r="E3840" s="204" t="s">
        <v>93</v>
      </c>
      <c r="F3840" s="202" t="s">
        <v>1609</v>
      </c>
      <c r="G3840" s="204">
        <v>1</v>
      </c>
      <c r="H3840" s="204" t="s">
        <v>298</v>
      </c>
      <c r="I3840" s="265">
        <f t="shared" ref="I3840:I3846" si="445">D3840*G3840</f>
        <v>0</v>
      </c>
      <c r="J3840" s="204" t="s">
        <v>93</v>
      </c>
      <c r="K3840" s="188"/>
      <c r="L3840" s="210" t="s">
        <v>675</v>
      </c>
      <c r="M3840" s="198">
        <f t="shared" ref="M3840:M3846" si="446">ROUND(K3840*I3840/10000,6)</f>
        <v>0</v>
      </c>
      <c r="N3840" s="212">
        <f>'02 项目基础信息（输入）'!$C$90</f>
        <v>0</v>
      </c>
      <c r="O3840" s="203">
        <f t="shared" si="435"/>
        <v>0</v>
      </c>
      <c r="P3840" s="203">
        <f t="shared" si="437"/>
        <v>0</v>
      </c>
      <c r="Q3840" s="271">
        <f t="shared" si="436"/>
        <v>0</v>
      </c>
      <c r="S3840" s="280"/>
      <c r="T3840" s="222"/>
      <c r="U3840" s="223" t="s">
        <v>6077</v>
      </c>
    </row>
    <row r="3841" spans="1:21" ht="0" hidden="1" customHeight="1" outlineLevel="4">
      <c r="A3841" s="253" t="s">
        <v>4348</v>
      </c>
      <c r="B3841" s="253"/>
      <c r="C3841" s="202" t="s">
        <v>1609</v>
      </c>
      <c r="D3841" s="212">
        <f>'02 项目基础信息（输入）'!$C$90</f>
        <v>0</v>
      </c>
      <c r="E3841" s="204" t="s">
        <v>93</v>
      </c>
      <c r="F3841" s="202" t="s">
        <v>1609</v>
      </c>
      <c r="G3841" s="204">
        <v>1</v>
      </c>
      <c r="H3841" s="204" t="s">
        <v>298</v>
      </c>
      <c r="I3841" s="265">
        <f t="shared" si="445"/>
        <v>0</v>
      </c>
      <c r="J3841" s="204" t="s">
        <v>93</v>
      </c>
      <c r="K3841" s="188"/>
      <c r="L3841" s="210" t="s">
        <v>675</v>
      </c>
      <c r="M3841" s="198">
        <f t="shared" si="446"/>
        <v>0</v>
      </c>
      <c r="N3841" s="212">
        <f>'02 项目基础信息（输入）'!$C$90</f>
        <v>0</v>
      </c>
      <c r="O3841" s="203">
        <f t="shared" si="435"/>
        <v>0</v>
      </c>
      <c r="P3841" s="203">
        <f t="shared" si="437"/>
        <v>0</v>
      </c>
      <c r="Q3841" s="271">
        <f t="shared" si="436"/>
        <v>0</v>
      </c>
      <c r="S3841" s="280"/>
      <c r="T3841" s="222"/>
      <c r="U3841" s="223" t="s">
        <v>6078</v>
      </c>
    </row>
    <row r="3842" spans="1:21" ht="0" hidden="1" customHeight="1" outlineLevel="4">
      <c r="A3842" s="253" t="s">
        <v>4350</v>
      </c>
      <c r="B3842" s="253"/>
      <c r="C3842" s="202" t="s">
        <v>1609</v>
      </c>
      <c r="D3842" s="212">
        <f>'02 项目基础信息（输入）'!$C$90</f>
        <v>0</v>
      </c>
      <c r="E3842" s="204" t="s">
        <v>93</v>
      </c>
      <c r="F3842" s="202" t="s">
        <v>1609</v>
      </c>
      <c r="G3842" s="204">
        <v>1</v>
      </c>
      <c r="H3842" s="204" t="s">
        <v>298</v>
      </c>
      <c r="I3842" s="265">
        <f t="shared" si="445"/>
        <v>0</v>
      </c>
      <c r="J3842" s="204" t="s">
        <v>93</v>
      </c>
      <c r="K3842" s="188"/>
      <c r="L3842" s="210" t="s">
        <v>675</v>
      </c>
      <c r="M3842" s="198">
        <f t="shared" si="446"/>
        <v>0</v>
      </c>
      <c r="N3842" s="212">
        <f>'02 项目基础信息（输入）'!$C$90</f>
        <v>0</v>
      </c>
      <c r="O3842" s="203">
        <f t="shared" si="435"/>
        <v>0</v>
      </c>
      <c r="P3842" s="203">
        <f t="shared" si="437"/>
        <v>0</v>
      </c>
      <c r="Q3842" s="271">
        <f t="shared" si="436"/>
        <v>0</v>
      </c>
      <c r="S3842" s="280"/>
      <c r="T3842" s="222"/>
      <c r="U3842" s="223" t="s">
        <v>6079</v>
      </c>
    </row>
    <row r="3843" spans="1:21" ht="0" hidden="1" customHeight="1" outlineLevel="4">
      <c r="A3843" s="253" t="s">
        <v>4352</v>
      </c>
      <c r="B3843" s="253"/>
      <c r="C3843" s="202" t="s">
        <v>1609</v>
      </c>
      <c r="D3843" s="212">
        <f>'02 项目基础信息（输入）'!$C$90</f>
        <v>0</v>
      </c>
      <c r="E3843" s="204" t="s">
        <v>93</v>
      </c>
      <c r="F3843" s="202" t="s">
        <v>1609</v>
      </c>
      <c r="G3843" s="204">
        <v>1</v>
      </c>
      <c r="H3843" s="204" t="s">
        <v>298</v>
      </c>
      <c r="I3843" s="265">
        <f t="shared" si="445"/>
        <v>0</v>
      </c>
      <c r="J3843" s="204" t="s">
        <v>93</v>
      </c>
      <c r="K3843" s="188"/>
      <c r="L3843" s="210" t="s">
        <v>675</v>
      </c>
      <c r="M3843" s="198">
        <f t="shared" si="446"/>
        <v>0</v>
      </c>
      <c r="N3843" s="212">
        <f>'02 项目基础信息（输入）'!$C$90</f>
        <v>0</v>
      </c>
      <c r="O3843" s="203">
        <f t="shared" ref="O3843:O3906" si="447">ROUND(IFERROR(M3843*10000/N3843,0),2)</f>
        <v>0</v>
      </c>
      <c r="P3843" s="203">
        <f t="shared" si="437"/>
        <v>0</v>
      </c>
      <c r="Q3843" s="271">
        <f t="shared" ref="Q3843:Q3906" si="448">ROUND(IFERROR(M3843*10000/P3843,0),2)</f>
        <v>0</v>
      </c>
      <c r="S3843" s="280"/>
      <c r="T3843" s="222"/>
      <c r="U3843" s="223" t="s">
        <v>6080</v>
      </c>
    </row>
    <row r="3844" spans="1:21" ht="0" hidden="1" customHeight="1" outlineLevel="3">
      <c r="A3844" s="253" t="s">
        <v>4354</v>
      </c>
      <c r="B3844" s="253"/>
      <c r="C3844" s="202" t="s">
        <v>1609</v>
      </c>
      <c r="D3844" s="212">
        <f>'02 项目基础信息（输入）'!$C$90</f>
        <v>0</v>
      </c>
      <c r="E3844" s="204" t="s">
        <v>93</v>
      </c>
      <c r="F3844" s="202" t="s">
        <v>1609</v>
      </c>
      <c r="G3844" s="204">
        <v>1</v>
      </c>
      <c r="H3844" s="204" t="s">
        <v>298</v>
      </c>
      <c r="I3844" s="265">
        <f t="shared" si="445"/>
        <v>0</v>
      </c>
      <c r="J3844" s="204" t="s">
        <v>93</v>
      </c>
      <c r="K3844" s="214"/>
      <c r="L3844" s="210" t="s">
        <v>675</v>
      </c>
      <c r="M3844" s="198">
        <f t="shared" si="446"/>
        <v>0</v>
      </c>
      <c r="N3844" s="212">
        <f>'02 项目基础信息（输入）'!$C$90</f>
        <v>0</v>
      </c>
      <c r="O3844" s="203">
        <f t="shared" si="447"/>
        <v>0</v>
      </c>
      <c r="P3844" s="203">
        <f t="shared" si="437"/>
        <v>0</v>
      </c>
      <c r="Q3844" s="271">
        <f t="shared" si="448"/>
        <v>0</v>
      </c>
      <c r="S3844" s="280"/>
      <c r="T3844" s="222"/>
      <c r="U3844" s="223" t="s">
        <v>6081</v>
      </c>
    </row>
    <row r="3845" spans="1:21" ht="0" hidden="1" customHeight="1" outlineLevel="3">
      <c r="A3845" s="253" t="s">
        <v>4356</v>
      </c>
      <c r="B3845" s="253"/>
      <c r="C3845" s="202" t="s">
        <v>1609</v>
      </c>
      <c r="D3845" s="212">
        <f>'02 项目基础信息（输入）'!$C$90</f>
        <v>0</v>
      </c>
      <c r="E3845" s="204" t="s">
        <v>93</v>
      </c>
      <c r="F3845" s="202" t="s">
        <v>1609</v>
      </c>
      <c r="G3845" s="255">
        <v>1</v>
      </c>
      <c r="H3845" s="204" t="s">
        <v>298</v>
      </c>
      <c r="I3845" s="265">
        <f t="shared" si="445"/>
        <v>0</v>
      </c>
      <c r="J3845" s="204" t="s">
        <v>93</v>
      </c>
      <c r="K3845" s="214"/>
      <c r="L3845" s="210" t="s">
        <v>675</v>
      </c>
      <c r="M3845" s="198">
        <f t="shared" si="446"/>
        <v>0</v>
      </c>
      <c r="N3845" s="212">
        <f>'02 项目基础信息（输入）'!$C$90</f>
        <v>0</v>
      </c>
      <c r="O3845" s="203">
        <f t="shared" si="447"/>
        <v>0</v>
      </c>
      <c r="P3845" s="203">
        <f t="shared" si="437"/>
        <v>0</v>
      </c>
      <c r="Q3845" s="271">
        <f t="shared" si="448"/>
        <v>0</v>
      </c>
      <c r="S3845" s="280"/>
      <c r="T3845" s="222"/>
      <c r="U3845" s="223" t="s">
        <v>6082</v>
      </c>
    </row>
    <row r="3846" spans="1:21" ht="0" hidden="1" customHeight="1" outlineLevel="3">
      <c r="A3846" s="253" t="s">
        <v>4358</v>
      </c>
      <c r="B3846" s="253"/>
      <c r="C3846" s="202" t="s">
        <v>1609</v>
      </c>
      <c r="D3846" s="212">
        <f>'02 项目基础信息（输入）'!$C$90</f>
        <v>0</v>
      </c>
      <c r="E3846" s="204" t="s">
        <v>93</v>
      </c>
      <c r="F3846" s="202" t="s">
        <v>1609</v>
      </c>
      <c r="G3846" s="255">
        <v>1</v>
      </c>
      <c r="H3846" s="204" t="s">
        <v>298</v>
      </c>
      <c r="I3846" s="265">
        <f t="shared" si="445"/>
        <v>0</v>
      </c>
      <c r="J3846" s="204" t="s">
        <v>93</v>
      </c>
      <c r="K3846" s="214"/>
      <c r="L3846" s="210" t="s">
        <v>675</v>
      </c>
      <c r="M3846" s="198">
        <f t="shared" si="446"/>
        <v>0</v>
      </c>
      <c r="N3846" s="212">
        <f>'02 项目基础信息（输入）'!$C$90</f>
        <v>0</v>
      </c>
      <c r="O3846" s="203">
        <f t="shared" si="447"/>
        <v>0</v>
      </c>
      <c r="P3846" s="203">
        <f t="shared" si="437"/>
        <v>0</v>
      </c>
      <c r="Q3846" s="271">
        <f t="shared" si="448"/>
        <v>0</v>
      </c>
      <c r="S3846" s="280"/>
      <c r="T3846" s="222"/>
      <c r="U3846" s="223" t="s">
        <v>6083</v>
      </c>
    </row>
    <row r="3847" spans="1:21" ht="0" hidden="1" customHeight="1" outlineLevel="3">
      <c r="A3847" s="253" t="s">
        <v>4360</v>
      </c>
      <c r="B3847" s="253"/>
      <c r="C3847" s="202" t="s">
        <v>1665</v>
      </c>
      <c r="D3847" s="203">
        <f>ROUND(M3836+M3839+M3844+M3845+M3846,6)*10000</f>
        <v>0</v>
      </c>
      <c r="E3847" s="204" t="s">
        <v>1666</v>
      </c>
      <c r="F3847" s="202" t="s">
        <v>1667</v>
      </c>
      <c r="G3847" s="258">
        <f>IFERROR(I3847*100/D3847,0)</f>
        <v>0</v>
      </c>
      <c r="H3847" s="204" t="s">
        <v>123</v>
      </c>
      <c r="I3847" s="265">
        <f>N3847*K3847</f>
        <v>0</v>
      </c>
      <c r="J3847" s="204" t="s">
        <v>1666</v>
      </c>
      <c r="K3847" s="269"/>
      <c r="L3847" s="210" t="s">
        <v>675</v>
      </c>
      <c r="M3847" s="231">
        <f>ROUND(I3847/10000,6)</f>
        <v>0</v>
      </c>
      <c r="N3847" s="212">
        <f>'02 项目基础信息（输入）'!$C$90</f>
        <v>0</v>
      </c>
      <c r="O3847" s="203">
        <f t="shared" si="447"/>
        <v>0</v>
      </c>
      <c r="P3847" s="203">
        <f t="shared" si="437"/>
        <v>0</v>
      </c>
      <c r="Q3847" s="271">
        <f t="shared" si="448"/>
        <v>0</v>
      </c>
      <c r="S3847" s="280"/>
      <c r="T3847" s="222"/>
      <c r="U3847" s="223" t="s">
        <v>6084</v>
      </c>
    </row>
    <row r="3848" spans="1:21" ht="0" hidden="1" customHeight="1" outlineLevel="2">
      <c r="A3848" s="201" t="s">
        <v>4362</v>
      </c>
      <c r="B3848" s="201"/>
      <c r="C3848" s="202" t="s">
        <v>1609</v>
      </c>
      <c r="D3848" s="212">
        <f>'02 项目基础信息（输入）'!$C$90</f>
        <v>0</v>
      </c>
      <c r="E3848" s="204" t="s">
        <v>93</v>
      </c>
      <c r="F3848" s="202"/>
      <c r="G3848" s="255"/>
      <c r="H3848" s="204"/>
      <c r="I3848" s="203"/>
      <c r="J3848" s="204"/>
      <c r="K3848" s="264"/>
      <c r="L3848" s="210"/>
      <c r="M3848" s="198">
        <f>M3849+M3852+M3858+M3865+M3866+M3869+M3870+M3871+M3872+M3873+M3874+M3875+M3879+M3880</f>
        <v>0</v>
      </c>
      <c r="N3848" s="212">
        <f>'02 项目基础信息（输入）'!$C$90</f>
        <v>0</v>
      </c>
      <c r="O3848" s="203">
        <f t="shared" si="447"/>
        <v>0</v>
      </c>
      <c r="P3848" s="203">
        <f t="shared" si="437"/>
        <v>0</v>
      </c>
      <c r="Q3848" s="271">
        <f t="shared" si="448"/>
        <v>0</v>
      </c>
      <c r="S3848" s="280" t="s">
        <v>1314</v>
      </c>
      <c r="T3848" s="222"/>
      <c r="U3848" s="223" t="s">
        <v>6085</v>
      </c>
    </row>
    <row r="3849" spans="1:21" ht="0" hidden="1" customHeight="1" outlineLevel="3">
      <c r="A3849" s="253" t="s">
        <v>4705</v>
      </c>
      <c r="B3849" s="253"/>
      <c r="C3849" s="202" t="s">
        <v>1609</v>
      </c>
      <c r="D3849" s="212">
        <f>'02 项目基础信息（输入）'!$C$90</f>
        <v>0</v>
      </c>
      <c r="E3849" s="204" t="s">
        <v>93</v>
      </c>
      <c r="F3849" s="202"/>
      <c r="G3849" s="204"/>
      <c r="H3849" s="204"/>
      <c r="I3849" s="265"/>
      <c r="J3849" s="204"/>
      <c r="K3849" s="264"/>
      <c r="L3849" s="210"/>
      <c r="M3849" s="198">
        <f>ROUND(SUM(M3850:M3851),6)</f>
        <v>0</v>
      </c>
      <c r="N3849" s="212">
        <f>'02 项目基础信息（输入）'!$C$90</f>
        <v>0</v>
      </c>
      <c r="O3849" s="203">
        <f t="shared" si="447"/>
        <v>0</v>
      </c>
      <c r="P3849" s="203">
        <f t="shared" si="437"/>
        <v>0</v>
      </c>
      <c r="Q3849" s="271">
        <f t="shared" si="448"/>
        <v>0</v>
      </c>
      <c r="S3849" s="280"/>
      <c r="T3849" s="222"/>
      <c r="U3849" s="223" t="s">
        <v>6086</v>
      </c>
    </row>
    <row r="3850" spans="1:21" ht="0" hidden="1" customHeight="1" outlineLevel="4">
      <c r="A3850" s="253" t="s">
        <v>4707</v>
      </c>
      <c r="B3850" s="253"/>
      <c r="C3850" s="202" t="s">
        <v>1609</v>
      </c>
      <c r="D3850" s="212">
        <f>'02 项目基础信息（输入）'!$C$90</f>
        <v>0</v>
      </c>
      <c r="E3850" s="204" t="s">
        <v>93</v>
      </c>
      <c r="F3850" s="202" t="s">
        <v>1609</v>
      </c>
      <c r="G3850" s="204">
        <v>1</v>
      </c>
      <c r="H3850" s="204" t="s">
        <v>298</v>
      </c>
      <c r="I3850" s="265">
        <f>D3850*G3850</f>
        <v>0</v>
      </c>
      <c r="J3850" s="204" t="s">
        <v>93</v>
      </c>
      <c r="K3850" s="188"/>
      <c r="L3850" s="210" t="s">
        <v>675</v>
      </c>
      <c r="M3850" s="198">
        <f>ROUND(K3850*I3850/10000,6)</f>
        <v>0</v>
      </c>
      <c r="N3850" s="212">
        <f>'02 项目基础信息（输入）'!$C$90</f>
        <v>0</v>
      </c>
      <c r="O3850" s="203">
        <f t="shared" si="447"/>
        <v>0</v>
      </c>
      <c r="P3850" s="203">
        <f t="shared" ref="P3850:P3892" si="449">N3850</f>
        <v>0</v>
      </c>
      <c r="Q3850" s="271">
        <f t="shared" si="448"/>
        <v>0</v>
      </c>
      <c r="S3850" s="280"/>
      <c r="T3850" s="222"/>
      <c r="U3850" s="223" t="s">
        <v>6087</v>
      </c>
    </row>
    <row r="3851" spans="1:21" ht="0" hidden="1" customHeight="1" outlineLevel="4">
      <c r="A3851" s="253" t="s">
        <v>4709</v>
      </c>
      <c r="B3851" s="253"/>
      <c r="C3851" s="202" t="s">
        <v>1609</v>
      </c>
      <c r="D3851" s="212">
        <f>'02 项目基础信息（输入）'!$C$90</f>
        <v>0</v>
      </c>
      <c r="E3851" s="204" t="s">
        <v>93</v>
      </c>
      <c r="F3851" s="202" t="s">
        <v>1609</v>
      </c>
      <c r="G3851" s="204">
        <v>1</v>
      </c>
      <c r="H3851" s="204" t="s">
        <v>298</v>
      </c>
      <c r="I3851" s="265">
        <f>D3851*G3851</f>
        <v>0</v>
      </c>
      <c r="J3851" s="204" t="s">
        <v>93</v>
      </c>
      <c r="K3851" s="188"/>
      <c r="L3851" s="210" t="s">
        <v>675</v>
      </c>
      <c r="M3851" s="198">
        <f>ROUND(K3851*I3851/10000,6)</f>
        <v>0</v>
      </c>
      <c r="N3851" s="212">
        <f>'02 项目基础信息（输入）'!$C$90</f>
        <v>0</v>
      </c>
      <c r="O3851" s="203">
        <f t="shared" si="447"/>
        <v>0</v>
      </c>
      <c r="P3851" s="203">
        <f t="shared" si="449"/>
        <v>0</v>
      </c>
      <c r="Q3851" s="271">
        <f t="shared" si="448"/>
        <v>0</v>
      </c>
      <c r="S3851" s="280"/>
      <c r="T3851" s="222"/>
      <c r="U3851" s="223" t="s">
        <v>6088</v>
      </c>
    </row>
    <row r="3852" spans="1:21" ht="0" hidden="1" customHeight="1" outlineLevel="3">
      <c r="A3852" s="253" t="s">
        <v>4711</v>
      </c>
      <c r="B3852" s="253"/>
      <c r="C3852" s="202" t="s">
        <v>1609</v>
      </c>
      <c r="D3852" s="212">
        <f>'02 项目基础信息（输入）'!$C$90</f>
        <v>0</v>
      </c>
      <c r="E3852" s="204" t="s">
        <v>93</v>
      </c>
      <c r="F3852" s="202"/>
      <c r="G3852" s="204"/>
      <c r="H3852" s="204"/>
      <c r="I3852" s="203"/>
      <c r="J3852" s="204"/>
      <c r="K3852" s="264"/>
      <c r="L3852" s="210"/>
      <c r="M3852" s="198">
        <f>ROUND(SUM(M3853:M3857),6)</f>
        <v>0</v>
      </c>
      <c r="N3852" s="212">
        <f>'02 项目基础信息（输入）'!$C$90</f>
        <v>0</v>
      </c>
      <c r="O3852" s="203">
        <f t="shared" si="447"/>
        <v>0</v>
      </c>
      <c r="P3852" s="203">
        <f t="shared" si="449"/>
        <v>0</v>
      </c>
      <c r="Q3852" s="271">
        <f t="shared" si="448"/>
        <v>0</v>
      </c>
      <c r="S3852" s="280"/>
      <c r="T3852" s="222"/>
      <c r="U3852" s="223" t="s">
        <v>6089</v>
      </c>
    </row>
    <row r="3853" spans="1:21" ht="0" hidden="1" customHeight="1" outlineLevel="4">
      <c r="A3853" s="253" t="s">
        <v>4713</v>
      </c>
      <c r="B3853" s="253"/>
      <c r="C3853" s="202" t="s">
        <v>1609</v>
      </c>
      <c r="D3853" s="212">
        <f>'02 项目基础信息（输入）'!$C$90</f>
        <v>0</v>
      </c>
      <c r="E3853" s="204" t="s">
        <v>93</v>
      </c>
      <c r="F3853" s="202" t="s">
        <v>1609</v>
      </c>
      <c r="G3853" s="204">
        <v>1</v>
      </c>
      <c r="H3853" s="204" t="s">
        <v>298</v>
      </c>
      <c r="I3853" s="265">
        <f>D3853*G3853</f>
        <v>0</v>
      </c>
      <c r="J3853" s="204" t="s">
        <v>93</v>
      </c>
      <c r="K3853" s="214"/>
      <c r="L3853" s="210" t="s">
        <v>675</v>
      </c>
      <c r="M3853" s="198">
        <f>ROUND(K3853*I3853/10000,6)</f>
        <v>0</v>
      </c>
      <c r="N3853" s="212">
        <f>'02 项目基础信息（输入）'!$C$90</f>
        <v>0</v>
      </c>
      <c r="O3853" s="203">
        <f t="shared" si="447"/>
        <v>0</v>
      </c>
      <c r="P3853" s="203">
        <f t="shared" si="449"/>
        <v>0</v>
      </c>
      <c r="Q3853" s="271">
        <f t="shared" si="448"/>
        <v>0</v>
      </c>
      <c r="S3853" s="280"/>
      <c r="T3853" s="222"/>
      <c r="U3853" s="223" t="s">
        <v>6090</v>
      </c>
    </row>
    <row r="3854" spans="1:21" ht="0" hidden="1" customHeight="1" outlineLevel="4">
      <c r="A3854" s="253" t="s">
        <v>4715</v>
      </c>
      <c r="B3854" s="253"/>
      <c r="C3854" s="202" t="s">
        <v>1609</v>
      </c>
      <c r="D3854" s="212">
        <f>'02 项目基础信息（输入）'!$C$90</f>
        <v>0</v>
      </c>
      <c r="E3854" s="204" t="s">
        <v>93</v>
      </c>
      <c r="F3854" s="202" t="s">
        <v>1609</v>
      </c>
      <c r="G3854" s="204">
        <v>1</v>
      </c>
      <c r="H3854" s="204" t="s">
        <v>298</v>
      </c>
      <c r="I3854" s="265">
        <f>D3854*G3854</f>
        <v>0</v>
      </c>
      <c r="J3854" s="204" t="s">
        <v>93</v>
      </c>
      <c r="K3854" s="214"/>
      <c r="L3854" s="210" t="s">
        <v>675</v>
      </c>
      <c r="M3854" s="198">
        <f>ROUND(K3854*I3854/10000,6)</f>
        <v>0</v>
      </c>
      <c r="N3854" s="212">
        <f>'02 项目基础信息（输入）'!$C$90</f>
        <v>0</v>
      </c>
      <c r="O3854" s="203">
        <f t="shared" si="447"/>
        <v>0</v>
      </c>
      <c r="P3854" s="203">
        <f t="shared" si="449"/>
        <v>0</v>
      </c>
      <c r="Q3854" s="271">
        <f t="shared" si="448"/>
        <v>0</v>
      </c>
      <c r="S3854" s="280"/>
      <c r="T3854" s="222"/>
      <c r="U3854" s="223" t="s">
        <v>6091</v>
      </c>
    </row>
    <row r="3855" spans="1:21" ht="0" hidden="1" customHeight="1" outlineLevel="4">
      <c r="A3855" s="253" t="s">
        <v>4717</v>
      </c>
      <c r="B3855" s="253"/>
      <c r="C3855" s="202" t="s">
        <v>1609</v>
      </c>
      <c r="D3855" s="212">
        <f>'02 项目基础信息（输入）'!$C$90</f>
        <v>0</v>
      </c>
      <c r="E3855" s="204" t="s">
        <v>93</v>
      </c>
      <c r="F3855" s="202" t="s">
        <v>1609</v>
      </c>
      <c r="G3855" s="204">
        <v>1</v>
      </c>
      <c r="H3855" s="204" t="s">
        <v>298</v>
      </c>
      <c r="I3855" s="265">
        <f>D3855*G3855</f>
        <v>0</v>
      </c>
      <c r="J3855" s="204" t="s">
        <v>93</v>
      </c>
      <c r="K3855" s="214"/>
      <c r="L3855" s="210" t="s">
        <v>675</v>
      </c>
      <c r="M3855" s="198">
        <f>ROUND(K3855*I3855/10000,6)</f>
        <v>0</v>
      </c>
      <c r="N3855" s="212">
        <f>'02 项目基础信息（输入）'!$C$90</f>
        <v>0</v>
      </c>
      <c r="O3855" s="203">
        <f t="shared" si="447"/>
        <v>0</v>
      </c>
      <c r="P3855" s="203">
        <f t="shared" si="449"/>
        <v>0</v>
      </c>
      <c r="Q3855" s="271">
        <f t="shared" si="448"/>
        <v>0</v>
      </c>
      <c r="S3855" s="280"/>
      <c r="T3855" s="222"/>
      <c r="U3855" s="223" t="s">
        <v>6092</v>
      </c>
    </row>
    <row r="3856" spans="1:21" ht="0" hidden="1" customHeight="1" outlineLevel="4">
      <c r="A3856" s="253" t="s">
        <v>4719</v>
      </c>
      <c r="B3856" s="253"/>
      <c r="C3856" s="202" t="s">
        <v>1609</v>
      </c>
      <c r="D3856" s="212">
        <f>'02 项目基础信息（输入）'!$C$90</f>
        <v>0</v>
      </c>
      <c r="E3856" s="204" t="s">
        <v>93</v>
      </c>
      <c r="F3856" s="202" t="s">
        <v>1609</v>
      </c>
      <c r="G3856" s="204">
        <v>1</v>
      </c>
      <c r="H3856" s="204" t="s">
        <v>298</v>
      </c>
      <c r="I3856" s="265">
        <f>D3856*G3856</f>
        <v>0</v>
      </c>
      <c r="J3856" s="204" t="s">
        <v>93</v>
      </c>
      <c r="K3856" s="214"/>
      <c r="L3856" s="210" t="s">
        <v>675</v>
      </c>
      <c r="M3856" s="198">
        <f>ROUND(K3856*I3856/10000,6)</f>
        <v>0</v>
      </c>
      <c r="N3856" s="212">
        <f>'02 项目基础信息（输入）'!$C$90</f>
        <v>0</v>
      </c>
      <c r="O3856" s="203">
        <f t="shared" si="447"/>
        <v>0</v>
      </c>
      <c r="P3856" s="203">
        <f t="shared" si="449"/>
        <v>0</v>
      </c>
      <c r="Q3856" s="271">
        <f t="shared" si="448"/>
        <v>0</v>
      </c>
      <c r="S3856" s="280"/>
      <c r="T3856" s="222"/>
      <c r="U3856" s="223" t="s">
        <v>6093</v>
      </c>
    </row>
    <row r="3857" spans="1:21" ht="0" hidden="1" customHeight="1" outlineLevel="4">
      <c r="A3857" s="253" t="s">
        <v>5052</v>
      </c>
      <c r="B3857" s="253"/>
      <c r="C3857" s="202" t="s">
        <v>1609</v>
      </c>
      <c r="D3857" s="212">
        <f>'02 项目基础信息（输入）'!$C$90</f>
        <v>0</v>
      </c>
      <c r="E3857" s="204" t="s">
        <v>93</v>
      </c>
      <c r="F3857" s="202" t="s">
        <v>1609</v>
      </c>
      <c r="G3857" s="204">
        <v>1</v>
      </c>
      <c r="H3857" s="204" t="s">
        <v>298</v>
      </c>
      <c r="I3857" s="265">
        <f>D3857*G3857</f>
        <v>0</v>
      </c>
      <c r="J3857" s="204" t="s">
        <v>93</v>
      </c>
      <c r="K3857" s="214"/>
      <c r="L3857" s="210" t="s">
        <v>675</v>
      </c>
      <c r="M3857" s="198">
        <f>ROUND(K3857*I3857/10000,6)</f>
        <v>0</v>
      </c>
      <c r="N3857" s="212">
        <f>'02 项目基础信息（输入）'!$C$90</f>
        <v>0</v>
      </c>
      <c r="O3857" s="203">
        <f t="shared" si="447"/>
        <v>0</v>
      </c>
      <c r="P3857" s="203">
        <f t="shared" si="449"/>
        <v>0</v>
      </c>
      <c r="Q3857" s="271">
        <f t="shared" si="448"/>
        <v>0</v>
      </c>
      <c r="S3857" s="280"/>
      <c r="T3857" s="222"/>
      <c r="U3857" s="223" t="s">
        <v>6094</v>
      </c>
    </row>
    <row r="3858" spans="1:21" ht="0" hidden="1" customHeight="1" outlineLevel="3">
      <c r="A3858" s="253" t="s">
        <v>4721</v>
      </c>
      <c r="B3858" s="253"/>
      <c r="C3858" s="202" t="s">
        <v>1609</v>
      </c>
      <c r="D3858" s="212">
        <f>'02 项目基础信息（输入）'!$C$90</f>
        <v>0</v>
      </c>
      <c r="E3858" s="204" t="s">
        <v>93</v>
      </c>
      <c r="F3858" s="202"/>
      <c r="G3858" s="204"/>
      <c r="H3858" s="204"/>
      <c r="I3858" s="203"/>
      <c r="J3858" s="204"/>
      <c r="K3858" s="264"/>
      <c r="L3858" s="210"/>
      <c r="M3858" s="198">
        <f>ROUND(SUM(M3859:M3864),6)</f>
        <v>0</v>
      </c>
      <c r="N3858" s="212">
        <f>'02 项目基础信息（输入）'!$C$90</f>
        <v>0</v>
      </c>
      <c r="O3858" s="203">
        <f t="shared" si="447"/>
        <v>0</v>
      </c>
      <c r="P3858" s="203">
        <f t="shared" si="449"/>
        <v>0</v>
      </c>
      <c r="Q3858" s="271">
        <f t="shared" si="448"/>
        <v>0</v>
      </c>
      <c r="S3858" s="280"/>
      <c r="T3858" s="222"/>
      <c r="U3858" s="223" t="s">
        <v>6095</v>
      </c>
    </row>
    <row r="3859" spans="1:21" ht="0" hidden="1" customHeight="1" outlineLevel="4">
      <c r="A3859" s="253" t="s">
        <v>4723</v>
      </c>
      <c r="B3859" s="253"/>
      <c r="C3859" s="202" t="s">
        <v>1609</v>
      </c>
      <c r="D3859" s="212">
        <f>'02 项目基础信息（输入）'!$C$90</f>
        <v>0</v>
      </c>
      <c r="E3859" s="204" t="s">
        <v>93</v>
      </c>
      <c r="F3859" s="202" t="s">
        <v>1609</v>
      </c>
      <c r="G3859" s="204">
        <v>1</v>
      </c>
      <c r="H3859" s="204" t="s">
        <v>298</v>
      </c>
      <c r="I3859" s="265">
        <f t="shared" ref="I3859:I3865" si="450">D3859*G3859</f>
        <v>0</v>
      </c>
      <c r="J3859" s="204" t="s">
        <v>93</v>
      </c>
      <c r="K3859" s="188"/>
      <c r="L3859" s="210" t="s">
        <v>675</v>
      </c>
      <c r="M3859" s="198">
        <f t="shared" ref="M3859:M3865" si="451">ROUND(K3859*I3859/10000,6)</f>
        <v>0</v>
      </c>
      <c r="N3859" s="212">
        <f>'02 项目基础信息（输入）'!$C$90</f>
        <v>0</v>
      </c>
      <c r="O3859" s="203">
        <f t="shared" si="447"/>
        <v>0</v>
      </c>
      <c r="P3859" s="203">
        <f t="shared" si="449"/>
        <v>0</v>
      </c>
      <c r="Q3859" s="271">
        <f t="shared" si="448"/>
        <v>0</v>
      </c>
      <c r="S3859" s="280"/>
      <c r="T3859" s="222"/>
      <c r="U3859" s="223" t="s">
        <v>6096</v>
      </c>
    </row>
    <row r="3860" spans="1:21" ht="0" hidden="1" customHeight="1" outlineLevel="4">
      <c r="A3860" s="253" t="s">
        <v>4725</v>
      </c>
      <c r="B3860" s="253"/>
      <c r="C3860" s="202" t="s">
        <v>1609</v>
      </c>
      <c r="D3860" s="212">
        <f>'02 项目基础信息（输入）'!$C$90</f>
        <v>0</v>
      </c>
      <c r="E3860" s="204" t="s">
        <v>93</v>
      </c>
      <c r="F3860" s="202" t="s">
        <v>1609</v>
      </c>
      <c r="G3860" s="204">
        <v>1</v>
      </c>
      <c r="H3860" s="204" t="s">
        <v>298</v>
      </c>
      <c r="I3860" s="265">
        <f t="shared" si="450"/>
        <v>0</v>
      </c>
      <c r="J3860" s="204" t="s">
        <v>93</v>
      </c>
      <c r="K3860" s="214"/>
      <c r="L3860" s="210" t="s">
        <v>675</v>
      </c>
      <c r="M3860" s="198">
        <f t="shared" si="451"/>
        <v>0</v>
      </c>
      <c r="N3860" s="212">
        <f>'02 项目基础信息（输入）'!$C$90</f>
        <v>0</v>
      </c>
      <c r="O3860" s="203">
        <f t="shared" si="447"/>
        <v>0</v>
      </c>
      <c r="P3860" s="203">
        <f t="shared" si="449"/>
        <v>0</v>
      </c>
      <c r="Q3860" s="271">
        <f t="shared" si="448"/>
        <v>0</v>
      </c>
      <c r="S3860" s="280"/>
      <c r="T3860" s="222"/>
      <c r="U3860" s="223" t="s">
        <v>6097</v>
      </c>
    </row>
    <row r="3861" spans="1:21" ht="0" hidden="1" customHeight="1" outlineLevel="4">
      <c r="A3861" s="253" t="s">
        <v>4727</v>
      </c>
      <c r="B3861" s="253"/>
      <c r="C3861" s="202" t="s">
        <v>1609</v>
      </c>
      <c r="D3861" s="212">
        <f>'02 项目基础信息（输入）'!$C$90</f>
        <v>0</v>
      </c>
      <c r="E3861" s="204" t="s">
        <v>93</v>
      </c>
      <c r="F3861" s="202" t="s">
        <v>1609</v>
      </c>
      <c r="G3861" s="204">
        <v>1</v>
      </c>
      <c r="H3861" s="204" t="s">
        <v>298</v>
      </c>
      <c r="I3861" s="265">
        <f t="shared" si="450"/>
        <v>0</v>
      </c>
      <c r="J3861" s="204" t="s">
        <v>93</v>
      </c>
      <c r="K3861" s="214"/>
      <c r="L3861" s="210" t="s">
        <v>675</v>
      </c>
      <c r="M3861" s="198">
        <f t="shared" si="451"/>
        <v>0</v>
      </c>
      <c r="N3861" s="212">
        <f>'02 项目基础信息（输入）'!$C$90</f>
        <v>0</v>
      </c>
      <c r="O3861" s="203">
        <f t="shared" si="447"/>
        <v>0</v>
      </c>
      <c r="P3861" s="203">
        <f t="shared" si="449"/>
        <v>0</v>
      </c>
      <c r="Q3861" s="271">
        <f t="shared" si="448"/>
        <v>0</v>
      </c>
      <c r="S3861" s="280"/>
      <c r="T3861" s="222"/>
      <c r="U3861" s="223" t="s">
        <v>6098</v>
      </c>
    </row>
    <row r="3862" spans="1:21" ht="0" hidden="1" customHeight="1" outlineLevel="4">
      <c r="A3862" s="253" t="s">
        <v>4729</v>
      </c>
      <c r="B3862" s="253"/>
      <c r="C3862" s="202" t="s">
        <v>1609</v>
      </c>
      <c r="D3862" s="212">
        <f>'02 项目基础信息（输入）'!$C$90</f>
        <v>0</v>
      </c>
      <c r="E3862" s="204" t="s">
        <v>93</v>
      </c>
      <c r="F3862" s="202" t="s">
        <v>1609</v>
      </c>
      <c r="G3862" s="204">
        <v>1</v>
      </c>
      <c r="H3862" s="204" t="s">
        <v>298</v>
      </c>
      <c r="I3862" s="265">
        <f t="shared" si="450"/>
        <v>0</v>
      </c>
      <c r="J3862" s="204" t="s">
        <v>93</v>
      </c>
      <c r="K3862" s="214"/>
      <c r="L3862" s="210" t="s">
        <v>675</v>
      </c>
      <c r="M3862" s="198">
        <f t="shared" si="451"/>
        <v>0</v>
      </c>
      <c r="N3862" s="212">
        <f>'02 项目基础信息（输入）'!$C$90</f>
        <v>0</v>
      </c>
      <c r="O3862" s="203">
        <f t="shared" si="447"/>
        <v>0</v>
      </c>
      <c r="P3862" s="203">
        <f t="shared" si="449"/>
        <v>0</v>
      </c>
      <c r="Q3862" s="271">
        <f t="shared" si="448"/>
        <v>0</v>
      </c>
      <c r="S3862" s="280"/>
      <c r="T3862" s="222"/>
      <c r="U3862" s="223" t="s">
        <v>6099</v>
      </c>
    </row>
    <row r="3863" spans="1:21" ht="0" hidden="1" customHeight="1" outlineLevel="4">
      <c r="A3863" s="253" t="s">
        <v>4731</v>
      </c>
      <c r="B3863" s="253"/>
      <c r="C3863" s="202" t="s">
        <v>1609</v>
      </c>
      <c r="D3863" s="212">
        <f>'02 项目基础信息（输入）'!$C$90</f>
        <v>0</v>
      </c>
      <c r="E3863" s="204" t="s">
        <v>93</v>
      </c>
      <c r="F3863" s="202" t="s">
        <v>1609</v>
      </c>
      <c r="G3863" s="204">
        <v>1</v>
      </c>
      <c r="H3863" s="204" t="s">
        <v>298</v>
      </c>
      <c r="I3863" s="265">
        <f t="shared" si="450"/>
        <v>0</v>
      </c>
      <c r="J3863" s="204" t="s">
        <v>93</v>
      </c>
      <c r="K3863" s="214"/>
      <c r="L3863" s="210" t="s">
        <v>675</v>
      </c>
      <c r="M3863" s="198">
        <f t="shared" si="451"/>
        <v>0</v>
      </c>
      <c r="N3863" s="212">
        <f>'02 项目基础信息（输入）'!$C$90</f>
        <v>0</v>
      </c>
      <c r="O3863" s="203">
        <f t="shared" si="447"/>
        <v>0</v>
      </c>
      <c r="P3863" s="203">
        <f t="shared" si="449"/>
        <v>0</v>
      </c>
      <c r="Q3863" s="271">
        <f t="shared" si="448"/>
        <v>0</v>
      </c>
      <c r="S3863" s="280"/>
      <c r="T3863" s="222"/>
      <c r="U3863" s="223" t="s">
        <v>6100</v>
      </c>
    </row>
    <row r="3864" spans="1:21" ht="0" hidden="1" customHeight="1" outlineLevel="4">
      <c r="A3864" s="253" t="s">
        <v>4733</v>
      </c>
      <c r="B3864" s="253"/>
      <c r="C3864" s="202" t="s">
        <v>1609</v>
      </c>
      <c r="D3864" s="212">
        <f>'02 项目基础信息（输入）'!$C$90</f>
        <v>0</v>
      </c>
      <c r="E3864" s="204" t="s">
        <v>93</v>
      </c>
      <c r="F3864" s="202" t="s">
        <v>1609</v>
      </c>
      <c r="G3864" s="204">
        <v>1</v>
      </c>
      <c r="H3864" s="204" t="s">
        <v>298</v>
      </c>
      <c r="I3864" s="265">
        <f t="shared" si="450"/>
        <v>0</v>
      </c>
      <c r="J3864" s="204" t="s">
        <v>93</v>
      </c>
      <c r="K3864" s="214"/>
      <c r="L3864" s="210" t="s">
        <v>675</v>
      </c>
      <c r="M3864" s="198">
        <f t="shared" si="451"/>
        <v>0</v>
      </c>
      <c r="N3864" s="212">
        <f>'02 项目基础信息（输入）'!$C$90</f>
        <v>0</v>
      </c>
      <c r="O3864" s="203">
        <f t="shared" si="447"/>
        <v>0</v>
      </c>
      <c r="P3864" s="203">
        <f t="shared" si="449"/>
        <v>0</v>
      </c>
      <c r="Q3864" s="271">
        <f t="shared" si="448"/>
        <v>0</v>
      </c>
      <c r="S3864" s="280"/>
      <c r="T3864" s="222"/>
      <c r="U3864" s="223" t="s">
        <v>6101</v>
      </c>
    </row>
    <row r="3865" spans="1:21" ht="0" hidden="1" customHeight="1" outlineLevel="3">
      <c r="A3865" s="253" t="s">
        <v>4735</v>
      </c>
      <c r="B3865" s="253"/>
      <c r="C3865" s="202" t="s">
        <v>1609</v>
      </c>
      <c r="D3865" s="212">
        <f>'02 项目基础信息（输入）'!$C$90</f>
        <v>0</v>
      </c>
      <c r="E3865" s="204" t="s">
        <v>93</v>
      </c>
      <c r="F3865" s="202" t="s">
        <v>1609</v>
      </c>
      <c r="G3865" s="204">
        <v>1</v>
      </c>
      <c r="H3865" s="204" t="s">
        <v>298</v>
      </c>
      <c r="I3865" s="265">
        <f t="shared" si="450"/>
        <v>0</v>
      </c>
      <c r="J3865" s="204" t="s">
        <v>93</v>
      </c>
      <c r="K3865" s="214"/>
      <c r="L3865" s="210" t="s">
        <v>675</v>
      </c>
      <c r="M3865" s="198">
        <f t="shared" si="451"/>
        <v>0</v>
      </c>
      <c r="N3865" s="212">
        <f>'02 项目基础信息（输入）'!$C$90</f>
        <v>0</v>
      </c>
      <c r="O3865" s="203">
        <f t="shared" si="447"/>
        <v>0</v>
      </c>
      <c r="P3865" s="203">
        <f t="shared" si="449"/>
        <v>0</v>
      </c>
      <c r="Q3865" s="271">
        <f t="shared" si="448"/>
        <v>0</v>
      </c>
      <c r="S3865" s="280"/>
      <c r="T3865" s="222"/>
      <c r="U3865" s="223" t="s">
        <v>6102</v>
      </c>
    </row>
    <row r="3866" spans="1:21" ht="0" hidden="1" customHeight="1" outlineLevel="3">
      <c r="A3866" s="253" t="s">
        <v>4737</v>
      </c>
      <c r="B3866" s="253"/>
      <c r="C3866" s="202" t="s">
        <v>1609</v>
      </c>
      <c r="D3866" s="212">
        <f>'02 项目基础信息（输入）'!$C$90</f>
        <v>0</v>
      </c>
      <c r="E3866" s="204" t="s">
        <v>93</v>
      </c>
      <c r="F3866" s="256"/>
      <c r="G3866" s="255"/>
      <c r="H3866" s="255"/>
      <c r="I3866" s="212"/>
      <c r="J3866" s="255"/>
      <c r="K3866" s="264"/>
      <c r="L3866" s="205"/>
      <c r="M3866" s="198">
        <f>SUM(M3867:M3868)</f>
        <v>0</v>
      </c>
      <c r="N3866" s="212">
        <f>'02 项目基础信息（输入）'!$C$90</f>
        <v>0</v>
      </c>
      <c r="O3866" s="203">
        <f t="shared" si="447"/>
        <v>0</v>
      </c>
      <c r="P3866" s="203">
        <f t="shared" si="449"/>
        <v>0</v>
      </c>
      <c r="Q3866" s="271">
        <f t="shared" si="448"/>
        <v>0</v>
      </c>
      <c r="S3866" s="280"/>
      <c r="T3866" s="222"/>
      <c r="U3866" s="223" t="s">
        <v>6103</v>
      </c>
    </row>
    <row r="3867" spans="1:21" ht="0" hidden="1" customHeight="1" outlineLevel="4">
      <c r="A3867" s="253" t="s">
        <v>4739</v>
      </c>
      <c r="B3867" s="253"/>
      <c r="C3867" s="202" t="s">
        <v>1609</v>
      </c>
      <c r="D3867" s="212">
        <f>'02 项目基础信息（输入）'!$C$90</f>
        <v>0</v>
      </c>
      <c r="E3867" s="255" t="s">
        <v>93</v>
      </c>
      <c r="F3867" s="256" t="s">
        <v>4740</v>
      </c>
      <c r="G3867" s="205">
        <f>IFERROR(I3867/D3867,0)</f>
        <v>0</v>
      </c>
      <c r="H3867" s="255" t="s">
        <v>298</v>
      </c>
      <c r="I3867" s="285"/>
      <c r="J3867" s="255" t="s">
        <v>93</v>
      </c>
      <c r="K3867" s="349"/>
      <c r="L3867" s="205" t="s">
        <v>675</v>
      </c>
      <c r="M3867" s="198">
        <f>ROUND(I3867*K3867/10000,6)</f>
        <v>0</v>
      </c>
      <c r="N3867" s="212">
        <f>'02 项目基础信息（输入）'!$C$90</f>
        <v>0</v>
      </c>
      <c r="O3867" s="203">
        <f t="shared" si="447"/>
        <v>0</v>
      </c>
      <c r="P3867" s="203">
        <f t="shared" si="449"/>
        <v>0</v>
      </c>
      <c r="Q3867" s="271">
        <f t="shared" si="448"/>
        <v>0</v>
      </c>
      <c r="S3867" s="280"/>
      <c r="T3867" s="222"/>
      <c r="U3867" s="223" t="s">
        <v>6104</v>
      </c>
    </row>
    <row r="3868" spans="1:21" ht="0" hidden="1" customHeight="1" outlineLevel="4">
      <c r="A3868" s="253" t="s">
        <v>4742</v>
      </c>
      <c r="B3868" s="253"/>
      <c r="C3868" s="202" t="s">
        <v>1609</v>
      </c>
      <c r="D3868" s="212">
        <f>'02 项目基础信息（输入）'!$C$90</f>
        <v>0</v>
      </c>
      <c r="E3868" s="255" t="s">
        <v>93</v>
      </c>
      <c r="F3868" s="256" t="s">
        <v>4740</v>
      </c>
      <c r="G3868" s="205">
        <f>IFERROR(I3868/D3868,0)</f>
        <v>0</v>
      </c>
      <c r="H3868" s="255" t="s">
        <v>298</v>
      </c>
      <c r="I3868" s="285"/>
      <c r="J3868" s="255" t="s">
        <v>93</v>
      </c>
      <c r="K3868" s="349"/>
      <c r="L3868" s="205" t="s">
        <v>675</v>
      </c>
      <c r="M3868" s="198">
        <f>ROUND(I3868*K3868/10000,6)</f>
        <v>0</v>
      </c>
      <c r="N3868" s="212">
        <f>'02 项目基础信息（输入）'!$C$90</f>
        <v>0</v>
      </c>
      <c r="O3868" s="203">
        <f t="shared" si="447"/>
        <v>0</v>
      </c>
      <c r="P3868" s="203">
        <f t="shared" si="449"/>
        <v>0</v>
      </c>
      <c r="Q3868" s="271">
        <f t="shared" si="448"/>
        <v>0</v>
      </c>
      <c r="S3868" s="280"/>
      <c r="T3868" s="222"/>
      <c r="U3868" s="223" t="s">
        <v>6105</v>
      </c>
    </row>
    <row r="3869" spans="1:21" ht="0" hidden="1" customHeight="1" outlineLevel="3">
      <c r="A3869" s="253" t="s">
        <v>4744</v>
      </c>
      <c r="B3869" s="253"/>
      <c r="C3869" s="202" t="s">
        <v>1609</v>
      </c>
      <c r="D3869" s="212">
        <f>'02 项目基础信息（输入）'!$C$90</f>
        <v>0</v>
      </c>
      <c r="E3869" s="204" t="s">
        <v>93</v>
      </c>
      <c r="F3869" s="202" t="s">
        <v>1609</v>
      </c>
      <c r="G3869" s="204">
        <v>1</v>
      </c>
      <c r="H3869" s="204" t="s">
        <v>298</v>
      </c>
      <c r="I3869" s="265">
        <f t="shared" ref="I3869:I3874" si="452">D3869*G3869</f>
        <v>0</v>
      </c>
      <c r="J3869" s="204" t="s">
        <v>93</v>
      </c>
      <c r="K3869" s="214"/>
      <c r="L3869" s="210" t="s">
        <v>675</v>
      </c>
      <c r="M3869" s="198">
        <f t="shared" ref="M3869:M3874" si="453">ROUND(K3869*I3869/10000,6)</f>
        <v>0</v>
      </c>
      <c r="N3869" s="212">
        <f>'02 项目基础信息（输入）'!$C$90</f>
        <v>0</v>
      </c>
      <c r="O3869" s="203">
        <f t="shared" si="447"/>
        <v>0</v>
      </c>
      <c r="P3869" s="203">
        <f t="shared" si="449"/>
        <v>0</v>
      </c>
      <c r="Q3869" s="271">
        <f t="shared" si="448"/>
        <v>0</v>
      </c>
      <c r="S3869" s="280"/>
      <c r="T3869" s="222"/>
      <c r="U3869" s="223" t="s">
        <v>6106</v>
      </c>
    </row>
    <row r="3870" spans="1:21" ht="0" hidden="1" customHeight="1" outlineLevel="3">
      <c r="A3870" s="253" t="s">
        <v>5066</v>
      </c>
      <c r="B3870" s="253"/>
      <c r="C3870" s="202" t="s">
        <v>1609</v>
      </c>
      <c r="D3870" s="212">
        <f>'02 项目基础信息（输入）'!$C$90</f>
        <v>0</v>
      </c>
      <c r="E3870" s="204" t="s">
        <v>93</v>
      </c>
      <c r="F3870" s="202" t="s">
        <v>1609</v>
      </c>
      <c r="G3870" s="204">
        <v>1</v>
      </c>
      <c r="H3870" s="204" t="s">
        <v>298</v>
      </c>
      <c r="I3870" s="265">
        <f t="shared" si="452"/>
        <v>0</v>
      </c>
      <c r="J3870" s="204" t="s">
        <v>93</v>
      </c>
      <c r="K3870" s="214"/>
      <c r="L3870" s="210" t="s">
        <v>675</v>
      </c>
      <c r="M3870" s="198">
        <f t="shared" si="453"/>
        <v>0</v>
      </c>
      <c r="N3870" s="212">
        <f>'02 项目基础信息（输入）'!$C$90</f>
        <v>0</v>
      </c>
      <c r="O3870" s="203">
        <f t="shared" si="447"/>
        <v>0</v>
      </c>
      <c r="P3870" s="203">
        <f t="shared" si="449"/>
        <v>0</v>
      </c>
      <c r="Q3870" s="271">
        <f t="shared" si="448"/>
        <v>0</v>
      </c>
      <c r="S3870" s="280"/>
      <c r="T3870" s="222"/>
      <c r="U3870" s="223" t="s">
        <v>6107</v>
      </c>
    </row>
    <row r="3871" spans="1:21" ht="0" hidden="1" customHeight="1" outlineLevel="3">
      <c r="A3871" s="253" t="s">
        <v>5068</v>
      </c>
      <c r="B3871" s="253"/>
      <c r="C3871" s="202" t="s">
        <v>1609</v>
      </c>
      <c r="D3871" s="212">
        <f>'02 项目基础信息（输入）'!$C$90</f>
        <v>0</v>
      </c>
      <c r="E3871" s="204" t="s">
        <v>93</v>
      </c>
      <c r="F3871" s="202" t="s">
        <v>1609</v>
      </c>
      <c r="G3871" s="204">
        <v>1</v>
      </c>
      <c r="H3871" s="204" t="s">
        <v>298</v>
      </c>
      <c r="I3871" s="265">
        <f t="shared" si="452"/>
        <v>0</v>
      </c>
      <c r="J3871" s="204" t="s">
        <v>93</v>
      </c>
      <c r="K3871" s="214"/>
      <c r="L3871" s="210" t="s">
        <v>675</v>
      </c>
      <c r="M3871" s="198">
        <f t="shared" si="453"/>
        <v>0</v>
      </c>
      <c r="N3871" s="212">
        <f>'02 项目基础信息（输入）'!$C$90</f>
        <v>0</v>
      </c>
      <c r="O3871" s="203">
        <f t="shared" si="447"/>
        <v>0</v>
      </c>
      <c r="P3871" s="203">
        <f t="shared" si="449"/>
        <v>0</v>
      </c>
      <c r="Q3871" s="271">
        <f t="shared" si="448"/>
        <v>0</v>
      </c>
      <c r="S3871" s="280"/>
      <c r="T3871" s="222"/>
      <c r="U3871" s="223" t="s">
        <v>6108</v>
      </c>
    </row>
    <row r="3872" spans="1:21" ht="0" hidden="1" customHeight="1" outlineLevel="3">
      <c r="A3872" s="253" t="s">
        <v>4750</v>
      </c>
      <c r="B3872" s="253"/>
      <c r="C3872" s="202" t="s">
        <v>1609</v>
      </c>
      <c r="D3872" s="212">
        <f>'02 项目基础信息（输入）'!$C$90</f>
        <v>0</v>
      </c>
      <c r="E3872" s="204" t="s">
        <v>93</v>
      </c>
      <c r="F3872" s="202" t="s">
        <v>1609</v>
      </c>
      <c r="G3872" s="204">
        <v>1</v>
      </c>
      <c r="H3872" s="204" t="s">
        <v>298</v>
      </c>
      <c r="I3872" s="265">
        <f t="shared" si="452"/>
        <v>0</v>
      </c>
      <c r="J3872" s="204" t="s">
        <v>93</v>
      </c>
      <c r="K3872" s="214"/>
      <c r="L3872" s="210" t="s">
        <v>675</v>
      </c>
      <c r="M3872" s="198">
        <f t="shared" si="453"/>
        <v>0</v>
      </c>
      <c r="N3872" s="212">
        <f>'02 项目基础信息（输入）'!$C$90</f>
        <v>0</v>
      </c>
      <c r="O3872" s="203">
        <f t="shared" si="447"/>
        <v>0</v>
      </c>
      <c r="P3872" s="203">
        <f t="shared" si="449"/>
        <v>0</v>
      </c>
      <c r="Q3872" s="271">
        <f t="shared" si="448"/>
        <v>0</v>
      </c>
      <c r="S3872" s="280"/>
      <c r="T3872" s="222"/>
      <c r="U3872" s="223" t="s">
        <v>6109</v>
      </c>
    </row>
    <row r="3873" spans="1:21" ht="0" hidden="1" customHeight="1" outlineLevel="3">
      <c r="A3873" s="253" t="s">
        <v>5071</v>
      </c>
      <c r="B3873" s="253"/>
      <c r="C3873" s="202" t="s">
        <v>1609</v>
      </c>
      <c r="D3873" s="212">
        <f>'02 项目基础信息（输入）'!$C$90</f>
        <v>0</v>
      </c>
      <c r="E3873" s="204" t="s">
        <v>93</v>
      </c>
      <c r="F3873" s="202" t="s">
        <v>1609</v>
      </c>
      <c r="G3873" s="204">
        <v>1</v>
      </c>
      <c r="H3873" s="204" t="s">
        <v>298</v>
      </c>
      <c r="I3873" s="265">
        <f t="shared" si="452"/>
        <v>0</v>
      </c>
      <c r="J3873" s="204" t="s">
        <v>93</v>
      </c>
      <c r="K3873" s="214"/>
      <c r="L3873" s="210" t="s">
        <v>675</v>
      </c>
      <c r="M3873" s="198">
        <f t="shared" si="453"/>
        <v>0</v>
      </c>
      <c r="N3873" s="212">
        <f>'02 项目基础信息（输入）'!$C$90</f>
        <v>0</v>
      </c>
      <c r="O3873" s="203">
        <f t="shared" si="447"/>
        <v>0</v>
      </c>
      <c r="P3873" s="203">
        <f t="shared" si="449"/>
        <v>0</v>
      </c>
      <c r="Q3873" s="271">
        <f t="shared" si="448"/>
        <v>0</v>
      </c>
      <c r="S3873" s="280"/>
      <c r="T3873" s="222"/>
      <c r="U3873" s="223" t="s">
        <v>6110</v>
      </c>
    </row>
    <row r="3874" spans="1:21" ht="0" hidden="1" customHeight="1" outlineLevel="3">
      <c r="A3874" s="253" t="s">
        <v>4752</v>
      </c>
      <c r="B3874" s="253"/>
      <c r="C3874" s="202" t="s">
        <v>1609</v>
      </c>
      <c r="D3874" s="212">
        <f>'02 项目基础信息（输入）'!$C$90</f>
        <v>0</v>
      </c>
      <c r="E3874" s="204" t="s">
        <v>93</v>
      </c>
      <c r="F3874" s="202" t="s">
        <v>1609</v>
      </c>
      <c r="G3874" s="204">
        <v>1</v>
      </c>
      <c r="H3874" s="204" t="s">
        <v>298</v>
      </c>
      <c r="I3874" s="265">
        <f t="shared" si="452"/>
        <v>0</v>
      </c>
      <c r="J3874" s="204" t="s">
        <v>93</v>
      </c>
      <c r="K3874" s="214"/>
      <c r="L3874" s="210" t="s">
        <v>675</v>
      </c>
      <c r="M3874" s="198">
        <f t="shared" si="453"/>
        <v>0</v>
      </c>
      <c r="N3874" s="212">
        <f>'02 项目基础信息（输入）'!$C$90</f>
        <v>0</v>
      </c>
      <c r="O3874" s="203">
        <f t="shared" si="447"/>
        <v>0</v>
      </c>
      <c r="P3874" s="203">
        <f t="shared" si="449"/>
        <v>0</v>
      </c>
      <c r="Q3874" s="271">
        <f t="shared" si="448"/>
        <v>0</v>
      </c>
      <c r="S3874" s="280"/>
      <c r="T3874" s="222"/>
      <c r="U3874" s="223" t="s">
        <v>6111</v>
      </c>
    </row>
    <row r="3875" spans="1:21" ht="0" hidden="1" customHeight="1" outlineLevel="3">
      <c r="A3875" s="253" t="s">
        <v>4754</v>
      </c>
      <c r="B3875" s="253"/>
      <c r="C3875" s="202" t="s">
        <v>1609</v>
      </c>
      <c r="D3875" s="212">
        <f>'02 项目基础信息（输入）'!$C$90</f>
        <v>0</v>
      </c>
      <c r="E3875" s="204" t="s">
        <v>93</v>
      </c>
      <c r="F3875" s="256"/>
      <c r="G3875" s="255"/>
      <c r="H3875" s="255"/>
      <c r="I3875" s="268"/>
      <c r="J3875" s="255"/>
      <c r="K3875" s="264"/>
      <c r="L3875" s="205"/>
      <c r="M3875" s="198">
        <f>SUM(M3876:M3878)</f>
        <v>0</v>
      </c>
      <c r="N3875" s="212">
        <f>'02 项目基础信息（输入）'!$C$90</f>
        <v>0</v>
      </c>
      <c r="O3875" s="203">
        <f t="shared" si="447"/>
        <v>0</v>
      </c>
      <c r="P3875" s="203">
        <f t="shared" si="449"/>
        <v>0</v>
      </c>
      <c r="Q3875" s="271">
        <f t="shared" si="448"/>
        <v>0</v>
      </c>
      <c r="S3875" s="280"/>
      <c r="T3875" s="222"/>
      <c r="U3875" s="223" t="s">
        <v>6112</v>
      </c>
    </row>
    <row r="3876" spans="1:21" ht="0" hidden="1" customHeight="1" outlineLevel="4">
      <c r="A3876" s="253" t="s">
        <v>4756</v>
      </c>
      <c r="B3876" s="253"/>
      <c r="C3876" s="202" t="s">
        <v>1609</v>
      </c>
      <c r="D3876" s="212">
        <f>'02 项目基础信息（输入）'!$C$90</f>
        <v>0</v>
      </c>
      <c r="E3876" s="204" t="s">
        <v>93</v>
      </c>
      <c r="F3876" s="202" t="s">
        <v>1609</v>
      </c>
      <c r="G3876" s="204">
        <v>1</v>
      </c>
      <c r="H3876" s="204" t="s">
        <v>298</v>
      </c>
      <c r="I3876" s="265">
        <f>D3876*G3876</f>
        <v>0</v>
      </c>
      <c r="J3876" s="204" t="s">
        <v>93</v>
      </c>
      <c r="K3876" s="214"/>
      <c r="L3876" s="210" t="s">
        <v>675</v>
      </c>
      <c r="M3876" s="198">
        <f>ROUND(K3876*I3876/10000,6)</f>
        <v>0</v>
      </c>
      <c r="N3876" s="212">
        <f>'02 项目基础信息（输入）'!$C$90</f>
        <v>0</v>
      </c>
      <c r="O3876" s="203">
        <f t="shared" si="447"/>
        <v>0</v>
      </c>
      <c r="P3876" s="203">
        <f t="shared" si="449"/>
        <v>0</v>
      </c>
      <c r="Q3876" s="271">
        <f t="shared" si="448"/>
        <v>0</v>
      </c>
      <c r="S3876" s="280"/>
      <c r="T3876" s="222"/>
      <c r="U3876" s="223" t="s">
        <v>6113</v>
      </c>
    </row>
    <row r="3877" spans="1:21" ht="0" hidden="1" customHeight="1" outlineLevel="4">
      <c r="A3877" s="253" t="s">
        <v>4758</v>
      </c>
      <c r="B3877" s="253"/>
      <c r="C3877" s="202" t="s">
        <v>1609</v>
      </c>
      <c r="D3877" s="212">
        <f>'02 项目基础信息（输入）'!$C$90</f>
        <v>0</v>
      </c>
      <c r="E3877" s="204" t="s">
        <v>93</v>
      </c>
      <c r="F3877" s="202" t="s">
        <v>1609</v>
      </c>
      <c r="G3877" s="204">
        <v>1</v>
      </c>
      <c r="H3877" s="204" t="s">
        <v>298</v>
      </c>
      <c r="I3877" s="265">
        <f>D3877*G3877</f>
        <v>0</v>
      </c>
      <c r="J3877" s="204" t="s">
        <v>93</v>
      </c>
      <c r="K3877" s="214"/>
      <c r="L3877" s="210" t="s">
        <v>675</v>
      </c>
      <c r="M3877" s="198">
        <f>ROUND(K3877*I3877/10000,6)</f>
        <v>0</v>
      </c>
      <c r="N3877" s="212">
        <f>'02 项目基础信息（输入）'!$C$90</f>
        <v>0</v>
      </c>
      <c r="O3877" s="203">
        <f t="shared" si="447"/>
        <v>0</v>
      </c>
      <c r="P3877" s="203">
        <f t="shared" si="449"/>
        <v>0</v>
      </c>
      <c r="Q3877" s="271">
        <f t="shared" si="448"/>
        <v>0</v>
      </c>
      <c r="S3877" s="280"/>
      <c r="T3877" s="222"/>
      <c r="U3877" s="223" t="s">
        <v>6114</v>
      </c>
    </row>
    <row r="3878" spans="1:21" ht="0" hidden="1" customHeight="1" outlineLevel="4">
      <c r="A3878" s="253" t="s">
        <v>4760</v>
      </c>
      <c r="B3878" s="253"/>
      <c r="C3878" s="202" t="s">
        <v>1609</v>
      </c>
      <c r="D3878" s="212">
        <f>'02 项目基础信息（输入）'!$C$90</f>
        <v>0</v>
      </c>
      <c r="E3878" s="204" t="s">
        <v>93</v>
      </c>
      <c r="F3878" s="202" t="s">
        <v>1609</v>
      </c>
      <c r="G3878" s="204">
        <v>1</v>
      </c>
      <c r="H3878" s="204" t="s">
        <v>298</v>
      </c>
      <c r="I3878" s="265">
        <f>D3878*G3878</f>
        <v>0</v>
      </c>
      <c r="J3878" s="204" t="s">
        <v>93</v>
      </c>
      <c r="K3878" s="214"/>
      <c r="L3878" s="210" t="s">
        <v>675</v>
      </c>
      <c r="M3878" s="198">
        <f>ROUND(K3878*I3878/10000,6)</f>
        <v>0</v>
      </c>
      <c r="N3878" s="212">
        <f>'02 项目基础信息（输入）'!$C$90</f>
        <v>0</v>
      </c>
      <c r="O3878" s="203">
        <f t="shared" si="447"/>
        <v>0</v>
      </c>
      <c r="P3878" s="203">
        <f t="shared" si="449"/>
        <v>0</v>
      </c>
      <c r="Q3878" s="271">
        <f t="shared" si="448"/>
        <v>0</v>
      </c>
      <c r="S3878" s="280"/>
      <c r="T3878" s="222"/>
      <c r="U3878" s="223" t="s">
        <v>6115</v>
      </c>
    </row>
    <row r="3879" spans="1:21" ht="0" hidden="1" customHeight="1" outlineLevel="3">
      <c r="A3879" s="253" t="s">
        <v>4762</v>
      </c>
      <c r="B3879" s="253"/>
      <c r="C3879" s="202" t="s">
        <v>1609</v>
      </c>
      <c r="D3879" s="212">
        <f>'02 项目基础信息（输入）'!$C$90</f>
        <v>0</v>
      </c>
      <c r="E3879" s="204" t="s">
        <v>93</v>
      </c>
      <c r="F3879" s="202" t="s">
        <v>1609</v>
      </c>
      <c r="G3879" s="204">
        <v>1</v>
      </c>
      <c r="H3879" s="204" t="s">
        <v>298</v>
      </c>
      <c r="I3879" s="265">
        <f>D3879*G3879</f>
        <v>0</v>
      </c>
      <c r="J3879" s="204" t="s">
        <v>93</v>
      </c>
      <c r="K3879" s="214"/>
      <c r="L3879" s="210" t="s">
        <v>675</v>
      </c>
      <c r="M3879" s="198">
        <f>ROUND(K3879*I3879/10000,6)</f>
        <v>0</v>
      </c>
      <c r="N3879" s="212">
        <f>'02 项目基础信息（输入）'!$C$90</f>
        <v>0</v>
      </c>
      <c r="O3879" s="203">
        <f t="shared" si="447"/>
        <v>0</v>
      </c>
      <c r="P3879" s="203">
        <f t="shared" si="449"/>
        <v>0</v>
      </c>
      <c r="Q3879" s="271">
        <f t="shared" si="448"/>
        <v>0</v>
      </c>
      <c r="S3879" s="280"/>
      <c r="T3879" s="222"/>
      <c r="U3879" s="223" t="s">
        <v>6116</v>
      </c>
    </row>
    <row r="3880" spans="1:21" ht="0" hidden="1" customHeight="1" outlineLevel="3">
      <c r="A3880" s="253" t="s">
        <v>4371</v>
      </c>
      <c r="B3880" s="253"/>
      <c r="C3880" s="202" t="s">
        <v>1609</v>
      </c>
      <c r="D3880" s="212">
        <f>'02 项目基础信息（输入）'!$C$90</f>
        <v>0</v>
      </c>
      <c r="E3880" s="204" t="s">
        <v>93</v>
      </c>
      <c r="F3880" s="202" t="s">
        <v>1609</v>
      </c>
      <c r="G3880" s="204">
        <v>1</v>
      </c>
      <c r="H3880" s="204" t="s">
        <v>298</v>
      </c>
      <c r="I3880" s="265">
        <f>D3880*G3880</f>
        <v>0</v>
      </c>
      <c r="J3880" s="204" t="s">
        <v>93</v>
      </c>
      <c r="K3880" s="214"/>
      <c r="L3880" s="210" t="s">
        <v>675</v>
      </c>
      <c r="M3880" s="198">
        <f>ROUND(K3880*I3880/10000,6)</f>
        <v>0</v>
      </c>
      <c r="N3880" s="212">
        <f>'02 项目基础信息（输入）'!$C$90</f>
        <v>0</v>
      </c>
      <c r="O3880" s="203">
        <f t="shared" si="447"/>
        <v>0</v>
      </c>
      <c r="P3880" s="203">
        <f t="shared" si="449"/>
        <v>0</v>
      </c>
      <c r="Q3880" s="271">
        <f t="shared" si="448"/>
        <v>0</v>
      </c>
      <c r="S3880" s="280"/>
      <c r="T3880" s="222"/>
      <c r="U3880" s="223" t="s">
        <v>6117</v>
      </c>
    </row>
    <row r="3881" spans="1:21" ht="0" hidden="1" customHeight="1" outlineLevel="2">
      <c r="A3881" s="201" t="s">
        <v>4765</v>
      </c>
      <c r="B3881" s="201"/>
      <c r="C3881" s="202" t="s">
        <v>1609</v>
      </c>
      <c r="D3881" s="212">
        <f>'02 项目基础信息（输入）'!$C$90</f>
        <v>0</v>
      </c>
      <c r="E3881" s="204" t="s">
        <v>93</v>
      </c>
      <c r="F3881" s="256"/>
      <c r="G3881" s="255"/>
      <c r="H3881" s="255"/>
      <c r="I3881" s="212"/>
      <c r="J3881" s="255"/>
      <c r="K3881" s="264"/>
      <c r="L3881" s="205"/>
      <c r="M3881" s="198">
        <f>ROUND(SUM(M3882:M3885),6)</f>
        <v>0</v>
      </c>
      <c r="N3881" s="212">
        <f>'02 项目基础信息（输入）'!$C$90</f>
        <v>0</v>
      </c>
      <c r="O3881" s="203">
        <f t="shared" si="447"/>
        <v>0</v>
      </c>
      <c r="P3881" s="203">
        <f t="shared" si="449"/>
        <v>0</v>
      </c>
      <c r="Q3881" s="271">
        <f t="shared" si="448"/>
        <v>0</v>
      </c>
      <c r="S3881" s="280" t="s">
        <v>1314</v>
      </c>
      <c r="T3881" s="222"/>
      <c r="U3881" s="223" t="s">
        <v>6118</v>
      </c>
    </row>
    <row r="3882" spans="1:21" ht="0" hidden="1" customHeight="1" outlineLevel="3">
      <c r="A3882" s="253" t="s">
        <v>5081</v>
      </c>
      <c r="B3882" s="253"/>
      <c r="C3882" s="202" t="s">
        <v>1609</v>
      </c>
      <c r="D3882" s="212">
        <f>'02 项目基础信息（输入）'!$C$90</f>
        <v>0</v>
      </c>
      <c r="E3882" s="255" t="s">
        <v>93</v>
      </c>
      <c r="F3882" s="288" t="s">
        <v>4768</v>
      </c>
      <c r="G3882" s="296">
        <f>'02 项目基础信息（输入）'!CC90</f>
        <v>0</v>
      </c>
      <c r="H3882" s="255" t="s">
        <v>298</v>
      </c>
      <c r="I3882" s="268">
        <f>D3882*G3882</f>
        <v>0</v>
      </c>
      <c r="J3882" s="255" t="s">
        <v>93</v>
      </c>
      <c r="K3882" s="349"/>
      <c r="L3882" s="205" t="s">
        <v>675</v>
      </c>
      <c r="M3882" s="198">
        <f>ROUND(I3882*K3882/10000,6)</f>
        <v>0</v>
      </c>
      <c r="N3882" s="212">
        <f>'02 项目基础信息（输入）'!$C$90</f>
        <v>0</v>
      </c>
      <c r="O3882" s="203">
        <f t="shared" si="447"/>
        <v>0</v>
      </c>
      <c r="P3882" s="203">
        <f t="shared" si="449"/>
        <v>0</v>
      </c>
      <c r="Q3882" s="271">
        <f t="shared" si="448"/>
        <v>0</v>
      </c>
      <c r="S3882" s="280"/>
      <c r="T3882" s="222"/>
      <c r="U3882" s="223" t="s">
        <v>6119</v>
      </c>
    </row>
    <row r="3883" spans="1:21" ht="0" hidden="1" customHeight="1" outlineLevel="3">
      <c r="A3883" s="253" t="s">
        <v>5083</v>
      </c>
      <c r="B3883" s="253"/>
      <c r="C3883" s="202" t="s">
        <v>1609</v>
      </c>
      <c r="D3883" s="212">
        <f>'02 项目基础信息（输入）'!$C$90</f>
        <v>0</v>
      </c>
      <c r="E3883" s="255" t="s">
        <v>93</v>
      </c>
      <c r="F3883" s="288" t="s">
        <v>4768</v>
      </c>
      <c r="G3883" s="205">
        <f>G3882</f>
        <v>0</v>
      </c>
      <c r="H3883" s="255" t="s">
        <v>298</v>
      </c>
      <c r="I3883" s="268">
        <f>D3883*G3883</f>
        <v>0</v>
      </c>
      <c r="J3883" s="255" t="s">
        <v>93</v>
      </c>
      <c r="K3883" s="349"/>
      <c r="L3883" s="205" t="s">
        <v>675</v>
      </c>
      <c r="M3883" s="198">
        <f>ROUND(I3883*K3883/10000,6)</f>
        <v>0</v>
      </c>
      <c r="N3883" s="212">
        <f>'02 项目基础信息（输入）'!$C$90</f>
        <v>0</v>
      </c>
      <c r="O3883" s="203">
        <f t="shared" si="447"/>
        <v>0</v>
      </c>
      <c r="P3883" s="203">
        <f t="shared" si="449"/>
        <v>0</v>
      </c>
      <c r="Q3883" s="271">
        <f t="shared" si="448"/>
        <v>0</v>
      </c>
      <c r="S3883" s="280"/>
      <c r="T3883" s="222"/>
      <c r="U3883" s="223" t="s">
        <v>6120</v>
      </c>
    </row>
    <row r="3884" spans="1:21" ht="0" hidden="1" customHeight="1" outlineLevel="3">
      <c r="A3884" s="253" t="s">
        <v>5085</v>
      </c>
      <c r="B3884" s="253"/>
      <c r="C3884" s="202" t="s">
        <v>1609</v>
      </c>
      <c r="D3884" s="212">
        <f>'02 项目基础信息（输入）'!$C$90</f>
        <v>0</v>
      </c>
      <c r="E3884" s="255" t="s">
        <v>93</v>
      </c>
      <c r="F3884" s="250" t="s">
        <v>4773</v>
      </c>
      <c r="G3884" s="205">
        <f>IFERROR(I3884/D3884,0)</f>
        <v>0</v>
      </c>
      <c r="H3884" s="255" t="s">
        <v>4385</v>
      </c>
      <c r="I3884" s="292"/>
      <c r="J3884" s="255" t="s">
        <v>400</v>
      </c>
      <c r="K3884" s="214"/>
      <c r="L3884" s="205" t="s">
        <v>1749</v>
      </c>
      <c r="M3884" s="198">
        <f>ROUND(I3884*K3884/10000,6)</f>
        <v>0</v>
      </c>
      <c r="N3884" s="212">
        <f>'02 项目基础信息（输入）'!$C$90</f>
        <v>0</v>
      </c>
      <c r="O3884" s="203">
        <f t="shared" si="447"/>
        <v>0</v>
      </c>
      <c r="P3884" s="203">
        <f t="shared" si="449"/>
        <v>0</v>
      </c>
      <c r="Q3884" s="271">
        <f t="shared" si="448"/>
        <v>0</v>
      </c>
      <c r="S3884" s="280"/>
      <c r="T3884" s="222"/>
      <c r="U3884" s="223" t="s">
        <v>6121</v>
      </c>
    </row>
    <row r="3885" spans="1:21" ht="0" hidden="1" customHeight="1" outlineLevel="3">
      <c r="A3885" s="253" t="s">
        <v>5087</v>
      </c>
      <c r="B3885" s="253"/>
      <c r="C3885" s="202" t="s">
        <v>1609</v>
      </c>
      <c r="D3885" s="212">
        <f>'02 项目基础信息（输入）'!$C$90</f>
        <v>0</v>
      </c>
      <c r="E3885" s="255" t="s">
        <v>93</v>
      </c>
      <c r="F3885" s="256" t="s">
        <v>4740</v>
      </c>
      <c r="G3885" s="205">
        <f>IFERROR(I3885/D3885,0)</f>
        <v>0</v>
      </c>
      <c r="H3885" s="255" t="s">
        <v>298</v>
      </c>
      <c r="I3885" s="292"/>
      <c r="J3885" s="255" t="s">
        <v>93</v>
      </c>
      <c r="K3885" s="214"/>
      <c r="L3885" s="205" t="s">
        <v>675</v>
      </c>
      <c r="M3885" s="198">
        <f>ROUND(I3885*K3885/10000,6)</f>
        <v>0</v>
      </c>
      <c r="N3885" s="212">
        <f>'02 项目基础信息（输入）'!$C$90</f>
        <v>0</v>
      </c>
      <c r="O3885" s="203">
        <f t="shared" si="447"/>
        <v>0</v>
      </c>
      <c r="P3885" s="203">
        <f t="shared" si="449"/>
        <v>0</v>
      </c>
      <c r="Q3885" s="271">
        <f t="shared" si="448"/>
        <v>0</v>
      </c>
      <c r="S3885" s="280"/>
      <c r="T3885" s="222"/>
      <c r="U3885" s="223" t="s">
        <v>6122</v>
      </c>
    </row>
    <row r="3886" spans="1:21" ht="0" hidden="1" customHeight="1" outlineLevel="2">
      <c r="A3886" s="201" t="s">
        <v>4377</v>
      </c>
      <c r="B3886" s="201"/>
      <c r="C3886" s="202" t="s">
        <v>1609</v>
      </c>
      <c r="D3886" s="212">
        <f>'02 项目基础信息（输入）'!$C$90</f>
        <v>0</v>
      </c>
      <c r="E3886" s="204" t="s">
        <v>93</v>
      </c>
      <c r="F3886" s="202"/>
      <c r="G3886" s="204"/>
      <c r="H3886" s="204"/>
      <c r="I3886" s="268"/>
      <c r="J3886" s="204"/>
      <c r="K3886" s="264"/>
      <c r="L3886" s="210"/>
      <c r="M3886" s="198">
        <f>ROUND(SUM(M3887),6)</f>
        <v>0</v>
      </c>
      <c r="N3886" s="212">
        <f>'02 项目基础信息（输入）'!$C$90</f>
        <v>0</v>
      </c>
      <c r="O3886" s="203">
        <f t="shared" si="447"/>
        <v>0</v>
      </c>
      <c r="P3886" s="203">
        <f t="shared" si="449"/>
        <v>0</v>
      </c>
      <c r="Q3886" s="271">
        <f t="shared" si="448"/>
        <v>0</v>
      </c>
      <c r="S3886" s="280" t="s">
        <v>1314</v>
      </c>
      <c r="T3886" s="222"/>
      <c r="U3886" s="223" t="s">
        <v>6123</v>
      </c>
    </row>
    <row r="3887" spans="1:21" ht="0" hidden="1" customHeight="1" outlineLevel="3">
      <c r="A3887" s="253" t="s">
        <v>4379</v>
      </c>
      <c r="B3887" s="253"/>
      <c r="C3887" s="202" t="s">
        <v>1609</v>
      </c>
      <c r="D3887" s="212">
        <f>'02 项目基础信息（输入）'!$C$90</f>
        <v>0</v>
      </c>
      <c r="E3887" s="204" t="s">
        <v>93</v>
      </c>
      <c r="F3887" s="202" t="s">
        <v>1609</v>
      </c>
      <c r="G3887" s="204">
        <v>1</v>
      </c>
      <c r="H3887" s="204" t="s">
        <v>298</v>
      </c>
      <c r="I3887" s="268">
        <f>G3887*D3887</f>
        <v>0</v>
      </c>
      <c r="J3887" s="204" t="s">
        <v>93</v>
      </c>
      <c r="K3887" s="269"/>
      <c r="L3887" s="210" t="s">
        <v>675</v>
      </c>
      <c r="M3887" s="198">
        <f>ROUND(K3887*I3887/10000,6)</f>
        <v>0</v>
      </c>
      <c r="N3887" s="212">
        <f>'02 项目基础信息（输入）'!$C$90</f>
        <v>0</v>
      </c>
      <c r="O3887" s="203">
        <f t="shared" si="447"/>
        <v>0</v>
      </c>
      <c r="P3887" s="203">
        <f t="shared" si="449"/>
        <v>0</v>
      </c>
      <c r="Q3887" s="271">
        <f t="shared" si="448"/>
        <v>0</v>
      </c>
      <c r="S3887" s="280"/>
      <c r="T3887" s="222"/>
      <c r="U3887" s="223" t="s">
        <v>6124</v>
      </c>
    </row>
    <row r="3888" spans="1:21" ht="0" hidden="1" customHeight="1" outlineLevel="2">
      <c r="A3888" s="201" t="s">
        <v>4381</v>
      </c>
      <c r="B3888" s="201"/>
      <c r="C3888" s="202" t="s">
        <v>1609</v>
      </c>
      <c r="D3888" s="212">
        <f>'02 项目基础信息（输入）'!$C$90</f>
        <v>0</v>
      </c>
      <c r="E3888" s="204" t="s">
        <v>93</v>
      </c>
      <c r="F3888" s="256"/>
      <c r="G3888" s="255"/>
      <c r="H3888" s="255"/>
      <c r="I3888" s="212"/>
      <c r="J3888" s="255"/>
      <c r="K3888" s="264"/>
      <c r="L3888" s="205"/>
      <c r="M3888" s="198">
        <f>ROUND(SUM(M3889:M3892),6)</f>
        <v>0</v>
      </c>
      <c r="N3888" s="212">
        <f>'02 项目基础信息（输入）'!$C$90</f>
        <v>0</v>
      </c>
      <c r="O3888" s="203">
        <f t="shared" si="447"/>
        <v>0</v>
      </c>
      <c r="P3888" s="203">
        <f t="shared" si="449"/>
        <v>0</v>
      </c>
      <c r="Q3888" s="271">
        <f t="shared" si="448"/>
        <v>0</v>
      </c>
      <c r="S3888" s="280" t="s">
        <v>1314</v>
      </c>
      <c r="T3888" s="222"/>
      <c r="U3888" s="223" t="s">
        <v>6125</v>
      </c>
    </row>
    <row r="3889" spans="1:21" ht="0" hidden="1" customHeight="1" outlineLevel="3">
      <c r="A3889" s="253" t="s">
        <v>4780</v>
      </c>
      <c r="B3889" s="253"/>
      <c r="C3889" s="202" t="s">
        <v>1609</v>
      </c>
      <c r="D3889" s="212">
        <f>'02 项目基础信息（输入）'!$C$90</f>
        <v>0</v>
      </c>
      <c r="E3889" s="204" t="s">
        <v>93</v>
      </c>
      <c r="F3889" s="250" t="s">
        <v>4781</v>
      </c>
      <c r="G3889" s="205">
        <f>IFERROR(I3889/D3889,0)</f>
        <v>0</v>
      </c>
      <c r="H3889" s="204" t="s">
        <v>4782</v>
      </c>
      <c r="I3889" s="213"/>
      <c r="J3889" s="204" t="s">
        <v>2198</v>
      </c>
      <c r="K3889" s="350"/>
      <c r="L3889" s="210" t="s">
        <v>841</v>
      </c>
      <c r="M3889" s="198">
        <f>ROUND(K3889*I3889/10000,6)</f>
        <v>0</v>
      </c>
      <c r="N3889" s="212">
        <f>'02 项目基础信息（输入）'!$C$90</f>
        <v>0</v>
      </c>
      <c r="O3889" s="203">
        <f t="shared" si="447"/>
        <v>0</v>
      </c>
      <c r="P3889" s="203">
        <f t="shared" si="449"/>
        <v>0</v>
      </c>
      <c r="Q3889" s="271">
        <f t="shared" si="448"/>
        <v>0</v>
      </c>
      <c r="S3889" s="280"/>
      <c r="T3889" s="222"/>
      <c r="U3889" s="223" t="s">
        <v>6126</v>
      </c>
    </row>
    <row r="3890" spans="1:21" ht="0" hidden="1" customHeight="1" outlineLevel="3">
      <c r="A3890" s="253" t="s">
        <v>4784</v>
      </c>
      <c r="B3890" s="253"/>
      <c r="C3890" s="202" t="s">
        <v>1609</v>
      </c>
      <c r="D3890" s="212">
        <f>'02 项目基础信息（输入）'!$C$90</f>
        <v>0</v>
      </c>
      <c r="E3890" s="204" t="s">
        <v>93</v>
      </c>
      <c r="F3890" s="250" t="s">
        <v>4781</v>
      </c>
      <c r="G3890" s="205">
        <f>IFERROR(I3890/D3890,0)</f>
        <v>0</v>
      </c>
      <c r="H3890" s="204" t="s">
        <v>4782</v>
      </c>
      <c r="I3890" s="213"/>
      <c r="J3890" s="204" t="s">
        <v>2198</v>
      </c>
      <c r="K3890" s="350"/>
      <c r="L3890" s="210" t="s">
        <v>841</v>
      </c>
      <c r="M3890" s="198">
        <f>ROUND(K3890*I3890/10000,6)</f>
        <v>0</v>
      </c>
      <c r="N3890" s="212">
        <f>'02 项目基础信息（输入）'!$C$90</f>
        <v>0</v>
      </c>
      <c r="O3890" s="203">
        <f t="shared" si="447"/>
        <v>0</v>
      </c>
      <c r="P3890" s="203">
        <f t="shared" si="449"/>
        <v>0</v>
      </c>
      <c r="Q3890" s="271">
        <f t="shared" si="448"/>
        <v>0</v>
      </c>
      <c r="S3890" s="280"/>
      <c r="T3890" s="222"/>
      <c r="U3890" s="223" t="s">
        <v>6127</v>
      </c>
    </row>
    <row r="3891" spans="1:21" ht="0" hidden="1" customHeight="1" outlineLevel="3">
      <c r="A3891" s="253" t="s">
        <v>5094</v>
      </c>
      <c r="B3891" s="253"/>
      <c r="C3891" s="202" t="s">
        <v>1609</v>
      </c>
      <c r="D3891" s="212">
        <f>'02 项目基础信息（输入）'!$C$90</f>
        <v>0</v>
      </c>
      <c r="E3891" s="204" t="s">
        <v>93</v>
      </c>
      <c r="F3891" s="202" t="s">
        <v>5095</v>
      </c>
      <c r="G3891" s="205">
        <f>IFERROR(I3891/D3891,0)</f>
        <v>0</v>
      </c>
      <c r="H3891" s="255" t="s">
        <v>298</v>
      </c>
      <c r="I3891" s="213"/>
      <c r="J3891" s="255" t="s">
        <v>93</v>
      </c>
      <c r="K3891" s="349"/>
      <c r="L3891" s="205" t="s">
        <v>675</v>
      </c>
      <c r="M3891" s="198">
        <f>ROUND(K3891*I3891/10000,6)</f>
        <v>0</v>
      </c>
      <c r="N3891" s="212">
        <f>'02 项目基础信息（输入）'!$C$90</f>
        <v>0</v>
      </c>
      <c r="O3891" s="203">
        <f t="shared" si="447"/>
        <v>0</v>
      </c>
      <c r="P3891" s="203">
        <f t="shared" si="449"/>
        <v>0</v>
      </c>
      <c r="Q3891" s="271">
        <f t="shared" si="448"/>
        <v>0</v>
      </c>
      <c r="S3891" s="280"/>
      <c r="T3891" s="222"/>
      <c r="U3891" s="223" t="s">
        <v>6128</v>
      </c>
    </row>
    <row r="3892" spans="1:21" ht="0" hidden="1" customHeight="1" outlineLevel="3">
      <c r="A3892" s="253" t="s">
        <v>4796</v>
      </c>
      <c r="B3892" s="253"/>
      <c r="C3892" s="202" t="s">
        <v>1609</v>
      </c>
      <c r="D3892" s="212">
        <f>'02 项目基础信息（输入）'!$C$90</f>
        <v>0</v>
      </c>
      <c r="E3892" s="204" t="s">
        <v>93</v>
      </c>
      <c r="F3892" s="202" t="s">
        <v>1609</v>
      </c>
      <c r="G3892" s="204">
        <v>1</v>
      </c>
      <c r="H3892" s="204" t="s">
        <v>298</v>
      </c>
      <c r="I3892" s="268">
        <f>G3892*D3892</f>
        <v>0</v>
      </c>
      <c r="J3892" s="204" t="s">
        <v>93</v>
      </c>
      <c r="K3892" s="214"/>
      <c r="L3892" s="210" t="s">
        <v>675</v>
      </c>
      <c r="M3892" s="198">
        <f>ROUND(K3892*I3892/10000,6)</f>
        <v>0</v>
      </c>
      <c r="N3892" s="212">
        <f>'02 项目基础信息（输入）'!$C$90</f>
        <v>0</v>
      </c>
      <c r="O3892" s="203">
        <f t="shared" si="447"/>
        <v>0</v>
      </c>
      <c r="P3892" s="203">
        <f t="shared" si="449"/>
        <v>0</v>
      </c>
      <c r="Q3892" s="271">
        <f t="shared" si="448"/>
        <v>0</v>
      </c>
      <c r="S3892" s="280"/>
      <c r="T3892" s="222"/>
      <c r="U3892" s="223" t="s">
        <v>6129</v>
      </c>
    </row>
    <row r="3893" spans="1:21" ht="0" hidden="1" customHeight="1" outlineLevel="1" collapsed="1">
      <c r="A3893" s="248" t="s">
        <v>645</v>
      </c>
      <c r="B3893" s="248"/>
      <c r="C3893" s="202" t="s">
        <v>1609</v>
      </c>
      <c r="D3893" s="203">
        <f>'02 项目基础信息（输入）'!$C$93</f>
        <v>0</v>
      </c>
      <c r="E3893" s="204" t="s">
        <v>93</v>
      </c>
      <c r="F3893" s="202"/>
      <c r="G3893" s="204"/>
      <c r="H3893" s="204"/>
      <c r="I3893" s="202"/>
      <c r="J3893" s="204"/>
      <c r="K3893" s="202"/>
      <c r="L3893" s="210"/>
      <c r="M3893" s="198">
        <f>ROUND(M3894+M3936+M3948+M3968+M4036+M4049+M4053+M4056+M4095+M4108+M4144+M4149+M4151+M4078,6)</f>
        <v>0</v>
      </c>
      <c r="N3893" s="212">
        <f>'02 项目基础信息（输入）'!$C$93</f>
        <v>0</v>
      </c>
      <c r="O3893" s="212">
        <f t="shared" si="447"/>
        <v>0</v>
      </c>
      <c r="P3893" s="212">
        <f>'02 项目基础信息（输入）'!$C$93</f>
        <v>0</v>
      </c>
      <c r="Q3893" s="271">
        <f t="shared" si="448"/>
        <v>0</v>
      </c>
      <c r="S3893" s="280"/>
      <c r="T3893" s="222"/>
      <c r="U3893" s="272" t="s">
        <v>6130</v>
      </c>
    </row>
    <row r="3894" spans="1:21" ht="0" hidden="1" customHeight="1" outlineLevel="2">
      <c r="A3894" s="201" t="s">
        <v>4168</v>
      </c>
      <c r="B3894" s="201"/>
      <c r="C3894" s="202" t="s">
        <v>1609</v>
      </c>
      <c r="D3894" s="203">
        <f>'02 项目基础信息（输入）'!$C$93</f>
        <v>0</v>
      </c>
      <c r="E3894" s="204" t="s">
        <v>93</v>
      </c>
      <c r="F3894" s="202"/>
      <c r="G3894" s="204"/>
      <c r="H3894" s="204"/>
      <c r="I3894" s="203"/>
      <c r="J3894" s="204"/>
      <c r="K3894" s="264"/>
      <c r="L3894" s="210"/>
      <c r="M3894" s="198">
        <f>ROUND(M3895+M3916+M3932,6)</f>
        <v>0</v>
      </c>
      <c r="N3894" s="212">
        <f>'02 项目基础信息（输入）'!$C$93</f>
        <v>0</v>
      </c>
      <c r="O3894" s="212">
        <f t="shared" si="447"/>
        <v>0</v>
      </c>
      <c r="P3894" s="212">
        <f>'02 项目基础信息（输入）'!$C$93</f>
        <v>0</v>
      </c>
      <c r="Q3894" s="271">
        <f t="shared" si="448"/>
        <v>0</v>
      </c>
      <c r="S3894" s="280" t="s">
        <v>1313</v>
      </c>
      <c r="T3894" s="222"/>
      <c r="U3894" s="272" t="s">
        <v>6131</v>
      </c>
    </row>
    <row r="3895" spans="1:21" s="181" customFormat="1" ht="0" hidden="1" customHeight="1" outlineLevel="3">
      <c r="A3895" s="201" t="s">
        <v>4170</v>
      </c>
      <c r="B3895" s="249"/>
      <c r="C3895" s="250" t="s">
        <v>1609</v>
      </c>
      <c r="D3895" s="203">
        <f>'02 项目基础信息（输入）'!$C$93</f>
        <v>0</v>
      </c>
      <c r="E3895" s="204" t="s">
        <v>93</v>
      </c>
      <c r="F3895" s="202"/>
      <c r="G3895" s="204"/>
      <c r="H3895" s="204"/>
      <c r="I3895" s="265"/>
      <c r="J3895" s="204"/>
      <c r="K3895" s="202"/>
      <c r="L3895" s="210"/>
      <c r="M3895" s="198">
        <f>ROUND(M3896+M3899+M3904+M3909+M3913+M3914+M3915,6)</f>
        <v>0</v>
      </c>
      <c r="N3895" s="212">
        <f>'02 项目基础信息（输入）'!$C$93</f>
        <v>0</v>
      </c>
      <c r="O3895" s="212">
        <f t="shared" si="447"/>
        <v>0</v>
      </c>
      <c r="P3895" s="212">
        <f>'02 项目基础信息（输入）'!$C$93</f>
        <v>0</v>
      </c>
      <c r="Q3895" s="271">
        <f t="shared" si="448"/>
        <v>0</v>
      </c>
      <c r="R3895" s="188"/>
      <c r="S3895" s="280"/>
      <c r="T3895" s="222"/>
      <c r="U3895" s="272" t="s">
        <v>6132</v>
      </c>
    </row>
    <row r="3896" spans="1:21" s="181" customFormat="1" ht="0" hidden="1" customHeight="1" outlineLevel="4">
      <c r="A3896" s="201" t="s">
        <v>4172</v>
      </c>
      <c r="B3896" s="249"/>
      <c r="C3896" s="250" t="s">
        <v>1609</v>
      </c>
      <c r="D3896" s="203">
        <f>'02 项目基础信息（输入）'!$C$93</f>
        <v>0</v>
      </c>
      <c r="E3896" s="204" t="s">
        <v>93</v>
      </c>
      <c r="F3896" s="202"/>
      <c r="G3896" s="251"/>
      <c r="H3896" s="204"/>
      <c r="I3896" s="265"/>
      <c r="J3896" s="204"/>
      <c r="K3896" s="266"/>
      <c r="L3896" s="210"/>
      <c r="M3896" s="198">
        <f>ROUND(SUM(M3897:M3898),6)</f>
        <v>0</v>
      </c>
      <c r="N3896" s="212">
        <f>'02 项目基础信息（输入）'!$C$93</f>
        <v>0</v>
      </c>
      <c r="O3896" s="212">
        <f t="shared" si="447"/>
        <v>0</v>
      </c>
      <c r="P3896" s="212">
        <f>'02 项目基础信息（输入）'!$C$93</f>
        <v>0</v>
      </c>
      <c r="Q3896" s="271">
        <f t="shared" si="448"/>
        <v>0</v>
      </c>
      <c r="R3896" s="188"/>
      <c r="S3896" s="280"/>
      <c r="T3896" s="222"/>
      <c r="U3896" s="272" t="s">
        <v>6133</v>
      </c>
    </row>
    <row r="3897" spans="1:21" s="181" customFormat="1" ht="0" hidden="1" customHeight="1" outlineLevel="5">
      <c r="A3897" s="253" t="s">
        <v>4802</v>
      </c>
      <c r="B3897" s="254"/>
      <c r="C3897" s="250" t="s">
        <v>1609</v>
      </c>
      <c r="D3897" s="203">
        <f>'02 项目基础信息（输入）'!$C$93</f>
        <v>0</v>
      </c>
      <c r="E3897" s="204" t="s">
        <v>93</v>
      </c>
      <c r="F3897" s="202" t="s">
        <v>1616</v>
      </c>
      <c r="G3897" s="297"/>
      <c r="H3897" s="204" t="s">
        <v>966</v>
      </c>
      <c r="I3897" s="265">
        <f>D3897*G3897</f>
        <v>0</v>
      </c>
      <c r="J3897" s="204" t="s">
        <v>1617</v>
      </c>
      <c r="K3897" s="214"/>
      <c r="L3897" s="210" t="s">
        <v>664</v>
      </c>
      <c r="M3897" s="198">
        <f>ROUND(K3897*I3897/10000,6)</f>
        <v>0</v>
      </c>
      <c r="N3897" s="212">
        <f>'02 项目基础信息（输入）'!$C$93</f>
        <v>0</v>
      </c>
      <c r="O3897" s="212">
        <f t="shared" si="447"/>
        <v>0</v>
      </c>
      <c r="P3897" s="212">
        <f>'02 项目基础信息（输入）'!$C$93</f>
        <v>0</v>
      </c>
      <c r="Q3897" s="271">
        <f t="shared" si="448"/>
        <v>0</v>
      </c>
      <c r="R3897" s="188"/>
      <c r="S3897" s="280"/>
      <c r="T3897" s="222"/>
      <c r="U3897" s="272" t="s">
        <v>6134</v>
      </c>
    </row>
    <row r="3898" spans="1:21" s="181" customFormat="1" ht="0" hidden="1" customHeight="1" outlineLevel="5">
      <c r="A3898" s="253" t="s">
        <v>4176</v>
      </c>
      <c r="B3898" s="254"/>
      <c r="C3898" s="250" t="s">
        <v>1609</v>
      </c>
      <c r="D3898" s="203">
        <f>'02 项目基础信息（输入）'!$C$93</f>
        <v>0</v>
      </c>
      <c r="E3898" s="204" t="s">
        <v>93</v>
      </c>
      <c r="F3898" s="202" t="s">
        <v>1616</v>
      </c>
      <c r="G3898" s="251">
        <f>G3897</f>
        <v>0</v>
      </c>
      <c r="H3898" s="204" t="s">
        <v>966</v>
      </c>
      <c r="I3898" s="265">
        <f>D3898*G3898</f>
        <v>0</v>
      </c>
      <c r="J3898" s="204" t="s">
        <v>1617</v>
      </c>
      <c r="K3898" s="214"/>
      <c r="L3898" s="210" t="s">
        <v>664</v>
      </c>
      <c r="M3898" s="198">
        <f>ROUND(K3898*I3898/10000,6)</f>
        <v>0</v>
      </c>
      <c r="N3898" s="212">
        <f>'02 项目基础信息（输入）'!$C$93</f>
        <v>0</v>
      </c>
      <c r="O3898" s="212">
        <f t="shared" si="447"/>
        <v>0</v>
      </c>
      <c r="P3898" s="212">
        <f>'02 项目基础信息（输入）'!$C$93</f>
        <v>0</v>
      </c>
      <c r="Q3898" s="271">
        <f t="shared" si="448"/>
        <v>0</v>
      </c>
      <c r="R3898" s="188"/>
      <c r="S3898" s="280"/>
      <c r="T3898" s="222"/>
      <c r="U3898" s="272" t="s">
        <v>6135</v>
      </c>
    </row>
    <row r="3899" spans="1:21" s="181" customFormat="1" ht="0" hidden="1" customHeight="1" outlineLevel="4">
      <c r="A3899" s="253" t="s">
        <v>4178</v>
      </c>
      <c r="B3899" s="254"/>
      <c r="C3899" s="250" t="s">
        <v>1609</v>
      </c>
      <c r="D3899" s="203">
        <f>'02 项目基础信息（输入）'!$C$93</f>
        <v>0</v>
      </c>
      <c r="E3899" s="204" t="s">
        <v>93</v>
      </c>
      <c r="F3899" s="202"/>
      <c r="G3899" s="251"/>
      <c r="H3899" s="255"/>
      <c r="I3899" s="265"/>
      <c r="J3899" s="204"/>
      <c r="K3899" s="264"/>
      <c r="L3899" s="210"/>
      <c r="M3899" s="198">
        <f>ROUND(SUM(M3900:M3903),6)</f>
        <v>0</v>
      </c>
      <c r="N3899" s="212">
        <f>'02 项目基础信息（输入）'!$C$93</f>
        <v>0</v>
      </c>
      <c r="O3899" s="212">
        <f t="shared" si="447"/>
        <v>0</v>
      </c>
      <c r="P3899" s="212">
        <f>'02 项目基础信息（输入）'!$C$93</f>
        <v>0</v>
      </c>
      <c r="Q3899" s="271">
        <f t="shared" si="448"/>
        <v>0</v>
      </c>
      <c r="R3899" s="188"/>
      <c r="S3899" s="280"/>
      <c r="T3899" s="222"/>
      <c r="U3899" s="272" t="s">
        <v>6136</v>
      </c>
    </row>
    <row r="3900" spans="1:21" s="181" customFormat="1" ht="0" hidden="1" customHeight="1" outlineLevel="5">
      <c r="A3900" s="253" t="s">
        <v>4180</v>
      </c>
      <c r="B3900" s="254"/>
      <c r="C3900" s="250" t="s">
        <v>1609</v>
      </c>
      <c r="D3900" s="203">
        <f>'02 项目基础信息（输入）'!$C$93</f>
        <v>0</v>
      </c>
      <c r="E3900" s="204" t="s">
        <v>93</v>
      </c>
      <c r="F3900" s="202" t="s">
        <v>4181</v>
      </c>
      <c r="G3900" s="297"/>
      <c r="H3900" s="204" t="s">
        <v>298</v>
      </c>
      <c r="I3900" s="265">
        <f>D3900*G3900</f>
        <v>0</v>
      </c>
      <c r="J3900" s="204" t="s">
        <v>93</v>
      </c>
      <c r="K3900" s="214"/>
      <c r="L3900" s="210" t="s">
        <v>675</v>
      </c>
      <c r="M3900" s="198">
        <f>ROUND(K3900*I3900/10000,6)</f>
        <v>0</v>
      </c>
      <c r="N3900" s="212">
        <f>'02 项目基础信息（输入）'!$C$93</f>
        <v>0</v>
      </c>
      <c r="O3900" s="212">
        <f t="shared" si="447"/>
        <v>0</v>
      </c>
      <c r="P3900" s="212">
        <f>'02 项目基础信息（输入）'!$C$93</f>
        <v>0</v>
      </c>
      <c r="Q3900" s="271">
        <f t="shared" si="448"/>
        <v>0</v>
      </c>
      <c r="R3900" s="188"/>
      <c r="S3900" s="280"/>
      <c r="T3900" s="222"/>
      <c r="U3900" s="272" t="s">
        <v>6137</v>
      </c>
    </row>
    <row r="3901" spans="1:21" s="181" customFormat="1" ht="0" hidden="1" customHeight="1" outlineLevel="5">
      <c r="A3901" s="253" t="s">
        <v>4402</v>
      </c>
      <c r="B3901" s="254"/>
      <c r="C3901" s="250" t="s">
        <v>1609</v>
      </c>
      <c r="D3901" s="203">
        <f>'02 项目基础信息（输入）'!$C$93</f>
        <v>0</v>
      </c>
      <c r="E3901" s="204" t="s">
        <v>93</v>
      </c>
      <c r="F3901" s="202" t="s">
        <v>4181</v>
      </c>
      <c r="G3901" s="251">
        <f>G3900</f>
        <v>0</v>
      </c>
      <c r="H3901" s="204" t="s">
        <v>298</v>
      </c>
      <c r="I3901" s="265">
        <f>D3901*G3901</f>
        <v>0</v>
      </c>
      <c r="J3901" s="204" t="s">
        <v>93</v>
      </c>
      <c r="K3901" s="269"/>
      <c r="L3901" s="210" t="s">
        <v>675</v>
      </c>
      <c r="M3901" s="198">
        <f>ROUND(K3901*I3901/10000,6)</f>
        <v>0</v>
      </c>
      <c r="N3901" s="212">
        <f>'02 项目基础信息（输入）'!$C$93</f>
        <v>0</v>
      </c>
      <c r="O3901" s="212">
        <f t="shared" si="447"/>
        <v>0</v>
      </c>
      <c r="P3901" s="212">
        <f>'02 项目基础信息（输入）'!$C$93</f>
        <v>0</v>
      </c>
      <c r="Q3901" s="271">
        <f t="shared" si="448"/>
        <v>0</v>
      </c>
      <c r="R3901" s="188"/>
      <c r="S3901" s="280"/>
      <c r="T3901" s="222"/>
      <c r="U3901" s="272" t="s">
        <v>6138</v>
      </c>
    </row>
    <row r="3902" spans="1:21" s="181" customFormat="1" ht="0" hidden="1" customHeight="1" outlineLevel="5">
      <c r="A3902" s="253" t="s">
        <v>4404</v>
      </c>
      <c r="B3902" s="254"/>
      <c r="C3902" s="250" t="s">
        <v>1609</v>
      </c>
      <c r="D3902" s="203">
        <f>'02 项目基础信息（输入）'!$C$93</f>
        <v>0</v>
      </c>
      <c r="E3902" s="204" t="s">
        <v>93</v>
      </c>
      <c r="F3902" s="202" t="s">
        <v>4181</v>
      </c>
      <c r="G3902" s="251">
        <f>G3901</f>
        <v>0</v>
      </c>
      <c r="H3902" s="204" t="s">
        <v>298</v>
      </c>
      <c r="I3902" s="265">
        <f>D3902*G3902</f>
        <v>0</v>
      </c>
      <c r="J3902" s="204" t="s">
        <v>93</v>
      </c>
      <c r="K3902" s="269"/>
      <c r="L3902" s="210" t="s">
        <v>675</v>
      </c>
      <c r="M3902" s="198">
        <f>ROUND(K3902*I3902/10000,6)</f>
        <v>0</v>
      </c>
      <c r="N3902" s="212">
        <f>'02 项目基础信息（输入）'!$C$93</f>
        <v>0</v>
      </c>
      <c r="O3902" s="212">
        <f t="shared" si="447"/>
        <v>0</v>
      </c>
      <c r="P3902" s="212">
        <f>'02 项目基础信息（输入）'!$C$93</f>
        <v>0</v>
      </c>
      <c r="Q3902" s="271">
        <f t="shared" si="448"/>
        <v>0</v>
      </c>
      <c r="R3902" s="188"/>
      <c r="S3902" s="280"/>
      <c r="T3902" s="222"/>
      <c r="U3902" s="272" t="s">
        <v>6139</v>
      </c>
    </row>
    <row r="3903" spans="1:21" s="181" customFormat="1" ht="0" hidden="1" customHeight="1" outlineLevel="5">
      <c r="A3903" s="253" t="s">
        <v>4406</v>
      </c>
      <c r="B3903" s="254"/>
      <c r="C3903" s="250" t="s">
        <v>1609</v>
      </c>
      <c r="D3903" s="203">
        <f>'02 项目基础信息（输入）'!$C$93</f>
        <v>0</v>
      </c>
      <c r="E3903" s="204" t="s">
        <v>93</v>
      </c>
      <c r="F3903" s="202" t="s">
        <v>4181</v>
      </c>
      <c r="G3903" s="251">
        <f>G3902</f>
        <v>0</v>
      </c>
      <c r="H3903" s="204" t="s">
        <v>298</v>
      </c>
      <c r="I3903" s="265">
        <f>D3903*G3903</f>
        <v>0</v>
      </c>
      <c r="J3903" s="204" t="s">
        <v>93</v>
      </c>
      <c r="K3903" s="269"/>
      <c r="L3903" s="210" t="s">
        <v>675</v>
      </c>
      <c r="M3903" s="198">
        <f>ROUND(K3903*I3903/10000,6)</f>
        <v>0</v>
      </c>
      <c r="N3903" s="212">
        <f>'02 项目基础信息（输入）'!$C$93</f>
        <v>0</v>
      </c>
      <c r="O3903" s="212">
        <f t="shared" si="447"/>
        <v>0</v>
      </c>
      <c r="P3903" s="212">
        <f>'02 项目基础信息（输入）'!$C$93</f>
        <v>0</v>
      </c>
      <c r="Q3903" s="271">
        <f t="shared" si="448"/>
        <v>0</v>
      </c>
      <c r="R3903" s="188"/>
      <c r="S3903" s="280"/>
      <c r="T3903" s="222"/>
      <c r="U3903" s="272" t="s">
        <v>6140</v>
      </c>
    </row>
    <row r="3904" spans="1:21" s="181" customFormat="1" ht="0" hidden="1" customHeight="1" outlineLevel="4">
      <c r="A3904" s="253" t="s">
        <v>4183</v>
      </c>
      <c r="B3904" s="254"/>
      <c r="C3904" s="250" t="s">
        <v>1609</v>
      </c>
      <c r="D3904" s="203">
        <f>'02 项目基础信息（输入）'!$C$93</f>
        <v>0</v>
      </c>
      <c r="E3904" s="204" t="s">
        <v>93</v>
      </c>
      <c r="F3904" s="202"/>
      <c r="G3904" s="251"/>
      <c r="H3904" s="204"/>
      <c r="I3904" s="265"/>
      <c r="J3904" s="204"/>
      <c r="K3904" s="266"/>
      <c r="L3904" s="210"/>
      <c r="M3904" s="198">
        <f>ROUND(SUM(M3905:M3908),6)</f>
        <v>0</v>
      </c>
      <c r="N3904" s="212">
        <f>'02 项目基础信息（输入）'!$C$93</f>
        <v>0</v>
      </c>
      <c r="O3904" s="212">
        <f t="shared" si="447"/>
        <v>0</v>
      </c>
      <c r="P3904" s="212">
        <f>'02 项目基础信息（输入）'!$C$93</f>
        <v>0</v>
      </c>
      <c r="Q3904" s="271">
        <f t="shared" si="448"/>
        <v>0</v>
      </c>
      <c r="R3904" s="188"/>
      <c r="S3904" s="280"/>
      <c r="T3904" s="222"/>
      <c r="U3904" s="272" t="s">
        <v>6141</v>
      </c>
    </row>
    <row r="3905" spans="1:21" s="181" customFormat="1" ht="0" hidden="1" customHeight="1" outlineLevel="5">
      <c r="A3905" s="253" t="s">
        <v>4811</v>
      </c>
      <c r="B3905" s="254"/>
      <c r="C3905" s="250" t="s">
        <v>1609</v>
      </c>
      <c r="D3905" s="203">
        <f>'02 项目基础信息（输入）'!$C$93</f>
        <v>0</v>
      </c>
      <c r="E3905" s="204" t="s">
        <v>93</v>
      </c>
      <c r="F3905" s="202" t="s">
        <v>1627</v>
      </c>
      <c r="G3905" s="297"/>
      <c r="H3905" s="204" t="s">
        <v>1524</v>
      </c>
      <c r="I3905" s="265">
        <f>D3905*G3905</f>
        <v>0</v>
      </c>
      <c r="J3905" s="204" t="s">
        <v>1525</v>
      </c>
      <c r="K3905" s="214"/>
      <c r="L3905" s="210" t="s">
        <v>979</v>
      </c>
      <c r="M3905" s="198">
        <f>ROUND(K3905*I3905/10000,6)</f>
        <v>0</v>
      </c>
      <c r="N3905" s="212">
        <f>'02 项目基础信息（输入）'!$C$93</f>
        <v>0</v>
      </c>
      <c r="O3905" s="212">
        <f t="shared" si="447"/>
        <v>0</v>
      </c>
      <c r="P3905" s="212">
        <f>'02 项目基础信息（输入）'!$C$93</f>
        <v>0</v>
      </c>
      <c r="Q3905" s="271">
        <f t="shared" si="448"/>
        <v>0</v>
      </c>
      <c r="R3905" s="188"/>
      <c r="S3905" s="280"/>
      <c r="T3905" s="222"/>
      <c r="U3905" s="272" t="s">
        <v>6142</v>
      </c>
    </row>
    <row r="3906" spans="1:21" s="181" customFormat="1" ht="0" hidden="1" customHeight="1" outlineLevel="5">
      <c r="A3906" s="253" t="s">
        <v>4187</v>
      </c>
      <c r="B3906" s="254"/>
      <c r="C3906" s="250" t="s">
        <v>1609</v>
      </c>
      <c r="D3906" s="203">
        <f>'02 项目基础信息（输入）'!$C$93</f>
        <v>0</v>
      </c>
      <c r="E3906" s="204" t="s">
        <v>93</v>
      </c>
      <c r="F3906" s="202" t="s">
        <v>1627</v>
      </c>
      <c r="G3906" s="251">
        <f>G3905</f>
        <v>0</v>
      </c>
      <c r="H3906" s="204" t="s">
        <v>1524</v>
      </c>
      <c r="I3906" s="265">
        <f>D3906*G3906</f>
        <v>0</v>
      </c>
      <c r="J3906" s="204" t="s">
        <v>1525</v>
      </c>
      <c r="K3906" s="214"/>
      <c r="L3906" s="210" t="s">
        <v>979</v>
      </c>
      <c r="M3906" s="198">
        <f>ROUND(K3906*I3906/10000,6)</f>
        <v>0</v>
      </c>
      <c r="N3906" s="212">
        <f>'02 项目基础信息（输入）'!$C$93</f>
        <v>0</v>
      </c>
      <c r="O3906" s="212">
        <f t="shared" si="447"/>
        <v>0</v>
      </c>
      <c r="P3906" s="212">
        <f>'02 项目基础信息（输入）'!$C$93</f>
        <v>0</v>
      </c>
      <c r="Q3906" s="271">
        <f t="shared" si="448"/>
        <v>0</v>
      </c>
      <c r="R3906" s="188"/>
      <c r="S3906" s="280"/>
      <c r="T3906" s="222"/>
      <c r="U3906" s="272" t="s">
        <v>6143</v>
      </c>
    </row>
    <row r="3907" spans="1:21" s="181" customFormat="1" ht="0" hidden="1" customHeight="1" outlineLevel="5">
      <c r="A3907" s="253" t="s">
        <v>4814</v>
      </c>
      <c r="B3907" s="254"/>
      <c r="C3907" s="250" t="s">
        <v>1609</v>
      </c>
      <c r="D3907" s="203">
        <f>'02 项目基础信息（输入）'!$C$93</f>
        <v>0</v>
      </c>
      <c r="E3907" s="204" t="s">
        <v>93</v>
      </c>
      <c r="F3907" s="202" t="s">
        <v>1632</v>
      </c>
      <c r="G3907" s="297"/>
      <c r="H3907" s="204" t="s">
        <v>1524</v>
      </c>
      <c r="I3907" s="265">
        <f>D3907*G3907</f>
        <v>0</v>
      </c>
      <c r="J3907" s="204" t="s">
        <v>1525</v>
      </c>
      <c r="K3907" s="269"/>
      <c r="L3907" s="210" t="s">
        <v>979</v>
      </c>
      <c r="M3907" s="198">
        <f>ROUND(K3907*I3907/10000,6)</f>
        <v>0</v>
      </c>
      <c r="N3907" s="212">
        <f>'02 项目基础信息（输入）'!$C$93</f>
        <v>0</v>
      </c>
      <c r="O3907" s="212">
        <f t="shared" ref="O3907:O3970" si="454">ROUND(IFERROR(M3907*10000/N3907,0),2)</f>
        <v>0</v>
      </c>
      <c r="P3907" s="212">
        <f>'02 项目基础信息（输入）'!$C$93</f>
        <v>0</v>
      </c>
      <c r="Q3907" s="271">
        <f t="shared" ref="Q3907:Q3970" si="455">ROUND(IFERROR(M3907*10000/P3907,0),2)</f>
        <v>0</v>
      </c>
      <c r="R3907" s="188"/>
      <c r="S3907" s="280"/>
      <c r="T3907" s="222"/>
      <c r="U3907" s="272" t="s">
        <v>6144</v>
      </c>
    </row>
    <row r="3908" spans="1:21" s="181" customFormat="1" ht="0" hidden="1" customHeight="1" outlineLevel="5">
      <c r="A3908" s="253" t="s">
        <v>4816</v>
      </c>
      <c r="B3908" s="254"/>
      <c r="C3908" s="250" t="s">
        <v>1609</v>
      </c>
      <c r="D3908" s="203">
        <f>'02 项目基础信息（输入）'!$C$93</f>
        <v>0</v>
      </c>
      <c r="E3908" s="204" t="s">
        <v>93</v>
      </c>
      <c r="F3908" s="202" t="s">
        <v>1632</v>
      </c>
      <c r="G3908" s="251">
        <f>G3907</f>
        <v>0</v>
      </c>
      <c r="H3908" s="204" t="s">
        <v>1524</v>
      </c>
      <c r="I3908" s="265">
        <f>D3908*G3908</f>
        <v>0</v>
      </c>
      <c r="J3908" s="204" t="s">
        <v>1525</v>
      </c>
      <c r="K3908" s="269"/>
      <c r="L3908" s="210" t="s">
        <v>979</v>
      </c>
      <c r="M3908" s="198">
        <f>ROUND(K3908*I3908/10000,6)</f>
        <v>0</v>
      </c>
      <c r="N3908" s="212">
        <f>'02 项目基础信息（输入）'!$C$93</f>
        <v>0</v>
      </c>
      <c r="O3908" s="212">
        <f t="shared" si="454"/>
        <v>0</v>
      </c>
      <c r="P3908" s="212">
        <f>'02 项目基础信息（输入）'!$C$93</f>
        <v>0</v>
      </c>
      <c r="Q3908" s="271">
        <f t="shared" si="455"/>
        <v>0</v>
      </c>
      <c r="R3908" s="188"/>
      <c r="S3908" s="280"/>
      <c r="T3908" s="222"/>
      <c r="U3908" s="272" t="s">
        <v>6145</v>
      </c>
    </row>
    <row r="3909" spans="1:21" s="181" customFormat="1" ht="0" hidden="1" customHeight="1" outlineLevel="4">
      <c r="A3909" s="253" t="s">
        <v>4189</v>
      </c>
      <c r="B3909" s="254"/>
      <c r="C3909" s="250" t="s">
        <v>1609</v>
      </c>
      <c r="D3909" s="203">
        <f>'02 项目基础信息（输入）'!$C$93</f>
        <v>0</v>
      </c>
      <c r="E3909" s="204" t="s">
        <v>93</v>
      </c>
      <c r="F3909" s="256"/>
      <c r="G3909" s="255"/>
      <c r="H3909" s="255"/>
      <c r="I3909" s="268"/>
      <c r="J3909" s="255"/>
      <c r="K3909" s="264"/>
      <c r="L3909" s="205"/>
      <c r="M3909" s="198">
        <f>ROUND(SUM(M3910:M3912),6)</f>
        <v>0</v>
      </c>
      <c r="N3909" s="212">
        <f>'02 项目基础信息（输入）'!$C$93</f>
        <v>0</v>
      </c>
      <c r="O3909" s="212">
        <f t="shared" si="454"/>
        <v>0</v>
      </c>
      <c r="P3909" s="212">
        <f>'02 项目基础信息（输入）'!$C$93</f>
        <v>0</v>
      </c>
      <c r="Q3909" s="271">
        <f t="shared" si="455"/>
        <v>0</v>
      </c>
      <c r="R3909" s="188"/>
      <c r="S3909" s="280"/>
      <c r="T3909" s="222"/>
      <c r="U3909" s="272" t="s">
        <v>6146</v>
      </c>
    </row>
    <row r="3910" spans="1:21" s="181" customFormat="1" ht="0" hidden="1" customHeight="1" outlineLevel="5">
      <c r="A3910" s="253" t="s">
        <v>4191</v>
      </c>
      <c r="B3910" s="254"/>
      <c r="C3910" s="250" t="s">
        <v>1609</v>
      </c>
      <c r="D3910" s="203">
        <f>'02 项目基础信息（输入）'!$C$93</f>
        <v>0</v>
      </c>
      <c r="E3910" s="204" t="s">
        <v>93</v>
      </c>
      <c r="F3910" s="250" t="s">
        <v>1637</v>
      </c>
      <c r="G3910" s="257"/>
      <c r="H3910" s="204" t="s">
        <v>1524</v>
      </c>
      <c r="I3910" s="265">
        <f>D3910*G3910</f>
        <v>0</v>
      </c>
      <c r="J3910" s="204" t="s">
        <v>1525</v>
      </c>
      <c r="K3910" s="269"/>
      <c r="L3910" s="210" t="s">
        <v>979</v>
      </c>
      <c r="M3910" s="198">
        <f>ROUND(K3910*I3910/10000,6)</f>
        <v>0</v>
      </c>
      <c r="N3910" s="212">
        <f>'02 项目基础信息（输入）'!$C$93</f>
        <v>0</v>
      </c>
      <c r="O3910" s="212">
        <f t="shared" si="454"/>
        <v>0</v>
      </c>
      <c r="P3910" s="212">
        <f>'02 项目基础信息（输入）'!$C$93</f>
        <v>0</v>
      </c>
      <c r="Q3910" s="271">
        <f t="shared" si="455"/>
        <v>0</v>
      </c>
      <c r="R3910" s="188"/>
      <c r="S3910" s="280"/>
      <c r="T3910" s="222"/>
      <c r="U3910" s="272" t="s">
        <v>6147</v>
      </c>
    </row>
    <row r="3911" spans="1:21" s="181" customFormat="1" ht="0" hidden="1" customHeight="1" outlineLevel="5">
      <c r="A3911" s="253" t="s">
        <v>4820</v>
      </c>
      <c r="B3911" s="254"/>
      <c r="C3911" s="250" t="s">
        <v>1609</v>
      </c>
      <c r="D3911" s="203">
        <f>'02 项目基础信息（输入）'!$C$93</f>
        <v>0</v>
      </c>
      <c r="E3911" s="204" t="s">
        <v>93</v>
      </c>
      <c r="F3911" s="250" t="s">
        <v>1637</v>
      </c>
      <c r="G3911" s="205">
        <f>G3910</f>
        <v>0</v>
      </c>
      <c r="H3911" s="204" t="s">
        <v>1524</v>
      </c>
      <c r="I3911" s="265">
        <f>D3911*G3911</f>
        <v>0</v>
      </c>
      <c r="J3911" s="204" t="s">
        <v>1525</v>
      </c>
      <c r="K3911" s="269"/>
      <c r="L3911" s="210" t="s">
        <v>979</v>
      </c>
      <c r="M3911" s="198">
        <f>ROUND(K3911*I3911/10000,6)</f>
        <v>0</v>
      </c>
      <c r="N3911" s="212">
        <f>'02 项目基础信息（输入）'!$C$93</f>
        <v>0</v>
      </c>
      <c r="O3911" s="212">
        <f t="shared" si="454"/>
        <v>0</v>
      </c>
      <c r="P3911" s="212">
        <f>'02 项目基础信息（输入）'!$C$93</f>
        <v>0</v>
      </c>
      <c r="Q3911" s="271">
        <f t="shared" si="455"/>
        <v>0</v>
      </c>
      <c r="R3911" s="188"/>
      <c r="S3911" s="280"/>
      <c r="T3911" s="222"/>
      <c r="U3911" s="272" t="s">
        <v>6148</v>
      </c>
    </row>
    <row r="3912" spans="1:21" s="181" customFormat="1" ht="0" hidden="1" customHeight="1" outlineLevel="5">
      <c r="A3912" s="253" t="s">
        <v>4422</v>
      </c>
      <c r="B3912" s="254"/>
      <c r="C3912" s="250" t="s">
        <v>1609</v>
      </c>
      <c r="D3912" s="203">
        <f>'02 项目基础信息（输入）'!$C$93</f>
        <v>0</v>
      </c>
      <c r="E3912" s="204" t="s">
        <v>93</v>
      </c>
      <c r="F3912" s="250" t="s">
        <v>1637</v>
      </c>
      <c r="G3912" s="205">
        <f>G3911</f>
        <v>0</v>
      </c>
      <c r="H3912" s="204" t="s">
        <v>1524</v>
      </c>
      <c r="I3912" s="265">
        <f>D3912*G3912</f>
        <v>0</v>
      </c>
      <c r="J3912" s="204" t="s">
        <v>1525</v>
      </c>
      <c r="K3912" s="269"/>
      <c r="L3912" s="210" t="s">
        <v>979</v>
      </c>
      <c r="M3912" s="198">
        <f>ROUND(K3912*I3912/10000,6)</f>
        <v>0</v>
      </c>
      <c r="N3912" s="212">
        <f>'02 项目基础信息（输入）'!$C$93</f>
        <v>0</v>
      </c>
      <c r="O3912" s="212">
        <f t="shared" si="454"/>
        <v>0</v>
      </c>
      <c r="P3912" s="212">
        <f>'02 项目基础信息（输入）'!$C$93</f>
        <v>0</v>
      </c>
      <c r="Q3912" s="271">
        <f t="shared" si="455"/>
        <v>0</v>
      </c>
      <c r="R3912" s="188"/>
      <c r="S3912" s="280"/>
      <c r="T3912" s="222"/>
      <c r="U3912" s="272" t="s">
        <v>6149</v>
      </c>
    </row>
    <row r="3913" spans="1:21" s="181" customFormat="1" ht="0" hidden="1" customHeight="1" outlineLevel="4">
      <c r="A3913" s="253" t="s">
        <v>4193</v>
      </c>
      <c r="B3913" s="254"/>
      <c r="C3913" s="250" t="s">
        <v>1609</v>
      </c>
      <c r="D3913" s="203">
        <f>'02 项目基础信息（输入）'!$C$93</f>
        <v>0</v>
      </c>
      <c r="E3913" s="204" t="s">
        <v>93</v>
      </c>
      <c r="F3913" s="250" t="s">
        <v>1609</v>
      </c>
      <c r="G3913" s="255">
        <v>1</v>
      </c>
      <c r="H3913" s="204" t="s">
        <v>298</v>
      </c>
      <c r="I3913" s="265">
        <f>D3913*G3913</f>
        <v>0</v>
      </c>
      <c r="J3913" s="204" t="s">
        <v>93</v>
      </c>
      <c r="K3913" s="269"/>
      <c r="L3913" s="210" t="s">
        <v>675</v>
      </c>
      <c r="M3913" s="198">
        <f>ROUND(K3913*I3913/10000,6)</f>
        <v>0</v>
      </c>
      <c r="N3913" s="212">
        <f>'02 项目基础信息（输入）'!$C$93</f>
        <v>0</v>
      </c>
      <c r="O3913" s="212">
        <f t="shared" si="454"/>
        <v>0</v>
      </c>
      <c r="P3913" s="212">
        <f>'02 项目基础信息（输入）'!$C$93</f>
        <v>0</v>
      </c>
      <c r="Q3913" s="271">
        <f t="shared" si="455"/>
        <v>0</v>
      </c>
      <c r="R3913" s="188"/>
      <c r="S3913" s="280"/>
      <c r="T3913" s="222"/>
      <c r="U3913" s="272" t="s">
        <v>6150</v>
      </c>
    </row>
    <row r="3914" spans="1:21" s="181" customFormat="1" ht="0" hidden="1" customHeight="1" outlineLevel="4">
      <c r="A3914" s="253" t="s">
        <v>4195</v>
      </c>
      <c r="B3914" s="254"/>
      <c r="C3914" s="250" t="s">
        <v>1609</v>
      </c>
      <c r="D3914" s="203">
        <f>'02 项目基础信息（输入）'!$C$93</f>
        <v>0</v>
      </c>
      <c r="E3914" s="204" t="s">
        <v>93</v>
      </c>
      <c r="F3914" s="250" t="s">
        <v>1609</v>
      </c>
      <c r="G3914" s="255">
        <v>1</v>
      </c>
      <c r="H3914" s="204" t="s">
        <v>298</v>
      </c>
      <c r="I3914" s="265">
        <f>D3914*G3914</f>
        <v>0</v>
      </c>
      <c r="J3914" s="204" t="s">
        <v>93</v>
      </c>
      <c r="K3914" s="269"/>
      <c r="L3914" s="210" t="s">
        <v>675</v>
      </c>
      <c r="M3914" s="198">
        <f>ROUND(K3914*I3914/10000,6)</f>
        <v>0</v>
      </c>
      <c r="N3914" s="212">
        <f>'02 项目基础信息（输入）'!$C$93</f>
        <v>0</v>
      </c>
      <c r="O3914" s="212">
        <f t="shared" si="454"/>
        <v>0</v>
      </c>
      <c r="P3914" s="212">
        <f>'02 项目基础信息（输入）'!$C$93</f>
        <v>0</v>
      </c>
      <c r="Q3914" s="271">
        <f t="shared" si="455"/>
        <v>0</v>
      </c>
      <c r="R3914" s="188"/>
      <c r="S3914" s="280"/>
      <c r="T3914" s="222"/>
      <c r="U3914" s="272" t="s">
        <v>6151</v>
      </c>
    </row>
    <row r="3915" spans="1:21" s="181" customFormat="1" ht="0" hidden="1" customHeight="1" outlineLevel="4">
      <c r="A3915" s="253" t="s">
        <v>4197</v>
      </c>
      <c r="B3915" s="254"/>
      <c r="C3915" s="250" t="s">
        <v>1665</v>
      </c>
      <c r="D3915" s="203">
        <f>ROUND(M3896+M3899+M3904+M3909+M3913+M3914,6)*10000</f>
        <v>0</v>
      </c>
      <c r="E3915" s="204" t="s">
        <v>1666</v>
      </c>
      <c r="F3915" s="202" t="s">
        <v>1667</v>
      </c>
      <c r="G3915" s="258">
        <f>IFERROR(I3915*100/D3915,0)</f>
        <v>0</v>
      </c>
      <c r="H3915" s="204" t="s">
        <v>123</v>
      </c>
      <c r="I3915" s="265">
        <f>N3915*K3915</f>
        <v>0</v>
      </c>
      <c r="J3915" s="204" t="s">
        <v>1666</v>
      </c>
      <c r="K3915" s="269"/>
      <c r="L3915" s="210" t="s">
        <v>675</v>
      </c>
      <c r="M3915" s="231">
        <f>ROUND(I3915/10000,6)</f>
        <v>0</v>
      </c>
      <c r="N3915" s="212">
        <f>'02 项目基础信息（输入）'!$C$93</f>
        <v>0</v>
      </c>
      <c r="O3915" s="212">
        <f t="shared" si="454"/>
        <v>0</v>
      </c>
      <c r="P3915" s="212">
        <f>'02 项目基础信息（输入）'!$C$93</f>
        <v>0</v>
      </c>
      <c r="Q3915" s="271">
        <f t="shared" si="455"/>
        <v>0</v>
      </c>
      <c r="R3915" s="188"/>
      <c r="S3915" s="280"/>
      <c r="T3915" s="222"/>
      <c r="U3915" s="272" t="s">
        <v>6152</v>
      </c>
    </row>
    <row r="3916" spans="1:21" s="181" customFormat="1" ht="0" hidden="1" customHeight="1" outlineLevel="3">
      <c r="A3916" s="253" t="s">
        <v>4211</v>
      </c>
      <c r="B3916" s="254"/>
      <c r="C3916" s="250" t="s">
        <v>1609</v>
      </c>
      <c r="D3916" s="203">
        <f>'02 项目基础信息（输入）'!$C$93</f>
        <v>0</v>
      </c>
      <c r="E3916" s="204" t="s">
        <v>93</v>
      </c>
      <c r="F3916" s="202"/>
      <c r="G3916" s="255"/>
      <c r="H3916" s="204"/>
      <c r="I3916" s="265"/>
      <c r="J3916" s="204"/>
      <c r="K3916" s="202"/>
      <c r="L3916" s="210"/>
      <c r="M3916" s="198">
        <f>ROUND(M3917+M3920+M3923+M3926+M3929,6)</f>
        <v>0</v>
      </c>
      <c r="N3916" s="212">
        <f>'02 项目基础信息（输入）'!$C$93</f>
        <v>0</v>
      </c>
      <c r="O3916" s="212">
        <f t="shared" si="454"/>
        <v>0</v>
      </c>
      <c r="P3916" s="212">
        <f>'02 项目基础信息（输入）'!$C$93</f>
        <v>0</v>
      </c>
      <c r="Q3916" s="271">
        <f t="shared" si="455"/>
        <v>0</v>
      </c>
      <c r="R3916" s="188"/>
      <c r="S3916" s="280"/>
      <c r="T3916" s="222"/>
      <c r="U3916" s="272" t="s">
        <v>6153</v>
      </c>
    </row>
    <row r="3917" spans="1:21" s="181" customFormat="1" ht="0" hidden="1" customHeight="1" outlineLevel="4">
      <c r="A3917" s="253" t="s">
        <v>4438</v>
      </c>
      <c r="B3917" s="254"/>
      <c r="C3917" s="250" t="s">
        <v>1609</v>
      </c>
      <c r="D3917" s="203">
        <f>'02 项目基础信息（输入）'!$C$93</f>
        <v>0</v>
      </c>
      <c r="E3917" s="204" t="s">
        <v>93</v>
      </c>
      <c r="F3917" s="202"/>
      <c r="G3917" s="261"/>
      <c r="H3917" s="255"/>
      <c r="I3917" s="264"/>
      <c r="J3917" s="255"/>
      <c r="K3917" s="264"/>
      <c r="L3917" s="205"/>
      <c r="M3917" s="198">
        <f>ROUND(SUM(M3918:M3919),6)</f>
        <v>0</v>
      </c>
      <c r="N3917" s="212">
        <f>'02 项目基础信息（输入）'!$C$93</f>
        <v>0</v>
      </c>
      <c r="O3917" s="212">
        <f t="shared" si="454"/>
        <v>0</v>
      </c>
      <c r="P3917" s="212">
        <f>'02 项目基础信息（输入）'!$C$93</f>
        <v>0</v>
      </c>
      <c r="Q3917" s="271">
        <f t="shared" si="455"/>
        <v>0</v>
      </c>
      <c r="R3917" s="188"/>
      <c r="S3917" s="280"/>
      <c r="T3917" s="222"/>
      <c r="U3917" s="272" t="s">
        <v>6154</v>
      </c>
    </row>
    <row r="3918" spans="1:21" s="181" customFormat="1" ht="0" hidden="1" customHeight="1" outlineLevel="5">
      <c r="A3918" s="253" t="s">
        <v>4828</v>
      </c>
      <c r="B3918" s="254"/>
      <c r="C3918" s="250" t="s">
        <v>1609</v>
      </c>
      <c r="D3918" s="203">
        <f>'02 项目基础信息（输入）'!$C$93</f>
        <v>0</v>
      </c>
      <c r="E3918" s="204" t="s">
        <v>93</v>
      </c>
      <c r="F3918" s="202" t="s">
        <v>1682</v>
      </c>
      <c r="G3918" s="261">
        <f>IFERROR(I3918/D3918,0)</f>
        <v>0</v>
      </c>
      <c r="H3918" s="204" t="s">
        <v>298</v>
      </c>
      <c r="I3918" s="270"/>
      <c r="J3918" s="204" t="s">
        <v>93</v>
      </c>
      <c r="K3918" s="269"/>
      <c r="L3918" s="210" t="s">
        <v>675</v>
      </c>
      <c r="M3918" s="198">
        <f>ROUND(K3918*I3918/10000,6)</f>
        <v>0</v>
      </c>
      <c r="N3918" s="212">
        <f>'02 项目基础信息（输入）'!$C$93</f>
        <v>0</v>
      </c>
      <c r="O3918" s="212">
        <f t="shared" si="454"/>
        <v>0</v>
      </c>
      <c r="P3918" s="212">
        <f>'02 项目基础信息（输入）'!$C$93</f>
        <v>0</v>
      </c>
      <c r="Q3918" s="271">
        <f t="shared" si="455"/>
        <v>0</v>
      </c>
      <c r="R3918" s="188"/>
      <c r="S3918" s="280"/>
      <c r="T3918" s="222"/>
      <c r="U3918" s="272" t="s">
        <v>6155</v>
      </c>
    </row>
    <row r="3919" spans="1:21" s="181" customFormat="1" ht="0" hidden="1" customHeight="1" outlineLevel="5">
      <c r="A3919" s="253" t="s">
        <v>4830</v>
      </c>
      <c r="B3919" s="254"/>
      <c r="C3919" s="250" t="s">
        <v>1609</v>
      </c>
      <c r="D3919" s="203">
        <f>'02 项目基础信息（输入）'!$C$93</f>
        <v>0</v>
      </c>
      <c r="E3919" s="204" t="s">
        <v>93</v>
      </c>
      <c r="F3919" s="202" t="s">
        <v>1682</v>
      </c>
      <c r="G3919" s="261">
        <f>IFERROR(I3919/D3919,0)</f>
        <v>0</v>
      </c>
      <c r="H3919" s="204" t="s">
        <v>298</v>
      </c>
      <c r="I3919" s="268">
        <f>I3918</f>
        <v>0</v>
      </c>
      <c r="J3919" s="204" t="s">
        <v>93</v>
      </c>
      <c r="K3919" s="269"/>
      <c r="L3919" s="210" t="s">
        <v>675</v>
      </c>
      <c r="M3919" s="198">
        <f>ROUND(K3919*I3919/10000,6)</f>
        <v>0</v>
      </c>
      <c r="N3919" s="212">
        <f>'02 项目基础信息（输入）'!$C$93</f>
        <v>0</v>
      </c>
      <c r="O3919" s="212">
        <f t="shared" si="454"/>
        <v>0</v>
      </c>
      <c r="P3919" s="212">
        <f>'02 项目基础信息（输入）'!$C$93</f>
        <v>0</v>
      </c>
      <c r="Q3919" s="271">
        <f t="shared" si="455"/>
        <v>0</v>
      </c>
      <c r="R3919" s="188"/>
      <c r="S3919" s="280"/>
      <c r="T3919" s="222"/>
      <c r="U3919" s="272" t="s">
        <v>6156</v>
      </c>
    </row>
    <row r="3920" spans="1:21" s="181" customFormat="1" ht="0" hidden="1" customHeight="1" outlineLevel="4">
      <c r="A3920" s="253" t="s">
        <v>4444</v>
      </c>
      <c r="B3920" s="254"/>
      <c r="C3920" s="250" t="s">
        <v>1609</v>
      </c>
      <c r="D3920" s="203">
        <f>'02 项目基础信息（输入）'!$C$93</f>
        <v>0</v>
      </c>
      <c r="E3920" s="204" t="s">
        <v>93</v>
      </c>
      <c r="F3920" s="202"/>
      <c r="G3920" s="261"/>
      <c r="H3920" s="255"/>
      <c r="I3920" s="264"/>
      <c r="J3920" s="255"/>
      <c r="K3920" s="264"/>
      <c r="L3920" s="205"/>
      <c r="M3920" s="198">
        <f>ROUND(SUM(M3921:M3922),6)</f>
        <v>0</v>
      </c>
      <c r="N3920" s="212">
        <f>'02 项目基础信息（输入）'!$C$93</f>
        <v>0</v>
      </c>
      <c r="O3920" s="212">
        <f t="shared" si="454"/>
        <v>0</v>
      </c>
      <c r="P3920" s="212">
        <f>'02 项目基础信息（输入）'!$C$93</f>
        <v>0</v>
      </c>
      <c r="Q3920" s="271">
        <f t="shared" si="455"/>
        <v>0</v>
      </c>
      <c r="R3920" s="188"/>
      <c r="S3920" s="280"/>
      <c r="T3920" s="222"/>
      <c r="U3920" s="272" t="s">
        <v>6157</v>
      </c>
    </row>
    <row r="3921" spans="1:21" s="181" customFormat="1" ht="0" hidden="1" customHeight="1" outlineLevel="5">
      <c r="A3921" s="253" t="s">
        <v>4446</v>
      </c>
      <c r="B3921" s="254"/>
      <c r="C3921" s="250" t="s">
        <v>1609</v>
      </c>
      <c r="D3921" s="203">
        <f>'02 项目基础信息（输入）'!$C$93</f>
        <v>0</v>
      </c>
      <c r="E3921" s="204" t="s">
        <v>93</v>
      </c>
      <c r="F3921" s="202" t="s">
        <v>1682</v>
      </c>
      <c r="G3921" s="261">
        <f>IFERROR(I3921/D3921,0)</f>
        <v>0</v>
      </c>
      <c r="H3921" s="204" t="s">
        <v>298</v>
      </c>
      <c r="I3921" s="354"/>
      <c r="J3921" s="204" t="s">
        <v>93</v>
      </c>
      <c r="K3921" s="269"/>
      <c r="L3921" s="210" t="s">
        <v>675</v>
      </c>
      <c r="M3921" s="198">
        <f>ROUND(K3921*I3921/10000,6)</f>
        <v>0</v>
      </c>
      <c r="N3921" s="212">
        <f>'02 项目基础信息（输入）'!$C$93</f>
        <v>0</v>
      </c>
      <c r="O3921" s="212">
        <f t="shared" si="454"/>
        <v>0</v>
      </c>
      <c r="P3921" s="212">
        <f>'02 项目基础信息（输入）'!$C$93</f>
        <v>0</v>
      </c>
      <c r="Q3921" s="271">
        <f t="shared" si="455"/>
        <v>0</v>
      </c>
      <c r="R3921" s="188"/>
      <c r="S3921" s="280"/>
      <c r="T3921" s="222"/>
      <c r="U3921" s="272" t="s">
        <v>6158</v>
      </c>
    </row>
    <row r="3922" spans="1:21" s="181" customFormat="1" ht="0" hidden="1" customHeight="1" outlineLevel="5">
      <c r="A3922" s="253" t="s">
        <v>4448</v>
      </c>
      <c r="B3922" s="254"/>
      <c r="C3922" s="250" t="s">
        <v>1609</v>
      </c>
      <c r="D3922" s="203">
        <f>'02 项目基础信息（输入）'!$C$93</f>
        <v>0</v>
      </c>
      <c r="E3922" s="204" t="s">
        <v>93</v>
      </c>
      <c r="F3922" s="202" t="s">
        <v>1682</v>
      </c>
      <c r="G3922" s="261">
        <f>IFERROR(I3922/D3922,0)</f>
        <v>0</v>
      </c>
      <c r="H3922" s="204" t="s">
        <v>298</v>
      </c>
      <c r="I3922" s="268">
        <f>I3921</f>
        <v>0</v>
      </c>
      <c r="J3922" s="204" t="s">
        <v>93</v>
      </c>
      <c r="K3922" s="269"/>
      <c r="L3922" s="210" t="s">
        <v>675</v>
      </c>
      <c r="M3922" s="198">
        <f>ROUND(K3922*I3922/10000,6)</f>
        <v>0</v>
      </c>
      <c r="N3922" s="212">
        <f>'02 项目基础信息（输入）'!$C$93</f>
        <v>0</v>
      </c>
      <c r="O3922" s="212">
        <f t="shared" si="454"/>
        <v>0</v>
      </c>
      <c r="P3922" s="212">
        <f>'02 项目基础信息（输入）'!$C$93</f>
        <v>0</v>
      </c>
      <c r="Q3922" s="271">
        <f t="shared" si="455"/>
        <v>0</v>
      </c>
      <c r="R3922" s="188"/>
      <c r="S3922" s="280"/>
      <c r="T3922" s="222"/>
      <c r="U3922" s="272" t="s">
        <v>6159</v>
      </c>
    </row>
    <row r="3923" spans="1:21" s="181" customFormat="1" ht="0" hidden="1" customHeight="1" outlineLevel="4">
      <c r="A3923" s="253" t="s">
        <v>4450</v>
      </c>
      <c r="B3923" s="254"/>
      <c r="C3923" s="250" t="s">
        <v>1609</v>
      </c>
      <c r="D3923" s="203">
        <f>'02 项目基础信息（输入）'!$C$93</f>
        <v>0</v>
      </c>
      <c r="E3923" s="204" t="s">
        <v>93</v>
      </c>
      <c r="F3923" s="202"/>
      <c r="G3923" s="261"/>
      <c r="H3923" s="255"/>
      <c r="I3923" s="264"/>
      <c r="J3923" s="255"/>
      <c r="K3923" s="264"/>
      <c r="L3923" s="205"/>
      <c r="M3923" s="198">
        <f>ROUND(SUM(M3924:M3925),6)</f>
        <v>0</v>
      </c>
      <c r="N3923" s="212">
        <f>'02 项目基础信息（输入）'!$C$93</f>
        <v>0</v>
      </c>
      <c r="O3923" s="212">
        <f t="shared" si="454"/>
        <v>0</v>
      </c>
      <c r="P3923" s="212">
        <f>'02 项目基础信息（输入）'!$C$93</f>
        <v>0</v>
      </c>
      <c r="Q3923" s="271">
        <f t="shared" si="455"/>
        <v>0</v>
      </c>
      <c r="R3923" s="188"/>
      <c r="S3923" s="280"/>
      <c r="T3923" s="222"/>
      <c r="U3923" s="272" t="s">
        <v>6160</v>
      </c>
    </row>
    <row r="3924" spans="1:21" s="181" customFormat="1" ht="0" hidden="1" customHeight="1" outlineLevel="5">
      <c r="A3924" s="253" t="s">
        <v>4452</v>
      </c>
      <c r="B3924" s="254"/>
      <c r="C3924" s="250" t="s">
        <v>1609</v>
      </c>
      <c r="D3924" s="203">
        <f>'02 项目基础信息（输入）'!$C$93</f>
        <v>0</v>
      </c>
      <c r="E3924" s="204" t="s">
        <v>93</v>
      </c>
      <c r="F3924" s="202" t="s">
        <v>1682</v>
      </c>
      <c r="G3924" s="261">
        <f>IFERROR(I3924/D3924,0)</f>
        <v>0</v>
      </c>
      <c r="H3924" s="204" t="s">
        <v>298</v>
      </c>
      <c r="I3924" s="286"/>
      <c r="J3924" s="204" t="s">
        <v>93</v>
      </c>
      <c r="K3924" s="269"/>
      <c r="L3924" s="210" t="s">
        <v>675</v>
      </c>
      <c r="M3924" s="198">
        <f>ROUND(K3924*I3924/10000,6)</f>
        <v>0</v>
      </c>
      <c r="N3924" s="212">
        <f>'02 项目基础信息（输入）'!$C$93</f>
        <v>0</v>
      </c>
      <c r="O3924" s="212">
        <f t="shared" si="454"/>
        <v>0</v>
      </c>
      <c r="P3924" s="212">
        <f>'02 项目基础信息（输入）'!$C$93</f>
        <v>0</v>
      </c>
      <c r="Q3924" s="271">
        <f t="shared" si="455"/>
        <v>0</v>
      </c>
      <c r="R3924" s="188"/>
      <c r="S3924" s="280"/>
      <c r="T3924" s="222"/>
      <c r="U3924" s="272" t="s">
        <v>6161</v>
      </c>
    </row>
    <row r="3925" spans="1:21" s="181" customFormat="1" ht="0" hidden="1" customHeight="1" outlineLevel="5">
      <c r="A3925" s="253" t="s">
        <v>4454</v>
      </c>
      <c r="B3925" s="254"/>
      <c r="C3925" s="250" t="s">
        <v>1609</v>
      </c>
      <c r="D3925" s="203">
        <f>'02 项目基础信息（输入）'!$C$93</f>
        <v>0</v>
      </c>
      <c r="E3925" s="204" t="s">
        <v>93</v>
      </c>
      <c r="F3925" s="202" t="s">
        <v>1682</v>
      </c>
      <c r="G3925" s="261">
        <f>IFERROR(I3925/D3925,0)</f>
        <v>0</v>
      </c>
      <c r="H3925" s="204" t="s">
        <v>298</v>
      </c>
      <c r="I3925" s="268">
        <f>I3924</f>
        <v>0</v>
      </c>
      <c r="J3925" s="204" t="s">
        <v>93</v>
      </c>
      <c r="K3925" s="269"/>
      <c r="L3925" s="210" t="s">
        <v>675</v>
      </c>
      <c r="M3925" s="198">
        <f>ROUND(K3925*I3925/10000,6)</f>
        <v>0</v>
      </c>
      <c r="N3925" s="212">
        <f>'02 项目基础信息（输入）'!$C$93</f>
        <v>0</v>
      </c>
      <c r="O3925" s="212">
        <f t="shared" si="454"/>
        <v>0</v>
      </c>
      <c r="P3925" s="212">
        <f>'02 项目基础信息（输入）'!$C$93</f>
        <v>0</v>
      </c>
      <c r="Q3925" s="271">
        <f t="shared" si="455"/>
        <v>0</v>
      </c>
      <c r="R3925" s="188"/>
      <c r="S3925" s="280"/>
      <c r="T3925" s="222"/>
      <c r="U3925" s="272" t="s">
        <v>6162</v>
      </c>
    </row>
    <row r="3926" spans="1:21" s="181" customFormat="1" ht="0" hidden="1" customHeight="1" outlineLevel="4">
      <c r="A3926" s="253" t="s">
        <v>4456</v>
      </c>
      <c r="B3926" s="254"/>
      <c r="C3926" s="250" t="s">
        <v>1609</v>
      </c>
      <c r="D3926" s="203">
        <f>'02 项目基础信息（输入）'!$C$93</f>
        <v>0</v>
      </c>
      <c r="E3926" s="204" t="s">
        <v>93</v>
      </c>
      <c r="F3926" s="202"/>
      <c r="G3926" s="261"/>
      <c r="H3926" s="255"/>
      <c r="I3926" s="264"/>
      <c r="J3926" s="255"/>
      <c r="K3926" s="264"/>
      <c r="L3926" s="205"/>
      <c r="M3926" s="198">
        <f>ROUND(SUM(M3927:M3928),6)</f>
        <v>0</v>
      </c>
      <c r="N3926" s="212">
        <f>'02 项目基础信息（输入）'!$C$93</f>
        <v>0</v>
      </c>
      <c r="O3926" s="212">
        <f t="shared" si="454"/>
        <v>0</v>
      </c>
      <c r="P3926" s="212">
        <f>'02 项目基础信息（输入）'!$C$93</f>
        <v>0</v>
      </c>
      <c r="Q3926" s="271">
        <f t="shared" si="455"/>
        <v>0</v>
      </c>
      <c r="R3926" s="188"/>
      <c r="S3926" s="280"/>
      <c r="T3926" s="222"/>
      <c r="U3926" s="272" t="s">
        <v>6163</v>
      </c>
    </row>
    <row r="3927" spans="1:21" s="181" customFormat="1" ht="0" hidden="1" customHeight="1" outlineLevel="5">
      <c r="A3927" s="253" t="s">
        <v>4458</v>
      </c>
      <c r="B3927" s="254"/>
      <c r="C3927" s="250" t="s">
        <v>1609</v>
      </c>
      <c r="D3927" s="203">
        <f>'02 项目基础信息（输入）'!$C$93</f>
        <v>0</v>
      </c>
      <c r="E3927" s="204" t="s">
        <v>93</v>
      </c>
      <c r="F3927" s="202" t="s">
        <v>1682</v>
      </c>
      <c r="G3927" s="261">
        <f>IFERROR(I3927/D3927,0)</f>
        <v>0</v>
      </c>
      <c r="H3927" s="204" t="s">
        <v>298</v>
      </c>
      <c r="I3927" s="286"/>
      <c r="J3927" s="204" t="s">
        <v>93</v>
      </c>
      <c r="K3927" s="269"/>
      <c r="L3927" s="210" t="s">
        <v>675</v>
      </c>
      <c r="M3927" s="198">
        <f>ROUND(K3927*I3927/10000,6)</f>
        <v>0</v>
      </c>
      <c r="N3927" s="212">
        <f>'02 项目基础信息（输入）'!$C$93</f>
        <v>0</v>
      </c>
      <c r="O3927" s="212">
        <f t="shared" si="454"/>
        <v>0</v>
      </c>
      <c r="P3927" s="212">
        <f>'02 项目基础信息（输入）'!$C$93</f>
        <v>0</v>
      </c>
      <c r="Q3927" s="271">
        <f t="shared" si="455"/>
        <v>0</v>
      </c>
      <c r="R3927" s="188"/>
      <c r="S3927" s="280"/>
      <c r="T3927" s="222"/>
      <c r="U3927" s="272" t="s">
        <v>6164</v>
      </c>
    </row>
    <row r="3928" spans="1:21" s="181" customFormat="1" ht="0" hidden="1" customHeight="1" outlineLevel="5">
      <c r="A3928" s="253" t="s">
        <v>4460</v>
      </c>
      <c r="B3928" s="254"/>
      <c r="C3928" s="250" t="s">
        <v>1609</v>
      </c>
      <c r="D3928" s="203">
        <f>'02 项目基础信息（输入）'!$C$93</f>
        <v>0</v>
      </c>
      <c r="E3928" s="204" t="s">
        <v>93</v>
      </c>
      <c r="F3928" s="202" t="s">
        <v>1682</v>
      </c>
      <c r="G3928" s="261">
        <f>IFERROR(I3928/D3928,0)</f>
        <v>0</v>
      </c>
      <c r="H3928" s="204" t="s">
        <v>298</v>
      </c>
      <c r="I3928" s="268">
        <f>I3927</f>
        <v>0</v>
      </c>
      <c r="J3928" s="204" t="s">
        <v>93</v>
      </c>
      <c r="K3928" s="269"/>
      <c r="L3928" s="210" t="s">
        <v>675</v>
      </c>
      <c r="M3928" s="198">
        <f>ROUND(K3928*I3928/10000,6)</f>
        <v>0</v>
      </c>
      <c r="N3928" s="212">
        <f>'02 项目基础信息（输入）'!$C$93</f>
        <v>0</v>
      </c>
      <c r="O3928" s="212">
        <f t="shared" si="454"/>
        <v>0</v>
      </c>
      <c r="P3928" s="212">
        <f>'02 项目基础信息（输入）'!$C$93</f>
        <v>0</v>
      </c>
      <c r="Q3928" s="271">
        <f t="shared" si="455"/>
        <v>0</v>
      </c>
      <c r="R3928" s="188"/>
      <c r="S3928" s="280"/>
      <c r="T3928" s="222"/>
      <c r="U3928" s="272" t="s">
        <v>6165</v>
      </c>
    </row>
    <row r="3929" spans="1:21" s="181" customFormat="1" ht="0" hidden="1" customHeight="1" outlineLevel="4">
      <c r="A3929" s="253" t="s">
        <v>4231</v>
      </c>
      <c r="B3929" s="254"/>
      <c r="C3929" s="250" t="s">
        <v>1609</v>
      </c>
      <c r="D3929" s="203">
        <f>'02 项目基础信息（输入）'!$C$93</f>
        <v>0</v>
      </c>
      <c r="E3929" s="204" t="s">
        <v>93</v>
      </c>
      <c r="F3929" s="202"/>
      <c r="G3929" s="261"/>
      <c r="H3929" s="255"/>
      <c r="I3929" s="264"/>
      <c r="J3929" s="255"/>
      <c r="K3929" s="264"/>
      <c r="L3929" s="205"/>
      <c r="M3929" s="198">
        <f>ROUND(SUM(M3930:M3931),6)</f>
        <v>0</v>
      </c>
      <c r="N3929" s="212">
        <f>'02 项目基础信息（输入）'!$C$93</f>
        <v>0</v>
      </c>
      <c r="O3929" s="212">
        <f t="shared" si="454"/>
        <v>0</v>
      </c>
      <c r="P3929" s="212">
        <f>'02 项目基础信息（输入）'!$C$93</f>
        <v>0</v>
      </c>
      <c r="Q3929" s="271">
        <f t="shared" si="455"/>
        <v>0</v>
      </c>
      <c r="R3929" s="188"/>
      <c r="S3929" s="280"/>
      <c r="T3929" s="222"/>
      <c r="U3929" s="272" t="s">
        <v>6166</v>
      </c>
    </row>
    <row r="3930" spans="1:21" s="181" customFormat="1" ht="0" hidden="1" customHeight="1" outlineLevel="5">
      <c r="A3930" s="253" t="s">
        <v>4233</v>
      </c>
      <c r="B3930" s="254"/>
      <c r="C3930" s="250" t="s">
        <v>1609</v>
      </c>
      <c r="D3930" s="203">
        <f>'02 项目基础信息（输入）'!$C$93</f>
        <v>0</v>
      </c>
      <c r="E3930" s="204" t="s">
        <v>93</v>
      </c>
      <c r="F3930" s="202" t="s">
        <v>1682</v>
      </c>
      <c r="G3930" s="261">
        <f>IFERROR(I3930/D3930,0)</f>
        <v>0</v>
      </c>
      <c r="H3930" s="204" t="s">
        <v>298</v>
      </c>
      <c r="I3930" s="270"/>
      <c r="J3930" s="204" t="s">
        <v>93</v>
      </c>
      <c r="K3930" s="269"/>
      <c r="L3930" s="210" t="s">
        <v>675</v>
      </c>
      <c r="M3930" s="198">
        <f>ROUND(K3930*I3930/10000,6)</f>
        <v>0</v>
      </c>
      <c r="N3930" s="212">
        <f>'02 项目基础信息（输入）'!$C$93</f>
        <v>0</v>
      </c>
      <c r="O3930" s="212">
        <f t="shared" si="454"/>
        <v>0</v>
      </c>
      <c r="P3930" s="212">
        <f>'02 项目基础信息（输入）'!$C$93</f>
        <v>0</v>
      </c>
      <c r="Q3930" s="271">
        <f t="shared" si="455"/>
        <v>0</v>
      </c>
      <c r="R3930" s="188"/>
      <c r="S3930" s="280"/>
      <c r="T3930" s="222"/>
      <c r="U3930" s="272" t="s">
        <v>6167</v>
      </c>
    </row>
    <row r="3931" spans="1:21" s="181" customFormat="1" ht="0" hidden="1" customHeight="1" outlineLevel="5">
      <c r="A3931" s="253" t="s">
        <v>4235</v>
      </c>
      <c r="B3931" s="254"/>
      <c r="C3931" s="250" t="s">
        <v>1609</v>
      </c>
      <c r="D3931" s="203">
        <f>'02 项目基础信息（输入）'!$C$93</f>
        <v>0</v>
      </c>
      <c r="E3931" s="204" t="s">
        <v>93</v>
      </c>
      <c r="F3931" s="202" t="s">
        <v>1682</v>
      </c>
      <c r="G3931" s="261">
        <f>IFERROR(I3931/D3931,0)</f>
        <v>0</v>
      </c>
      <c r="H3931" s="204" t="s">
        <v>298</v>
      </c>
      <c r="I3931" s="268">
        <f>I3930</f>
        <v>0</v>
      </c>
      <c r="J3931" s="204" t="s">
        <v>93</v>
      </c>
      <c r="K3931" s="269"/>
      <c r="L3931" s="210" t="s">
        <v>675</v>
      </c>
      <c r="M3931" s="198">
        <f>ROUND(K3931*I3931/10000,6)</f>
        <v>0</v>
      </c>
      <c r="N3931" s="212">
        <f>'02 项目基础信息（输入）'!$C$93</f>
        <v>0</v>
      </c>
      <c r="O3931" s="212">
        <f t="shared" si="454"/>
        <v>0</v>
      </c>
      <c r="P3931" s="212">
        <f>'02 项目基础信息（输入）'!$C$93</f>
        <v>0</v>
      </c>
      <c r="Q3931" s="271">
        <f t="shared" si="455"/>
        <v>0</v>
      </c>
      <c r="R3931" s="188"/>
      <c r="S3931" s="280"/>
      <c r="T3931" s="222"/>
      <c r="U3931" s="272" t="s">
        <v>6168</v>
      </c>
    </row>
    <row r="3932" spans="1:21" s="181" customFormat="1" ht="0" hidden="1" customHeight="1" outlineLevel="3">
      <c r="A3932" s="253" t="s">
        <v>4237</v>
      </c>
      <c r="B3932" s="254"/>
      <c r="C3932" s="250" t="s">
        <v>1609</v>
      </c>
      <c r="D3932" s="203">
        <f>'02 项目基础信息（输入）'!$C$93</f>
        <v>0</v>
      </c>
      <c r="E3932" s="204" t="s">
        <v>93</v>
      </c>
      <c r="F3932" s="202"/>
      <c r="G3932" s="255"/>
      <c r="H3932" s="204"/>
      <c r="I3932" s="265"/>
      <c r="J3932" s="204"/>
      <c r="K3932" s="203"/>
      <c r="L3932" s="210"/>
      <c r="M3932" s="198">
        <f>ROUND(SUM(M3933:M3935),6)</f>
        <v>0</v>
      </c>
      <c r="N3932" s="212">
        <f>'02 项目基础信息（输入）'!$C$93</f>
        <v>0</v>
      </c>
      <c r="O3932" s="212">
        <f t="shared" si="454"/>
        <v>0</v>
      </c>
      <c r="P3932" s="212">
        <f>'02 项目基础信息（输入）'!$C$93</f>
        <v>0</v>
      </c>
      <c r="Q3932" s="271">
        <f t="shared" si="455"/>
        <v>0</v>
      </c>
      <c r="R3932" s="188"/>
      <c r="S3932" s="280"/>
      <c r="T3932" s="222"/>
      <c r="U3932" s="272" t="s">
        <v>6169</v>
      </c>
    </row>
    <row r="3933" spans="1:21" s="181" customFormat="1" ht="0" hidden="1" customHeight="1" outlineLevel="4">
      <c r="A3933" s="253" t="s">
        <v>4239</v>
      </c>
      <c r="B3933" s="254"/>
      <c r="C3933" s="250" t="s">
        <v>1609</v>
      </c>
      <c r="D3933" s="203">
        <f>'02 项目基础信息（输入）'!$C$93</f>
        <v>0</v>
      </c>
      <c r="E3933" s="204" t="s">
        <v>93</v>
      </c>
      <c r="F3933" s="202" t="s">
        <v>1701</v>
      </c>
      <c r="G3933" s="261">
        <f>IFERROR(I3933/D3933,0)</f>
        <v>0</v>
      </c>
      <c r="H3933" s="204" t="s">
        <v>298</v>
      </c>
      <c r="I3933" s="270"/>
      <c r="J3933" s="204" t="s">
        <v>93</v>
      </c>
      <c r="K3933" s="269"/>
      <c r="L3933" s="210" t="s">
        <v>675</v>
      </c>
      <c r="M3933" s="198">
        <f>ROUND(K3933*I3933/10000,6)</f>
        <v>0</v>
      </c>
      <c r="N3933" s="212">
        <f>'02 项目基础信息（输入）'!$C$93</f>
        <v>0</v>
      </c>
      <c r="O3933" s="212">
        <f t="shared" si="454"/>
        <v>0</v>
      </c>
      <c r="P3933" s="212">
        <f>'02 项目基础信息（输入）'!$C$93</f>
        <v>0</v>
      </c>
      <c r="Q3933" s="271">
        <f t="shared" si="455"/>
        <v>0</v>
      </c>
      <c r="R3933" s="188"/>
      <c r="S3933" s="280"/>
      <c r="T3933" s="222"/>
      <c r="U3933" s="272" t="s">
        <v>6170</v>
      </c>
    </row>
    <row r="3934" spans="1:21" s="181" customFormat="1" ht="0" hidden="1" customHeight="1" outlineLevel="4">
      <c r="A3934" s="253" t="s">
        <v>4241</v>
      </c>
      <c r="B3934" s="254"/>
      <c r="C3934" s="250" t="s">
        <v>1609</v>
      </c>
      <c r="D3934" s="203">
        <f>'02 项目基础信息（输入）'!$C$93</f>
        <v>0</v>
      </c>
      <c r="E3934" s="204" t="s">
        <v>93</v>
      </c>
      <c r="F3934" s="202" t="s">
        <v>1704</v>
      </c>
      <c r="G3934" s="261">
        <f>IFERROR(I3934/D3934,0)</f>
        <v>0</v>
      </c>
      <c r="H3934" s="204" t="s">
        <v>298</v>
      </c>
      <c r="I3934" s="270"/>
      <c r="J3934" s="204" t="s">
        <v>93</v>
      </c>
      <c r="K3934" s="269"/>
      <c r="L3934" s="210" t="s">
        <v>675</v>
      </c>
      <c r="M3934" s="198">
        <f>ROUND(K3934*I3934/10000,6)</f>
        <v>0</v>
      </c>
      <c r="N3934" s="212">
        <f>'02 项目基础信息（输入）'!$C$93</f>
        <v>0</v>
      </c>
      <c r="O3934" s="212">
        <f t="shared" si="454"/>
        <v>0</v>
      </c>
      <c r="P3934" s="212">
        <f>'02 项目基础信息（输入）'!$C$93</f>
        <v>0</v>
      </c>
      <c r="Q3934" s="271">
        <f t="shared" si="455"/>
        <v>0</v>
      </c>
      <c r="R3934" s="188"/>
      <c r="S3934" s="280"/>
      <c r="T3934" s="222"/>
      <c r="U3934" s="272" t="s">
        <v>6171</v>
      </c>
    </row>
    <row r="3935" spans="1:21" s="181" customFormat="1" ht="0" hidden="1" customHeight="1" outlineLevel="4">
      <c r="A3935" s="253" t="s">
        <v>4243</v>
      </c>
      <c r="B3935" s="254"/>
      <c r="C3935" s="250" t="s">
        <v>1609</v>
      </c>
      <c r="D3935" s="203">
        <f>'02 项目基础信息（输入）'!$C$93</f>
        <v>0</v>
      </c>
      <c r="E3935" s="204" t="s">
        <v>93</v>
      </c>
      <c r="F3935" s="202" t="s">
        <v>4244</v>
      </c>
      <c r="G3935" s="261">
        <f>IFERROR(I3935/D3935,0)</f>
        <v>0</v>
      </c>
      <c r="H3935" s="204" t="s">
        <v>1473</v>
      </c>
      <c r="I3935" s="270"/>
      <c r="J3935" s="204" t="s">
        <v>131</v>
      </c>
      <c r="K3935" s="269"/>
      <c r="L3935" s="210" t="s">
        <v>675</v>
      </c>
      <c r="M3935" s="198">
        <f>ROUND(K3935*I3935/10000,6)</f>
        <v>0</v>
      </c>
      <c r="N3935" s="212">
        <f>'02 项目基础信息（输入）'!$C$93</f>
        <v>0</v>
      </c>
      <c r="O3935" s="212">
        <f t="shared" si="454"/>
        <v>0</v>
      </c>
      <c r="P3935" s="212">
        <f>'02 项目基础信息（输入）'!$C$93</f>
        <v>0</v>
      </c>
      <c r="Q3935" s="271">
        <f t="shared" si="455"/>
        <v>0</v>
      </c>
      <c r="R3935" s="188"/>
      <c r="S3935" s="280"/>
      <c r="T3935" s="222"/>
      <c r="U3935" s="272" t="s">
        <v>6172</v>
      </c>
    </row>
    <row r="3936" spans="1:21" ht="0" hidden="1" customHeight="1" outlineLevel="2">
      <c r="A3936" s="201" t="s">
        <v>4252</v>
      </c>
      <c r="B3936" s="249"/>
      <c r="C3936" s="250" t="s">
        <v>1609</v>
      </c>
      <c r="D3936" s="203">
        <f>'02 项目基础信息（输入）'!$C$93</f>
        <v>0</v>
      </c>
      <c r="E3936" s="204" t="s">
        <v>93</v>
      </c>
      <c r="F3936" s="202"/>
      <c r="G3936" s="255"/>
      <c r="H3936" s="204"/>
      <c r="I3936" s="203"/>
      <c r="J3936" s="204"/>
      <c r="K3936" s="264"/>
      <c r="L3936" s="210"/>
      <c r="M3936" s="198">
        <f>ROUND(M3937+M3940+M3941+M3942+M3943+M3944+M3945+M3946+M3947,6)</f>
        <v>0</v>
      </c>
      <c r="N3936" s="212">
        <f>'02 项目基础信息（输入）'!$C$93</f>
        <v>0</v>
      </c>
      <c r="O3936" s="212">
        <f t="shared" si="454"/>
        <v>0</v>
      </c>
      <c r="P3936" s="212">
        <f>'02 项目基础信息（输入）'!$C$93</f>
        <v>0</v>
      </c>
      <c r="Q3936" s="271">
        <f t="shared" si="455"/>
        <v>0</v>
      </c>
      <c r="S3936" s="280" t="s">
        <v>1313</v>
      </c>
      <c r="T3936" s="222"/>
      <c r="U3936" s="272" t="s">
        <v>6173</v>
      </c>
    </row>
    <row r="3937" spans="1:21" s="181" customFormat="1" ht="0" hidden="1" customHeight="1" outlineLevel="4">
      <c r="A3937" s="253" t="s">
        <v>4254</v>
      </c>
      <c r="B3937" s="254"/>
      <c r="C3937" s="250" t="s">
        <v>1609</v>
      </c>
      <c r="D3937" s="203">
        <f>'02 项目基础信息（输入）'!$C$93</f>
        <v>0</v>
      </c>
      <c r="E3937" s="204" t="s">
        <v>93</v>
      </c>
      <c r="F3937" s="256"/>
      <c r="G3937" s="258"/>
      <c r="H3937" s="255"/>
      <c r="I3937" s="268"/>
      <c r="J3937" s="255"/>
      <c r="K3937" s="264"/>
      <c r="L3937" s="205"/>
      <c r="M3937" s="198">
        <f>ROUND(SUM(M3938:M3939),6)</f>
        <v>0</v>
      </c>
      <c r="N3937" s="212">
        <f>'02 项目基础信息（输入）'!$C$93</f>
        <v>0</v>
      </c>
      <c r="O3937" s="212">
        <f t="shared" si="454"/>
        <v>0</v>
      </c>
      <c r="P3937" s="212">
        <f>'02 项目基础信息（输入）'!$C$93</f>
        <v>0</v>
      </c>
      <c r="Q3937" s="271">
        <f t="shared" si="455"/>
        <v>0</v>
      </c>
      <c r="R3937" s="188"/>
      <c r="S3937" s="280"/>
      <c r="T3937" s="222"/>
      <c r="U3937" s="272" t="s">
        <v>6174</v>
      </c>
    </row>
    <row r="3938" spans="1:21" s="181" customFormat="1" ht="0" hidden="1" customHeight="1" outlineLevel="5">
      <c r="A3938" s="253" t="s">
        <v>4850</v>
      </c>
      <c r="B3938" s="254"/>
      <c r="C3938" s="250" t="s">
        <v>1609</v>
      </c>
      <c r="D3938" s="203">
        <f>'02 项目基础信息（输入）'!$C$93</f>
        <v>0</v>
      </c>
      <c r="E3938" s="204" t="s">
        <v>93</v>
      </c>
      <c r="F3938" s="202" t="s">
        <v>984</v>
      </c>
      <c r="G3938" s="284"/>
      <c r="H3938" s="204" t="s">
        <v>966</v>
      </c>
      <c r="I3938" s="265">
        <f t="shared" ref="I3938:I3946" si="456">D3938*G3938</f>
        <v>0</v>
      </c>
      <c r="J3938" s="204" t="s">
        <v>1617</v>
      </c>
      <c r="K3938" s="214"/>
      <c r="L3938" s="210" t="s">
        <v>664</v>
      </c>
      <c r="M3938" s="198">
        <f t="shared" ref="M3938:M3946" si="457">ROUND(K3938*I3938/10000,6)</f>
        <v>0</v>
      </c>
      <c r="N3938" s="212">
        <f>'02 项目基础信息（输入）'!$C$93</f>
        <v>0</v>
      </c>
      <c r="O3938" s="212">
        <f t="shared" si="454"/>
        <v>0</v>
      </c>
      <c r="P3938" s="212">
        <f>'02 项目基础信息（输入）'!$C$93</f>
        <v>0</v>
      </c>
      <c r="Q3938" s="271">
        <f t="shared" si="455"/>
        <v>0</v>
      </c>
      <c r="R3938" s="188"/>
      <c r="S3938" s="280"/>
      <c r="T3938" s="222"/>
      <c r="U3938" s="272" t="s">
        <v>6175</v>
      </c>
    </row>
    <row r="3939" spans="1:21" s="181" customFormat="1" ht="0" hidden="1" customHeight="1" outlineLevel="5">
      <c r="A3939" s="253" t="s">
        <v>4258</v>
      </c>
      <c r="B3939" s="254"/>
      <c r="C3939" s="250" t="s">
        <v>1609</v>
      </c>
      <c r="D3939" s="203">
        <f>'02 项目基础信息（输入）'!$C$93</f>
        <v>0</v>
      </c>
      <c r="E3939" s="204" t="s">
        <v>93</v>
      </c>
      <c r="F3939" s="202" t="s">
        <v>984</v>
      </c>
      <c r="G3939" s="258">
        <f>G3938</f>
        <v>0</v>
      </c>
      <c r="H3939" s="204" t="s">
        <v>966</v>
      </c>
      <c r="I3939" s="265">
        <f t="shared" si="456"/>
        <v>0</v>
      </c>
      <c r="J3939" s="204" t="s">
        <v>1617</v>
      </c>
      <c r="K3939" s="214"/>
      <c r="L3939" s="210" t="s">
        <v>664</v>
      </c>
      <c r="M3939" s="198">
        <f t="shared" si="457"/>
        <v>0</v>
      </c>
      <c r="N3939" s="212">
        <f>'02 项目基础信息（输入）'!$C$93</f>
        <v>0</v>
      </c>
      <c r="O3939" s="212">
        <f t="shared" si="454"/>
        <v>0</v>
      </c>
      <c r="P3939" s="212">
        <f>'02 项目基础信息（输入）'!$C$93</f>
        <v>0</v>
      </c>
      <c r="Q3939" s="271">
        <f t="shared" si="455"/>
        <v>0</v>
      </c>
      <c r="R3939" s="188"/>
      <c r="S3939" s="280"/>
      <c r="T3939" s="222"/>
      <c r="U3939" s="272" t="s">
        <v>6176</v>
      </c>
    </row>
    <row r="3940" spans="1:21" s="181" customFormat="1" ht="0" hidden="1" customHeight="1" outlineLevel="4">
      <c r="A3940" s="253" t="s">
        <v>4260</v>
      </c>
      <c r="B3940" s="254"/>
      <c r="C3940" s="250" t="s">
        <v>1609</v>
      </c>
      <c r="D3940" s="203">
        <f>'02 项目基础信息（输入）'!$C$93</f>
        <v>0</v>
      </c>
      <c r="E3940" s="204" t="s">
        <v>93</v>
      </c>
      <c r="F3940" s="202" t="s">
        <v>984</v>
      </c>
      <c r="G3940" s="258">
        <f>G3939</f>
        <v>0</v>
      </c>
      <c r="H3940" s="204" t="s">
        <v>966</v>
      </c>
      <c r="I3940" s="265">
        <f t="shared" si="456"/>
        <v>0</v>
      </c>
      <c r="J3940" s="204" t="s">
        <v>1617</v>
      </c>
      <c r="K3940" s="214"/>
      <c r="L3940" s="210" t="s">
        <v>664</v>
      </c>
      <c r="M3940" s="198">
        <f t="shared" si="457"/>
        <v>0</v>
      </c>
      <c r="N3940" s="212">
        <f>'02 项目基础信息（输入）'!$C$93</f>
        <v>0</v>
      </c>
      <c r="O3940" s="212">
        <f t="shared" si="454"/>
        <v>0</v>
      </c>
      <c r="P3940" s="212">
        <f>'02 项目基础信息（输入）'!$C$93</f>
        <v>0</v>
      </c>
      <c r="Q3940" s="271">
        <f t="shared" si="455"/>
        <v>0</v>
      </c>
      <c r="R3940" s="188"/>
      <c r="S3940" s="280"/>
      <c r="T3940" s="222"/>
      <c r="U3940" s="272" t="s">
        <v>6177</v>
      </c>
    </row>
    <row r="3941" spans="1:21" s="181" customFormat="1" ht="0" hidden="1" customHeight="1" outlineLevel="3">
      <c r="A3941" s="253" t="s">
        <v>4854</v>
      </c>
      <c r="B3941" s="254"/>
      <c r="C3941" s="250" t="s">
        <v>1609</v>
      </c>
      <c r="D3941" s="203">
        <f>'02 项目基础信息（输入）'!$C$93</f>
        <v>0</v>
      </c>
      <c r="E3941" s="204" t="s">
        <v>93</v>
      </c>
      <c r="F3941" s="202" t="s">
        <v>4478</v>
      </c>
      <c r="G3941" s="286"/>
      <c r="H3941" s="204" t="s">
        <v>298</v>
      </c>
      <c r="I3941" s="265">
        <f t="shared" si="456"/>
        <v>0</v>
      </c>
      <c r="J3941" s="204" t="s">
        <v>93</v>
      </c>
      <c r="K3941" s="269"/>
      <c r="L3941" s="210" t="s">
        <v>675</v>
      </c>
      <c r="M3941" s="198">
        <f t="shared" si="457"/>
        <v>0</v>
      </c>
      <c r="N3941" s="212">
        <f>'02 项目基础信息（输入）'!$C$93</f>
        <v>0</v>
      </c>
      <c r="O3941" s="212">
        <f t="shared" si="454"/>
        <v>0</v>
      </c>
      <c r="P3941" s="212">
        <f>'02 项目基础信息（输入）'!$C$93</f>
        <v>0</v>
      </c>
      <c r="Q3941" s="271">
        <f t="shared" si="455"/>
        <v>0</v>
      </c>
      <c r="R3941" s="188"/>
      <c r="S3941" s="280"/>
      <c r="T3941" s="222"/>
      <c r="U3941" s="272" t="s">
        <v>6178</v>
      </c>
    </row>
    <row r="3942" spans="1:21" s="181" customFormat="1" ht="0" hidden="1" customHeight="1" outlineLevel="3">
      <c r="A3942" s="253" t="s">
        <v>4856</v>
      </c>
      <c r="B3942" s="254"/>
      <c r="C3942" s="250" t="s">
        <v>1609</v>
      </c>
      <c r="D3942" s="203">
        <f>'02 项目基础信息（输入）'!$C$93</f>
        <v>0</v>
      </c>
      <c r="E3942" s="204" t="s">
        <v>93</v>
      </c>
      <c r="F3942" s="202" t="s">
        <v>984</v>
      </c>
      <c r="G3942" s="286"/>
      <c r="H3942" s="204" t="s">
        <v>966</v>
      </c>
      <c r="I3942" s="265">
        <f t="shared" si="456"/>
        <v>0</v>
      </c>
      <c r="J3942" s="204" t="s">
        <v>1617</v>
      </c>
      <c r="K3942" s="269"/>
      <c r="L3942" s="210" t="s">
        <v>664</v>
      </c>
      <c r="M3942" s="198">
        <f t="shared" si="457"/>
        <v>0</v>
      </c>
      <c r="N3942" s="212">
        <f>'02 项目基础信息（输入）'!$C$93</f>
        <v>0</v>
      </c>
      <c r="O3942" s="212">
        <f t="shared" si="454"/>
        <v>0</v>
      </c>
      <c r="P3942" s="212">
        <f>'02 项目基础信息（输入）'!$C$93</f>
        <v>0</v>
      </c>
      <c r="Q3942" s="271">
        <f t="shared" si="455"/>
        <v>0</v>
      </c>
      <c r="R3942" s="188"/>
      <c r="S3942" s="280"/>
      <c r="T3942" s="222"/>
      <c r="U3942" s="272" t="s">
        <v>6179</v>
      </c>
    </row>
    <row r="3943" spans="1:21" s="181" customFormat="1" ht="0" hidden="1" customHeight="1" outlineLevel="3">
      <c r="A3943" s="253" t="s">
        <v>4858</v>
      </c>
      <c r="B3943" s="254"/>
      <c r="C3943" s="250" t="s">
        <v>1609</v>
      </c>
      <c r="D3943" s="203">
        <f>'02 项目基础信息（输入）'!$C$93</f>
        <v>0</v>
      </c>
      <c r="E3943" s="204" t="s">
        <v>93</v>
      </c>
      <c r="F3943" s="202" t="s">
        <v>984</v>
      </c>
      <c r="G3943" s="286"/>
      <c r="H3943" s="204" t="s">
        <v>966</v>
      </c>
      <c r="I3943" s="265">
        <f t="shared" si="456"/>
        <v>0</v>
      </c>
      <c r="J3943" s="204" t="s">
        <v>1617</v>
      </c>
      <c r="K3943" s="269"/>
      <c r="L3943" s="210" t="s">
        <v>664</v>
      </c>
      <c r="M3943" s="198">
        <f t="shared" si="457"/>
        <v>0</v>
      </c>
      <c r="N3943" s="212">
        <f>'02 项目基础信息（输入）'!$C$93</f>
        <v>0</v>
      </c>
      <c r="O3943" s="212">
        <f t="shared" si="454"/>
        <v>0</v>
      </c>
      <c r="P3943" s="212">
        <f>'02 项目基础信息（输入）'!$C$93</f>
        <v>0</v>
      </c>
      <c r="Q3943" s="271">
        <f t="shared" si="455"/>
        <v>0</v>
      </c>
      <c r="R3943" s="188"/>
      <c r="S3943" s="280"/>
      <c r="T3943" s="222"/>
      <c r="U3943" s="272" t="s">
        <v>6180</v>
      </c>
    </row>
    <row r="3944" spans="1:21" s="181" customFormat="1" ht="0" hidden="1" customHeight="1" outlineLevel="3">
      <c r="A3944" s="253" t="s">
        <v>4860</v>
      </c>
      <c r="B3944" s="254"/>
      <c r="C3944" s="250" t="s">
        <v>1609</v>
      </c>
      <c r="D3944" s="203">
        <f>'02 项目基础信息（输入）'!$C$93</f>
        <v>0</v>
      </c>
      <c r="E3944" s="204" t="s">
        <v>93</v>
      </c>
      <c r="F3944" s="282" t="s">
        <v>1609</v>
      </c>
      <c r="G3944" s="283">
        <v>1</v>
      </c>
      <c r="H3944" s="204" t="s">
        <v>298</v>
      </c>
      <c r="I3944" s="265">
        <f t="shared" si="456"/>
        <v>0</v>
      </c>
      <c r="J3944" s="204" t="s">
        <v>93</v>
      </c>
      <c r="K3944" s="269"/>
      <c r="L3944" s="210" t="s">
        <v>675</v>
      </c>
      <c r="M3944" s="198">
        <f t="shared" si="457"/>
        <v>0</v>
      </c>
      <c r="N3944" s="212">
        <f>'02 项目基础信息（输入）'!$C$93</f>
        <v>0</v>
      </c>
      <c r="O3944" s="212">
        <f t="shared" si="454"/>
        <v>0</v>
      </c>
      <c r="P3944" s="212">
        <f>'02 项目基础信息（输入）'!$C$93</f>
        <v>0</v>
      </c>
      <c r="Q3944" s="271">
        <f t="shared" si="455"/>
        <v>0</v>
      </c>
      <c r="R3944" s="188"/>
      <c r="S3944" s="280"/>
      <c r="T3944" s="222"/>
      <c r="U3944" s="272" t="s">
        <v>6181</v>
      </c>
    </row>
    <row r="3945" spans="1:21" s="181" customFormat="1" ht="0" hidden="1" customHeight="1" outlineLevel="3">
      <c r="A3945" s="253" t="s">
        <v>4262</v>
      </c>
      <c r="B3945" s="254"/>
      <c r="C3945" s="250" t="s">
        <v>1609</v>
      </c>
      <c r="D3945" s="203">
        <f>'02 项目基础信息（输入）'!$C$93</f>
        <v>0</v>
      </c>
      <c r="E3945" s="204" t="s">
        <v>93</v>
      </c>
      <c r="F3945" s="202" t="s">
        <v>984</v>
      </c>
      <c r="G3945" s="353"/>
      <c r="H3945" s="204" t="s">
        <v>966</v>
      </c>
      <c r="I3945" s="265">
        <f t="shared" si="456"/>
        <v>0</v>
      </c>
      <c r="J3945" s="204" t="s">
        <v>1617</v>
      </c>
      <c r="K3945" s="269"/>
      <c r="L3945" s="210" t="s">
        <v>664</v>
      </c>
      <c r="M3945" s="198">
        <f t="shared" si="457"/>
        <v>0</v>
      </c>
      <c r="N3945" s="212">
        <f>'02 项目基础信息（输入）'!$C$93</f>
        <v>0</v>
      </c>
      <c r="O3945" s="212">
        <f t="shared" si="454"/>
        <v>0</v>
      </c>
      <c r="P3945" s="212">
        <f>'02 项目基础信息（输入）'!$C$93</f>
        <v>0</v>
      </c>
      <c r="Q3945" s="271">
        <f t="shared" si="455"/>
        <v>0</v>
      </c>
      <c r="R3945" s="188"/>
      <c r="S3945" s="280"/>
      <c r="T3945" s="222"/>
      <c r="U3945" s="272" t="s">
        <v>6182</v>
      </c>
    </row>
    <row r="3946" spans="1:21" s="181" customFormat="1" ht="0" hidden="1" customHeight="1" outlineLevel="3">
      <c r="A3946" s="253" t="s">
        <v>4264</v>
      </c>
      <c r="B3946" s="254"/>
      <c r="C3946" s="250" t="s">
        <v>1609</v>
      </c>
      <c r="D3946" s="203">
        <f>'02 项目基础信息（输入）'!$C$93</f>
        <v>0</v>
      </c>
      <c r="E3946" s="204" t="s">
        <v>93</v>
      </c>
      <c r="F3946" s="202" t="s">
        <v>984</v>
      </c>
      <c r="G3946" s="258">
        <f>G3938+G3941+G3942+G3943+G3945</f>
        <v>0</v>
      </c>
      <c r="H3946" s="204" t="s">
        <v>966</v>
      </c>
      <c r="I3946" s="265">
        <f t="shared" si="456"/>
        <v>0</v>
      </c>
      <c r="J3946" s="204" t="s">
        <v>1617</v>
      </c>
      <c r="K3946" s="269"/>
      <c r="L3946" s="210" t="s">
        <v>664</v>
      </c>
      <c r="M3946" s="198">
        <f t="shared" si="457"/>
        <v>0</v>
      </c>
      <c r="N3946" s="212">
        <f>'02 项目基础信息（输入）'!$C$93</f>
        <v>0</v>
      </c>
      <c r="O3946" s="212">
        <f t="shared" si="454"/>
        <v>0</v>
      </c>
      <c r="P3946" s="212">
        <f>'02 项目基础信息（输入）'!$C$93</f>
        <v>0</v>
      </c>
      <c r="Q3946" s="271">
        <f t="shared" si="455"/>
        <v>0</v>
      </c>
      <c r="R3946" s="188"/>
      <c r="S3946" s="280"/>
      <c r="T3946" s="222"/>
      <c r="U3946" s="272" t="s">
        <v>6183</v>
      </c>
    </row>
    <row r="3947" spans="1:21" s="181" customFormat="1" ht="0" hidden="1" customHeight="1" outlineLevel="3">
      <c r="A3947" s="253" t="s">
        <v>4266</v>
      </c>
      <c r="B3947" s="254"/>
      <c r="C3947" s="250" t="s">
        <v>1665</v>
      </c>
      <c r="D3947" s="203">
        <f>ROUND(M3937+M3940+M3941+M3942+M3943+M3944+M3945,6)*10000</f>
        <v>0</v>
      </c>
      <c r="E3947" s="204" t="s">
        <v>1666</v>
      </c>
      <c r="F3947" s="202" t="s">
        <v>1667</v>
      </c>
      <c r="G3947" s="258">
        <f>IFERROR(I3947*100/D3947,0)</f>
        <v>0</v>
      </c>
      <c r="H3947" s="204" t="s">
        <v>123</v>
      </c>
      <c r="I3947" s="265">
        <f>N3947*K3947</f>
        <v>0</v>
      </c>
      <c r="J3947" s="204" t="s">
        <v>1666</v>
      </c>
      <c r="K3947" s="269"/>
      <c r="L3947" s="210" t="s">
        <v>675</v>
      </c>
      <c r="M3947" s="231">
        <f>ROUND(I3947/10000,6)</f>
        <v>0</v>
      </c>
      <c r="N3947" s="212">
        <f>'02 项目基础信息（输入）'!$C$93</f>
        <v>0</v>
      </c>
      <c r="O3947" s="212">
        <f t="shared" si="454"/>
        <v>0</v>
      </c>
      <c r="P3947" s="212">
        <f>'02 项目基础信息（输入）'!$C$93</f>
        <v>0</v>
      </c>
      <c r="Q3947" s="271">
        <f t="shared" si="455"/>
        <v>0</v>
      </c>
      <c r="R3947" s="188"/>
      <c r="S3947" s="280"/>
      <c r="T3947" s="222"/>
      <c r="U3947" s="272" t="s">
        <v>6184</v>
      </c>
    </row>
    <row r="3948" spans="1:21" ht="0" hidden="1" customHeight="1" outlineLevel="2">
      <c r="A3948" s="201" t="s">
        <v>4489</v>
      </c>
      <c r="B3948" s="201"/>
      <c r="C3948" s="202" t="s">
        <v>1609</v>
      </c>
      <c r="D3948" s="203">
        <f>'02 项目基础信息（输入）'!$C$93</f>
        <v>0</v>
      </c>
      <c r="E3948" s="204" t="s">
        <v>93</v>
      </c>
      <c r="F3948" s="202"/>
      <c r="G3948" s="255"/>
      <c r="H3948" s="204"/>
      <c r="I3948" s="203"/>
      <c r="J3948" s="204"/>
      <c r="K3948" s="264"/>
      <c r="L3948" s="210"/>
      <c r="M3948" s="198">
        <f>ROUND(M3949+M3963+M3966,6)</f>
        <v>0</v>
      </c>
      <c r="N3948" s="212">
        <f>'02 项目基础信息（输入）'!$C$93</f>
        <v>0</v>
      </c>
      <c r="O3948" s="212">
        <f t="shared" si="454"/>
        <v>0</v>
      </c>
      <c r="P3948" s="212">
        <f>'02 项目基础信息（输入）'!$C$93</f>
        <v>0</v>
      </c>
      <c r="Q3948" s="271">
        <f t="shared" si="455"/>
        <v>0</v>
      </c>
      <c r="S3948" s="280" t="s">
        <v>1314</v>
      </c>
      <c r="T3948" s="222"/>
      <c r="U3948" s="272" t="s">
        <v>6185</v>
      </c>
    </row>
    <row r="3949" spans="1:21" s="181" customFormat="1" ht="0" hidden="1" customHeight="1" outlineLevel="3">
      <c r="A3949" s="253" t="s">
        <v>4491</v>
      </c>
      <c r="B3949" s="254"/>
      <c r="C3949" s="250" t="s">
        <v>1609</v>
      </c>
      <c r="D3949" s="203">
        <f>'02 项目基础信息（输入）'!$C$93</f>
        <v>0</v>
      </c>
      <c r="E3949" s="204" t="s">
        <v>93</v>
      </c>
      <c r="F3949" s="202"/>
      <c r="G3949" s="204"/>
      <c r="H3949" s="204"/>
      <c r="I3949" s="265"/>
      <c r="J3949" s="204"/>
      <c r="K3949" s="203"/>
      <c r="L3949" s="210"/>
      <c r="M3949" s="198">
        <f>ROUND(M3950+M3953+M3954+M3955+M3956+M3959+M3960+M3961+M3962,6)</f>
        <v>0</v>
      </c>
      <c r="N3949" s="212">
        <f>'02 项目基础信息（输入）'!$C$93</f>
        <v>0</v>
      </c>
      <c r="O3949" s="212">
        <f t="shared" si="454"/>
        <v>0</v>
      </c>
      <c r="P3949" s="212">
        <f>'02 项目基础信息（输入）'!$C$93</f>
        <v>0</v>
      </c>
      <c r="Q3949" s="271">
        <f t="shared" si="455"/>
        <v>0</v>
      </c>
      <c r="R3949" s="188"/>
      <c r="S3949" s="280"/>
      <c r="T3949" s="222"/>
      <c r="U3949" s="272" t="s">
        <v>6186</v>
      </c>
    </row>
    <row r="3950" spans="1:21" s="181" customFormat="1" ht="0" hidden="1" customHeight="1" outlineLevel="4">
      <c r="A3950" s="253" t="s">
        <v>4493</v>
      </c>
      <c r="B3950" s="254"/>
      <c r="C3950" s="250" t="s">
        <v>1609</v>
      </c>
      <c r="D3950" s="203">
        <f>'02 项目基础信息（输入）'!$C$93</f>
        <v>0</v>
      </c>
      <c r="E3950" s="204" t="s">
        <v>93</v>
      </c>
      <c r="F3950" s="202"/>
      <c r="G3950" s="221"/>
      <c r="H3950" s="204"/>
      <c r="I3950" s="265"/>
      <c r="J3950" s="204"/>
      <c r="K3950" s="266"/>
      <c r="L3950" s="210"/>
      <c r="M3950" s="198">
        <f>ROUND(SUM(M3951:M3952),6)</f>
        <v>0</v>
      </c>
      <c r="N3950" s="212">
        <f>'02 项目基础信息（输入）'!$C$93</f>
        <v>0</v>
      </c>
      <c r="O3950" s="212">
        <f t="shared" si="454"/>
        <v>0</v>
      </c>
      <c r="P3950" s="212">
        <f>'02 项目基础信息（输入）'!$C$93</f>
        <v>0</v>
      </c>
      <c r="Q3950" s="271">
        <f t="shared" si="455"/>
        <v>0</v>
      </c>
      <c r="R3950" s="188"/>
      <c r="S3950" s="280"/>
      <c r="T3950" s="222"/>
      <c r="U3950" s="272" t="s">
        <v>6187</v>
      </c>
    </row>
    <row r="3951" spans="1:21" s="181" customFormat="1" ht="0" hidden="1" customHeight="1" outlineLevel="5">
      <c r="A3951" s="253" t="s">
        <v>4868</v>
      </c>
      <c r="B3951" s="254"/>
      <c r="C3951" s="250" t="s">
        <v>1609</v>
      </c>
      <c r="D3951" s="203">
        <f>'02 项目基础信息（输入）'!$C$93</f>
        <v>0</v>
      </c>
      <c r="E3951" s="204" t="s">
        <v>93</v>
      </c>
      <c r="F3951" s="202" t="s">
        <v>4496</v>
      </c>
      <c r="G3951" s="296">
        <f>IFERROR('02 项目基础信息（输入）'!BX93/'02 项目基础信息（输入）'!D93,0)</f>
        <v>0</v>
      </c>
      <c r="H3951" s="204" t="s">
        <v>298</v>
      </c>
      <c r="I3951" s="265">
        <f>D3951*G3951</f>
        <v>0</v>
      </c>
      <c r="J3951" s="204" t="s">
        <v>93</v>
      </c>
      <c r="K3951" s="269"/>
      <c r="L3951" s="210" t="s">
        <v>675</v>
      </c>
      <c r="M3951" s="198">
        <f>ROUND(K3951*I3951/10000,6)</f>
        <v>0</v>
      </c>
      <c r="N3951" s="212">
        <f>'02 项目基础信息（输入）'!$C$93</f>
        <v>0</v>
      </c>
      <c r="O3951" s="212">
        <f t="shared" si="454"/>
        <v>0</v>
      </c>
      <c r="P3951" s="212">
        <f>'02 项目基础信息（输入）'!$C$93</f>
        <v>0</v>
      </c>
      <c r="Q3951" s="271">
        <f t="shared" si="455"/>
        <v>0</v>
      </c>
      <c r="R3951" s="188"/>
      <c r="S3951" s="280"/>
      <c r="T3951" s="222"/>
      <c r="U3951" s="272" t="s">
        <v>6188</v>
      </c>
    </row>
    <row r="3952" spans="1:21" s="181" customFormat="1" ht="0" hidden="1" customHeight="1" outlineLevel="5">
      <c r="A3952" s="253" t="s">
        <v>4870</v>
      </c>
      <c r="B3952" s="254"/>
      <c r="C3952" s="250" t="s">
        <v>1609</v>
      </c>
      <c r="D3952" s="203">
        <f>'02 项目基础信息（输入）'!$C$93</f>
        <v>0</v>
      </c>
      <c r="E3952" s="204" t="s">
        <v>93</v>
      </c>
      <c r="F3952" s="202" t="s">
        <v>4496</v>
      </c>
      <c r="G3952" s="221">
        <f>G3951</f>
        <v>0</v>
      </c>
      <c r="H3952" s="204" t="s">
        <v>298</v>
      </c>
      <c r="I3952" s="265">
        <f>D3952*G3952</f>
        <v>0</v>
      </c>
      <c r="J3952" s="204" t="s">
        <v>93</v>
      </c>
      <c r="K3952" s="269"/>
      <c r="L3952" s="210" t="s">
        <v>675</v>
      </c>
      <c r="M3952" s="198">
        <f>ROUND(K3952*I3952/10000,6)</f>
        <v>0</v>
      </c>
      <c r="N3952" s="212">
        <f>'02 项目基础信息（输入）'!$C$93</f>
        <v>0</v>
      </c>
      <c r="O3952" s="212">
        <f t="shared" si="454"/>
        <v>0</v>
      </c>
      <c r="P3952" s="212">
        <f>'02 项目基础信息（输入）'!$C$93</f>
        <v>0</v>
      </c>
      <c r="Q3952" s="271">
        <f t="shared" si="455"/>
        <v>0</v>
      </c>
      <c r="R3952" s="188"/>
      <c r="S3952" s="280"/>
      <c r="T3952" s="222"/>
      <c r="U3952" s="272" t="s">
        <v>6189</v>
      </c>
    </row>
    <row r="3953" spans="1:21" s="181" customFormat="1" ht="0" hidden="1" customHeight="1" outlineLevel="4">
      <c r="A3953" s="253" t="s">
        <v>4872</v>
      </c>
      <c r="B3953" s="254"/>
      <c r="C3953" s="250" t="s">
        <v>1609</v>
      </c>
      <c r="D3953" s="203">
        <f>'02 项目基础信息（输入）'!$C$93</f>
        <v>0</v>
      </c>
      <c r="E3953" s="204" t="s">
        <v>93</v>
      </c>
      <c r="F3953" s="202" t="s">
        <v>4501</v>
      </c>
      <c r="G3953" s="281">
        <f>IFERROR('02 项目基础信息（输入）'!BW93/'02 项目基础信息（输入）'!D93,0)</f>
        <v>0</v>
      </c>
      <c r="H3953" s="204" t="s">
        <v>298</v>
      </c>
      <c r="I3953" s="265">
        <f>D3953*G3953</f>
        <v>0</v>
      </c>
      <c r="J3953" s="204" t="s">
        <v>93</v>
      </c>
      <c r="K3953" s="269"/>
      <c r="L3953" s="210" t="s">
        <v>675</v>
      </c>
      <c r="M3953" s="198">
        <f>ROUND(K3953*I3953/10000,6)</f>
        <v>0</v>
      </c>
      <c r="N3953" s="212">
        <f>'02 项目基础信息（输入）'!$C$93</f>
        <v>0</v>
      </c>
      <c r="O3953" s="212">
        <f t="shared" si="454"/>
        <v>0</v>
      </c>
      <c r="P3953" s="212">
        <f>'02 项目基础信息（输入）'!$C$93</f>
        <v>0</v>
      </c>
      <c r="Q3953" s="271">
        <f t="shared" si="455"/>
        <v>0</v>
      </c>
      <c r="R3953" s="188"/>
      <c r="S3953" s="280"/>
      <c r="T3953" s="222"/>
      <c r="U3953" s="272" t="s">
        <v>6190</v>
      </c>
    </row>
    <row r="3954" spans="1:21" s="181" customFormat="1" ht="0" hidden="1" customHeight="1" outlineLevel="4">
      <c r="A3954" s="253" t="s">
        <v>4874</v>
      </c>
      <c r="B3954" s="254"/>
      <c r="C3954" s="250" t="s">
        <v>1609</v>
      </c>
      <c r="D3954" s="203">
        <f>'02 项目基础信息（输入）'!$C$93</f>
        <v>0</v>
      </c>
      <c r="E3954" s="204" t="s">
        <v>93</v>
      </c>
      <c r="F3954" s="202" t="s">
        <v>4504</v>
      </c>
      <c r="G3954" s="281">
        <f>IFERROR('02 项目基础信息（输入）'!BY93/'02 项目基础信息（输入）'!D93,0)</f>
        <v>0</v>
      </c>
      <c r="H3954" s="204" t="s">
        <v>298</v>
      </c>
      <c r="I3954" s="265">
        <f>D3954*G3954</f>
        <v>0</v>
      </c>
      <c r="J3954" s="204" t="s">
        <v>93</v>
      </c>
      <c r="K3954" s="269"/>
      <c r="L3954" s="210" t="s">
        <v>675</v>
      </c>
      <c r="M3954" s="198">
        <f>ROUND(K3954*I3954/10000,6)</f>
        <v>0</v>
      </c>
      <c r="N3954" s="212">
        <f>'02 项目基础信息（输入）'!$C$93</f>
        <v>0</v>
      </c>
      <c r="O3954" s="212">
        <f t="shared" si="454"/>
        <v>0</v>
      </c>
      <c r="P3954" s="212">
        <f>'02 项目基础信息（输入）'!$C$93</f>
        <v>0</v>
      </c>
      <c r="Q3954" s="271">
        <f t="shared" si="455"/>
        <v>0</v>
      </c>
      <c r="R3954" s="188"/>
      <c r="S3954" s="280"/>
      <c r="T3954" s="222"/>
      <c r="U3954" s="272" t="s">
        <v>6191</v>
      </c>
    </row>
    <row r="3955" spans="1:21" s="181" customFormat="1" ht="0" hidden="1" customHeight="1" outlineLevel="4">
      <c r="A3955" s="253" t="s">
        <v>4876</v>
      </c>
      <c r="B3955" s="254"/>
      <c r="C3955" s="250" t="s">
        <v>1609</v>
      </c>
      <c r="D3955" s="203">
        <f>'02 项目基础信息（输入）'!$C$93</f>
        <v>0</v>
      </c>
      <c r="E3955" s="204" t="s">
        <v>93</v>
      </c>
      <c r="F3955" s="202" t="s">
        <v>475</v>
      </c>
      <c r="G3955" s="281">
        <f>IFERROR('02 项目基础信息（输入）'!BZ93/'02 项目基础信息（输入）'!D93,0)</f>
        <v>0</v>
      </c>
      <c r="H3955" s="204" t="s">
        <v>298</v>
      </c>
      <c r="I3955" s="265">
        <f>D3955*G3955</f>
        <v>0</v>
      </c>
      <c r="J3955" s="204" t="s">
        <v>93</v>
      </c>
      <c r="K3955" s="269"/>
      <c r="L3955" s="210" t="s">
        <v>675</v>
      </c>
      <c r="M3955" s="198">
        <f>ROUND(K3955*I3955/10000,6)</f>
        <v>0</v>
      </c>
      <c r="N3955" s="212">
        <f>'02 项目基础信息（输入）'!$C$93</f>
        <v>0</v>
      </c>
      <c r="O3955" s="212">
        <f t="shared" si="454"/>
        <v>0</v>
      </c>
      <c r="P3955" s="212">
        <f>'02 项目基础信息（输入）'!$C$93</f>
        <v>0</v>
      </c>
      <c r="Q3955" s="271">
        <f t="shared" si="455"/>
        <v>0</v>
      </c>
      <c r="R3955" s="188"/>
      <c r="S3955" s="280"/>
      <c r="T3955" s="222"/>
      <c r="U3955" s="272" t="s">
        <v>6192</v>
      </c>
    </row>
    <row r="3956" spans="1:21" s="181" customFormat="1" ht="0" hidden="1" customHeight="1" outlineLevel="4">
      <c r="A3956" s="253" t="s">
        <v>4508</v>
      </c>
      <c r="B3956" s="254"/>
      <c r="C3956" s="250" t="s">
        <v>1609</v>
      </c>
      <c r="D3956" s="203">
        <f>'02 项目基础信息（输入）'!$C$93</f>
        <v>0</v>
      </c>
      <c r="E3956" s="204" t="s">
        <v>93</v>
      </c>
      <c r="F3956" s="202"/>
      <c r="G3956" s="210"/>
      <c r="H3956" s="204"/>
      <c r="I3956" s="265"/>
      <c r="J3956" s="204"/>
      <c r="K3956" s="266"/>
      <c r="L3956" s="210"/>
      <c r="M3956" s="198">
        <f>ROUND(SUM(M3957:M3958),6)</f>
        <v>0</v>
      </c>
      <c r="N3956" s="212">
        <f>'02 项目基础信息（输入）'!$C$93</f>
        <v>0</v>
      </c>
      <c r="O3956" s="212">
        <f t="shared" si="454"/>
        <v>0</v>
      </c>
      <c r="P3956" s="212">
        <f>'02 项目基础信息（输入）'!$C$93</f>
        <v>0</v>
      </c>
      <c r="Q3956" s="271">
        <f t="shared" si="455"/>
        <v>0</v>
      </c>
      <c r="R3956" s="188"/>
      <c r="S3956" s="280"/>
      <c r="T3956" s="222"/>
      <c r="U3956" s="272" t="s">
        <v>6193</v>
      </c>
    </row>
    <row r="3957" spans="1:21" s="181" customFormat="1" ht="0" hidden="1" customHeight="1" outlineLevel="5">
      <c r="A3957" s="253" t="s">
        <v>4879</v>
      </c>
      <c r="B3957" s="254"/>
      <c r="C3957" s="250" t="s">
        <v>1609</v>
      </c>
      <c r="D3957" s="203">
        <f>'02 项目基础信息（输入）'!$C$93</f>
        <v>0</v>
      </c>
      <c r="E3957" s="204" t="s">
        <v>93</v>
      </c>
      <c r="F3957" s="202" t="s">
        <v>4511</v>
      </c>
      <c r="G3957" s="309"/>
      <c r="H3957" s="204" t="s">
        <v>298</v>
      </c>
      <c r="I3957" s="265">
        <f>D3957*G3957</f>
        <v>0</v>
      </c>
      <c r="J3957" s="204" t="s">
        <v>93</v>
      </c>
      <c r="K3957" s="269"/>
      <c r="L3957" s="210" t="s">
        <v>675</v>
      </c>
      <c r="M3957" s="198">
        <f>ROUND(K3957*I3957/10000,6)</f>
        <v>0</v>
      </c>
      <c r="N3957" s="212">
        <f>'02 项目基础信息（输入）'!$C$93</f>
        <v>0</v>
      </c>
      <c r="O3957" s="212">
        <f t="shared" si="454"/>
        <v>0</v>
      </c>
      <c r="P3957" s="212">
        <f>'02 项目基础信息（输入）'!$C$93</f>
        <v>0</v>
      </c>
      <c r="Q3957" s="271">
        <f t="shared" si="455"/>
        <v>0</v>
      </c>
      <c r="R3957" s="188"/>
      <c r="S3957" s="280"/>
      <c r="T3957" s="222"/>
      <c r="U3957" s="272" t="s">
        <v>6194</v>
      </c>
    </row>
    <row r="3958" spans="1:21" s="181" customFormat="1" ht="0" hidden="1" customHeight="1" outlineLevel="5">
      <c r="A3958" s="253" t="s">
        <v>4881</v>
      </c>
      <c r="B3958" s="254"/>
      <c r="C3958" s="250" t="s">
        <v>1609</v>
      </c>
      <c r="D3958" s="203">
        <f>'02 项目基础信息（输入）'!$C$93</f>
        <v>0</v>
      </c>
      <c r="E3958" s="204" t="s">
        <v>93</v>
      </c>
      <c r="F3958" s="202" t="s">
        <v>4511</v>
      </c>
      <c r="G3958" s="221">
        <f>G3957</f>
        <v>0</v>
      </c>
      <c r="H3958" s="204" t="s">
        <v>298</v>
      </c>
      <c r="I3958" s="265">
        <f>D3958*G3958</f>
        <v>0</v>
      </c>
      <c r="J3958" s="204" t="s">
        <v>93</v>
      </c>
      <c r="K3958" s="269"/>
      <c r="L3958" s="210" t="s">
        <v>675</v>
      </c>
      <c r="M3958" s="198">
        <f>ROUND(K3958*I3958/10000,6)</f>
        <v>0</v>
      </c>
      <c r="N3958" s="212">
        <f>'02 项目基础信息（输入）'!$C$93</f>
        <v>0</v>
      </c>
      <c r="O3958" s="212">
        <f t="shared" si="454"/>
        <v>0</v>
      </c>
      <c r="P3958" s="212">
        <f>'02 项目基础信息（输入）'!$C$93</f>
        <v>0</v>
      </c>
      <c r="Q3958" s="271">
        <f t="shared" si="455"/>
        <v>0</v>
      </c>
      <c r="R3958" s="188"/>
      <c r="S3958" s="280"/>
      <c r="T3958" s="222"/>
      <c r="U3958" s="272" t="s">
        <v>6195</v>
      </c>
    </row>
    <row r="3959" spans="1:21" s="181" customFormat="1" ht="0" hidden="1" customHeight="1" outlineLevel="4">
      <c r="A3959" s="253" t="s">
        <v>4883</v>
      </c>
      <c r="B3959" s="254"/>
      <c r="C3959" s="250" t="s">
        <v>1609</v>
      </c>
      <c r="D3959" s="203">
        <f>'02 项目基础信息（输入）'!$C$93</f>
        <v>0</v>
      </c>
      <c r="E3959" s="204" t="s">
        <v>93</v>
      </c>
      <c r="F3959" s="202" t="s">
        <v>4884</v>
      </c>
      <c r="G3959" s="261">
        <f>IFERROR(I3959/D3959,0)</f>
        <v>0</v>
      </c>
      <c r="H3959" s="204" t="s">
        <v>298</v>
      </c>
      <c r="I3959" s="270"/>
      <c r="J3959" s="204" t="s">
        <v>93</v>
      </c>
      <c r="K3959" s="269"/>
      <c r="L3959" s="210" t="s">
        <v>675</v>
      </c>
      <c r="M3959" s="198">
        <f>ROUND(K3959*I3959/10000,6)</f>
        <v>0</v>
      </c>
      <c r="N3959" s="212">
        <f>'02 项目基础信息（输入）'!$C$93</f>
        <v>0</v>
      </c>
      <c r="O3959" s="212">
        <f t="shared" si="454"/>
        <v>0</v>
      </c>
      <c r="P3959" s="212">
        <f>'02 项目基础信息（输入）'!$C$93</f>
        <v>0</v>
      </c>
      <c r="Q3959" s="271">
        <f t="shared" si="455"/>
        <v>0</v>
      </c>
      <c r="R3959" s="188"/>
      <c r="S3959" s="280"/>
      <c r="T3959" s="222"/>
      <c r="U3959" s="272" t="s">
        <v>6196</v>
      </c>
    </row>
    <row r="3960" spans="1:21" s="181" customFormat="1" ht="0" hidden="1" customHeight="1" outlineLevel="4">
      <c r="A3960" s="253" t="s">
        <v>4886</v>
      </c>
      <c r="B3960" s="254"/>
      <c r="C3960" s="250" t="s">
        <v>1609</v>
      </c>
      <c r="D3960" s="203">
        <f>'02 项目基础信息（输入）'!$C$93</f>
        <v>0</v>
      </c>
      <c r="E3960" s="204" t="s">
        <v>93</v>
      </c>
      <c r="F3960" s="202" t="s">
        <v>4884</v>
      </c>
      <c r="G3960" s="261">
        <f>IFERROR(I3960/D3960,0)</f>
        <v>0</v>
      </c>
      <c r="H3960" s="204" t="s">
        <v>298</v>
      </c>
      <c r="I3960" s="270"/>
      <c r="J3960" s="204" t="s">
        <v>93</v>
      </c>
      <c r="K3960" s="269"/>
      <c r="L3960" s="210" t="s">
        <v>675</v>
      </c>
      <c r="M3960" s="198">
        <f>ROUND(K3960*I3960/10000,6)</f>
        <v>0</v>
      </c>
      <c r="N3960" s="212">
        <f>'02 项目基础信息（输入）'!$C$93</f>
        <v>0</v>
      </c>
      <c r="O3960" s="212">
        <f t="shared" si="454"/>
        <v>0</v>
      </c>
      <c r="P3960" s="212">
        <f>'02 项目基础信息（输入）'!$C$93</f>
        <v>0</v>
      </c>
      <c r="Q3960" s="271">
        <f t="shared" si="455"/>
        <v>0</v>
      </c>
      <c r="R3960" s="188"/>
      <c r="S3960" s="280"/>
      <c r="T3960" s="222"/>
      <c r="U3960" s="272" t="s">
        <v>6197</v>
      </c>
    </row>
    <row r="3961" spans="1:21" s="181" customFormat="1" ht="0" hidden="1" customHeight="1" outlineLevel="4">
      <c r="A3961" s="253" t="s">
        <v>4888</v>
      </c>
      <c r="B3961" s="254"/>
      <c r="C3961" s="250" t="s">
        <v>1609</v>
      </c>
      <c r="D3961" s="203">
        <f>'02 项目基础信息（输入）'!$C$93</f>
        <v>0</v>
      </c>
      <c r="E3961" s="204" t="s">
        <v>93</v>
      </c>
      <c r="F3961" s="202" t="s">
        <v>4525</v>
      </c>
      <c r="G3961" s="286"/>
      <c r="H3961" s="204" t="s">
        <v>298</v>
      </c>
      <c r="I3961" s="265">
        <f>D3961*G3961</f>
        <v>0</v>
      </c>
      <c r="J3961" s="204" t="s">
        <v>93</v>
      </c>
      <c r="K3961" s="269"/>
      <c r="L3961" s="210" t="s">
        <v>675</v>
      </c>
      <c r="M3961" s="198">
        <f>ROUND(K3961*I3961/10000,6)</f>
        <v>0</v>
      </c>
      <c r="N3961" s="212">
        <f>'02 项目基础信息（输入）'!$C$93</f>
        <v>0</v>
      </c>
      <c r="O3961" s="212">
        <f t="shared" si="454"/>
        <v>0</v>
      </c>
      <c r="P3961" s="212">
        <f>'02 项目基础信息（输入）'!$C$93</f>
        <v>0</v>
      </c>
      <c r="Q3961" s="271">
        <f t="shared" si="455"/>
        <v>0</v>
      </c>
      <c r="R3961" s="188"/>
      <c r="S3961" s="280"/>
      <c r="T3961" s="222"/>
      <c r="U3961" s="272" t="s">
        <v>6198</v>
      </c>
    </row>
    <row r="3962" spans="1:21" s="181" customFormat="1" ht="0" hidden="1" customHeight="1" outlineLevel="4">
      <c r="A3962" s="253" t="s">
        <v>4527</v>
      </c>
      <c r="B3962" s="254"/>
      <c r="C3962" s="250" t="s">
        <v>1665</v>
      </c>
      <c r="D3962" s="203">
        <f>ROUND(M3950+M3953+M3954+M3955+M3956+M3959+M3960+M3961,6)*10000</f>
        <v>0</v>
      </c>
      <c r="E3962" s="204" t="s">
        <v>1666</v>
      </c>
      <c r="F3962" s="202" t="s">
        <v>1667</v>
      </c>
      <c r="G3962" s="258">
        <f>IFERROR(I3962*100/D3962,0)</f>
        <v>0</v>
      </c>
      <c r="H3962" s="204" t="s">
        <v>123</v>
      </c>
      <c r="I3962" s="265">
        <f>N3962*K3962</f>
        <v>0</v>
      </c>
      <c r="J3962" s="204" t="s">
        <v>1666</v>
      </c>
      <c r="K3962" s="269"/>
      <c r="L3962" s="210" t="s">
        <v>675</v>
      </c>
      <c r="M3962" s="231">
        <f>ROUND(I3962/10000,6)</f>
        <v>0</v>
      </c>
      <c r="N3962" s="212">
        <f>'02 项目基础信息（输入）'!$C$93</f>
        <v>0</v>
      </c>
      <c r="O3962" s="212">
        <f t="shared" si="454"/>
        <v>0</v>
      </c>
      <c r="P3962" s="212">
        <f>'02 项目基础信息（输入）'!$C$93</f>
        <v>0</v>
      </c>
      <c r="Q3962" s="271">
        <f t="shared" si="455"/>
        <v>0</v>
      </c>
      <c r="R3962" s="188"/>
      <c r="S3962" s="280"/>
      <c r="T3962" s="222"/>
      <c r="U3962" s="272" t="s">
        <v>6199</v>
      </c>
    </row>
    <row r="3963" spans="1:21" s="181" customFormat="1" ht="0" hidden="1" customHeight="1" outlineLevel="3">
      <c r="A3963" s="253" t="s">
        <v>4529</v>
      </c>
      <c r="B3963" s="254"/>
      <c r="C3963" s="250" t="s">
        <v>1609</v>
      </c>
      <c r="D3963" s="203">
        <f>'02 项目基础信息（输入）'!$C$93</f>
        <v>0</v>
      </c>
      <c r="E3963" s="204" t="s">
        <v>93</v>
      </c>
      <c r="F3963" s="202"/>
      <c r="G3963" s="204"/>
      <c r="H3963" s="204"/>
      <c r="I3963" s="265"/>
      <c r="J3963" s="204"/>
      <c r="K3963" s="203"/>
      <c r="L3963" s="210"/>
      <c r="M3963" s="198">
        <f>ROUND(SUM(M3964:M3965),6)</f>
        <v>0</v>
      </c>
      <c r="N3963" s="212">
        <f>'02 项目基础信息（输入）'!$C$93</f>
        <v>0</v>
      </c>
      <c r="O3963" s="212">
        <f t="shared" si="454"/>
        <v>0</v>
      </c>
      <c r="P3963" s="212">
        <f>'02 项目基础信息（输入）'!$C$93</f>
        <v>0</v>
      </c>
      <c r="Q3963" s="271">
        <f t="shared" si="455"/>
        <v>0</v>
      </c>
      <c r="R3963" s="188"/>
      <c r="S3963" s="280"/>
      <c r="T3963" s="222"/>
      <c r="U3963" s="272" t="s">
        <v>6200</v>
      </c>
    </row>
    <row r="3964" spans="1:21" s="181" customFormat="1" ht="0" hidden="1" customHeight="1" outlineLevel="4">
      <c r="A3964" s="253" t="s">
        <v>4892</v>
      </c>
      <c r="B3964" s="254"/>
      <c r="C3964" s="250" t="s">
        <v>1609</v>
      </c>
      <c r="D3964" s="203">
        <f>'02 项目基础信息（输入）'!$C$93</f>
        <v>0</v>
      </c>
      <c r="E3964" s="204" t="s">
        <v>93</v>
      </c>
      <c r="F3964" s="202" t="s">
        <v>4532</v>
      </c>
      <c r="G3964" s="286"/>
      <c r="H3964" s="204" t="s">
        <v>298</v>
      </c>
      <c r="I3964" s="265">
        <f>D3964*G3964</f>
        <v>0</v>
      </c>
      <c r="J3964" s="204" t="s">
        <v>93</v>
      </c>
      <c r="K3964" s="269"/>
      <c r="L3964" s="210" t="s">
        <v>675</v>
      </c>
      <c r="M3964" s="198">
        <f>ROUND(K3964*I3964/10000,6)</f>
        <v>0</v>
      </c>
      <c r="N3964" s="212">
        <f>'02 项目基础信息（输入）'!$C$93</f>
        <v>0</v>
      </c>
      <c r="O3964" s="212">
        <f t="shared" si="454"/>
        <v>0</v>
      </c>
      <c r="P3964" s="212">
        <f>'02 项目基础信息（输入）'!$C$93</f>
        <v>0</v>
      </c>
      <c r="Q3964" s="271">
        <f t="shared" si="455"/>
        <v>0</v>
      </c>
      <c r="R3964" s="188"/>
      <c r="S3964" s="280"/>
      <c r="T3964" s="222"/>
      <c r="U3964" s="272" t="s">
        <v>6201</v>
      </c>
    </row>
    <row r="3965" spans="1:21" s="181" customFormat="1" ht="0" hidden="1" customHeight="1" outlineLevel="4">
      <c r="A3965" s="253" t="s">
        <v>4894</v>
      </c>
      <c r="B3965" s="254"/>
      <c r="C3965" s="250" t="s">
        <v>1609</v>
      </c>
      <c r="D3965" s="203">
        <f>'02 项目基础信息（输入）'!$C$93</f>
        <v>0</v>
      </c>
      <c r="E3965" s="204" t="s">
        <v>93</v>
      </c>
      <c r="F3965" s="250" t="s">
        <v>4535</v>
      </c>
      <c r="G3965" s="204">
        <v>1</v>
      </c>
      <c r="H3965" s="204" t="s">
        <v>298</v>
      </c>
      <c r="I3965" s="265">
        <f>D3965*G3965</f>
        <v>0</v>
      </c>
      <c r="J3965" s="204" t="s">
        <v>93</v>
      </c>
      <c r="K3965" s="269"/>
      <c r="L3965" s="210" t="s">
        <v>675</v>
      </c>
      <c r="M3965" s="198">
        <f>ROUND(K3965*I3965/10000,6)</f>
        <v>0</v>
      </c>
      <c r="N3965" s="212">
        <f>'02 项目基础信息（输入）'!$C$93</f>
        <v>0</v>
      </c>
      <c r="O3965" s="212">
        <f t="shared" si="454"/>
        <v>0</v>
      </c>
      <c r="P3965" s="212">
        <f>'02 项目基础信息（输入）'!$C$93</f>
        <v>0</v>
      </c>
      <c r="Q3965" s="271">
        <f t="shared" si="455"/>
        <v>0</v>
      </c>
      <c r="R3965" s="188"/>
      <c r="S3965" s="280"/>
      <c r="T3965" s="222"/>
      <c r="U3965" s="272" t="s">
        <v>6202</v>
      </c>
    </row>
    <row r="3966" spans="1:21" s="181" customFormat="1" ht="0" hidden="1" customHeight="1" outlineLevel="3">
      <c r="A3966" s="253" t="s">
        <v>4537</v>
      </c>
      <c r="B3966" s="254"/>
      <c r="C3966" s="250" t="s">
        <v>1609</v>
      </c>
      <c r="D3966" s="203">
        <f>'02 项目基础信息（输入）'!$C$93</f>
        <v>0</v>
      </c>
      <c r="E3966" s="204" t="s">
        <v>93</v>
      </c>
      <c r="F3966" s="202"/>
      <c r="G3966" s="204"/>
      <c r="H3966" s="204"/>
      <c r="I3966" s="265"/>
      <c r="J3966" s="204"/>
      <c r="K3966" s="203"/>
      <c r="L3966" s="210"/>
      <c r="M3966" s="198">
        <f>ROUND(SUM(M3967),6)</f>
        <v>0</v>
      </c>
      <c r="N3966" s="212">
        <f>'02 项目基础信息（输入）'!$C$93</f>
        <v>0</v>
      </c>
      <c r="O3966" s="212">
        <f t="shared" si="454"/>
        <v>0</v>
      </c>
      <c r="P3966" s="212">
        <f>'02 项目基础信息（输入）'!$C$93</f>
        <v>0</v>
      </c>
      <c r="Q3966" s="271">
        <f t="shared" si="455"/>
        <v>0</v>
      </c>
      <c r="R3966" s="188"/>
      <c r="S3966" s="280"/>
      <c r="T3966" s="222"/>
      <c r="U3966" s="272" t="s">
        <v>6203</v>
      </c>
    </row>
    <row r="3967" spans="1:21" s="181" customFormat="1" ht="0" hidden="1" customHeight="1" outlineLevel="4">
      <c r="A3967" s="253" t="s">
        <v>4897</v>
      </c>
      <c r="B3967" s="254"/>
      <c r="C3967" s="250" t="s">
        <v>1609</v>
      </c>
      <c r="D3967" s="203">
        <f>'02 项目基础信息（输入）'!$C$93</f>
        <v>0</v>
      </c>
      <c r="E3967" s="204" t="s">
        <v>93</v>
      </c>
      <c r="F3967" s="202" t="s">
        <v>4540</v>
      </c>
      <c r="G3967" s="286"/>
      <c r="H3967" s="204" t="s">
        <v>298</v>
      </c>
      <c r="I3967" s="265">
        <f>D3967*G3967</f>
        <v>0</v>
      </c>
      <c r="J3967" s="204" t="s">
        <v>93</v>
      </c>
      <c r="K3967" s="269"/>
      <c r="L3967" s="210" t="s">
        <v>675</v>
      </c>
      <c r="M3967" s="198">
        <f>ROUND(K3967*I3967/10000,6)</f>
        <v>0</v>
      </c>
      <c r="N3967" s="212">
        <f>'02 项目基础信息（输入）'!$C$93</f>
        <v>0</v>
      </c>
      <c r="O3967" s="212">
        <f t="shared" si="454"/>
        <v>0</v>
      </c>
      <c r="P3967" s="212">
        <f>'02 项目基础信息（输入）'!$C$93</f>
        <v>0</v>
      </c>
      <c r="Q3967" s="271">
        <f t="shared" si="455"/>
        <v>0</v>
      </c>
      <c r="R3967" s="188"/>
      <c r="S3967" s="280"/>
      <c r="T3967" s="222"/>
      <c r="U3967" s="272" t="s">
        <v>6204</v>
      </c>
    </row>
    <row r="3968" spans="1:21" ht="0" hidden="1" customHeight="1" outlineLevel="2">
      <c r="A3968" s="201" t="s">
        <v>4542</v>
      </c>
      <c r="B3968" s="201"/>
      <c r="C3968" s="202" t="s">
        <v>1609</v>
      </c>
      <c r="D3968" s="203">
        <f>'02 项目基础信息（输入）'!$C$93</f>
        <v>0</v>
      </c>
      <c r="E3968" s="204" t="s">
        <v>93</v>
      </c>
      <c r="F3968" s="202"/>
      <c r="G3968" s="204"/>
      <c r="H3968" s="204"/>
      <c r="I3968" s="203"/>
      <c r="J3968" s="255"/>
      <c r="K3968" s="264"/>
      <c r="L3968" s="205"/>
      <c r="M3968" s="198">
        <f>ROUND(M3969+M3973+M3977+M3981+M3985+M3989+M3993+M3997+M4001+M4005+M4009+M4013+M4017+M4021+M4025+M4029+M4032+M4033+M4034+M4035,6)</f>
        <v>0</v>
      </c>
      <c r="N3968" s="212">
        <f>'02 项目基础信息（输入）'!$C$93</f>
        <v>0</v>
      </c>
      <c r="O3968" s="212">
        <f t="shared" si="454"/>
        <v>0</v>
      </c>
      <c r="P3968" s="212">
        <f>'02 项目基础信息（输入）'!$C$93</f>
        <v>0</v>
      </c>
      <c r="Q3968" s="271">
        <f t="shared" si="455"/>
        <v>0</v>
      </c>
      <c r="S3968" s="280" t="s">
        <v>1314</v>
      </c>
      <c r="T3968" s="222"/>
      <c r="U3968" s="272" t="s">
        <v>6205</v>
      </c>
    </row>
    <row r="3969" spans="1:21" s="181" customFormat="1" ht="0" hidden="1" customHeight="1" outlineLevel="3">
      <c r="A3969" s="253" t="s">
        <v>4900</v>
      </c>
      <c r="B3969" s="254"/>
      <c r="C3969" s="250" t="s">
        <v>1609</v>
      </c>
      <c r="D3969" s="203">
        <f>'02 项目基础信息（输入）'!$C$93</f>
        <v>0</v>
      </c>
      <c r="E3969" s="204" t="s">
        <v>93</v>
      </c>
      <c r="F3969" s="288"/>
      <c r="G3969" s="277"/>
      <c r="H3969" s="255"/>
      <c r="I3969" s="268"/>
      <c r="J3969" s="255"/>
      <c r="K3969" s="264"/>
      <c r="L3969" s="205"/>
      <c r="M3969" s="198">
        <f>ROUND(SUM(M3970:M3972),6)</f>
        <v>0</v>
      </c>
      <c r="N3969" s="212">
        <f>'02 项目基础信息（输入）'!$C$93</f>
        <v>0</v>
      </c>
      <c r="O3969" s="212">
        <f t="shared" si="454"/>
        <v>0</v>
      </c>
      <c r="P3969" s="212">
        <f>'02 项目基础信息（输入）'!$C$93</f>
        <v>0</v>
      </c>
      <c r="Q3969" s="271">
        <f t="shared" si="455"/>
        <v>0</v>
      </c>
      <c r="R3969" s="188"/>
      <c r="S3969" s="280"/>
      <c r="T3969" s="222"/>
      <c r="U3969" s="272" t="s">
        <v>6206</v>
      </c>
    </row>
    <row r="3970" spans="1:21" s="181" customFormat="1" ht="0" hidden="1" customHeight="1" outlineLevel="4">
      <c r="A3970" s="253" t="s">
        <v>4902</v>
      </c>
      <c r="B3970" s="253"/>
      <c r="C3970" s="202" t="s">
        <v>4903</v>
      </c>
      <c r="D3970" s="301">
        <f>'02 项目基础信息（输入）'!AB93</f>
        <v>0</v>
      </c>
      <c r="E3970" s="204" t="s">
        <v>400</v>
      </c>
      <c r="F3970" s="250" t="s">
        <v>4904</v>
      </c>
      <c r="G3970" s="310">
        <f>IFERROR(N3970*('02 项目基础信息（输入）'!AC93/'02 项目基础信息（输入）'!C93),0)</f>
        <v>0</v>
      </c>
      <c r="H3970" s="204" t="s">
        <v>411</v>
      </c>
      <c r="I3970" s="265">
        <f>D3970*G3970</f>
        <v>0</v>
      </c>
      <c r="J3970" s="204" t="s">
        <v>93</v>
      </c>
      <c r="K3970" s="269"/>
      <c r="L3970" s="210" t="s">
        <v>675</v>
      </c>
      <c r="M3970" s="198">
        <f>ROUND(K3970*I3970/10000,6)</f>
        <v>0</v>
      </c>
      <c r="N3970" s="212">
        <f>'02 项目基础信息（输入）'!$C$93</f>
        <v>0</v>
      </c>
      <c r="O3970" s="212">
        <f t="shared" si="454"/>
        <v>0</v>
      </c>
      <c r="P3970" s="212">
        <f>'02 项目基础信息（输入）'!$C$93</f>
        <v>0</v>
      </c>
      <c r="Q3970" s="271">
        <f t="shared" si="455"/>
        <v>0</v>
      </c>
      <c r="R3970" s="188"/>
      <c r="S3970" s="280"/>
      <c r="T3970" s="222"/>
      <c r="U3970" s="272" t="s">
        <v>6207</v>
      </c>
    </row>
    <row r="3971" spans="1:21" s="181" customFormat="1" ht="0" hidden="1" customHeight="1" outlineLevel="4">
      <c r="A3971" s="253" t="s">
        <v>4906</v>
      </c>
      <c r="B3971" s="253"/>
      <c r="C3971" s="202" t="s">
        <v>4903</v>
      </c>
      <c r="D3971" s="288">
        <f>D3970</f>
        <v>0</v>
      </c>
      <c r="E3971" s="204" t="s">
        <v>400</v>
      </c>
      <c r="F3971" s="250" t="s">
        <v>4904</v>
      </c>
      <c r="G3971" s="258">
        <f>G3970</f>
        <v>0</v>
      </c>
      <c r="H3971" s="204" t="s">
        <v>411</v>
      </c>
      <c r="I3971" s="265">
        <f>D3971*G3971</f>
        <v>0</v>
      </c>
      <c r="J3971" s="204" t="s">
        <v>93</v>
      </c>
      <c r="K3971" s="269"/>
      <c r="L3971" s="210" t="s">
        <v>675</v>
      </c>
      <c r="M3971" s="198">
        <f>ROUND(K3971*I3971/10000,6)</f>
        <v>0</v>
      </c>
      <c r="N3971" s="212">
        <f>'02 项目基础信息（输入）'!$C$93</f>
        <v>0</v>
      </c>
      <c r="O3971" s="212">
        <f t="shared" ref="O3971:O4034" si="458">ROUND(IFERROR(M3971*10000/N3971,0),2)</f>
        <v>0</v>
      </c>
      <c r="P3971" s="212">
        <f>'02 项目基础信息（输入）'!$C$93</f>
        <v>0</v>
      </c>
      <c r="Q3971" s="271">
        <f t="shared" ref="Q3971:Q4034" si="459">ROUND(IFERROR(M3971*10000/P3971,0),2)</f>
        <v>0</v>
      </c>
      <c r="R3971" s="188"/>
      <c r="S3971" s="280"/>
      <c r="T3971" s="222"/>
      <c r="U3971" s="272" t="s">
        <v>6208</v>
      </c>
    </row>
    <row r="3972" spans="1:21" s="181" customFormat="1" ht="0" hidden="1" customHeight="1" outlineLevel="4">
      <c r="A3972" s="253" t="s">
        <v>4908</v>
      </c>
      <c r="B3972" s="253"/>
      <c r="C3972" s="202" t="s">
        <v>4903</v>
      </c>
      <c r="D3972" s="288">
        <f>D3971</f>
        <v>0</v>
      </c>
      <c r="E3972" s="204" t="s">
        <v>400</v>
      </c>
      <c r="F3972" s="250" t="s">
        <v>4904</v>
      </c>
      <c r="G3972" s="258">
        <f>G3971</f>
        <v>0</v>
      </c>
      <c r="H3972" s="204" t="s">
        <v>411</v>
      </c>
      <c r="I3972" s="265">
        <f>D3972*G3972</f>
        <v>0</v>
      </c>
      <c r="J3972" s="204" t="s">
        <v>93</v>
      </c>
      <c r="K3972" s="269"/>
      <c r="L3972" s="210" t="s">
        <v>675</v>
      </c>
      <c r="M3972" s="198">
        <f>ROUND(K3972*I3972/10000,6)</f>
        <v>0</v>
      </c>
      <c r="N3972" s="212">
        <f>'02 项目基础信息（输入）'!$C$93</f>
        <v>0</v>
      </c>
      <c r="O3972" s="212">
        <f t="shared" si="458"/>
        <v>0</v>
      </c>
      <c r="P3972" s="212">
        <f>'02 项目基础信息（输入）'!$C$93</f>
        <v>0</v>
      </c>
      <c r="Q3972" s="271">
        <f t="shared" si="459"/>
        <v>0</v>
      </c>
      <c r="R3972" s="188"/>
      <c r="S3972" s="280"/>
      <c r="T3972" s="222"/>
      <c r="U3972" s="272" t="s">
        <v>6209</v>
      </c>
    </row>
    <row r="3973" spans="1:21" s="181" customFormat="1" ht="0" hidden="1" customHeight="1" outlineLevel="3">
      <c r="A3973" s="253" t="s">
        <v>4910</v>
      </c>
      <c r="B3973" s="254"/>
      <c r="C3973" s="250" t="s">
        <v>1609</v>
      </c>
      <c r="D3973" s="203">
        <f>'02 项目基础信息（输入）'!$C$93</f>
        <v>0</v>
      </c>
      <c r="E3973" s="204" t="s">
        <v>93</v>
      </c>
      <c r="F3973" s="288"/>
      <c r="G3973" s="277"/>
      <c r="H3973" s="255"/>
      <c r="I3973" s="268"/>
      <c r="J3973" s="255"/>
      <c r="K3973" s="264"/>
      <c r="L3973" s="205"/>
      <c r="M3973" s="198">
        <f>ROUND(SUM(M3974:M3976),6)</f>
        <v>0</v>
      </c>
      <c r="N3973" s="212">
        <f>'02 项目基础信息（输入）'!$C$93</f>
        <v>0</v>
      </c>
      <c r="O3973" s="212">
        <f t="shared" si="458"/>
        <v>0</v>
      </c>
      <c r="P3973" s="212">
        <f>'02 项目基础信息（输入）'!$C$93</f>
        <v>0</v>
      </c>
      <c r="Q3973" s="271">
        <f t="shared" si="459"/>
        <v>0</v>
      </c>
      <c r="R3973" s="188"/>
      <c r="S3973" s="280"/>
      <c r="T3973" s="222"/>
      <c r="U3973" s="272" t="s">
        <v>6210</v>
      </c>
    </row>
    <row r="3974" spans="1:21" s="181" customFormat="1" ht="0" hidden="1" customHeight="1" outlineLevel="4">
      <c r="A3974" s="253" t="s">
        <v>4912</v>
      </c>
      <c r="B3974" s="253"/>
      <c r="C3974" s="202" t="s">
        <v>4913</v>
      </c>
      <c r="D3974" s="304">
        <f>'02 项目基础信息（输入）'!T93</f>
        <v>0</v>
      </c>
      <c r="E3974" s="204" t="s">
        <v>1838</v>
      </c>
      <c r="F3974" s="250" t="s">
        <v>4914</v>
      </c>
      <c r="G3974" s="310">
        <f>IFERROR(N3974*('02 项目基础信息（输入）'!AE93/'02 项目基础信息（输入）'!C93)/D3974,0)</f>
        <v>0</v>
      </c>
      <c r="H3974" s="204" t="s">
        <v>4915</v>
      </c>
      <c r="I3974" s="265">
        <f>D3974*G3974</f>
        <v>0</v>
      </c>
      <c r="J3974" s="204" t="s">
        <v>93</v>
      </c>
      <c r="K3974" s="269"/>
      <c r="L3974" s="210" t="s">
        <v>675</v>
      </c>
      <c r="M3974" s="198">
        <f>ROUND(K3974*I3974/10000,6)</f>
        <v>0</v>
      </c>
      <c r="N3974" s="212">
        <f>'02 项目基础信息（输入）'!$C$93</f>
        <v>0</v>
      </c>
      <c r="O3974" s="212">
        <f t="shared" si="458"/>
        <v>0</v>
      </c>
      <c r="P3974" s="212">
        <f>'02 项目基础信息（输入）'!$C$93</f>
        <v>0</v>
      </c>
      <c r="Q3974" s="271">
        <f t="shared" si="459"/>
        <v>0</v>
      </c>
      <c r="R3974" s="188"/>
      <c r="S3974" s="280"/>
      <c r="T3974" s="222"/>
      <c r="U3974" s="272" t="s">
        <v>6211</v>
      </c>
    </row>
    <row r="3975" spans="1:21" s="181" customFormat="1" ht="0" hidden="1" customHeight="1" outlineLevel="4">
      <c r="A3975" s="253" t="s">
        <v>4917</v>
      </c>
      <c r="B3975" s="253"/>
      <c r="C3975" s="202" t="s">
        <v>4913</v>
      </c>
      <c r="D3975" s="311">
        <f>D3974</f>
        <v>0</v>
      </c>
      <c r="E3975" s="204" t="s">
        <v>1838</v>
      </c>
      <c r="F3975" s="250" t="s">
        <v>4914</v>
      </c>
      <c r="G3975" s="258">
        <f>G3974</f>
        <v>0</v>
      </c>
      <c r="H3975" s="204" t="s">
        <v>4915</v>
      </c>
      <c r="I3975" s="265">
        <f>D3975*G3975</f>
        <v>0</v>
      </c>
      <c r="J3975" s="204" t="s">
        <v>93</v>
      </c>
      <c r="K3975" s="269"/>
      <c r="L3975" s="210" t="s">
        <v>675</v>
      </c>
      <c r="M3975" s="198">
        <f>ROUND(K3975*I3975/10000,6)</f>
        <v>0</v>
      </c>
      <c r="N3975" s="212">
        <f>'02 项目基础信息（输入）'!$C$93</f>
        <v>0</v>
      </c>
      <c r="O3975" s="212">
        <f t="shared" si="458"/>
        <v>0</v>
      </c>
      <c r="P3975" s="212">
        <f>'02 项目基础信息（输入）'!$C$93</f>
        <v>0</v>
      </c>
      <c r="Q3975" s="271">
        <f t="shared" si="459"/>
        <v>0</v>
      </c>
      <c r="R3975" s="188"/>
      <c r="S3975" s="280"/>
      <c r="T3975" s="222"/>
      <c r="U3975" s="272" t="s">
        <v>6212</v>
      </c>
    </row>
    <row r="3976" spans="1:21" s="181" customFormat="1" ht="0" hidden="1" customHeight="1" outlineLevel="4">
      <c r="A3976" s="253" t="s">
        <v>4919</v>
      </c>
      <c r="B3976" s="253"/>
      <c r="C3976" s="202" t="s">
        <v>4913</v>
      </c>
      <c r="D3976" s="311">
        <f>D3975</f>
        <v>0</v>
      </c>
      <c r="E3976" s="204" t="s">
        <v>1838</v>
      </c>
      <c r="F3976" s="250" t="s">
        <v>4914</v>
      </c>
      <c r="G3976" s="258">
        <f>G3975</f>
        <v>0</v>
      </c>
      <c r="H3976" s="204" t="s">
        <v>4915</v>
      </c>
      <c r="I3976" s="265">
        <f>D3976*G3976</f>
        <v>0</v>
      </c>
      <c r="J3976" s="204" t="s">
        <v>93</v>
      </c>
      <c r="K3976" s="269"/>
      <c r="L3976" s="210" t="s">
        <v>675</v>
      </c>
      <c r="M3976" s="198">
        <f>ROUND(K3976*I3976/10000,6)</f>
        <v>0</v>
      </c>
      <c r="N3976" s="212">
        <f>'02 项目基础信息（输入）'!$C$93</f>
        <v>0</v>
      </c>
      <c r="O3976" s="212">
        <f t="shared" si="458"/>
        <v>0</v>
      </c>
      <c r="P3976" s="212">
        <f>'02 项目基础信息（输入）'!$C$93</f>
        <v>0</v>
      </c>
      <c r="Q3976" s="271">
        <f t="shared" si="459"/>
        <v>0</v>
      </c>
      <c r="R3976" s="188"/>
      <c r="S3976" s="280"/>
      <c r="T3976" s="222"/>
      <c r="U3976" s="272" t="s">
        <v>6213</v>
      </c>
    </row>
    <row r="3977" spans="1:21" s="181" customFormat="1" ht="0" hidden="1" customHeight="1" outlineLevel="3">
      <c r="A3977" s="253" t="s">
        <v>4921</v>
      </c>
      <c r="B3977" s="254"/>
      <c r="C3977" s="250" t="s">
        <v>1609</v>
      </c>
      <c r="D3977" s="203">
        <f>'02 项目基础信息（输入）'!$C$93</f>
        <v>0</v>
      </c>
      <c r="E3977" s="204" t="s">
        <v>93</v>
      </c>
      <c r="F3977" s="288"/>
      <c r="G3977" s="277"/>
      <c r="H3977" s="255"/>
      <c r="I3977" s="268"/>
      <c r="J3977" s="255"/>
      <c r="K3977" s="264"/>
      <c r="L3977" s="205"/>
      <c r="M3977" s="198">
        <f>ROUND(SUM(M3978:M3980),6)</f>
        <v>0</v>
      </c>
      <c r="N3977" s="212">
        <f>'02 项目基础信息（输入）'!$C$93</f>
        <v>0</v>
      </c>
      <c r="O3977" s="212">
        <f t="shared" si="458"/>
        <v>0</v>
      </c>
      <c r="P3977" s="212">
        <f>'02 项目基础信息（输入）'!$C$93</f>
        <v>0</v>
      </c>
      <c r="Q3977" s="271">
        <f t="shared" si="459"/>
        <v>0</v>
      </c>
      <c r="R3977" s="188"/>
      <c r="S3977" s="280"/>
      <c r="T3977" s="222"/>
      <c r="U3977" s="272" t="s">
        <v>6214</v>
      </c>
    </row>
    <row r="3978" spans="1:21" s="181" customFormat="1" ht="0" hidden="1" customHeight="1" outlineLevel="4">
      <c r="A3978" s="253" t="s">
        <v>4923</v>
      </c>
      <c r="B3978" s="253"/>
      <c r="C3978" s="202" t="s">
        <v>4913</v>
      </c>
      <c r="D3978" s="311">
        <f>D3974</f>
        <v>0</v>
      </c>
      <c r="E3978" s="204" t="s">
        <v>1838</v>
      </c>
      <c r="F3978" s="250" t="s">
        <v>4924</v>
      </c>
      <c r="G3978" s="310">
        <f>IFERROR(N3978*('02 项目基础信息（输入）'!AF93/'02 项目基础信息（输入）'!C93)/D3978,0)</f>
        <v>0</v>
      </c>
      <c r="H3978" s="204" t="s">
        <v>4915</v>
      </c>
      <c r="I3978" s="265">
        <f>D3978*G3978</f>
        <v>0</v>
      </c>
      <c r="J3978" s="204" t="s">
        <v>93</v>
      </c>
      <c r="K3978" s="269"/>
      <c r="L3978" s="210" t="s">
        <v>675</v>
      </c>
      <c r="M3978" s="198">
        <f>ROUND(K3978*I3978/10000,6)</f>
        <v>0</v>
      </c>
      <c r="N3978" s="212">
        <f>'02 项目基础信息（输入）'!$C$93</f>
        <v>0</v>
      </c>
      <c r="O3978" s="212">
        <f t="shared" si="458"/>
        <v>0</v>
      </c>
      <c r="P3978" s="212">
        <f>'02 项目基础信息（输入）'!$C$93</f>
        <v>0</v>
      </c>
      <c r="Q3978" s="271">
        <f t="shared" si="459"/>
        <v>0</v>
      </c>
      <c r="R3978" s="188"/>
      <c r="S3978" s="280"/>
      <c r="T3978" s="222"/>
      <c r="U3978" s="272" t="s">
        <v>6215</v>
      </c>
    </row>
    <row r="3979" spans="1:21" s="181" customFormat="1" ht="0" hidden="1" customHeight="1" outlineLevel="4">
      <c r="A3979" s="253" t="s">
        <v>4926</v>
      </c>
      <c r="B3979" s="253"/>
      <c r="C3979" s="202" t="s">
        <v>4913</v>
      </c>
      <c r="D3979" s="311">
        <f>D3978</f>
        <v>0</v>
      </c>
      <c r="E3979" s="204" t="s">
        <v>1838</v>
      </c>
      <c r="F3979" s="250" t="s">
        <v>4924</v>
      </c>
      <c r="G3979" s="258">
        <f>G3978</f>
        <v>0</v>
      </c>
      <c r="H3979" s="204" t="s">
        <v>4915</v>
      </c>
      <c r="I3979" s="265">
        <f>D3979*G3979</f>
        <v>0</v>
      </c>
      <c r="J3979" s="204" t="s">
        <v>93</v>
      </c>
      <c r="K3979" s="269"/>
      <c r="L3979" s="210" t="s">
        <v>675</v>
      </c>
      <c r="M3979" s="198">
        <f>ROUND(K3979*I3979/10000,6)</f>
        <v>0</v>
      </c>
      <c r="N3979" s="212">
        <f>'02 项目基础信息（输入）'!$C$93</f>
        <v>0</v>
      </c>
      <c r="O3979" s="212">
        <f t="shared" si="458"/>
        <v>0</v>
      </c>
      <c r="P3979" s="212">
        <f>'02 项目基础信息（输入）'!$C$93</f>
        <v>0</v>
      </c>
      <c r="Q3979" s="271">
        <f t="shared" si="459"/>
        <v>0</v>
      </c>
      <c r="R3979" s="188"/>
      <c r="S3979" s="280"/>
      <c r="T3979" s="222"/>
      <c r="U3979" s="272" t="s">
        <v>6216</v>
      </c>
    </row>
    <row r="3980" spans="1:21" s="181" customFormat="1" ht="0" hidden="1" customHeight="1" outlineLevel="4">
      <c r="A3980" s="253" t="s">
        <v>4928</v>
      </c>
      <c r="B3980" s="253"/>
      <c r="C3980" s="202" t="s">
        <v>4913</v>
      </c>
      <c r="D3980" s="311">
        <f>D3979</f>
        <v>0</v>
      </c>
      <c r="E3980" s="204" t="s">
        <v>1838</v>
      </c>
      <c r="F3980" s="250" t="s">
        <v>4924</v>
      </c>
      <c r="G3980" s="258">
        <f>G3979</f>
        <v>0</v>
      </c>
      <c r="H3980" s="204" t="s">
        <v>4915</v>
      </c>
      <c r="I3980" s="265">
        <f>D3980*G3980</f>
        <v>0</v>
      </c>
      <c r="J3980" s="204" t="s">
        <v>93</v>
      </c>
      <c r="K3980" s="269"/>
      <c r="L3980" s="210" t="s">
        <v>675</v>
      </c>
      <c r="M3980" s="198">
        <f>ROUND(K3980*I3980/10000,6)</f>
        <v>0</v>
      </c>
      <c r="N3980" s="212">
        <f>'02 项目基础信息（输入）'!$C$93</f>
        <v>0</v>
      </c>
      <c r="O3980" s="212">
        <f t="shared" si="458"/>
        <v>0</v>
      </c>
      <c r="P3980" s="212">
        <f>'02 项目基础信息（输入）'!$C$93</f>
        <v>0</v>
      </c>
      <c r="Q3980" s="271">
        <f t="shared" si="459"/>
        <v>0</v>
      </c>
      <c r="R3980" s="188"/>
      <c r="S3980" s="280"/>
      <c r="T3980" s="222"/>
      <c r="U3980" s="272" t="s">
        <v>6217</v>
      </c>
    </row>
    <row r="3981" spans="1:21" s="181" customFormat="1" ht="0" hidden="1" customHeight="1" outlineLevel="3">
      <c r="A3981" s="253" t="s">
        <v>5186</v>
      </c>
      <c r="B3981" s="254"/>
      <c r="C3981" s="250" t="s">
        <v>1609</v>
      </c>
      <c r="D3981" s="203">
        <f>'02 项目基础信息（输入）'!$C$93</f>
        <v>0</v>
      </c>
      <c r="E3981" s="204" t="s">
        <v>93</v>
      </c>
      <c r="F3981" s="288"/>
      <c r="G3981" s="277"/>
      <c r="H3981" s="255"/>
      <c r="I3981" s="268"/>
      <c r="J3981" s="255"/>
      <c r="K3981" s="264"/>
      <c r="L3981" s="205"/>
      <c r="M3981" s="198">
        <f>ROUND(SUM(M3982:M3984),6)</f>
        <v>0</v>
      </c>
      <c r="N3981" s="212">
        <f>'02 项目基础信息（输入）'!$C$93</f>
        <v>0</v>
      </c>
      <c r="O3981" s="212">
        <f t="shared" si="458"/>
        <v>0</v>
      </c>
      <c r="P3981" s="212">
        <f>'02 项目基础信息（输入）'!$C$93</f>
        <v>0</v>
      </c>
      <c r="Q3981" s="271">
        <f t="shared" si="459"/>
        <v>0</v>
      </c>
      <c r="R3981" s="188"/>
      <c r="S3981" s="280"/>
      <c r="T3981" s="222"/>
      <c r="U3981" s="272" t="s">
        <v>6218</v>
      </c>
    </row>
    <row r="3982" spans="1:21" s="181" customFormat="1" ht="0" hidden="1" customHeight="1" outlineLevel="4">
      <c r="A3982" s="253" t="s">
        <v>5188</v>
      </c>
      <c r="B3982" s="254"/>
      <c r="C3982" s="312" t="s">
        <v>5189</v>
      </c>
      <c r="D3982" s="289">
        <f>'02 项目基础信息（输入）'!BN93</f>
        <v>0</v>
      </c>
      <c r="E3982" s="204" t="s">
        <v>167</v>
      </c>
      <c r="F3982" s="250" t="s">
        <v>5190</v>
      </c>
      <c r="G3982" s="281">
        <f>'02 项目基础信息（输入）'!BM93</f>
        <v>0</v>
      </c>
      <c r="H3982" s="204" t="s">
        <v>5191</v>
      </c>
      <c r="I3982" s="265">
        <f>D3982*G3982</f>
        <v>0</v>
      </c>
      <c r="J3982" s="204" t="s">
        <v>93</v>
      </c>
      <c r="K3982" s="269"/>
      <c r="L3982" s="210" t="s">
        <v>675</v>
      </c>
      <c r="M3982" s="198">
        <f>ROUND(K3982*I3982/10000,6)</f>
        <v>0</v>
      </c>
      <c r="N3982" s="212">
        <f>'02 项目基础信息（输入）'!$C$93</f>
        <v>0</v>
      </c>
      <c r="O3982" s="212">
        <f t="shared" si="458"/>
        <v>0</v>
      </c>
      <c r="P3982" s="212">
        <f>'02 项目基础信息（输入）'!$C$93</f>
        <v>0</v>
      </c>
      <c r="Q3982" s="271">
        <f t="shared" si="459"/>
        <v>0</v>
      </c>
      <c r="R3982" s="188"/>
      <c r="S3982" s="280"/>
      <c r="T3982" s="222"/>
      <c r="U3982" s="272" t="s">
        <v>6219</v>
      </c>
    </row>
    <row r="3983" spans="1:21" s="181" customFormat="1" ht="0" hidden="1" customHeight="1" outlineLevel="4">
      <c r="A3983" s="253" t="s">
        <v>5193</v>
      </c>
      <c r="B3983" s="254"/>
      <c r="C3983" s="312" t="s">
        <v>5189</v>
      </c>
      <c r="D3983" s="291">
        <f>D3982</f>
        <v>0</v>
      </c>
      <c r="E3983" s="204" t="s">
        <v>167</v>
      </c>
      <c r="F3983" s="250" t="s">
        <v>5190</v>
      </c>
      <c r="G3983" s="221">
        <f>G3982</f>
        <v>0</v>
      </c>
      <c r="H3983" s="204" t="s">
        <v>5191</v>
      </c>
      <c r="I3983" s="265">
        <f>D3983*G3983</f>
        <v>0</v>
      </c>
      <c r="J3983" s="204" t="s">
        <v>93</v>
      </c>
      <c r="K3983" s="269"/>
      <c r="L3983" s="210" t="s">
        <v>675</v>
      </c>
      <c r="M3983" s="198">
        <f>ROUND(K3983*I3983/10000,6)</f>
        <v>0</v>
      </c>
      <c r="N3983" s="212">
        <f>'02 项目基础信息（输入）'!$C$93</f>
        <v>0</v>
      </c>
      <c r="O3983" s="212">
        <f t="shared" si="458"/>
        <v>0</v>
      </c>
      <c r="P3983" s="212">
        <f>'02 项目基础信息（输入）'!$C$93</f>
        <v>0</v>
      </c>
      <c r="Q3983" s="271">
        <f t="shared" si="459"/>
        <v>0</v>
      </c>
      <c r="R3983" s="188"/>
      <c r="S3983" s="280"/>
      <c r="T3983" s="222"/>
      <c r="U3983" s="272" t="s">
        <v>6220</v>
      </c>
    </row>
    <row r="3984" spans="1:21" s="181" customFormat="1" ht="0" hidden="1" customHeight="1" outlineLevel="4">
      <c r="A3984" s="253" t="s">
        <v>5195</v>
      </c>
      <c r="B3984" s="254"/>
      <c r="C3984" s="312" t="s">
        <v>5189</v>
      </c>
      <c r="D3984" s="291">
        <f>D3983</f>
        <v>0</v>
      </c>
      <c r="E3984" s="204" t="s">
        <v>167</v>
      </c>
      <c r="F3984" s="250" t="s">
        <v>5190</v>
      </c>
      <c r="G3984" s="221">
        <f>G3983</f>
        <v>0</v>
      </c>
      <c r="H3984" s="204" t="s">
        <v>5191</v>
      </c>
      <c r="I3984" s="265">
        <f>D3984*G3984</f>
        <v>0</v>
      </c>
      <c r="J3984" s="204" t="s">
        <v>93</v>
      </c>
      <c r="K3984" s="269"/>
      <c r="L3984" s="210" t="s">
        <v>675</v>
      </c>
      <c r="M3984" s="198">
        <f>ROUND(K3984*I3984/10000,6)</f>
        <v>0</v>
      </c>
      <c r="N3984" s="212">
        <f>'02 项目基础信息（输入）'!$C$93</f>
        <v>0</v>
      </c>
      <c r="O3984" s="212">
        <f t="shared" si="458"/>
        <v>0</v>
      </c>
      <c r="P3984" s="212">
        <f>'02 项目基础信息（输入）'!$C$93</f>
        <v>0</v>
      </c>
      <c r="Q3984" s="271">
        <f t="shared" si="459"/>
        <v>0</v>
      </c>
      <c r="R3984" s="188"/>
      <c r="S3984" s="280"/>
      <c r="T3984" s="222"/>
      <c r="U3984" s="272" t="s">
        <v>6221</v>
      </c>
    </row>
    <row r="3985" spans="1:21" s="181" customFormat="1" ht="0" hidden="1" customHeight="1" outlineLevel="3">
      <c r="A3985" s="253" t="s">
        <v>5197</v>
      </c>
      <c r="B3985" s="254"/>
      <c r="C3985" s="250" t="s">
        <v>1609</v>
      </c>
      <c r="D3985" s="203">
        <f>'02 项目基础信息（输入）'!$C$93</f>
        <v>0</v>
      </c>
      <c r="E3985" s="204" t="s">
        <v>93</v>
      </c>
      <c r="F3985" s="288"/>
      <c r="G3985" s="277"/>
      <c r="H3985" s="255"/>
      <c r="I3985" s="268"/>
      <c r="J3985" s="255"/>
      <c r="K3985" s="264"/>
      <c r="L3985" s="205"/>
      <c r="M3985" s="198">
        <f>ROUND(SUM(M3986:M3988),6)</f>
        <v>0</v>
      </c>
      <c r="N3985" s="212">
        <f>'02 项目基础信息（输入）'!$C$93</f>
        <v>0</v>
      </c>
      <c r="O3985" s="212">
        <f t="shared" si="458"/>
        <v>0</v>
      </c>
      <c r="P3985" s="212">
        <f>'02 项目基础信息（输入）'!$C$93</f>
        <v>0</v>
      </c>
      <c r="Q3985" s="271">
        <f t="shared" si="459"/>
        <v>0</v>
      </c>
      <c r="R3985" s="188"/>
      <c r="S3985" s="280"/>
      <c r="T3985" s="222"/>
      <c r="U3985" s="272" t="s">
        <v>6222</v>
      </c>
    </row>
    <row r="3986" spans="1:21" s="181" customFormat="1" ht="0" hidden="1" customHeight="1" outlineLevel="4">
      <c r="A3986" s="253" t="s">
        <v>5199</v>
      </c>
      <c r="B3986" s="254"/>
      <c r="C3986" s="250" t="s">
        <v>5200</v>
      </c>
      <c r="D3986" s="289">
        <f>'02 项目基础信息（输入）'!BP93</f>
        <v>0</v>
      </c>
      <c r="E3986" s="204" t="s">
        <v>167</v>
      </c>
      <c r="F3986" s="250" t="s">
        <v>5190</v>
      </c>
      <c r="G3986" s="281">
        <f>'02 项目基础信息（输入）'!BO93</f>
        <v>0</v>
      </c>
      <c r="H3986" s="204" t="s">
        <v>5191</v>
      </c>
      <c r="I3986" s="265">
        <f>D3986*G3986</f>
        <v>0</v>
      </c>
      <c r="J3986" s="204" t="s">
        <v>93</v>
      </c>
      <c r="K3986" s="269"/>
      <c r="L3986" s="210" t="s">
        <v>675</v>
      </c>
      <c r="M3986" s="198">
        <f>ROUND(K3986*I3986/10000,6)</f>
        <v>0</v>
      </c>
      <c r="N3986" s="212">
        <f>'02 项目基础信息（输入）'!$C$93</f>
        <v>0</v>
      </c>
      <c r="O3986" s="212">
        <f t="shared" si="458"/>
        <v>0</v>
      </c>
      <c r="P3986" s="212">
        <f>'02 项目基础信息（输入）'!$C$93</f>
        <v>0</v>
      </c>
      <c r="Q3986" s="271">
        <f t="shared" si="459"/>
        <v>0</v>
      </c>
      <c r="R3986" s="188"/>
      <c r="S3986" s="280"/>
      <c r="T3986" s="222"/>
      <c r="U3986" s="272" t="s">
        <v>6223</v>
      </c>
    </row>
    <row r="3987" spans="1:21" s="181" customFormat="1" ht="0" hidden="1" customHeight="1" outlineLevel="4">
      <c r="A3987" s="253" t="s">
        <v>5202</v>
      </c>
      <c r="B3987" s="254"/>
      <c r="C3987" s="250" t="s">
        <v>5200</v>
      </c>
      <c r="D3987" s="291">
        <f>D3986</f>
        <v>0</v>
      </c>
      <c r="E3987" s="204" t="s">
        <v>167</v>
      </c>
      <c r="F3987" s="250" t="s">
        <v>5190</v>
      </c>
      <c r="G3987" s="221">
        <f>G3986</f>
        <v>0</v>
      </c>
      <c r="H3987" s="204" t="s">
        <v>5191</v>
      </c>
      <c r="I3987" s="265">
        <f>D3987*G3987</f>
        <v>0</v>
      </c>
      <c r="J3987" s="204" t="s">
        <v>93</v>
      </c>
      <c r="K3987" s="269"/>
      <c r="L3987" s="210" t="s">
        <v>675</v>
      </c>
      <c r="M3987" s="198">
        <f>ROUND(K3987*I3987/10000,6)</f>
        <v>0</v>
      </c>
      <c r="N3987" s="212">
        <f>'02 项目基础信息（输入）'!$C$93</f>
        <v>0</v>
      </c>
      <c r="O3987" s="212">
        <f t="shared" si="458"/>
        <v>0</v>
      </c>
      <c r="P3987" s="212">
        <f>'02 项目基础信息（输入）'!$C$93</f>
        <v>0</v>
      </c>
      <c r="Q3987" s="271">
        <f t="shared" si="459"/>
        <v>0</v>
      </c>
      <c r="R3987" s="188"/>
      <c r="S3987" s="280"/>
      <c r="T3987" s="222"/>
      <c r="U3987" s="272" t="s">
        <v>6224</v>
      </c>
    </row>
    <row r="3988" spans="1:21" s="181" customFormat="1" ht="0" hidden="1" customHeight="1" outlineLevel="4">
      <c r="A3988" s="253" t="s">
        <v>5204</v>
      </c>
      <c r="B3988" s="254"/>
      <c r="C3988" s="250" t="s">
        <v>5200</v>
      </c>
      <c r="D3988" s="291">
        <f>D3987</f>
        <v>0</v>
      </c>
      <c r="E3988" s="204" t="s">
        <v>167</v>
      </c>
      <c r="F3988" s="250" t="s">
        <v>5190</v>
      </c>
      <c r="G3988" s="221">
        <f>G3987</f>
        <v>0</v>
      </c>
      <c r="H3988" s="204" t="s">
        <v>5191</v>
      </c>
      <c r="I3988" s="265">
        <f>D3988*G3988</f>
        <v>0</v>
      </c>
      <c r="J3988" s="204" t="s">
        <v>93</v>
      </c>
      <c r="K3988" s="269"/>
      <c r="L3988" s="210" t="s">
        <v>675</v>
      </c>
      <c r="M3988" s="198">
        <f>ROUND(K3988*I3988/10000,6)</f>
        <v>0</v>
      </c>
      <c r="N3988" s="212">
        <f>'02 项目基础信息（输入）'!$C$93</f>
        <v>0</v>
      </c>
      <c r="O3988" s="212">
        <f t="shared" si="458"/>
        <v>0</v>
      </c>
      <c r="P3988" s="212">
        <f>'02 项目基础信息（输入）'!$C$93</f>
        <v>0</v>
      </c>
      <c r="Q3988" s="271">
        <f t="shared" si="459"/>
        <v>0</v>
      </c>
      <c r="R3988" s="188"/>
      <c r="S3988" s="280"/>
      <c r="T3988" s="222"/>
      <c r="U3988" s="272" t="s">
        <v>6225</v>
      </c>
    </row>
    <row r="3989" spans="1:21" s="181" customFormat="1" ht="0" hidden="1" customHeight="1" outlineLevel="3">
      <c r="A3989" s="253" t="s">
        <v>5206</v>
      </c>
      <c r="B3989" s="254"/>
      <c r="C3989" s="250" t="s">
        <v>1609</v>
      </c>
      <c r="D3989" s="203">
        <f>'02 项目基础信息（输入）'!$C$93</f>
        <v>0</v>
      </c>
      <c r="E3989" s="204" t="s">
        <v>93</v>
      </c>
      <c r="F3989" s="288"/>
      <c r="G3989" s="277"/>
      <c r="H3989" s="255"/>
      <c r="I3989" s="268"/>
      <c r="J3989" s="255"/>
      <c r="K3989" s="264"/>
      <c r="L3989" s="205"/>
      <c r="M3989" s="198">
        <f>ROUND(SUM(M3990:M3992),6)</f>
        <v>0</v>
      </c>
      <c r="N3989" s="212">
        <f>'02 项目基础信息（输入）'!$C$93</f>
        <v>0</v>
      </c>
      <c r="O3989" s="212">
        <f t="shared" si="458"/>
        <v>0</v>
      </c>
      <c r="P3989" s="212">
        <f>'02 项目基础信息（输入）'!$C$93</f>
        <v>0</v>
      </c>
      <c r="Q3989" s="271">
        <f t="shared" si="459"/>
        <v>0</v>
      </c>
      <c r="R3989" s="188"/>
      <c r="S3989" s="280"/>
      <c r="T3989" s="222"/>
      <c r="U3989" s="272" t="s">
        <v>6226</v>
      </c>
    </row>
    <row r="3990" spans="1:21" s="181" customFormat="1" ht="0" hidden="1" customHeight="1" outlineLevel="4">
      <c r="A3990" s="253" t="s">
        <v>5208</v>
      </c>
      <c r="B3990" s="254"/>
      <c r="C3990" s="250" t="s">
        <v>5209</v>
      </c>
      <c r="D3990" s="289">
        <f>'02 项目基础信息（输入）'!BR93</f>
        <v>0</v>
      </c>
      <c r="E3990" s="204" t="s">
        <v>167</v>
      </c>
      <c r="F3990" s="250" t="s">
        <v>5190</v>
      </c>
      <c r="G3990" s="281">
        <f>'02 项目基础信息（输入）'!BQ93</f>
        <v>0</v>
      </c>
      <c r="H3990" s="204" t="s">
        <v>5191</v>
      </c>
      <c r="I3990" s="265">
        <f>D3990*G3990</f>
        <v>0</v>
      </c>
      <c r="J3990" s="204" t="s">
        <v>93</v>
      </c>
      <c r="K3990" s="269"/>
      <c r="L3990" s="210" t="s">
        <v>675</v>
      </c>
      <c r="M3990" s="198">
        <f>ROUND(K3990*I3990/10000,6)</f>
        <v>0</v>
      </c>
      <c r="N3990" s="212">
        <f>'02 项目基础信息（输入）'!$C$93</f>
        <v>0</v>
      </c>
      <c r="O3990" s="212">
        <f t="shared" si="458"/>
        <v>0</v>
      </c>
      <c r="P3990" s="212">
        <f>'02 项目基础信息（输入）'!$C$93</f>
        <v>0</v>
      </c>
      <c r="Q3990" s="271">
        <f t="shared" si="459"/>
        <v>0</v>
      </c>
      <c r="R3990" s="188"/>
      <c r="S3990" s="280"/>
      <c r="T3990" s="222"/>
      <c r="U3990" s="272" t="s">
        <v>6227</v>
      </c>
    </row>
    <row r="3991" spans="1:21" s="181" customFormat="1" ht="0" hidden="1" customHeight="1" outlineLevel="4">
      <c r="A3991" s="253" t="s">
        <v>5211</v>
      </c>
      <c r="B3991" s="254"/>
      <c r="C3991" s="250" t="s">
        <v>5209</v>
      </c>
      <c r="D3991" s="291">
        <f>D3990</f>
        <v>0</v>
      </c>
      <c r="E3991" s="204" t="s">
        <v>167</v>
      </c>
      <c r="F3991" s="250" t="s">
        <v>5190</v>
      </c>
      <c r="G3991" s="221">
        <f>G3990</f>
        <v>0</v>
      </c>
      <c r="H3991" s="204" t="s">
        <v>5191</v>
      </c>
      <c r="I3991" s="265">
        <f>D3991*G3991</f>
        <v>0</v>
      </c>
      <c r="J3991" s="204" t="s">
        <v>93</v>
      </c>
      <c r="K3991" s="269"/>
      <c r="L3991" s="210" t="s">
        <v>675</v>
      </c>
      <c r="M3991" s="198">
        <f>ROUND(K3991*I3991/10000,6)</f>
        <v>0</v>
      </c>
      <c r="N3991" s="212">
        <f>'02 项目基础信息（输入）'!$C$93</f>
        <v>0</v>
      </c>
      <c r="O3991" s="212">
        <f t="shared" si="458"/>
        <v>0</v>
      </c>
      <c r="P3991" s="212">
        <f>'02 项目基础信息（输入）'!$C$93</f>
        <v>0</v>
      </c>
      <c r="Q3991" s="271">
        <f t="shared" si="459"/>
        <v>0</v>
      </c>
      <c r="R3991" s="188"/>
      <c r="S3991" s="280"/>
      <c r="T3991" s="222"/>
      <c r="U3991" s="272" t="s">
        <v>6228</v>
      </c>
    </row>
    <row r="3992" spans="1:21" s="181" customFormat="1" ht="0" hidden="1" customHeight="1" outlineLevel="4">
      <c r="A3992" s="253" t="s">
        <v>5213</v>
      </c>
      <c r="B3992" s="254"/>
      <c r="C3992" s="250" t="s">
        <v>5209</v>
      </c>
      <c r="D3992" s="291">
        <f>D3991</f>
        <v>0</v>
      </c>
      <c r="E3992" s="204" t="s">
        <v>167</v>
      </c>
      <c r="F3992" s="250" t="s">
        <v>5190</v>
      </c>
      <c r="G3992" s="221">
        <f>G3991</f>
        <v>0</v>
      </c>
      <c r="H3992" s="204" t="s">
        <v>5191</v>
      </c>
      <c r="I3992" s="265">
        <f>D3992*G3992</f>
        <v>0</v>
      </c>
      <c r="J3992" s="204" t="s">
        <v>93</v>
      </c>
      <c r="K3992" s="269"/>
      <c r="L3992" s="210" t="s">
        <v>675</v>
      </c>
      <c r="M3992" s="198">
        <f>ROUND(K3992*I3992/10000,6)</f>
        <v>0</v>
      </c>
      <c r="N3992" s="212">
        <f>'02 项目基础信息（输入）'!$C$93</f>
        <v>0</v>
      </c>
      <c r="O3992" s="212">
        <f t="shared" si="458"/>
        <v>0</v>
      </c>
      <c r="P3992" s="212">
        <f>'02 项目基础信息（输入）'!$C$93</f>
        <v>0</v>
      </c>
      <c r="Q3992" s="271">
        <f t="shared" si="459"/>
        <v>0</v>
      </c>
      <c r="R3992" s="188"/>
      <c r="S3992" s="280"/>
      <c r="T3992" s="222"/>
      <c r="U3992" s="272" t="s">
        <v>6229</v>
      </c>
    </row>
    <row r="3993" spans="1:21" s="181" customFormat="1" ht="0" hidden="1" customHeight="1" outlineLevel="3">
      <c r="A3993" s="253" t="s">
        <v>5215</v>
      </c>
      <c r="B3993" s="254"/>
      <c r="C3993" s="250" t="s">
        <v>1609</v>
      </c>
      <c r="D3993" s="203">
        <f>'02 项目基础信息（输入）'!$C$93</f>
        <v>0</v>
      </c>
      <c r="E3993" s="204" t="s">
        <v>93</v>
      </c>
      <c r="F3993" s="288"/>
      <c r="G3993" s="277"/>
      <c r="H3993" s="255"/>
      <c r="I3993" s="268"/>
      <c r="J3993" s="255"/>
      <c r="K3993" s="264"/>
      <c r="L3993" s="205"/>
      <c r="M3993" s="198">
        <f>ROUND(SUM(M3994:M3996),6)</f>
        <v>0</v>
      </c>
      <c r="N3993" s="212">
        <f>'02 项目基础信息（输入）'!$C$93</f>
        <v>0</v>
      </c>
      <c r="O3993" s="212">
        <f t="shared" si="458"/>
        <v>0</v>
      </c>
      <c r="P3993" s="212">
        <f>'02 项目基础信息（输入）'!$C$93</f>
        <v>0</v>
      </c>
      <c r="Q3993" s="271">
        <f t="shared" si="459"/>
        <v>0</v>
      </c>
      <c r="R3993" s="188"/>
      <c r="S3993" s="280"/>
      <c r="T3993" s="222"/>
      <c r="U3993" s="272" t="s">
        <v>6230</v>
      </c>
    </row>
    <row r="3994" spans="1:21" s="181" customFormat="1" ht="0" hidden="1" customHeight="1" outlineLevel="4">
      <c r="A3994" s="253" t="s">
        <v>5217</v>
      </c>
      <c r="B3994" s="254"/>
      <c r="C3994" s="250" t="s">
        <v>5218</v>
      </c>
      <c r="D3994" s="289">
        <f>'02 项目基础信息（输入）'!BT93</f>
        <v>0</v>
      </c>
      <c r="E3994" s="204" t="s">
        <v>167</v>
      </c>
      <c r="F3994" s="312" t="s">
        <v>5219</v>
      </c>
      <c r="G3994" s="281">
        <f>'02 项目基础信息（输入）'!BS93</f>
        <v>0</v>
      </c>
      <c r="H3994" s="204" t="s">
        <v>5191</v>
      </c>
      <c r="I3994" s="265">
        <f>D3994*G3994</f>
        <v>0</v>
      </c>
      <c r="J3994" s="204" t="s">
        <v>93</v>
      </c>
      <c r="K3994" s="269"/>
      <c r="L3994" s="210" t="s">
        <v>675</v>
      </c>
      <c r="M3994" s="198">
        <f>ROUND(K3994*I3994/10000,6)</f>
        <v>0</v>
      </c>
      <c r="N3994" s="212">
        <f>'02 项目基础信息（输入）'!$C$93</f>
        <v>0</v>
      </c>
      <c r="O3994" s="212">
        <f t="shared" si="458"/>
        <v>0</v>
      </c>
      <c r="P3994" s="212">
        <f>'02 项目基础信息（输入）'!$C$93</f>
        <v>0</v>
      </c>
      <c r="Q3994" s="271">
        <f t="shared" si="459"/>
        <v>0</v>
      </c>
      <c r="R3994" s="188"/>
      <c r="S3994" s="280"/>
      <c r="T3994" s="222"/>
      <c r="U3994" s="272" t="s">
        <v>6231</v>
      </c>
    </row>
    <row r="3995" spans="1:21" s="181" customFormat="1" ht="0" hidden="1" customHeight="1" outlineLevel="4">
      <c r="A3995" s="253" t="s">
        <v>5221</v>
      </c>
      <c r="B3995" s="254"/>
      <c r="C3995" s="250" t="s">
        <v>5218</v>
      </c>
      <c r="D3995" s="291">
        <f>D3994</f>
        <v>0</v>
      </c>
      <c r="E3995" s="204" t="s">
        <v>167</v>
      </c>
      <c r="F3995" s="312" t="s">
        <v>5219</v>
      </c>
      <c r="G3995" s="221">
        <f>G3994</f>
        <v>0</v>
      </c>
      <c r="H3995" s="204" t="s">
        <v>5191</v>
      </c>
      <c r="I3995" s="265">
        <f>D3995*G3995</f>
        <v>0</v>
      </c>
      <c r="J3995" s="204" t="s">
        <v>93</v>
      </c>
      <c r="K3995" s="269"/>
      <c r="L3995" s="210" t="s">
        <v>675</v>
      </c>
      <c r="M3995" s="198">
        <f>ROUND(K3995*I3995/10000,6)</f>
        <v>0</v>
      </c>
      <c r="N3995" s="212">
        <f>'02 项目基础信息（输入）'!$C$93</f>
        <v>0</v>
      </c>
      <c r="O3995" s="212">
        <f t="shared" si="458"/>
        <v>0</v>
      </c>
      <c r="P3995" s="212">
        <f>'02 项目基础信息（输入）'!$C$93</f>
        <v>0</v>
      </c>
      <c r="Q3995" s="271">
        <f t="shared" si="459"/>
        <v>0</v>
      </c>
      <c r="R3995" s="188"/>
      <c r="S3995" s="280"/>
      <c r="T3995" s="222"/>
      <c r="U3995" s="272" t="s">
        <v>6232</v>
      </c>
    </row>
    <row r="3996" spans="1:21" s="181" customFormat="1" ht="0" hidden="1" customHeight="1" outlineLevel="4">
      <c r="A3996" s="253" t="s">
        <v>5223</v>
      </c>
      <c r="B3996" s="254"/>
      <c r="C3996" s="250" t="s">
        <v>5218</v>
      </c>
      <c r="D3996" s="291">
        <f>D3995</f>
        <v>0</v>
      </c>
      <c r="E3996" s="204" t="s">
        <v>167</v>
      </c>
      <c r="F3996" s="312" t="s">
        <v>5219</v>
      </c>
      <c r="G3996" s="221">
        <f>G3995</f>
        <v>0</v>
      </c>
      <c r="H3996" s="204" t="s">
        <v>5191</v>
      </c>
      <c r="I3996" s="265">
        <f>D3996*G3996</f>
        <v>0</v>
      </c>
      <c r="J3996" s="204" t="s">
        <v>93</v>
      </c>
      <c r="K3996" s="269"/>
      <c r="L3996" s="210" t="s">
        <v>675</v>
      </c>
      <c r="M3996" s="198">
        <f>ROUND(K3996*I3996/10000,6)</f>
        <v>0</v>
      </c>
      <c r="N3996" s="212">
        <f>'02 项目基础信息（输入）'!$C$93</f>
        <v>0</v>
      </c>
      <c r="O3996" s="212">
        <f t="shared" si="458"/>
        <v>0</v>
      </c>
      <c r="P3996" s="212">
        <f>'02 项目基础信息（输入）'!$C$93</f>
        <v>0</v>
      </c>
      <c r="Q3996" s="271">
        <f t="shared" si="459"/>
        <v>0</v>
      </c>
      <c r="R3996" s="188"/>
      <c r="S3996" s="280"/>
      <c r="T3996" s="222"/>
      <c r="U3996" s="272" t="s">
        <v>6233</v>
      </c>
    </row>
    <row r="3997" spans="1:21" s="181" customFormat="1" ht="0" hidden="1" customHeight="1" outlineLevel="3">
      <c r="A3997" s="253" t="s">
        <v>5225</v>
      </c>
      <c r="B3997" s="254"/>
      <c r="C3997" s="250" t="s">
        <v>1609</v>
      </c>
      <c r="D3997" s="203">
        <f>'02 项目基础信息（输入）'!$C$93</f>
        <v>0</v>
      </c>
      <c r="E3997" s="204" t="s">
        <v>93</v>
      </c>
      <c r="F3997" s="288"/>
      <c r="G3997" s="277"/>
      <c r="H3997" s="255"/>
      <c r="I3997" s="268"/>
      <c r="J3997" s="255"/>
      <c r="K3997" s="264"/>
      <c r="L3997" s="205"/>
      <c r="M3997" s="198">
        <f>ROUND(SUM(M3998:M4000),6)</f>
        <v>0</v>
      </c>
      <c r="N3997" s="212">
        <f>'02 项目基础信息（输入）'!$C$93</f>
        <v>0</v>
      </c>
      <c r="O3997" s="212">
        <f t="shared" si="458"/>
        <v>0</v>
      </c>
      <c r="P3997" s="212">
        <f>'02 项目基础信息（输入）'!$C$93</f>
        <v>0</v>
      </c>
      <c r="Q3997" s="271">
        <f t="shared" si="459"/>
        <v>0</v>
      </c>
      <c r="R3997" s="188"/>
      <c r="S3997" s="280"/>
      <c r="T3997" s="222"/>
      <c r="U3997" s="272" t="s">
        <v>6234</v>
      </c>
    </row>
    <row r="3998" spans="1:21" s="181" customFormat="1" ht="0" hidden="1" customHeight="1" outlineLevel="4">
      <c r="A3998" s="253" t="s">
        <v>5227</v>
      </c>
      <c r="B3998" s="254"/>
      <c r="C3998" s="250" t="s">
        <v>5228</v>
      </c>
      <c r="D3998" s="273">
        <f>'02 项目基础信息（输入）'!AG93</f>
        <v>0</v>
      </c>
      <c r="E3998" s="204" t="s">
        <v>93</v>
      </c>
      <c r="F3998" s="250" t="s">
        <v>5228</v>
      </c>
      <c r="G3998" s="290">
        <v>1</v>
      </c>
      <c r="H3998" s="204" t="s">
        <v>298</v>
      </c>
      <c r="I3998" s="265">
        <f>D3998*G3998</f>
        <v>0</v>
      </c>
      <c r="J3998" s="204" t="s">
        <v>93</v>
      </c>
      <c r="K3998" s="269"/>
      <c r="L3998" s="210" t="s">
        <v>675</v>
      </c>
      <c r="M3998" s="198">
        <f>ROUND(K3998*I3998/10000,6)</f>
        <v>0</v>
      </c>
      <c r="N3998" s="212">
        <f>'02 项目基础信息（输入）'!$C$93</f>
        <v>0</v>
      </c>
      <c r="O3998" s="212">
        <f t="shared" si="458"/>
        <v>0</v>
      </c>
      <c r="P3998" s="212">
        <f>'02 项目基础信息（输入）'!$C$93</f>
        <v>0</v>
      </c>
      <c r="Q3998" s="271">
        <f t="shared" si="459"/>
        <v>0</v>
      </c>
      <c r="R3998" s="188"/>
      <c r="S3998" s="280"/>
      <c r="T3998" s="222"/>
      <c r="U3998" s="272" t="s">
        <v>6235</v>
      </c>
    </row>
    <row r="3999" spans="1:21" s="181" customFormat="1" ht="0" hidden="1" customHeight="1" outlineLevel="4">
      <c r="A3999" s="253" t="s">
        <v>5230</v>
      </c>
      <c r="B3999" s="254"/>
      <c r="C3999" s="250" t="s">
        <v>5228</v>
      </c>
      <c r="D3999" s="212">
        <f>D3998</f>
        <v>0</v>
      </c>
      <c r="E3999" s="204" t="s">
        <v>93</v>
      </c>
      <c r="F3999" s="250" t="s">
        <v>5228</v>
      </c>
      <c r="G3999" s="290">
        <v>1</v>
      </c>
      <c r="H3999" s="204" t="s">
        <v>298</v>
      </c>
      <c r="I3999" s="265">
        <f>D3999*G3999</f>
        <v>0</v>
      </c>
      <c r="J3999" s="204" t="s">
        <v>93</v>
      </c>
      <c r="K3999" s="269"/>
      <c r="L3999" s="210" t="s">
        <v>675</v>
      </c>
      <c r="M3999" s="198">
        <f>ROUND(K3999*I3999/10000,6)</f>
        <v>0</v>
      </c>
      <c r="N3999" s="212">
        <f>'02 项目基础信息（输入）'!$C$93</f>
        <v>0</v>
      </c>
      <c r="O3999" s="212">
        <f t="shared" si="458"/>
        <v>0</v>
      </c>
      <c r="P3999" s="212">
        <f>'02 项目基础信息（输入）'!$C$93</f>
        <v>0</v>
      </c>
      <c r="Q3999" s="271">
        <f t="shared" si="459"/>
        <v>0</v>
      </c>
      <c r="R3999" s="188"/>
      <c r="S3999" s="280"/>
      <c r="T3999" s="222"/>
      <c r="U3999" s="272" t="s">
        <v>6236</v>
      </c>
    </row>
    <row r="4000" spans="1:21" s="181" customFormat="1" ht="0" hidden="1" customHeight="1" outlineLevel="4">
      <c r="A4000" s="253" t="s">
        <v>5232</v>
      </c>
      <c r="B4000" s="254"/>
      <c r="C4000" s="250" t="s">
        <v>5228</v>
      </c>
      <c r="D4000" s="212">
        <f>D3999</f>
        <v>0</v>
      </c>
      <c r="E4000" s="204" t="s">
        <v>93</v>
      </c>
      <c r="F4000" s="250" t="s">
        <v>5228</v>
      </c>
      <c r="G4000" s="290">
        <v>1</v>
      </c>
      <c r="H4000" s="204" t="s">
        <v>298</v>
      </c>
      <c r="I4000" s="265">
        <f>D4000*G4000</f>
        <v>0</v>
      </c>
      <c r="J4000" s="204" t="s">
        <v>93</v>
      </c>
      <c r="K4000" s="269"/>
      <c r="L4000" s="210" t="s">
        <v>675</v>
      </c>
      <c r="M4000" s="198">
        <f>ROUND(K4000*I4000/10000,6)</f>
        <v>0</v>
      </c>
      <c r="N4000" s="212">
        <f>'02 项目基础信息（输入）'!$C$93</f>
        <v>0</v>
      </c>
      <c r="O4000" s="212">
        <f t="shared" si="458"/>
        <v>0</v>
      </c>
      <c r="P4000" s="212">
        <f>'02 项目基础信息（输入）'!$C$93</f>
        <v>0</v>
      </c>
      <c r="Q4000" s="271">
        <f t="shared" si="459"/>
        <v>0</v>
      </c>
      <c r="R4000" s="188"/>
      <c r="S4000" s="280"/>
      <c r="T4000" s="222"/>
      <c r="U4000" s="272" t="s">
        <v>6237</v>
      </c>
    </row>
    <row r="4001" spans="1:21" s="181" customFormat="1" ht="0" hidden="1" customHeight="1" outlineLevel="3">
      <c r="A4001" s="253" t="s">
        <v>5234</v>
      </c>
      <c r="B4001" s="254"/>
      <c r="C4001" s="250" t="s">
        <v>1609</v>
      </c>
      <c r="D4001" s="203">
        <f>'02 项目基础信息（输入）'!$C$93</f>
        <v>0</v>
      </c>
      <c r="E4001" s="204" t="s">
        <v>93</v>
      </c>
      <c r="F4001" s="288"/>
      <c r="G4001" s="314"/>
      <c r="H4001" s="255"/>
      <c r="I4001" s="268"/>
      <c r="J4001" s="255"/>
      <c r="K4001" s="264"/>
      <c r="L4001" s="205"/>
      <c r="M4001" s="198">
        <f>ROUND(SUM(M4002:M4004),6)</f>
        <v>0</v>
      </c>
      <c r="N4001" s="212">
        <f>'02 项目基础信息（输入）'!$C$93</f>
        <v>0</v>
      </c>
      <c r="O4001" s="212">
        <f t="shared" si="458"/>
        <v>0</v>
      </c>
      <c r="P4001" s="212">
        <f>'02 项目基础信息（输入）'!$C$93</f>
        <v>0</v>
      </c>
      <c r="Q4001" s="271">
        <f t="shared" si="459"/>
        <v>0</v>
      </c>
      <c r="R4001" s="188"/>
      <c r="S4001" s="280"/>
      <c r="T4001" s="222"/>
      <c r="U4001" s="272" t="s">
        <v>6238</v>
      </c>
    </row>
    <row r="4002" spans="1:21" s="181" customFormat="1" ht="0" hidden="1" customHeight="1" outlineLevel="4">
      <c r="A4002" s="253" t="s">
        <v>5236</v>
      </c>
      <c r="B4002" s="254"/>
      <c r="C4002" s="250" t="s">
        <v>5237</v>
      </c>
      <c r="D4002" s="273">
        <f>'02 项目基础信息（输入）'!AI93</f>
        <v>0</v>
      </c>
      <c r="E4002" s="204" t="s">
        <v>93</v>
      </c>
      <c r="F4002" s="250" t="s">
        <v>5237</v>
      </c>
      <c r="G4002" s="290">
        <v>1</v>
      </c>
      <c r="H4002" s="204" t="s">
        <v>298</v>
      </c>
      <c r="I4002" s="265">
        <f>D4002*G4002</f>
        <v>0</v>
      </c>
      <c r="J4002" s="204" t="s">
        <v>93</v>
      </c>
      <c r="K4002" s="269"/>
      <c r="L4002" s="210" t="s">
        <v>675</v>
      </c>
      <c r="M4002" s="198">
        <f>ROUND(K4002*I4002/10000,6)</f>
        <v>0</v>
      </c>
      <c r="N4002" s="212">
        <f>'02 项目基础信息（输入）'!$C$93</f>
        <v>0</v>
      </c>
      <c r="O4002" s="212">
        <f t="shared" si="458"/>
        <v>0</v>
      </c>
      <c r="P4002" s="212">
        <f>'02 项目基础信息（输入）'!$C$93</f>
        <v>0</v>
      </c>
      <c r="Q4002" s="271">
        <f t="shared" si="459"/>
        <v>0</v>
      </c>
      <c r="R4002" s="188"/>
      <c r="S4002" s="280"/>
      <c r="T4002" s="222"/>
      <c r="U4002" s="272" t="s">
        <v>6239</v>
      </c>
    </row>
    <row r="4003" spans="1:21" s="181" customFormat="1" ht="0" hidden="1" customHeight="1" outlineLevel="4">
      <c r="A4003" s="253" t="s">
        <v>5239</v>
      </c>
      <c r="B4003" s="254"/>
      <c r="C4003" s="250" t="s">
        <v>5237</v>
      </c>
      <c r="D4003" s="212">
        <f>D4002</f>
        <v>0</v>
      </c>
      <c r="E4003" s="204" t="s">
        <v>93</v>
      </c>
      <c r="F4003" s="250" t="s">
        <v>5237</v>
      </c>
      <c r="G4003" s="290">
        <v>1</v>
      </c>
      <c r="H4003" s="204" t="s">
        <v>298</v>
      </c>
      <c r="I4003" s="265">
        <f>D4003*G4003</f>
        <v>0</v>
      </c>
      <c r="J4003" s="204" t="s">
        <v>93</v>
      </c>
      <c r="K4003" s="269"/>
      <c r="L4003" s="210" t="s">
        <v>675</v>
      </c>
      <c r="M4003" s="198">
        <f>ROUND(K4003*I4003/10000,6)</f>
        <v>0</v>
      </c>
      <c r="N4003" s="212">
        <f>'02 项目基础信息（输入）'!$C$93</f>
        <v>0</v>
      </c>
      <c r="O4003" s="212">
        <f t="shared" si="458"/>
        <v>0</v>
      </c>
      <c r="P4003" s="212">
        <f>'02 项目基础信息（输入）'!$C$93</f>
        <v>0</v>
      </c>
      <c r="Q4003" s="271">
        <f t="shared" si="459"/>
        <v>0</v>
      </c>
      <c r="R4003" s="188"/>
      <c r="S4003" s="280"/>
      <c r="T4003" s="222"/>
      <c r="U4003" s="272" t="s">
        <v>6240</v>
      </c>
    </row>
    <row r="4004" spans="1:21" s="181" customFormat="1" ht="0" hidden="1" customHeight="1" outlineLevel="4">
      <c r="A4004" s="253" t="s">
        <v>5241</v>
      </c>
      <c r="B4004" s="254"/>
      <c r="C4004" s="250" t="s">
        <v>5237</v>
      </c>
      <c r="D4004" s="212">
        <f>D4003</f>
        <v>0</v>
      </c>
      <c r="E4004" s="204" t="s">
        <v>93</v>
      </c>
      <c r="F4004" s="250" t="s">
        <v>5237</v>
      </c>
      <c r="G4004" s="290">
        <v>1</v>
      </c>
      <c r="H4004" s="204" t="s">
        <v>298</v>
      </c>
      <c r="I4004" s="265">
        <f>D4004*G4004</f>
        <v>0</v>
      </c>
      <c r="J4004" s="204" t="s">
        <v>93</v>
      </c>
      <c r="K4004" s="269"/>
      <c r="L4004" s="210" t="s">
        <v>675</v>
      </c>
      <c r="M4004" s="198">
        <f>ROUND(K4004*I4004/10000,6)</f>
        <v>0</v>
      </c>
      <c r="N4004" s="212">
        <f>'02 项目基础信息（输入）'!$C$93</f>
        <v>0</v>
      </c>
      <c r="O4004" s="212">
        <f t="shared" si="458"/>
        <v>0</v>
      </c>
      <c r="P4004" s="212">
        <f>'02 项目基础信息（输入）'!$C$93</f>
        <v>0</v>
      </c>
      <c r="Q4004" s="271">
        <f t="shared" si="459"/>
        <v>0</v>
      </c>
      <c r="R4004" s="188"/>
      <c r="S4004" s="280"/>
      <c r="T4004" s="222"/>
      <c r="U4004" s="272" t="s">
        <v>6241</v>
      </c>
    </row>
    <row r="4005" spans="1:21" s="181" customFormat="1" ht="0" hidden="1" customHeight="1" outlineLevel="3">
      <c r="A4005" s="253" t="s">
        <v>5243</v>
      </c>
      <c r="B4005" s="254"/>
      <c r="C4005" s="250" t="s">
        <v>1609</v>
      </c>
      <c r="D4005" s="203">
        <f>'02 项目基础信息（输入）'!$C$93</f>
        <v>0</v>
      </c>
      <c r="E4005" s="204" t="s">
        <v>93</v>
      </c>
      <c r="F4005" s="288"/>
      <c r="G4005" s="314"/>
      <c r="H4005" s="255"/>
      <c r="I4005" s="268"/>
      <c r="J4005" s="255"/>
      <c r="K4005" s="264"/>
      <c r="L4005" s="205"/>
      <c r="M4005" s="198">
        <f>ROUND(SUM(M4006:M4008),6)</f>
        <v>0</v>
      </c>
      <c r="N4005" s="212">
        <f>'02 项目基础信息（输入）'!$C$93</f>
        <v>0</v>
      </c>
      <c r="O4005" s="212">
        <f t="shared" si="458"/>
        <v>0</v>
      </c>
      <c r="P4005" s="212">
        <f>'02 项目基础信息（输入）'!$C$93</f>
        <v>0</v>
      </c>
      <c r="Q4005" s="271">
        <f t="shared" si="459"/>
        <v>0</v>
      </c>
      <c r="R4005" s="188"/>
      <c r="S4005" s="280"/>
      <c r="T4005" s="222"/>
      <c r="U4005" s="272" t="s">
        <v>6242</v>
      </c>
    </row>
    <row r="4006" spans="1:21" s="181" customFormat="1" ht="0" hidden="1" customHeight="1" outlineLevel="4">
      <c r="A4006" s="253" t="s">
        <v>5245</v>
      </c>
      <c r="B4006" s="254"/>
      <c r="C4006" s="250" t="s">
        <v>5246</v>
      </c>
      <c r="D4006" s="273">
        <f>'02 项目基础信息（输入）'!AJ93</f>
        <v>0</v>
      </c>
      <c r="E4006" s="204" t="s">
        <v>93</v>
      </c>
      <c r="F4006" s="250" t="s">
        <v>5246</v>
      </c>
      <c r="G4006" s="290">
        <v>1</v>
      </c>
      <c r="H4006" s="204" t="s">
        <v>298</v>
      </c>
      <c r="I4006" s="265">
        <f>D4006*G4006</f>
        <v>0</v>
      </c>
      <c r="J4006" s="204" t="s">
        <v>93</v>
      </c>
      <c r="K4006" s="269"/>
      <c r="L4006" s="210" t="s">
        <v>675</v>
      </c>
      <c r="M4006" s="198">
        <f>ROUND(K4006*I4006/10000,6)</f>
        <v>0</v>
      </c>
      <c r="N4006" s="212">
        <f>'02 项目基础信息（输入）'!$C$93</f>
        <v>0</v>
      </c>
      <c r="O4006" s="212">
        <f t="shared" si="458"/>
        <v>0</v>
      </c>
      <c r="P4006" s="212">
        <f>'02 项目基础信息（输入）'!$C$93</f>
        <v>0</v>
      </c>
      <c r="Q4006" s="271">
        <f t="shared" si="459"/>
        <v>0</v>
      </c>
      <c r="R4006" s="188"/>
      <c r="S4006" s="280"/>
      <c r="T4006" s="222"/>
      <c r="U4006" s="272" t="s">
        <v>6243</v>
      </c>
    </row>
    <row r="4007" spans="1:21" s="181" customFormat="1" ht="0" hidden="1" customHeight="1" outlineLevel="4">
      <c r="A4007" s="253" t="s">
        <v>5248</v>
      </c>
      <c r="B4007" s="254"/>
      <c r="C4007" s="250" t="s">
        <v>5246</v>
      </c>
      <c r="D4007" s="212">
        <f>D4006</f>
        <v>0</v>
      </c>
      <c r="E4007" s="204" t="s">
        <v>93</v>
      </c>
      <c r="F4007" s="250" t="s">
        <v>5246</v>
      </c>
      <c r="G4007" s="290">
        <v>1</v>
      </c>
      <c r="H4007" s="204" t="s">
        <v>298</v>
      </c>
      <c r="I4007" s="265">
        <f>D4007*G4007</f>
        <v>0</v>
      </c>
      <c r="J4007" s="204" t="s">
        <v>93</v>
      </c>
      <c r="K4007" s="269"/>
      <c r="L4007" s="210" t="s">
        <v>675</v>
      </c>
      <c r="M4007" s="198">
        <f>ROUND(K4007*I4007/10000,6)</f>
        <v>0</v>
      </c>
      <c r="N4007" s="212">
        <f>'02 项目基础信息（输入）'!$C$93</f>
        <v>0</v>
      </c>
      <c r="O4007" s="212">
        <f t="shared" si="458"/>
        <v>0</v>
      </c>
      <c r="P4007" s="212">
        <f>'02 项目基础信息（输入）'!$C$93</f>
        <v>0</v>
      </c>
      <c r="Q4007" s="271">
        <f t="shared" si="459"/>
        <v>0</v>
      </c>
      <c r="R4007" s="188"/>
      <c r="S4007" s="280"/>
      <c r="T4007" s="222"/>
      <c r="U4007" s="272" t="s">
        <v>6244</v>
      </c>
    </row>
    <row r="4008" spans="1:21" s="181" customFormat="1" ht="0" hidden="1" customHeight="1" outlineLevel="4">
      <c r="A4008" s="253" t="s">
        <v>5250</v>
      </c>
      <c r="B4008" s="254"/>
      <c r="C4008" s="250" t="s">
        <v>5246</v>
      </c>
      <c r="D4008" s="212">
        <f>D4007</f>
        <v>0</v>
      </c>
      <c r="E4008" s="204" t="s">
        <v>93</v>
      </c>
      <c r="F4008" s="250" t="s">
        <v>5246</v>
      </c>
      <c r="G4008" s="290">
        <v>1</v>
      </c>
      <c r="H4008" s="204" t="s">
        <v>298</v>
      </c>
      <c r="I4008" s="265">
        <f>D4008*G4008</f>
        <v>0</v>
      </c>
      <c r="J4008" s="204" t="s">
        <v>93</v>
      </c>
      <c r="K4008" s="269"/>
      <c r="L4008" s="210" t="s">
        <v>675</v>
      </c>
      <c r="M4008" s="198">
        <f>ROUND(K4008*I4008/10000,6)</f>
        <v>0</v>
      </c>
      <c r="N4008" s="212">
        <f>'02 项目基础信息（输入）'!$C$93</f>
        <v>0</v>
      </c>
      <c r="O4008" s="212">
        <f t="shared" si="458"/>
        <v>0</v>
      </c>
      <c r="P4008" s="212">
        <f>'02 项目基础信息（输入）'!$C$93</f>
        <v>0</v>
      </c>
      <c r="Q4008" s="271">
        <f t="shared" si="459"/>
        <v>0</v>
      </c>
      <c r="R4008" s="188"/>
      <c r="S4008" s="280"/>
      <c r="T4008" s="222"/>
      <c r="U4008" s="272" t="s">
        <v>6245</v>
      </c>
    </row>
    <row r="4009" spans="1:21" s="181" customFormat="1" ht="0" hidden="1" customHeight="1" outlineLevel="3">
      <c r="A4009" s="253" t="s">
        <v>5252</v>
      </c>
      <c r="B4009" s="254"/>
      <c r="C4009" s="250" t="s">
        <v>1609</v>
      </c>
      <c r="D4009" s="203">
        <f>'02 项目基础信息（输入）'!$C$93</f>
        <v>0</v>
      </c>
      <c r="E4009" s="204" t="s">
        <v>93</v>
      </c>
      <c r="F4009" s="288"/>
      <c r="G4009" s="314"/>
      <c r="H4009" s="255"/>
      <c r="I4009" s="268"/>
      <c r="J4009" s="255"/>
      <c r="K4009" s="264"/>
      <c r="L4009" s="205"/>
      <c r="M4009" s="198">
        <f>ROUND(SUM(M4010:M4012),6)</f>
        <v>0</v>
      </c>
      <c r="N4009" s="212">
        <f>'02 项目基础信息（输入）'!$C$93</f>
        <v>0</v>
      </c>
      <c r="O4009" s="212">
        <f t="shared" si="458"/>
        <v>0</v>
      </c>
      <c r="P4009" s="212">
        <f>'02 项目基础信息（输入）'!$C$93</f>
        <v>0</v>
      </c>
      <c r="Q4009" s="271">
        <f t="shared" si="459"/>
        <v>0</v>
      </c>
      <c r="R4009" s="188"/>
      <c r="S4009" s="280"/>
      <c r="T4009" s="222"/>
      <c r="U4009" s="272" t="s">
        <v>6246</v>
      </c>
    </row>
    <row r="4010" spans="1:21" s="181" customFormat="1" ht="0" hidden="1" customHeight="1" outlineLevel="4">
      <c r="A4010" s="253" t="s">
        <v>5254</v>
      </c>
      <c r="B4010" s="254"/>
      <c r="C4010" s="250" t="s">
        <v>5255</v>
      </c>
      <c r="D4010" s="273">
        <f>'02 项目基础信息（输入）'!AK93</f>
        <v>0</v>
      </c>
      <c r="E4010" s="204" t="s">
        <v>93</v>
      </c>
      <c r="F4010" s="250" t="s">
        <v>5255</v>
      </c>
      <c r="G4010" s="290">
        <v>1</v>
      </c>
      <c r="H4010" s="204" t="s">
        <v>298</v>
      </c>
      <c r="I4010" s="265">
        <f>D4010*G4010</f>
        <v>0</v>
      </c>
      <c r="J4010" s="204" t="s">
        <v>93</v>
      </c>
      <c r="K4010" s="269"/>
      <c r="L4010" s="210" t="s">
        <v>675</v>
      </c>
      <c r="M4010" s="198">
        <f>ROUND(K4010*I4010/10000,6)</f>
        <v>0</v>
      </c>
      <c r="N4010" s="212">
        <f>'02 项目基础信息（输入）'!$C$93</f>
        <v>0</v>
      </c>
      <c r="O4010" s="212">
        <f t="shared" si="458"/>
        <v>0</v>
      </c>
      <c r="P4010" s="212">
        <f>'02 项目基础信息（输入）'!$C$93</f>
        <v>0</v>
      </c>
      <c r="Q4010" s="271">
        <f t="shared" si="459"/>
        <v>0</v>
      </c>
      <c r="R4010" s="188"/>
      <c r="S4010" s="280"/>
      <c r="T4010" s="222"/>
      <c r="U4010" s="272" t="s">
        <v>6247</v>
      </c>
    </row>
    <row r="4011" spans="1:21" s="181" customFormat="1" ht="0" hidden="1" customHeight="1" outlineLevel="4">
      <c r="A4011" s="253" t="s">
        <v>5257</v>
      </c>
      <c r="B4011" s="254"/>
      <c r="C4011" s="250" t="s">
        <v>5255</v>
      </c>
      <c r="D4011" s="212">
        <f>D4010</f>
        <v>0</v>
      </c>
      <c r="E4011" s="204" t="s">
        <v>93</v>
      </c>
      <c r="F4011" s="250" t="s">
        <v>5255</v>
      </c>
      <c r="G4011" s="290">
        <v>1</v>
      </c>
      <c r="H4011" s="204" t="s">
        <v>298</v>
      </c>
      <c r="I4011" s="265">
        <f>D4011*G4011</f>
        <v>0</v>
      </c>
      <c r="J4011" s="204" t="s">
        <v>93</v>
      </c>
      <c r="K4011" s="269"/>
      <c r="L4011" s="210" t="s">
        <v>675</v>
      </c>
      <c r="M4011" s="198">
        <f>ROUND(K4011*I4011/10000,6)</f>
        <v>0</v>
      </c>
      <c r="N4011" s="212">
        <f>'02 项目基础信息（输入）'!$C$93</f>
        <v>0</v>
      </c>
      <c r="O4011" s="212">
        <f t="shared" si="458"/>
        <v>0</v>
      </c>
      <c r="P4011" s="212">
        <f>'02 项目基础信息（输入）'!$C$93</f>
        <v>0</v>
      </c>
      <c r="Q4011" s="271">
        <f t="shared" si="459"/>
        <v>0</v>
      </c>
      <c r="R4011" s="188"/>
      <c r="S4011" s="280"/>
      <c r="T4011" s="222"/>
      <c r="U4011" s="272" t="s">
        <v>6248</v>
      </c>
    </row>
    <row r="4012" spans="1:21" s="181" customFormat="1" ht="0" hidden="1" customHeight="1" outlineLevel="4">
      <c r="A4012" s="253" t="s">
        <v>5259</v>
      </c>
      <c r="B4012" s="254"/>
      <c r="C4012" s="250" t="s">
        <v>5255</v>
      </c>
      <c r="D4012" s="212">
        <f>D4011</f>
        <v>0</v>
      </c>
      <c r="E4012" s="204" t="s">
        <v>93</v>
      </c>
      <c r="F4012" s="250" t="s">
        <v>5255</v>
      </c>
      <c r="G4012" s="290">
        <v>1</v>
      </c>
      <c r="H4012" s="204" t="s">
        <v>298</v>
      </c>
      <c r="I4012" s="265">
        <f>D4012*G4012</f>
        <v>0</v>
      </c>
      <c r="J4012" s="204" t="s">
        <v>93</v>
      </c>
      <c r="K4012" s="269"/>
      <c r="L4012" s="210" t="s">
        <v>675</v>
      </c>
      <c r="M4012" s="198">
        <f>ROUND(K4012*I4012/10000,6)</f>
        <v>0</v>
      </c>
      <c r="N4012" s="212">
        <f>'02 项目基础信息（输入）'!$C$93</f>
        <v>0</v>
      </c>
      <c r="O4012" s="212">
        <f t="shared" si="458"/>
        <v>0</v>
      </c>
      <c r="P4012" s="212">
        <f>'02 项目基础信息（输入）'!$C$93</f>
        <v>0</v>
      </c>
      <c r="Q4012" s="271">
        <f t="shared" si="459"/>
        <v>0</v>
      </c>
      <c r="R4012" s="188"/>
      <c r="S4012" s="280"/>
      <c r="T4012" s="222"/>
      <c r="U4012" s="272" t="s">
        <v>6249</v>
      </c>
    </row>
    <row r="4013" spans="1:21" s="181" customFormat="1" ht="0" hidden="1" customHeight="1" outlineLevel="3">
      <c r="A4013" s="253" t="s">
        <v>5261</v>
      </c>
      <c r="B4013" s="254"/>
      <c r="C4013" s="250" t="s">
        <v>1609</v>
      </c>
      <c r="D4013" s="203">
        <f>'02 项目基础信息（输入）'!$C$93</f>
        <v>0</v>
      </c>
      <c r="E4013" s="204" t="s">
        <v>93</v>
      </c>
      <c r="F4013" s="288"/>
      <c r="G4013" s="314"/>
      <c r="H4013" s="255"/>
      <c r="I4013" s="268"/>
      <c r="J4013" s="255"/>
      <c r="K4013" s="264"/>
      <c r="L4013" s="205"/>
      <c r="M4013" s="198">
        <f>ROUND(SUM(M4014:M4016),6)</f>
        <v>0</v>
      </c>
      <c r="N4013" s="212">
        <f>'02 项目基础信息（输入）'!$C$93</f>
        <v>0</v>
      </c>
      <c r="O4013" s="212">
        <f t="shared" si="458"/>
        <v>0</v>
      </c>
      <c r="P4013" s="212">
        <f>'02 项目基础信息（输入）'!$C$93</f>
        <v>0</v>
      </c>
      <c r="Q4013" s="271">
        <f t="shared" si="459"/>
        <v>0</v>
      </c>
      <c r="R4013" s="188"/>
      <c r="S4013" s="280"/>
      <c r="T4013" s="222"/>
      <c r="U4013" s="272" t="s">
        <v>6250</v>
      </c>
    </row>
    <row r="4014" spans="1:21" s="181" customFormat="1" ht="0" hidden="1" customHeight="1" outlineLevel="4">
      <c r="A4014" s="253" t="s">
        <v>5263</v>
      </c>
      <c r="B4014" s="254"/>
      <c r="C4014" s="250" t="s">
        <v>5264</v>
      </c>
      <c r="D4014" s="273">
        <f>'02 项目基础信息（输入）'!AL93</f>
        <v>0</v>
      </c>
      <c r="E4014" s="204" t="s">
        <v>93</v>
      </c>
      <c r="F4014" s="250" t="s">
        <v>5264</v>
      </c>
      <c r="G4014" s="290">
        <v>1</v>
      </c>
      <c r="H4014" s="204" t="s">
        <v>298</v>
      </c>
      <c r="I4014" s="265">
        <f>D4014*G4014</f>
        <v>0</v>
      </c>
      <c r="J4014" s="204" t="s">
        <v>93</v>
      </c>
      <c r="K4014" s="269"/>
      <c r="L4014" s="210" t="s">
        <v>675</v>
      </c>
      <c r="M4014" s="198">
        <f>ROUND(K4014*I4014/10000,6)</f>
        <v>0</v>
      </c>
      <c r="N4014" s="212">
        <f>'02 项目基础信息（输入）'!$C$93</f>
        <v>0</v>
      </c>
      <c r="O4014" s="212">
        <f t="shared" si="458"/>
        <v>0</v>
      </c>
      <c r="P4014" s="212">
        <f>'02 项目基础信息（输入）'!$C$93</f>
        <v>0</v>
      </c>
      <c r="Q4014" s="271">
        <f t="shared" si="459"/>
        <v>0</v>
      </c>
      <c r="R4014" s="188"/>
      <c r="S4014" s="280"/>
      <c r="T4014" s="222"/>
      <c r="U4014" s="272" t="s">
        <v>6251</v>
      </c>
    </row>
    <row r="4015" spans="1:21" s="181" customFormat="1" ht="0" hidden="1" customHeight="1" outlineLevel="4">
      <c r="A4015" s="253" t="s">
        <v>5266</v>
      </c>
      <c r="B4015" s="254"/>
      <c r="C4015" s="250" t="s">
        <v>5264</v>
      </c>
      <c r="D4015" s="212">
        <f>D4014</f>
        <v>0</v>
      </c>
      <c r="E4015" s="204" t="s">
        <v>93</v>
      </c>
      <c r="F4015" s="250" t="s">
        <v>5264</v>
      </c>
      <c r="G4015" s="290">
        <v>1</v>
      </c>
      <c r="H4015" s="204" t="s">
        <v>298</v>
      </c>
      <c r="I4015" s="265">
        <f>D4015*G4015</f>
        <v>0</v>
      </c>
      <c r="J4015" s="204" t="s">
        <v>93</v>
      </c>
      <c r="K4015" s="269"/>
      <c r="L4015" s="210" t="s">
        <v>675</v>
      </c>
      <c r="M4015" s="198">
        <f>ROUND(K4015*I4015/10000,6)</f>
        <v>0</v>
      </c>
      <c r="N4015" s="212">
        <f>'02 项目基础信息（输入）'!$C$93</f>
        <v>0</v>
      </c>
      <c r="O4015" s="212">
        <f t="shared" si="458"/>
        <v>0</v>
      </c>
      <c r="P4015" s="212">
        <f>'02 项目基础信息（输入）'!$C$93</f>
        <v>0</v>
      </c>
      <c r="Q4015" s="271">
        <f t="shared" si="459"/>
        <v>0</v>
      </c>
      <c r="R4015" s="188"/>
      <c r="S4015" s="280"/>
      <c r="T4015" s="222"/>
      <c r="U4015" s="272" t="s">
        <v>6252</v>
      </c>
    </row>
    <row r="4016" spans="1:21" s="181" customFormat="1" ht="0" hidden="1" customHeight="1" outlineLevel="4">
      <c r="A4016" s="253" t="s">
        <v>5268</v>
      </c>
      <c r="B4016" s="254"/>
      <c r="C4016" s="250" t="s">
        <v>5264</v>
      </c>
      <c r="D4016" s="212">
        <f>D4015</f>
        <v>0</v>
      </c>
      <c r="E4016" s="204" t="s">
        <v>93</v>
      </c>
      <c r="F4016" s="250" t="s">
        <v>5264</v>
      </c>
      <c r="G4016" s="290">
        <v>1</v>
      </c>
      <c r="H4016" s="204" t="s">
        <v>298</v>
      </c>
      <c r="I4016" s="265">
        <f>D4016*G4016</f>
        <v>0</v>
      </c>
      <c r="J4016" s="204" t="s">
        <v>93</v>
      </c>
      <c r="K4016" s="269"/>
      <c r="L4016" s="210" t="s">
        <v>675</v>
      </c>
      <c r="M4016" s="198">
        <f>ROUND(K4016*I4016/10000,6)</f>
        <v>0</v>
      </c>
      <c r="N4016" s="212">
        <f>'02 项目基础信息（输入）'!$C$93</f>
        <v>0</v>
      </c>
      <c r="O4016" s="212">
        <f t="shared" si="458"/>
        <v>0</v>
      </c>
      <c r="P4016" s="212">
        <f>'02 项目基础信息（输入）'!$C$93</f>
        <v>0</v>
      </c>
      <c r="Q4016" s="271">
        <f t="shared" si="459"/>
        <v>0</v>
      </c>
      <c r="R4016" s="188"/>
      <c r="S4016" s="280"/>
      <c r="T4016" s="222"/>
      <c r="U4016" s="272" t="s">
        <v>6253</v>
      </c>
    </row>
    <row r="4017" spans="1:21" s="181" customFormat="1" ht="0" hidden="1" customHeight="1" outlineLevel="3">
      <c r="A4017" s="253" t="s">
        <v>5270</v>
      </c>
      <c r="B4017" s="254"/>
      <c r="C4017" s="250" t="s">
        <v>1609</v>
      </c>
      <c r="D4017" s="203">
        <f>'02 项目基础信息（输入）'!$C$93</f>
        <v>0</v>
      </c>
      <c r="E4017" s="204" t="s">
        <v>93</v>
      </c>
      <c r="F4017" s="288"/>
      <c r="G4017" s="314"/>
      <c r="H4017" s="255"/>
      <c r="I4017" s="268"/>
      <c r="J4017" s="255"/>
      <c r="K4017" s="264"/>
      <c r="L4017" s="205"/>
      <c r="M4017" s="198">
        <f>ROUND(SUM(M4018:M4020),6)</f>
        <v>0</v>
      </c>
      <c r="N4017" s="212">
        <f>'02 项目基础信息（输入）'!$C$93</f>
        <v>0</v>
      </c>
      <c r="O4017" s="212">
        <f t="shared" si="458"/>
        <v>0</v>
      </c>
      <c r="P4017" s="212">
        <f>'02 项目基础信息（输入）'!$C$93</f>
        <v>0</v>
      </c>
      <c r="Q4017" s="271">
        <f t="shared" si="459"/>
        <v>0</v>
      </c>
      <c r="R4017" s="188"/>
      <c r="S4017" s="280"/>
      <c r="T4017" s="222"/>
      <c r="U4017" s="272" t="s">
        <v>6254</v>
      </c>
    </row>
    <row r="4018" spans="1:21" s="181" customFormat="1" ht="0" hidden="1" customHeight="1" outlineLevel="4">
      <c r="A4018" s="253" t="s">
        <v>5272</v>
      </c>
      <c r="B4018" s="254"/>
      <c r="C4018" s="250" t="s">
        <v>5273</v>
      </c>
      <c r="D4018" s="273">
        <f>'02 项目基础信息（输入）'!AM93</f>
        <v>0</v>
      </c>
      <c r="E4018" s="204" t="s">
        <v>93</v>
      </c>
      <c r="F4018" s="250" t="s">
        <v>5273</v>
      </c>
      <c r="G4018" s="290">
        <v>1</v>
      </c>
      <c r="H4018" s="204" t="s">
        <v>298</v>
      </c>
      <c r="I4018" s="265">
        <f>D4018*G4018</f>
        <v>0</v>
      </c>
      <c r="J4018" s="204" t="s">
        <v>93</v>
      </c>
      <c r="K4018" s="269"/>
      <c r="L4018" s="210" t="s">
        <v>675</v>
      </c>
      <c r="M4018" s="198">
        <f>ROUND(K4018*I4018/10000,6)</f>
        <v>0</v>
      </c>
      <c r="N4018" s="212">
        <f>'02 项目基础信息（输入）'!$C$93</f>
        <v>0</v>
      </c>
      <c r="O4018" s="212">
        <f t="shared" si="458"/>
        <v>0</v>
      </c>
      <c r="P4018" s="212">
        <f>'02 项目基础信息（输入）'!$C$93</f>
        <v>0</v>
      </c>
      <c r="Q4018" s="271">
        <f t="shared" si="459"/>
        <v>0</v>
      </c>
      <c r="R4018" s="188"/>
      <c r="S4018" s="280"/>
      <c r="T4018" s="222"/>
      <c r="U4018" s="272" t="s">
        <v>6255</v>
      </c>
    </row>
    <row r="4019" spans="1:21" s="181" customFormat="1" ht="0" hidden="1" customHeight="1" outlineLevel="4">
      <c r="A4019" s="253" t="s">
        <v>5275</v>
      </c>
      <c r="B4019" s="254"/>
      <c r="C4019" s="250" t="s">
        <v>5273</v>
      </c>
      <c r="D4019" s="212">
        <f>D4018</f>
        <v>0</v>
      </c>
      <c r="E4019" s="204" t="s">
        <v>93</v>
      </c>
      <c r="F4019" s="250" t="s">
        <v>5273</v>
      </c>
      <c r="G4019" s="290">
        <v>1</v>
      </c>
      <c r="H4019" s="204" t="s">
        <v>298</v>
      </c>
      <c r="I4019" s="265">
        <f>D4019*G4019</f>
        <v>0</v>
      </c>
      <c r="J4019" s="204" t="s">
        <v>93</v>
      </c>
      <c r="K4019" s="269"/>
      <c r="L4019" s="210" t="s">
        <v>675</v>
      </c>
      <c r="M4019" s="198">
        <f>ROUND(K4019*I4019/10000,6)</f>
        <v>0</v>
      </c>
      <c r="N4019" s="212">
        <f>'02 项目基础信息（输入）'!$C$93</f>
        <v>0</v>
      </c>
      <c r="O4019" s="212">
        <f t="shared" si="458"/>
        <v>0</v>
      </c>
      <c r="P4019" s="212">
        <f>'02 项目基础信息（输入）'!$C$93</f>
        <v>0</v>
      </c>
      <c r="Q4019" s="271">
        <f t="shared" si="459"/>
        <v>0</v>
      </c>
      <c r="R4019" s="188"/>
      <c r="S4019" s="280"/>
      <c r="T4019" s="222"/>
      <c r="U4019" s="272" t="s">
        <v>6256</v>
      </c>
    </row>
    <row r="4020" spans="1:21" s="181" customFormat="1" ht="0" hidden="1" customHeight="1" outlineLevel="4">
      <c r="A4020" s="253" t="s">
        <v>5277</v>
      </c>
      <c r="B4020" s="254"/>
      <c r="C4020" s="250" t="s">
        <v>5273</v>
      </c>
      <c r="D4020" s="212">
        <f>D4019</f>
        <v>0</v>
      </c>
      <c r="E4020" s="204" t="s">
        <v>93</v>
      </c>
      <c r="F4020" s="250" t="s">
        <v>5273</v>
      </c>
      <c r="G4020" s="290">
        <v>1</v>
      </c>
      <c r="H4020" s="204" t="s">
        <v>298</v>
      </c>
      <c r="I4020" s="265">
        <f>D4020*G4020</f>
        <v>0</v>
      </c>
      <c r="J4020" s="204" t="s">
        <v>93</v>
      </c>
      <c r="K4020" s="269"/>
      <c r="L4020" s="210" t="s">
        <v>675</v>
      </c>
      <c r="M4020" s="198">
        <f>ROUND(K4020*I4020/10000,6)</f>
        <v>0</v>
      </c>
      <c r="N4020" s="212">
        <f>'02 项目基础信息（输入）'!$C$93</f>
        <v>0</v>
      </c>
      <c r="O4020" s="212">
        <f t="shared" si="458"/>
        <v>0</v>
      </c>
      <c r="P4020" s="212">
        <f>'02 项目基础信息（输入）'!$C$93</f>
        <v>0</v>
      </c>
      <c r="Q4020" s="271">
        <f t="shared" si="459"/>
        <v>0</v>
      </c>
      <c r="R4020" s="188"/>
      <c r="S4020" s="280"/>
      <c r="T4020" s="222"/>
      <c r="U4020" s="272" t="s">
        <v>6257</v>
      </c>
    </row>
    <row r="4021" spans="1:21" s="181" customFormat="1" ht="0" hidden="1" customHeight="1" outlineLevel="3">
      <c r="A4021" s="253" t="s">
        <v>5279</v>
      </c>
      <c r="B4021" s="254"/>
      <c r="C4021" s="250" t="s">
        <v>1609</v>
      </c>
      <c r="D4021" s="203">
        <f>'02 项目基础信息（输入）'!$C$93</f>
        <v>0</v>
      </c>
      <c r="E4021" s="204" t="s">
        <v>93</v>
      </c>
      <c r="F4021" s="288"/>
      <c r="G4021" s="314"/>
      <c r="H4021" s="255"/>
      <c r="I4021" s="268"/>
      <c r="J4021" s="255"/>
      <c r="K4021" s="264"/>
      <c r="L4021" s="205"/>
      <c r="M4021" s="198">
        <f>ROUND(SUM(M4022:M4024),6)</f>
        <v>0</v>
      </c>
      <c r="N4021" s="212">
        <f>'02 项目基础信息（输入）'!$C$93</f>
        <v>0</v>
      </c>
      <c r="O4021" s="212">
        <f t="shared" si="458"/>
        <v>0</v>
      </c>
      <c r="P4021" s="212">
        <f>'02 项目基础信息（输入）'!$C$93</f>
        <v>0</v>
      </c>
      <c r="Q4021" s="271">
        <f t="shared" si="459"/>
        <v>0</v>
      </c>
      <c r="R4021" s="188"/>
      <c r="S4021" s="280"/>
      <c r="T4021" s="222"/>
      <c r="U4021" s="272" t="s">
        <v>6258</v>
      </c>
    </row>
    <row r="4022" spans="1:21" s="181" customFormat="1" ht="0" hidden="1" customHeight="1" outlineLevel="4">
      <c r="A4022" s="253" t="s">
        <v>5281</v>
      </c>
      <c r="B4022" s="254"/>
      <c r="C4022" s="250" t="s">
        <v>5282</v>
      </c>
      <c r="D4022" s="273">
        <f>'02 项目基础信息（输入）'!AN93</f>
        <v>0</v>
      </c>
      <c r="E4022" s="204" t="s">
        <v>93</v>
      </c>
      <c r="F4022" s="250" t="s">
        <v>5282</v>
      </c>
      <c r="G4022" s="290">
        <v>1</v>
      </c>
      <c r="H4022" s="204" t="s">
        <v>298</v>
      </c>
      <c r="I4022" s="265">
        <f>D4022*G4022</f>
        <v>0</v>
      </c>
      <c r="J4022" s="204" t="s">
        <v>93</v>
      </c>
      <c r="K4022" s="269"/>
      <c r="L4022" s="210" t="s">
        <v>675</v>
      </c>
      <c r="M4022" s="198">
        <f>ROUND(K4022*I4022/10000,6)</f>
        <v>0</v>
      </c>
      <c r="N4022" s="212">
        <f>'02 项目基础信息（输入）'!$C$93</f>
        <v>0</v>
      </c>
      <c r="O4022" s="212">
        <f t="shared" si="458"/>
        <v>0</v>
      </c>
      <c r="P4022" s="212">
        <f>'02 项目基础信息（输入）'!$C$93</f>
        <v>0</v>
      </c>
      <c r="Q4022" s="271">
        <f t="shared" si="459"/>
        <v>0</v>
      </c>
      <c r="R4022" s="188"/>
      <c r="S4022" s="280"/>
      <c r="T4022" s="222"/>
      <c r="U4022" s="272" t="s">
        <v>6259</v>
      </c>
    </row>
    <row r="4023" spans="1:21" s="181" customFormat="1" ht="0" hidden="1" customHeight="1" outlineLevel="4">
      <c r="A4023" s="253" t="s">
        <v>5284</v>
      </c>
      <c r="B4023" s="254"/>
      <c r="C4023" s="250" t="s">
        <v>5282</v>
      </c>
      <c r="D4023" s="212">
        <f>D4022</f>
        <v>0</v>
      </c>
      <c r="E4023" s="204" t="s">
        <v>93</v>
      </c>
      <c r="F4023" s="250" t="s">
        <v>5282</v>
      </c>
      <c r="G4023" s="290">
        <v>1</v>
      </c>
      <c r="H4023" s="204" t="s">
        <v>298</v>
      </c>
      <c r="I4023" s="265">
        <f>D4023*G4023</f>
        <v>0</v>
      </c>
      <c r="J4023" s="204" t="s">
        <v>93</v>
      </c>
      <c r="K4023" s="269"/>
      <c r="L4023" s="210" t="s">
        <v>675</v>
      </c>
      <c r="M4023" s="198">
        <f>ROUND(K4023*I4023/10000,6)</f>
        <v>0</v>
      </c>
      <c r="N4023" s="212">
        <f>'02 项目基础信息（输入）'!$C$93</f>
        <v>0</v>
      </c>
      <c r="O4023" s="212">
        <f t="shared" si="458"/>
        <v>0</v>
      </c>
      <c r="P4023" s="212">
        <f>'02 项目基础信息（输入）'!$C$93</f>
        <v>0</v>
      </c>
      <c r="Q4023" s="271">
        <f t="shared" si="459"/>
        <v>0</v>
      </c>
      <c r="R4023" s="188"/>
      <c r="S4023" s="280"/>
      <c r="T4023" s="222"/>
      <c r="U4023" s="272" t="s">
        <v>6260</v>
      </c>
    </row>
    <row r="4024" spans="1:21" s="181" customFormat="1" ht="0" hidden="1" customHeight="1" outlineLevel="4">
      <c r="A4024" s="253" t="s">
        <v>5286</v>
      </c>
      <c r="B4024" s="254"/>
      <c r="C4024" s="250" t="s">
        <v>5282</v>
      </c>
      <c r="D4024" s="212">
        <f>D4023</f>
        <v>0</v>
      </c>
      <c r="E4024" s="204" t="s">
        <v>93</v>
      </c>
      <c r="F4024" s="250" t="s">
        <v>5282</v>
      </c>
      <c r="G4024" s="290">
        <v>1</v>
      </c>
      <c r="H4024" s="204" t="s">
        <v>298</v>
      </c>
      <c r="I4024" s="265">
        <f>D4024*G4024</f>
        <v>0</v>
      </c>
      <c r="J4024" s="204" t="s">
        <v>93</v>
      </c>
      <c r="K4024" s="269"/>
      <c r="L4024" s="210" t="s">
        <v>675</v>
      </c>
      <c r="M4024" s="198">
        <f>ROUND(K4024*I4024/10000,6)</f>
        <v>0</v>
      </c>
      <c r="N4024" s="212">
        <f>'02 项目基础信息（输入）'!$C$93</f>
        <v>0</v>
      </c>
      <c r="O4024" s="212">
        <f t="shared" si="458"/>
        <v>0</v>
      </c>
      <c r="P4024" s="212">
        <f>'02 项目基础信息（输入）'!$C$93</f>
        <v>0</v>
      </c>
      <c r="Q4024" s="271">
        <f t="shared" si="459"/>
        <v>0</v>
      </c>
      <c r="R4024" s="188"/>
      <c r="S4024" s="280"/>
      <c r="T4024" s="222"/>
      <c r="U4024" s="272" t="s">
        <v>6261</v>
      </c>
    </row>
    <row r="4025" spans="1:21" s="181" customFormat="1" ht="0" hidden="1" customHeight="1" outlineLevel="3">
      <c r="A4025" s="253" t="s">
        <v>5288</v>
      </c>
      <c r="B4025" s="254"/>
      <c r="C4025" s="250" t="s">
        <v>1609</v>
      </c>
      <c r="D4025" s="203">
        <f>'02 项目基础信息（输入）'!$C$93</f>
        <v>0</v>
      </c>
      <c r="E4025" s="204" t="s">
        <v>93</v>
      </c>
      <c r="F4025" s="288"/>
      <c r="G4025" s="314"/>
      <c r="H4025" s="255"/>
      <c r="I4025" s="268"/>
      <c r="J4025" s="255"/>
      <c r="K4025" s="264"/>
      <c r="L4025" s="205"/>
      <c r="M4025" s="198">
        <f>ROUND(SUM(M4026:M4028),6)</f>
        <v>0</v>
      </c>
      <c r="N4025" s="212">
        <f>'02 项目基础信息（输入）'!$C$93</f>
        <v>0</v>
      </c>
      <c r="O4025" s="212">
        <f t="shared" si="458"/>
        <v>0</v>
      </c>
      <c r="P4025" s="212">
        <f>'02 项目基础信息（输入）'!$C$93</f>
        <v>0</v>
      </c>
      <c r="Q4025" s="271">
        <f t="shared" si="459"/>
        <v>0</v>
      </c>
      <c r="R4025" s="188"/>
      <c r="S4025" s="280"/>
      <c r="T4025" s="222"/>
      <c r="U4025" s="272" t="s">
        <v>6262</v>
      </c>
    </row>
    <row r="4026" spans="1:21" s="181" customFormat="1" ht="0" hidden="1" customHeight="1" outlineLevel="4">
      <c r="A4026" s="253" t="s">
        <v>5290</v>
      </c>
      <c r="B4026" s="254"/>
      <c r="C4026" s="250" t="s">
        <v>5291</v>
      </c>
      <c r="D4026" s="273">
        <f>'02 项目基础信息（输入）'!AO93</f>
        <v>0</v>
      </c>
      <c r="E4026" s="204" t="s">
        <v>93</v>
      </c>
      <c r="F4026" s="250" t="s">
        <v>5291</v>
      </c>
      <c r="G4026" s="290">
        <v>1</v>
      </c>
      <c r="H4026" s="204" t="s">
        <v>298</v>
      </c>
      <c r="I4026" s="265">
        <f>D4026*G4026</f>
        <v>0</v>
      </c>
      <c r="J4026" s="204" t="s">
        <v>93</v>
      </c>
      <c r="K4026" s="269"/>
      <c r="L4026" s="210" t="s">
        <v>675</v>
      </c>
      <c r="M4026" s="198">
        <f>ROUND(K4026*I4026/10000,6)</f>
        <v>0</v>
      </c>
      <c r="N4026" s="212">
        <f>'02 项目基础信息（输入）'!$C$93</f>
        <v>0</v>
      </c>
      <c r="O4026" s="212">
        <f t="shared" si="458"/>
        <v>0</v>
      </c>
      <c r="P4026" s="212">
        <f>'02 项目基础信息（输入）'!$C$93</f>
        <v>0</v>
      </c>
      <c r="Q4026" s="271">
        <f t="shared" si="459"/>
        <v>0</v>
      </c>
      <c r="R4026" s="188"/>
      <c r="S4026" s="280"/>
      <c r="T4026" s="222"/>
      <c r="U4026" s="272" t="s">
        <v>6263</v>
      </c>
    </row>
    <row r="4027" spans="1:21" s="181" customFormat="1" ht="0" hidden="1" customHeight="1" outlineLevel="4">
      <c r="A4027" s="253" t="s">
        <v>5293</v>
      </c>
      <c r="B4027" s="254"/>
      <c r="C4027" s="250" t="s">
        <v>5291</v>
      </c>
      <c r="D4027" s="212">
        <f>D4026</f>
        <v>0</v>
      </c>
      <c r="E4027" s="204" t="s">
        <v>93</v>
      </c>
      <c r="F4027" s="250" t="s">
        <v>5291</v>
      </c>
      <c r="G4027" s="290">
        <v>1</v>
      </c>
      <c r="H4027" s="204" t="s">
        <v>298</v>
      </c>
      <c r="I4027" s="265">
        <f>D4027*G4027</f>
        <v>0</v>
      </c>
      <c r="J4027" s="204" t="s">
        <v>93</v>
      </c>
      <c r="K4027" s="269"/>
      <c r="L4027" s="210" t="s">
        <v>675</v>
      </c>
      <c r="M4027" s="198">
        <f>ROUND(K4027*I4027/10000,6)</f>
        <v>0</v>
      </c>
      <c r="N4027" s="212">
        <f>'02 项目基础信息（输入）'!$C$93</f>
        <v>0</v>
      </c>
      <c r="O4027" s="212">
        <f t="shared" si="458"/>
        <v>0</v>
      </c>
      <c r="P4027" s="212">
        <f>'02 项目基础信息（输入）'!$C$93</f>
        <v>0</v>
      </c>
      <c r="Q4027" s="271">
        <f t="shared" si="459"/>
        <v>0</v>
      </c>
      <c r="R4027" s="188"/>
      <c r="S4027" s="280"/>
      <c r="T4027" s="222"/>
      <c r="U4027" s="272" t="s">
        <v>6264</v>
      </c>
    </row>
    <row r="4028" spans="1:21" s="181" customFormat="1" ht="0" hidden="1" customHeight="1" outlineLevel="4">
      <c r="A4028" s="253" t="s">
        <v>5295</v>
      </c>
      <c r="B4028" s="254"/>
      <c r="C4028" s="250" t="s">
        <v>5291</v>
      </c>
      <c r="D4028" s="212">
        <f>D4027</f>
        <v>0</v>
      </c>
      <c r="E4028" s="204" t="s">
        <v>93</v>
      </c>
      <c r="F4028" s="250" t="s">
        <v>5291</v>
      </c>
      <c r="G4028" s="290">
        <v>1</v>
      </c>
      <c r="H4028" s="204" t="s">
        <v>298</v>
      </c>
      <c r="I4028" s="265">
        <f>D4028*G4028</f>
        <v>0</v>
      </c>
      <c r="J4028" s="204" t="s">
        <v>93</v>
      </c>
      <c r="K4028" s="269"/>
      <c r="L4028" s="210" t="s">
        <v>675</v>
      </c>
      <c r="M4028" s="198">
        <f>ROUND(K4028*I4028/10000,6)</f>
        <v>0</v>
      </c>
      <c r="N4028" s="212">
        <f>'02 项目基础信息（输入）'!$C$93</f>
        <v>0</v>
      </c>
      <c r="O4028" s="212">
        <f t="shared" si="458"/>
        <v>0</v>
      </c>
      <c r="P4028" s="212">
        <f>'02 项目基础信息（输入）'!$C$93</f>
        <v>0</v>
      </c>
      <c r="Q4028" s="271">
        <f t="shared" si="459"/>
        <v>0</v>
      </c>
      <c r="R4028" s="188"/>
      <c r="S4028" s="280"/>
      <c r="T4028" s="222"/>
      <c r="U4028" s="272" t="s">
        <v>6265</v>
      </c>
    </row>
    <row r="4029" spans="1:21" s="181" customFormat="1" ht="0" hidden="1" customHeight="1" outlineLevel="3">
      <c r="A4029" s="253" t="s">
        <v>4572</v>
      </c>
      <c r="B4029" s="254"/>
      <c r="C4029" s="250" t="s">
        <v>1609</v>
      </c>
      <c r="D4029" s="203">
        <f>'02 项目基础信息（输入）'!$C$93</f>
        <v>0</v>
      </c>
      <c r="E4029" s="204" t="s">
        <v>93</v>
      </c>
      <c r="F4029" s="288"/>
      <c r="G4029" s="277"/>
      <c r="H4029" s="255"/>
      <c r="I4029" s="268"/>
      <c r="J4029" s="255"/>
      <c r="K4029" s="264"/>
      <c r="L4029" s="205"/>
      <c r="M4029" s="198">
        <f>ROUND(SUM(M4030:M4031),6)</f>
        <v>0</v>
      </c>
      <c r="N4029" s="212">
        <f>'02 项目基础信息（输入）'!$C$93</f>
        <v>0</v>
      </c>
      <c r="O4029" s="212">
        <f t="shared" si="458"/>
        <v>0</v>
      </c>
      <c r="P4029" s="212">
        <f>'02 项目基础信息（输入）'!$C$93</f>
        <v>0</v>
      </c>
      <c r="Q4029" s="271">
        <f t="shared" si="459"/>
        <v>0</v>
      </c>
      <c r="R4029" s="188"/>
      <c r="S4029" s="280"/>
      <c r="T4029" s="222"/>
      <c r="U4029" s="272" t="s">
        <v>6266</v>
      </c>
    </row>
    <row r="4030" spans="1:21" s="181" customFormat="1" ht="0" hidden="1" customHeight="1" outlineLevel="4">
      <c r="A4030" s="253" t="s">
        <v>4574</v>
      </c>
      <c r="B4030" s="254"/>
      <c r="C4030" s="250" t="s">
        <v>4575</v>
      </c>
      <c r="D4030" s="273">
        <f>'02 项目基础信息（输入）'!AQ93</f>
        <v>0</v>
      </c>
      <c r="E4030" s="204" t="s">
        <v>93</v>
      </c>
      <c r="F4030" s="202" t="s">
        <v>4576</v>
      </c>
      <c r="G4030" s="204">
        <v>1</v>
      </c>
      <c r="H4030" s="204" t="s">
        <v>298</v>
      </c>
      <c r="I4030" s="265">
        <f>D4030*G4030</f>
        <v>0</v>
      </c>
      <c r="J4030" s="204" t="s">
        <v>93</v>
      </c>
      <c r="K4030" s="269"/>
      <c r="L4030" s="210" t="s">
        <v>1749</v>
      </c>
      <c r="M4030" s="198">
        <f>ROUND(K4030*I4030/10000,6)</f>
        <v>0</v>
      </c>
      <c r="N4030" s="212">
        <f>'02 项目基础信息（输入）'!$C$93</f>
        <v>0</v>
      </c>
      <c r="O4030" s="212">
        <f t="shared" si="458"/>
        <v>0</v>
      </c>
      <c r="P4030" s="212">
        <f>'02 项目基础信息（输入）'!$C$93</f>
        <v>0</v>
      </c>
      <c r="Q4030" s="271">
        <f t="shared" si="459"/>
        <v>0</v>
      </c>
      <c r="R4030" s="188"/>
      <c r="S4030" s="280"/>
      <c r="T4030" s="222"/>
      <c r="U4030" s="272" t="s">
        <v>6267</v>
      </c>
    </row>
    <row r="4031" spans="1:21" s="181" customFormat="1" ht="0" hidden="1" customHeight="1" outlineLevel="4">
      <c r="A4031" s="253" t="s">
        <v>4578</v>
      </c>
      <c r="B4031" s="254"/>
      <c r="C4031" s="250" t="s">
        <v>4575</v>
      </c>
      <c r="D4031" s="212">
        <f>D4030</f>
        <v>0</v>
      </c>
      <c r="E4031" s="204" t="s">
        <v>93</v>
      </c>
      <c r="F4031" s="202" t="s">
        <v>4576</v>
      </c>
      <c r="G4031" s="204">
        <v>1</v>
      </c>
      <c r="H4031" s="204" t="s">
        <v>298</v>
      </c>
      <c r="I4031" s="265">
        <f>D4031*G4031</f>
        <v>0</v>
      </c>
      <c r="J4031" s="204" t="s">
        <v>93</v>
      </c>
      <c r="K4031" s="269"/>
      <c r="L4031" s="210" t="s">
        <v>1749</v>
      </c>
      <c r="M4031" s="198">
        <f>ROUND(K4031*I4031/10000,6)</f>
        <v>0</v>
      </c>
      <c r="N4031" s="212">
        <f>'02 项目基础信息（输入）'!$C$93</f>
        <v>0</v>
      </c>
      <c r="O4031" s="212">
        <f t="shared" si="458"/>
        <v>0</v>
      </c>
      <c r="P4031" s="212">
        <f>'02 项目基础信息（输入）'!$C$93</f>
        <v>0</v>
      </c>
      <c r="Q4031" s="271">
        <f t="shared" si="459"/>
        <v>0</v>
      </c>
      <c r="R4031" s="188"/>
      <c r="S4031" s="280"/>
      <c r="T4031" s="222"/>
      <c r="U4031" s="272" t="s">
        <v>6268</v>
      </c>
    </row>
    <row r="4032" spans="1:21" s="181" customFormat="1" ht="0" hidden="1" customHeight="1" outlineLevel="3">
      <c r="A4032" s="253" t="s">
        <v>4580</v>
      </c>
      <c r="B4032" s="254"/>
      <c r="C4032" s="250" t="s">
        <v>4581</v>
      </c>
      <c r="D4032" s="289">
        <f>'02 项目基础信息（输入）'!BA93</f>
        <v>0</v>
      </c>
      <c r="E4032" s="204" t="s">
        <v>1082</v>
      </c>
      <c r="F4032" s="250" t="s">
        <v>4581</v>
      </c>
      <c r="G4032" s="204">
        <v>1</v>
      </c>
      <c r="H4032" s="204" t="s">
        <v>1918</v>
      </c>
      <c r="I4032" s="265">
        <f>D4032*G4032</f>
        <v>0</v>
      </c>
      <c r="J4032" s="204" t="s">
        <v>400</v>
      </c>
      <c r="K4032" s="269"/>
      <c r="L4032" s="210" t="s">
        <v>1087</v>
      </c>
      <c r="M4032" s="198">
        <f>ROUND(K4032*I4032/10000,6)</f>
        <v>0</v>
      </c>
      <c r="N4032" s="212">
        <f>'02 项目基础信息（输入）'!$C$93</f>
        <v>0</v>
      </c>
      <c r="O4032" s="212">
        <f t="shared" si="458"/>
        <v>0</v>
      </c>
      <c r="P4032" s="212">
        <f>'02 项目基础信息（输入）'!$C$93</f>
        <v>0</v>
      </c>
      <c r="Q4032" s="271">
        <f t="shared" si="459"/>
        <v>0</v>
      </c>
      <c r="R4032" s="188"/>
      <c r="S4032" s="280"/>
      <c r="T4032" s="222"/>
      <c r="U4032" s="272" t="s">
        <v>6269</v>
      </c>
    </row>
    <row r="4033" spans="1:21" s="181" customFormat="1" ht="0" hidden="1" customHeight="1" outlineLevel="3">
      <c r="A4033" s="253" t="s">
        <v>4583</v>
      </c>
      <c r="B4033" s="254"/>
      <c r="C4033" s="250" t="s">
        <v>1609</v>
      </c>
      <c r="D4033" s="203">
        <f>'02 项目基础信息（输入）'!$C$93</f>
        <v>0</v>
      </c>
      <c r="E4033" s="204" t="s">
        <v>93</v>
      </c>
      <c r="F4033" s="250" t="s">
        <v>4584</v>
      </c>
      <c r="G4033" s="210">
        <f>IFERROR(I4033/D4033,0)</f>
        <v>0</v>
      </c>
      <c r="H4033" s="204" t="s">
        <v>298</v>
      </c>
      <c r="I4033" s="285"/>
      <c r="J4033" s="204" t="s">
        <v>93</v>
      </c>
      <c r="K4033" s="269"/>
      <c r="L4033" s="210" t="s">
        <v>675</v>
      </c>
      <c r="M4033" s="198">
        <f>ROUND(K4033*I4033/10000,6)</f>
        <v>0</v>
      </c>
      <c r="N4033" s="212">
        <f>'02 项目基础信息（输入）'!$C$93</f>
        <v>0</v>
      </c>
      <c r="O4033" s="212">
        <f t="shared" si="458"/>
        <v>0</v>
      </c>
      <c r="P4033" s="212">
        <f>'02 项目基础信息（输入）'!$C$93</f>
        <v>0</v>
      </c>
      <c r="Q4033" s="271">
        <f t="shared" si="459"/>
        <v>0</v>
      </c>
      <c r="R4033" s="188"/>
      <c r="S4033" s="280"/>
      <c r="T4033" s="222"/>
      <c r="U4033" s="272" t="s">
        <v>6270</v>
      </c>
    </row>
    <row r="4034" spans="1:21" s="181" customFormat="1" ht="0" hidden="1" customHeight="1" outlineLevel="3">
      <c r="A4034" s="253" t="s">
        <v>4586</v>
      </c>
      <c r="B4034" s="254"/>
      <c r="C4034" s="250" t="s">
        <v>1609</v>
      </c>
      <c r="D4034" s="203">
        <f>'02 项目基础信息（输入）'!$C$93</f>
        <v>0</v>
      </c>
      <c r="E4034" s="204" t="s">
        <v>93</v>
      </c>
      <c r="F4034" s="250" t="s">
        <v>1960</v>
      </c>
      <c r="G4034" s="237"/>
      <c r="H4034" s="278" t="s">
        <v>123</v>
      </c>
      <c r="I4034" s="268">
        <f>G4034*D4034/100</f>
        <v>0</v>
      </c>
      <c r="J4034" s="204" t="s">
        <v>93</v>
      </c>
      <c r="K4034" s="269"/>
      <c r="L4034" s="210" t="s">
        <v>675</v>
      </c>
      <c r="M4034" s="198">
        <f>ROUND(K4034*I4034/10000,6)</f>
        <v>0</v>
      </c>
      <c r="N4034" s="212">
        <f>'02 项目基础信息（输入）'!$C$93</f>
        <v>0</v>
      </c>
      <c r="O4034" s="212">
        <f t="shared" si="458"/>
        <v>0</v>
      </c>
      <c r="P4034" s="212">
        <f>'02 项目基础信息（输入）'!$C$93</f>
        <v>0</v>
      </c>
      <c r="Q4034" s="271">
        <f t="shared" si="459"/>
        <v>0</v>
      </c>
      <c r="R4034" s="188"/>
      <c r="S4034" s="280"/>
      <c r="T4034" s="222"/>
      <c r="U4034" s="272" t="s">
        <v>6271</v>
      </c>
    </row>
    <row r="4035" spans="1:21" s="181" customFormat="1" ht="0" hidden="1" customHeight="1" outlineLevel="3">
      <c r="A4035" s="253" t="s">
        <v>4588</v>
      </c>
      <c r="B4035" s="254"/>
      <c r="C4035" s="250" t="s">
        <v>1665</v>
      </c>
      <c r="D4035" s="203">
        <f>ROUND(M3969+M3973+M3977+M3981+M3985+M3989+M3993+M3997+M4001+M4005+M4009+M4013+M4017+M4021+M4025+M4029+M4032+M4033+M4034,6)*10000</f>
        <v>0</v>
      </c>
      <c r="E4035" s="204" t="s">
        <v>1666</v>
      </c>
      <c r="F4035" s="202" t="s">
        <v>1667</v>
      </c>
      <c r="G4035" s="258">
        <f>IFERROR(I4035*100/D4035,0)</f>
        <v>0</v>
      </c>
      <c r="H4035" s="204" t="s">
        <v>123</v>
      </c>
      <c r="I4035" s="265">
        <f>N4035*K4035</f>
        <v>0</v>
      </c>
      <c r="J4035" s="204" t="s">
        <v>1666</v>
      </c>
      <c r="K4035" s="269"/>
      <c r="L4035" s="210" t="s">
        <v>675</v>
      </c>
      <c r="M4035" s="231">
        <f>ROUND(I4035/10000,6)</f>
        <v>0</v>
      </c>
      <c r="N4035" s="212">
        <f>'02 项目基础信息（输入）'!$C$93</f>
        <v>0</v>
      </c>
      <c r="O4035" s="212">
        <f t="shared" ref="O4035:O4098" si="460">ROUND(IFERROR(M4035*10000/N4035,0),2)</f>
        <v>0</v>
      </c>
      <c r="P4035" s="212">
        <f>'02 项目基础信息（输入）'!$C$93</f>
        <v>0</v>
      </c>
      <c r="Q4035" s="271">
        <f t="shared" ref="Q4035:Q4098" si="461">ROUND(IFERROR(M4035*10000/P4035,0),2)</f>
        <v>0</v>
      </c>
      <c r="R4035" s="188"/>
      <c r="S4035" s="280"/>
      <c r="T4035" s="222"/>
      <c r="U4035" s="272" t="s">
        <v>6272</v>
      </c>
    </row>
    <row r="4036" spans="1:21" ht="0" hidden="1" customHeight="1" outlineLevel="2">
      <c r="A4036" s="201" t="s">
        <v>4590</v>
      </c>
      <c r="B4036" s="201"/>
      <c r="C4036" s="202" t="s">
        <v>1609</v>
      </c>
      <c r="D4036" s="203">
        <f>'02 项目基础信息（输入）'!$C$93</f>
        <v>0</v>
      </c>
      <c r="E4036" s="204" t="s">
        <v>93</v>
      </c>
      <c r="F4036" s="256"/>
      <c r="G4036" s="255"/>
      <c r="H4036" s="255"/>
      <c r="I4036" s="212"/>
      <c r="J4036" s="255"/>
      <c r="K4036" s="264"/>
      <c r="L4036" s="205"/>
      <c r="M4036" s="198">
        <f>M4037+M4045</f>
        <v>0</v>
      </c>
      <c r="N4036" s="212">
        <f>'02 项目基础信息（输入）'!$C$93</f>
        <v>0</v>
      </c>
      <c r="O4036" s="212">
        <f t="shared" si="460"/>
        <v>0</v>
      </c>
      <c r="P4036" s="212">
        <f>'02 项目基础信息（输入）'!$C$93</f>
        <v>0</v>
      </c>
      <c r="Q4036" s="271">
        <f t="shared" si="461"/>
        <v>0</v>
      </c>
      <c r="S4036" s="280" t="s">
        <v>1314</v>
      </c>
      <c r="T4036" s="222"/>
      <c r="U4036" s="272" t="s">
        <v>6273</v>
      </c>
    </row>
    <row r="4037" spans="1:21" ht="0" hidden="1" customHeight="1" outlineLevel="3">
      <c r="A4037" s="201" t="s">
        <v>4592</v>
      </c>
      <c r="B4037" s="201"/>
      <c r="C4037" s="202" t="s">
        <v>1609</v>
      </c>
      <c r="D4037" s="203">
        <f>'02 项目基础信息（输入）'!$C$93</f>
        <v>0</v>
      </c>
      <c r="E4037" s="204" t="s">
        <v>93</v>
      </c>
      <c r="F4037" s="202"/>
      <c r="G4037" s="204"/>
      <c r="H4037" s="204"/>
      <c r="I4037" s="203"/>
      <c r="J4037" s="255"/>
      <c r="K4037" s="264"/>
      <c r="L4037" s="205"/>
      <c r="M4037" s="198">
        <f>ROUND(M4038+M4041+M4044,6)</f>
        <v>0</v>
      </c>
      <c r="N4037" s="212">
        <f>'02 项目基础信息（输入）'!$C$93</f>
        <v>0</v>
      </c>
      <c r="O4037" s="212">
        <f t="shared" si="460"/>
        <v>0</v>
      </c>
      <c r="P4037" s="212">
        <f>'02 项目基础信息（输入）'!$C$93</f>
        <v>0</v>
      </c>
      <c r="Q4037" s="271">
        <f t="shared" si="461"/>
        <v>0</v>
      </c>
      <c r="S4037" s="280"/>
      <c r="T4037" s="222"/>
      <c r="U4037" s="272" t="s">
        <v>6274</v>
      </c>
    </row>
    <row r="4038" spans="1:21" s="181" customFormat="1" ht="0" hidden="1" customHeight="1" outlineLevel="4">
      <c r="A4038" s="253" t="s">
        <v>4594</v>
      </c>
      <c r="B4038" s="254"/>
      <c r="C4038" s="250" t="s">
        <v>1609</v>
      </c>
      <c r="D4038" s="203">
        <f>'02 项目基础信息（输入）'!$C$93</f>
        <v>0</v>
      </c>
      <c r="E4038" s="204" t="s">
        <v>93</v>
      </c>
      <c r="F4038" s="202"/>
      <c r="G4038" s="280"/>
      <c r="H4038" s="204"/>
      <c r="I4038" s="268"/>
      <c r="J4038" s="204"/>
      <c r="K4038" s="203"/>
      <c r="L4038" s="210"/>
      <c r="M4038" s="198">
        <f>ROUND(SUM(M4039:M4040),6)</f>
        <v>0</v>
      </c>
      <c r="N4038" s="212">
        <f>'02 项目基础信息（输入）'!$C$93</f>
        <v>0</v>
      </c>
      <c r="O4038" s="212">
        <f t="shared" si="460"/>
        <v>0</v>
      </c>
      <c r="P4038" s="212">
        <f>'02 项目基础信息（输入）'!$C$93</f>
        <v>0</v>
      </c>
      <c r="Q4038" s="271">
        <f t="shared" si="461"/>
        <v>0</v>
      </c>
      <c r="R4038" s="188"/>
      <c r="S4038" s="280"/>
      <c r="T4038" s="222"/>
      <c r="U4038" s="272" t="s">
        <v>6275</v>
      </c>
    </row>
    <row r="4039" spans="1:21" s="181" customFormat="1" ht="0" hidden="1" customHeight="1" outlineLevel="5">
      <c r="A4039" s="253" t="s">
        <v>4596</v>
      </c>
      <c r="B4039" s="254"/>
      <c r="C4039" s="250" t="s">
        <v>1609</v>
      </c>
      <c r="D4039" s="203">
        <f>'02 项目基础信息（输入）'!$C$93</f>
        <v>0</v>
      </c>
      <c r="E4039" s="204" t="s">
        <v>93</v>
      </c>
      <c r="F4039" s="202" t="s">
        <v>4597</v>
      </c>
      <c r="G4039" s="210">
        <f>IFERROR(I4039/D4039,0)</f>
        <v>0</v>
      </c>
      <c r="H4039" s="204" t="s">
        <v>4598</v>
      </c>
      <c r="I4039" s="292"/>
      <c r="J4039" s="204" t="s">
        <v>1052</v>
      </c>
      <c r="K4039" s="292"/>
      <c r="L4039" s="210" t="s">
        <v>746</v>
      </c>
      <c r="M4039" s="198">
        <f>ROUND(K4039*I4039/10000,6)</f>
        <v>0</v>
      </c>
      <c r="N4039" s="212">
        <f>'02 项目基础信息（输入）'!$C$93</f>
        <v>0</v>
      </c>
      <c r="O4039" s="212">
        <f t="shared" si="460"/>
        <v>0</v>
      </c>
      <c r="P4039" s="212">
        <f>'02 项目基础信息（输入）'!$C$93</f>
        <v>0</v>
      </c>
      <c r="Q4039" s="271">
        <f t="shared" si="461"/>
        <v>0</v>
      </c>
      <c r="R4039" s="188"/>
      <c r="S4039" s="280"/>
      <c r="T4039" s="222"/>
      <c r="U4039" s="272" t="s">
        <v>6276</v>
      </c>
    </row>
    <row r="4040" spans="1:21" s="181" customFormat="1" ht="0" hidden="1" customHeight="1" outlineLevel="5">
      <c r="A4040" s="253" t="s">
        <v>4600</v>
      </c>
      <c r="B4040" s="254"/>
      <c r="C4040" s="250" t="s">
        <v>1609</v>
      </c>
      <c r="D4040" s="203">
        <f>'02 项目基础信息（输入）'!$C$93</f>
        <v>0</v>
      </c>
      <c r="E4040" s="204" t="s">
        <v>93</v>
      </c>
      <c r="F4040" s="202" t="s">
        <v>4597</v>
      </c>
      <c r="G4040" s="210">
        <f>IFERROR(I4040/D4040,0)</f>
        <v>0</v>
      </c>
      <c r="H4040" s="204" t="s">
        <v>4598</v>
      </c>
      <c r="I4040" s="212">
        <f>I4039</f>
        <v>0</v>
      </c>
      <c r="J4040" s="204" t="s">
        <v>1052</v>
      </c>
      <c r="K4040" s="292"/>
      <c r="L4040" s="210" t="s">
        <v>746</v>
      </c>
      <c r="M4040" s="198">
        <f>ROUND(K4040*I4040/10000,6)</f>
        <v>0</v>
      </c>
      <c r="N4040" s="212">
        <f>'02 项目基础信息（输入）'!$C$93</f>
        <v>0</v>
      </c>
      <c r="O4040" s="212">
        <f t="shared" si="460"/>
        <v>0</v>
      </c>
      <c r="P4040" s="212">
        <f>'02 项目基础信息（输入）'!$C$93</f>
        <v>0</v>
      </c>
      <c r="Q4040" s="271">
        <f t="shared" si="461"/>
        <v>0</v>
      </c>
      <c r="R4040" s="188"/>
      <c r="S4040" s="280"/>
      <c r="T4040" s="222"/>
      <c r="U4040" s="272" t="s">
        <v>6277</v>
      </c>
    </row>
    <row r="4041" spans="1:21" s="181" customFormat="1" ht="0" hidden="1" customHeight="1" outlineLevel="4">
      <c r="A4041" s="253" t="s">
        <v>4602</v>
      </c>
      <c r="B4041" s="254"/>
      <c r="C4041" s="250" t="s">
        <v>1609</v>
      </c>
      <c r="D4041" s="203">
        <f>'02 项目基础信息（输入）'!$C$93</f>
        <v>0</v>
      </c>
      <c r="E4041" s="204" t="s">
        <v>93</v>
      </c>
      <c r="F4041" s="202"/>
      <c r="G4041" s="280"/>
      <c r="H4041" s="204"/>
      <c r="I4041" s="268"/>
      <c r="J4041" s="204"/>
      <c r="K4041" s="203"/>
      <c r="L4041" s="210"/>
      <c r="M4041" s="198">
        <f>ROUND(SUM(M4042:M4043),6)</f>
        <v>0</v>
      </c>
      <c r="N4041" s="212">
        <f>'02 项目基础信息（输入）'!$C$93</f>
        <v>0</v>
      </c>
      <c r="O4041" s="212">
        <f t="shared" si="460"/>
        <v>0</v>
      </c>
      <c r="P4041" s="212">
        <f>'02 项目基础信息（输入）'!$C$93</f>
        <v>0</v>
      </c>
      <c r="Q4041" s="271">
        <f t="shared" si="461"/>
        <v>0</v>
      </c>
      <c r="R4041" s="188"/>
      <c r="S4041" s="280"/>
      <c r="T4041" s="222"/>
      <c r="U4041" s="272" t="s">
        <v>6278</v>
      </c>
    </row>
    <row r="4042" spans="1:21" s="181" customFormat="1" ht="0" hidden="1" customHeight="1" outlineLevel="5">
      <c r="A4042" s="253" t="s">
        <v>4604</v>
      </c>
      <c r="B4042" s="254"/>
      <c r="C4042" s="250" t="s">
        <v>1609</v>
      </c>
      <c r="D4042" s="203">
        <f>'02 项目基础信息（输入）'!$C$93</f>
        <v>0</v>
      </c>
      <c r="E4042" s="204" t="s">
        <v>93</v>
      </c>
      <c r="F4042" s="202" t="s">
        <v>4605</v>
      </c>
      <c r="G4042" s="210">
        <f>IFERROR(I4042/D4042,0)</f>
        <v>0</v>
      </c>
      <c r="H4042" s="204" t="s">
        <v>4606</v>
      </c>
      <c r="I4042" s="292"/>
      <c r="J4042" s="204" t="s">
        <v>1946</v>
      </c>
      <c r="K4042" s="292"/>
      <c r="L4042" s="210" t="s">
        <v>1948</v>
      </c>
      <c r="M4042" s="198">
        <f>ROUND(K4042*I4042/10000,6)</f>
        <v>0</v>
      </c>
      <c r="N4042" s="212">
        <f>'02 项目基础信息（输入）'!$C$93</f>
        <v>0</v>
      </c>
      <c r="O4042" s="212">
        <f t="shared" si="460"/>
        <v>0</v>
      </c>
      <c r="P4042" s="212">
        <f>'02 项目基础信息（输入）'!$C$93</f>
        <v>0</v>
      </c>
      <c r="Q4042" s="271">
        <f t="shared" si="461"/>
        <v>0</v>
      </c>
      <c r="R4042" s="188"/>
      <c r="S4042" s="280"/>
      <c r="T4042" s="222"/>
      <c r="U4042" s="272" t="s">
        <v>6279</v>
      </c>
    </row>
    <row r="4043" spans="1:21" s="181" customFormat="1" ht="0" hidden="1" customHeight="1" outlineLevel="5">
      <c r="A4043" s="253" t="s">
        <v>4608</v>
      </c>
      <c r="B4043" s="254"/>
      <c r="C4043" s="250" t="s">
        <v>1609</v>
      </c>
      <c r="D4043" s="203">
        <f>'02 项目基础信息（输入）'!$C$93</f>
        <v>0</v>
      </c>
      <c r="E4043" s="204" t="s">
        <v>93</v>
      </c>
      <c r="F4043" s="202" t="s">
        <v>4605</v>
      </c>
      <c r="G4043" s="210">
        <f>IFERROR(I4043/D4043,0)</f>
        <v>0</v>
      </c>
      <c r="H4043" s="204" t="s">
        <v>4606</v>
      </c>
      <c r="I4043" s="212">
        <f>I4042</f>
        <v>0</v>
      </c>
      <c r="J4043" s="204" t="s">
        <v>1946</v>
      </c>
      <c r="K4043" s="292"/>
      <c r="L4043" s="210" t="s">
        <v>1948</v>
      </c>
      <c r="M4043" s="198">
        <f>ROUND(K4043*I4043/10000,6)</f>
        <v>0</v>
      </c>
      <c r="N4043" s="212">
        <f>'02 项目基础信息（输入）'!$C$93</f>
        <v>0</v>
      </c>
      <c r="O4043" s="212">
        <f t="shared" si="460"/>
        <v>0</v>
      </c>
      <c r="P4043" s="212">
        <f>'02 项目基础信息（输入）'!$C$93</f>
        <v>0</v>
      </c>
      <c r="Q4043" s="271">
        <f t="shared" si="461"/>
        <v>0</v>
      </c>
      <c r="R4043" s="188"/>
      <c r="S4043" s="280"/>
      <c r="T4043" s="222"/>
      <c r="U4043" s="272" t="s">
        <v>6280</v>
      </c>
    </row>
    <row r="4044" spans="1:21" s="181" customFormat="1" ht="0" hidden="1" customHeight="1" outlineLevel="4">
      <c r="A4044" s="253" t="s">
        <v>4610</v>
      </c>
      <c r="B4044" s="254"/>
      <c r="C4044" s="250" t="s">
        <v>1609</v>
      </c>
      <c r="D4044" s="203">
        <f>'02 项目基础信息（输入）'!$C$93</f>
        <v>0</v>
      </c>
      <c r="E4044" s="204" t="s">
        <v>93</v>
      </c>
      <c r="F4044" s="202" t="s">
        <v>1648</v>
      </c>
      <c r="G4044" s="290">
        <v>1</v>
      </c>
      <c r="H4044" s="204" t="s">
        <v>298</v>
      </c>
      <c r="I4044" s="265">
        <f>D4044*G4044</f>
        <v>0</v>
      </c>
      <c r="J4044" s="204" t="s">
        <v>93</v>
      </c>
      <c r="K4044" s="292"/>
      <c r="L4044" s="210" t="s">
        <v>675</v>
      </c>
      <c r="M4044" s="198">
        <f>ROUND(K4044*I4044/10000,6)</f>
        <v>0</v>
      </c>
      <c r="N4044" s="212">
        <f>'02 项目基础信息（输入）'!$C$93</f>
        <v>0</v>
      </c>
      <c r="O4044" s="212">
        <f t="shared" si="460"/>
        <v>0</v>
      </c>
      <c r="P4044" s="212">
        <f>'02 项目基础信息（输入）'!$C$93</f>
        <v>0</v>
      </c>
      <c r="Q4044" s="271">
        <f t="shared" si="461"/>
        <v>0</v>
      </c>
      <c r="R4044" s="188"/>
      <c r="S4044" s="280"/>
      <c r="T4044" s="222"/>
      <c r="U4044" s="272" t="s">
        <v>6281</v>
      </c>
    </row>
    <row r="4045" spans="1:21" ht="0" hidden="1" customHeight="1" outlineLevel="3">
      <c r="A4045" s="201" t="s">
        <v>4612</v>
      </c>
      <c r="B4045" s="201"/>
      <c r="C4045" s="202" t="s">
        <v>1609</v>
      </c>
      <c r="D4045" s="203">
        <f>'02 项目基础信息（输入）'!$C$93</f>
        <v>0</v>
      </c>
      <c r="E4045" s="204" t="s">
        <v>93</v>
      </c>
      <c r="F4045" s="202"/>
      <c r="G4045" s="204"/>
      <c r="H4045" s="204"/>
      <c r="I4045" s="212"/>
      <c r="J4045" s="255"/>
      <c r="K4045" s="231"/>
      <c r="L4045" s="205"/>
      <c r="M4045" s="198">
        <f>ROUND(SUM(M4046:M4048),6)</f>
        <v>0</v>
      </c>
      <c r="N4045" s="212">
        <f>'02 项目基础信息（输入）'!$C$93</f>
        <v>0</v>
      </c>
      <c r="O4045" s="212">
        <f t="shared" si="460"/>
        <v>0</v>
      </c>
      <c r="P4045" s="212">
        <f>'02 项目基础信息（输入）'!$C$93</f>
        <v>0</v>
      </c>
      <c r="Q4045" s="271">
        <f t="shared" si="461"/>
        <v>0</v>
      </c>
      <c r="S4045" s="280"/>
      <c r="T4045" s="222"/>
      <c r="U4045" s="272" t="s">
        <v>6282</v>
      </c>
    </row>
    <row r="4046" spans="1:21" s="181" customFormat="1" ht="0" hidden="1" customHeight="1" outlineLevel="5">
      <c r="A4046" s="253" t="s">
        <v>4614</v>
      </c>
      <c r="B4046" s="253"/>
      <c r="C4046" s="202" t="s">
        <v>1609</v>
      </c>
      <c r="D4046" s="203">
        <f>'02 项目基础信息（输入）'!$C$93</f>
        <v>0</v>
      </c>
      <c r="E4046" s="204" t="s">
        <v>93</v>
      </c>
      <c r="F4046" s="202" t="s">
        <v>4615</v>
      </c>
      <c r="G4046" s="210">
        <f>IFERROR(I4046/D4046,0)</f>
        <v>0</v>
      </c>
      <c r="H4046" s="204" t="s">
        <v>4598</v>
      </c>
      <c r="I4046" s="316"/>
      <c r="J4046" s="204" t="s">
        <v>1052</v>
      </c>
      <c r="K4046" s="269"/>
      <c r="L4046" s="210" t="s">
        <v>746</v>
      </c>
      <c r="M4046" s="198">
        <f>ROUND(K4046*I4046/10000,6)</f>
        <v>0</v>
      </c>
      <c r="N4046" s="212">
        <f>'02 项目基础信息（输入）'!$C$93</f>
        <v>0</v>
      </c>
      <c r="O4046" s="212">
        <f t="shared" si="460"/>
        <v>0</v>
      </c>
      <c r="P4046" s="212">
        <f>'02 项目基础信息（输入）'!$C$93</f>
        <v>0</v>
      </c>
      <c r="Q4046" s="271">
        <f t="shared" si="461"/>
        <v>0</v>
      </c>
      <c r="R4046" s="188"/>
      <c r="S4046" s="280"/>
      <c r="T4046" s="222"/>
      <c r="U4046" s="272" t="s">
        <v>6283</v>
      </c>
    </row>
    <row r="4047" spans="1:21" s="181" customFormat="1" ht="0" hidden="1" customHeight="1" outlineLevel="5">
      <c r="A4047" s="253" t="s">
        <v>4617</v>
      </c>
      <c r="B4047" s="253"/>
      <c r="C4047" s="202" t="s">
        <v>1609</v>
      </c>
      <c r="D4047" s="203">
        <f>'02 项目基础信息（输入）'!$C$93</f>
        <v>0</v>
      </c>
      <c r="E4047" s="204" t="s">
        <v>93</v>
      </c>
      <c r="F4047" s="202" t="s">
        <v>4618</v>
      </c>
      <c r="G4047" s="210">
        <f>IFERROR(I4047/D4047,0)</f>
        <v>0</v>
      </c>
      <c r="H4047" s="204" t="s">
        <v>4598</v>
      </c>
      <c r="I4047" s="316"/>
      <c r="J4047" s="204" t="s">
        <v>1052</v>
      </c>
      <c r="K4047" s="269"/>
      <c r="L4047" s="210" t="s">
        <v>746</v>
      </c>
      <c r="M4047" s="198">
        <f>ROUND(K4047*I4047/10000,6)</f>
        <v>0</v>
      </c>
      <c r="N4047" s="212">
        <f>'02 项目基础信息（输入）'!$C$93</f>
        <v>0</v>
      </c>
      <c r="O4047" s="212">
        <f t="shared" si="460"/>
        <v>0</v>
      </c>
      <c r="P4047" s="212">
        <f>'02 项目基础信息（输入）'!$C$93</f>
        <v>0</v>
      </c>
      <c r="Q4047" s="271">
        <f t="shared" si="461"/>
        <v>0</v>
      </c>
      <c r="R4047" s="188"/>
      <c r="S4047" s="280"/>
      <c r="T4047" s="222"/>
      <c r="U4047" s="272" t="s">
        <v>6284</v>
      </c>
    </row>
    <row r="4048" spans="1:21" s="181" customFormat="1" ht="0" hidden="1" customHeight="1" outlineLevel="5">
      <c r="A4048" s="253" t="s">
        <v>4620</v>
      </c>
      <c r="B4048" s="253"/>
      <c r="C4048" s="202" t="s">
        <v>1609</v>
      </c>
      <c r="D4048" s="203">
        <f>'02 项目基础信息（输入）'!$C$93</f>
        <v>0</v>
      </c>
      <c r="E4048" s="204" t="s">
        <v>93</v>
      </c>
      <c r="F4048" s="202" t="s">
        <v>4621</v>
      </c>
      <c r="G4048" s="210">
        <f>IFERROR(I4048/D4048,0)</f>
        <v>0</v>
      </c>
      <c r="H4048" s="204" t="s">
        <v>4598</v>
      </c>
      <c r="I4048" s="316"/>
      <c r="J4048" s="204" t="s">
        <v>1052</v>
      </c>
      <c r="K4048" s="269"/>
      <c r="L4048" s="210" t="s">
        <v>746</v>
      </c>
      <c r="M4048" s="198">
        <f>ROUND(K4048*I4048/10000,6)</f>
        <v>0</v>
      </c>
      <c r="N4048" s="212">
        <f>'02 项目基础信息（输入）'!$C$93</f>
        <v>0</v>
      </c>
      <c r="O4048" s="212">
        <f t="shared" si="460"/>
        <v>0</v>
      </c>
      <c r="P4048" s="212">
        <f>'02 项目基础信息（输入）'!$C$93</f>
        <v>0</v>
      </c>
      <c r="Q4048" s="271">
        <f t="shared" si="461"/>
        <v>0</v>
      </c>
      <c r="R4048" s="188"/>
      <c r="S4048" s="280"/>
      <c r="T4048" s="222"/>
      <c r="U4048" s="272" t="s">
        <v>6285</v>
      </c>
    </row>
    <row r="4049" spans="1:21" ht="0" hidden="1" customHeight="1" outlineLevel="2">
      <c r="A4049" s="201" t="s">
        <v>4623</v>
      </c>
      <c r="B4049" s="201"/>
      <c r="C4049" s="202" t="s">
        <v>1609</v>
      </c>
      <c r="D4049" s="203">
        <f>'02 项目基础信息（输入）'!$C$93</f>
        <v>0</v>
      </c>
      <c r="E4049" s="204" t="s">
        <v>93</v>
      </c>
      <c r="F4049" s="256"/>
      <c r="G4049" s="255"/>
      <c r="H4049" s="255"/>
      <c r="I4049" s="212"/>
      <c r="J4049" s="255"/>
      <c r="K4049" s="264"/>
      <c r="L4049" s="205"/>
      <c r="M4049" s="198">
        <f>ROUND(SUM(M4050:M4052),6)</f>
        <v>0</v>
      </c>
      <c r="N4049" s="212">
        <f>'02 项目基础信息（输入）'!$C$93</f>
        <v>0</v>
      </c>
      <c r="O4049" s="212">
        <f t="shared" si="460"/>
        <v>0</v>
      </c>
      <c r="P4049" s="212">
        <f>'02 项目基础信息（输入）'!$C$93</f>
        <v>0</v>
      </c>
      <c r="Q4049" s="271">
        <f t="shared" si="461"/>
        <v>0</v>
      </c>
      <c r="S4049" s="280" t="s">
        <v>1314</v>
      </c>
      <c r="T4049" s="222"/>
      <c r="U4049" s="272" t="s">
        <v>6286</v>
      </c>
    </row>
    <row r="4050" spans="1:21" s="181" customFormat="1" ht="0" hidden="1" customHeight="1" outlineLevel="3">
      <c r="A4050" s="253" t="s">
        <v>4625</v>
      </c>
      <c r="B4050" s="254"/>
      <c r="C4050" s="250" t="s">
        <v>1609</v>
      </c>
      <c r="D4050" s="203">
        <f>'02 项目基础信息（输入）'!$C$93</f>
        <v>0</v>
      </c>
      <c r="E4050" s="204" t="s">
        <v>93</v>
      </c>
      <c r="F4050" s="202" t="s">
        <v>694</v>
      </c>
      <c r="G4050" s="261">
        <f>IFERROR(I4050/D4050,0)</f>
        <v>0</v>
      </c>
      <c r="H4050" s="204" t="s">
        <v>1473</v>
      </c>
      <c r="I4050" s="270"/>
      <c r="J4050" s="204" t="s">
        <v>131</v>
      </c>
      <c r="K4050" s="269"/>
      <c r="L4050" s="210" t="s">
        <v>792</v>
      </c>
      <c r="M4050" s="198">
        <f>ROUND(K4050*I4050/10000,6)</f>
        <v>0</v>
      </c>
      <c r="N4050" s="212">
        <f>'02 项目基础信息（输入）'!$C$93</f>
        <v>0</v>
      </c>
      <c r="O4050" s="212">
        <f t="shared" si="460"/>
        <v>0</v>
      </c>
      <c r="P4050" s="212">
        <f>'02 项目基础信息（输入）'!$C$93</f>
        <v>0</v>
      </c>
      <c r="Q4050" s="271">
        <f t="shared" si="461"/>
        <v>0</v>
      </c>
      <c r="R4050" s="188"/>
      <c r="S4050" s="280"/>
      <c r="T4050" s="222"/>
      <c r="U4050" s="272" t="s">
        <v>6287</v>
      </c>
    </row>
    <row r="4051" spans="1:21" s="181" customFormat="1" ht="0" hidden="1" customHeight="1" outlineLevel="3">
      <c r="A4051" s="253" t="s">
        <v>4627</v>
      </c>
      <c r="B4051" s="254"/>
      <c r="C4051" s="250" t="s">
        <v>1609</v>
      </c>
      <c r="D4051" s="203">
        <f>'02 项目基础信息（输入）'!$C$93</f>
        <v>0</v>
      </c>
      <c r="E4051" s="204" t="s">
        <v>93</v>
      </c>
      <c r="F4051" s="202" t="s">
        <v>694</v>
      </c>
      <c r="G4051" s="261">
        <f>IFERROR(I4051/D4051,0)</f>
        <v>0</v>
      </c>
      <c r="H4051" s="204" t="s">
        <v>1473</v>
      </c>
      <c r="I4051" s="270"/>
      <c r="J4051" s="204" t="s">
        <v>131</v>
      </c>
      <c r="K4051" s="269"/>
      <c r="L4051" s="210" t="s">
        <v>792</v>
      </c>
      <c r="M4051" s="198">
        <f>ROUND(K4051*I4051/10000,6)</f>
        <v>0</v>
      </c>
      <c r="N4051" s="212">
        <f>'02 项目基础信息（输入）'!$C$93</f>
        <v>0</v>
      </c>
      <c r="O4051" s="212">
        <f t="shared" si="460"/>
        <v>0</v>
      </c>
      <c r="P4051" s="212">
        <f>'02 项目基础信息（输入）'!$C$93</f>
        <v>0</v>
      </c>
      <c r="Q4051" s="271">
        <f t="shared" si="461"/>
        <v>0</v>
      </c>
      <c r="R4051" s="188"/>
      <c r="S4051" s="280"/>
      <c r="T4051" s="222"/>
      <c r="U4051" s="272" t="s">
        <v>6288</v>
      </c>
    </row>
    <row r="4052" spans="1:21" s="181" customFormat="1" ht="0" hidden="1" customHeight="1" outlineLevel="3">
      <c r="A4052" s="253" t="s">
        <v>4629</v>
      </c>
      <c r="B4052" s="254"/>
      <c r="C4052" s="250" t="s">
        <v>1609</v>
      </c>
      <c r="D4052" s="203">
        <f>'02 项目基础信息（输入）'!$C$93</f>
        <v>0</v>
      </c>
      <c r="E4052" s="204" t="s">
        <v>131</v>
      </c>
      <c r="F4052" s="202" t="s">
        <v>694</v>
      </c>
      <c r="G4052" s="261">
        <f>IFERROR(I4052/D4052,0)</f>
        <v>0</v>
      </c>
      <c r="H4052" s="204" t="s">
        <v>1473</v>
      </c>
      <c r="I4052" s="270"/>
      <c r="J4052" s="204" t="s">
        <v>131</v>
      </c>
      <c r="K4052" s="269"/>
      <c r="L4052" s="210" t="s">
        <v>792</v>
      </c>
      <c r="M4052" s="198">
        <f>ROUND(K4052*I4052/10000,6)</f>
        <v>0</v>
      </c>
      <c r="N4052" s="212">
        <f>'02 项目基础信息（输入）'!$C$93</f>
        <v>0</v>
      </c>
      <c r="O4052" s="212">
        <f t="shared" si="460"/>
        <v>0</v>
      </c>
      <c r="P4052" s="212">
        <f>'02 项目基础信息（输入）'!$C$93</f>
        <v>0</v>
      </c>
      <c r="Q4052" s="271">
        <f t="shared" si="461"/>
        <v>0</v>
      </c>
      <c r="R4052" s="188"/>
      <c r="S4052" s="280"/>
      <c r="T4052" s="222"/>
      <c r="U4052" s="272" t="s">
        <v>6289</v>
      </c>
    </row>
    <row r="4053" spans="1:21" ht="0" hidden="1" customHeight="1" outlineLevel="2">
      <c r="A4053" s="201" t="s">
        <v>4631</v>
      </c>
      <c r="B4053" s="201"/>
      <c r="C4053" s="202" t="s">
        <v>1609</v>
      </c>
      <c r="D4053" s="203">
        <f>'02 项目基础信息（输入）'!$C$93</f>
        <v>0</v>
      </c>
      <c r="E4053" s="204" t="s">
        <v>93</v>
      </c>
      <c r="F4053" s="202"/>
      <c r="G4053" s="255"/>
      <c r="H4053" s="204"/>
      <c r="I4053" s="203"/>
      <c r="J4053" s="204"/>
      <c r="K4053" s="264"/>
      <c r="L4053" s="205"/>
      <c r="M4053" s="198">
        <f>ROUND(SUM(M4054:M4055),6)</f>
        <v>0</v>
      </c>
      <c r="N4053" s="212">
        <f>'02 项目基础信息（输入）'!$C$93</f>
        <v>0</v>
      </c>
      <c r="O4053" s="212">
        <f t="shared" si="460"/>
        <v>0</v>
      </c>
      <c r="P4053" s="212">
        <f>'02 项目基础信息（输入）'!$C$93</f>
        <v>0</v>
      </c>
      <c r="Q4053" s="271">
        <f t="shared" si="461"/>
        <v>0</v>
      </c>
      <c r="S4053" s="280" t="s">
        <v>1314</v>
      </c>
      <c r="T4053" s="222"/>
      <c r="U4053" s="272" t="s">
        <v>6290</v>
      </c>
    </row>
    <row r="4054" spans="1:21" ht="0" hidden="1" customHeight="1" outlineLevel="3">
      <c r="A4054" s="253" t="s">
        <v>4633</v>
      </c>
      <c r="B4054" s="253"/>
      <c r="C4054" s="202" t="s">
        <v>1081</v>
      </c>
      <c r="D4054" s="289">
        <f>'02 项目基础信息（输入）'!AX93</f>
        <v>0</v>
      </c>
      <c r="E4054" s="204" t="s">
        <v>1082</v>
      </c>
      <c r="F4054" s="202" t="s">
        <v>1081</v>
      </c>
      <c r="G4054" s="204">
        <v>1</v>
      </c>
      <c r="H4054" s="204" t="s">
        <v>1918</v>
      </c>
      <c r="I4054" s="293">
        <f>D4054*G4054</f>
        <v>0</v>
      </c>
      <c r="J4054" s="204" t="s">
        <v>1082</v>
      </c>
      <c r="K4054" s="214"/>
      <c r="L4054" s="210" t="s">
        <v>1087</v>
      </c>
      <c r="M4054" s="198">
        <f>ROUND(K4054*I4054/10000,6)</f>
        <v>0</v>
      </c>
      <c r="N4054" s="212">
        <f>'02 项目基础信息（输入）'!$C$93</f>
        <v>0</v>
      </c>
      <c r="O4054" s="212">
        <f t="shared" si="460"/>
        <v>0</v>
      </c>
      <c r="P4054" s="212">
        <f>'02 项目基础信息（输入）'!$C$93</f>
        <v>0</v>
      </c>
      <c r="Q4054" s="271">
        <f t="shared" si="461"/>
        <v>0</v>
      </c>
      <c r="S4054" s="280"/>
      <c r="T4054" s="222"/>
      <c r="U4054" s="272" t="s">
        <v>6291</v>
      </c>
    </row>
    <row r="4055" spans="1:21" ht="0" hidden="1" customHeight="1" outlineLevel="3">
      <c r="A4055" s="253" t="s">
        <v>4635</v>
      </c>
      <c r="B4055" s="253"/>
      <c r="C4055" s="202" t="s">
        <v>1081</v>
      </c>
      <c r="D4055" s="291">
        <f>D4054</f>
        <v>0</v>
      </c>
      <c r="E4055" s="204" t="s">
        <v>1082</v>
      </c>
      <c r="F4055" s="202" t="s">
        <v>1081</v>
      </c>
      <c r="G4055" s="204">
        <v>1</v>
      </c>
      <c r="H4055" s="204" t="s">
        <v>1918</v>
      </c>
      <c r="I4055" s="293">
        <f>D4055*G4055</f>
        <v>0</v>
      </c>
      <c r="J4055" s="204" t="s">
        <v>1082</v>
      </c>
      <c r="K4055" s="214"/>
      <c r="L4055" s="210" t="s">
        <v>1087</v>
      </c>
      <c r="M4055" s="198">
        <f>ROUND(K4055*I4055/10000,6)</f>
        <v>0</v>
      </c>
      <c r="N4055" s="212">
        <f>'02 项目基础信息（输入）'!$C$93</f>
        <v>0</v>
      </c>
      <c r="O4055" s="212">
        <f t="shared" si="460"/>
        <v>0</v>
      </c>
      <c r="P4055" s="212">
        <f>'02 项目基础信息（输入）'!$C$93</f>
        <v>0</v>
      </c>
      <c r="Q4055" s="271">
        <f t="shared" si="461"/>
        <v>0</v>
      </c>
      <c r="S4055" s="280"/>
      <c r="T4055" s="222"/>
      <c r="U4055" s="272" t="s">
        <v>6292</v>
      </c>
    </row>
    <row r="4056" spans="1:21" ht="0" hidden="1" customHeight="1" outlineLevel="2">
      <c r="A4056" s="201" t="s">
        <v>4268</v>
      </c>
      <c r="B4056" s="201"/>
      <c r="C4056" s="202" t="s">
        <v>1609</v>
      </c>
      <c r="D4056" s="203">
        <f>'02 项目基础信息（输入）'!$C$93</f>
        <v>0</v>
      </c>
      <c r="E4056" s="204" t="s">
        <v>93</v>
      </c>
      <c r="F4056" s="202"/>
      <c r="G4056" s="204"/>
      <c r="H4056" s="255"/>
      <c r="I4056" s="212"/>
      <c r="J4056" s="255"/>
      <c r="K4056" s="264"/>
      <c r="L4056" s="205"/>
      <c r="M4056" s="198">
        <f>ROUND(M4057+M4064+M4074+M4075+M4076+M4077,6)</f>
        <v>0</v>
      </c>
      <c r="N4056" s="212">
        <f>'02 项目基础信息（输入）'!$C$93</f>
        <v>0</v>
      </c>
      <c r="O4056" s="212">
        <f t="shared" si="460"/>
        <v>0</v>
      </c>
      <c r="P4056" s="212">
        <f>'02 项目基础信息（输入）'!$C$93</f>
        <v>0</v>
      </c>
      <c r="Q4056" s="271">
        <f t="shared" si="461"/>
        <v>0</v>
      </c>
      <c r="S4056" s="280" t="s">
        <v>1313</v>
      </c>
      <c r="T4056" s="222"/>
      <c r="U4056" s="272" t="s">
        <v>6293</v>
      </c>
    </row>
    <row r="4057" spans="1:21" ht="0" hidden="1" customHeight="1" outlineLevel="3">
      <c r="A4057" s="253" t="s">
        <v>4270</v>
      </c>
      <c r="B4057" s="253"/>
      <c r="C4057" s="202" t="s">
        <v>1609</v>
      </c>
      <c r="D4057" s="203">
        <f>'02 项目基础信息（输入）'!$C$93</f>
        <v>0</v>
      </c>
      <c r="E4057" s="204" t="s">
        <v>93</v>
      </c>
      <c r="F4057" s="202"/>
      <c r="G4057" s="204"/>
      <c r="H4057" s="255"/>
      <c r="I4057" s="212"/>
      <c r="J4057" s="255"/>
      <c r="K4057" s="264"/>
      <c r="L4057" s="205"/>
      <c r="M4057" s="198">
        <f>ROUND(SUM(M4058:M4063),6)</f>
        <v>0</v>
      </c>
      <c r="N4057" s="212">
        <f>'02 项目基础信息（输入）'!$C$93</f>
        <v>0</v>
      </c>
      <c r="O4057" s="212">
        <f t="shared" si="460"/>
        <v>0</v>
      </c>
      <c r="P4057" s="212">
        <f>'02 项目基础信息（输入）'!$C$93</f>
        <v>0</v>
      </c>
      <c r="Q4057" s="271">
        <f t="shared" si="461"/>
        <v>0</v>
      </c>
      <c r="S4057" s="280"/>
      <c r="T4057" s="222"/>
      <c r="U4057" s="272" t="s">
        <v>6294</v>
      </c>
    </row>
    <row r="4058" spans="1:21" ht="0" hidden="1" customHeight="1" outlineLevel="4">
      <c r="A4058" s="253" t="s">
        <v>4272</v>
      </c>
      <c r="B4058" s="253"/>
      <c r="C4058" s="202" t="s">
        <v>1609</v>
      </c>
      <c r="D4058" s="203">
        <f>'02 项目基础信息（输入）'!$C$93</f>
        <v>0</v>
      </c>
      <c r="E4058" s="204" t="s">
        <v>93</v>
      </c>
      <c r="F4058" s="202" t="s">
        <v>1609</v>
      </c>
      <c r="G4058" s="204">
        <v>1</v>
      </c>
      <c r="H4058" s="204" t="s">
        <v>298</v>
      </c>
      <c r="I4058" s="265">
        <f t="shared" ref="I4058:I4063" si="462">D4058*G4058</f>
        <v>0</v>
      </c>
      <c r="J4058" s="204" t="s">
        <v>93</v>
      </c>
      <c r="K4058" s="188"/>
      <c r="L4058" s="210" t="s">
        <v>675</v>
      </c>
      <c r="M4058" s="198">
        <f t="shared" ref="M4058:M4063" si="463">ROUND(K4058*I4058/10000,6)</f>
        <v>0</v>
      </c>
      <c r="N4058" s="212">
        <f>'02 项目基础信息（输入）'!$C$93</f>
        <v>0</v>
      </c>
      <c r="O4058" s="212">
        <f t="shared" si="460"/>
        <v>0</v>
      </c>
      <c r="P4058" s="212">
        <f>'02 项目基础信息（输入）'!$C$93</f>
        <v>0</v>
      </c>
      <c r="Q4058" s="271">
        <f t="shared" si="461"/>
        <v>0</v>
      </c>
      <c r="S4058" s="280"/>
      <c r="T4058" s="222"/>
      <c r="U4058" s="272" t="s">
        <v>6295</v>
      </c>
    </row>
    <row r="4059" spans="1:21" ht="0" hidden="1" customHeight="1" outlineLevel="4">
      <c r="A4059" s="253" t="s">
        <v>4274</v>
      </c>
      <c r="B4059" s="253"/>
      <c r="C4059" s="202" t="s">
        <v>1609</v>
      </c>
      <c r="D4059" s="203">
        <f>'02 项目基础信息（输入）'!$C$93</f>
        <v>0</v>
      </c>
      <c r="E4059" s="204" t="s">
        <v>93</v>
      </c>
      <c r="F4059" s="202" t="s">
        <v>1609</v>
      </c>
      <c r="G4059" s="204">
        <v>1</v>
      </c>
      <c r="H4059" s="204" t="s">
        <v>298</v>
      </c>
      <c r="I4059" s="265">
        <f t="shared" si="462"/>
        <v>0</v>
      </c>
      <c r="J4059" s="204" t="s">
        <v>93</v>
      </c>
      <c r="K4059" s="188"/>
      <c r="L4059" s="210" t="s">
        <v>675</v>
      </c>
      <c r="M4059" s="198">
        <f t="shared" si="463"/>
        <v>0</v>
      </c>
      <c r="N4059" s="212">
        <f>'02 项目基础信息（输入）'!$C$93</f>
        <v>0</v>
      </c>
      <c r="O4059" s="212">
        <f t="shared" si="460"/>
        <v>0</v>
      </c>
      <c r="P4059" s="212">
        <f>'02 项目基础信息（输入）'!$C$93</f>
        <v>0</v>
      </c>
      <c r="Q4059" s="271">
        <f t="shared" si="461"/>
        <v>0</v>
      </c>
      <c r="S4059" s="280"/>
      <c r="T4059" s="222"/>
      <c r="U4059" s="272" t="s">
        <v>6296</v>
      </c>
    </row>
    <row r="4060" spans="1:21" ht="0" hidden="1" customHeight="1" outlineLevel="4">
      <c r="A4060" s="253" t="s">
        <v>4276</v>
      </c>
      <c r="B4060" s="253"/>
      <c r="C4060" s="202" t="s">
        <v>1609</v>
      </c>
      <c r="D4060" s="203">
        <f>'02 项目基础信息（输入）'!$C$93</f>
        <v>0</v>
      </c>
      <c r="E4060" s="204" t="s">
        <v>93</v>
      </c>
      <c r="F4060" s="202" t="s">
        <v>1609</v>
      </c>
      <c r="G4060" s="204">
        <v>1</v>
      </c>
      <c r="H4060" s="204" t="s">
        <v>298</v>
      </c>
      <c r="I4060" s="265">
        <f t="shared" si="462"/>
        <v>0</v>
      </c>
      <c r="J4060" s="204" t="s">
        <v>93</v>
      </c>
      <c r="K4060" s="188"/>
      <c r="L4060" s="210" t="s">
        <v>675</v>
      </c>
      <c r="M4060" s="198">
        <f t="shared" si="463"/>
        <v>0</v>
      </c>
      <c r="N4060" s="212">
        <f>'02 项目基础信息（输入）'!$C$93</f>
        <v>0</v>
      </c>
      <c r="O4060" s="212">
        <f t="shared" si="460"/>
        <v>0</v>
      </c>
      <c r="P4060" s="212">
        <f>'02 项目基础信息（输入）'!$C$93</f>
        <v>0</v>
      </c>
      <c r="Q4060" s="271">
        <f t="shared" si="461"/>
        <v>0</v>
      </c>
      <c r="S4060" s="280"/>
      <c r="T4060" s="222"/>
      <c r="U4060" s="272" t="s">
        <v>6297</v>
      </c>
    </row>
    <row r="4061" spans="1:21" ht="0" hidden="1" customHeight="1" outlineLevel="4">
      <c r="A4061" s="253" t="s">
        <v>4278</v>
      </c>
      <c r="B4061" s="253"/>
      <c r="C4061" s="202" t="s">
        <v>1609</v>
      </c>
      <c r="D4061" s="203">
        <f>'02 项目基础信息（输入）'!$C$93</f>
        <v>0</v>
      </c>
      <c r="E4061" s="204" t="s">
        <v>93</v>
      </c>
      <c r="F4061" s="202" t="s">
        <v>1609</v>
      </c>
      <c r="G4061" s="204">
        <v>1</v>
      </c>
      <c r="H4061" s="204" t="s">
        <v>298</v>
      </c>
      <c r="I4061" s="265">
        <f t="shared" si="462"/>
        <v>0</v>
      </c>
      <c r="J4061" s="204" t="s">
        <v>93</v>
      </c>
      <c r="K4061" s="188"/>
      <c r="L4061" s="210" t="s">
        <v>675</v>
      </c>
      <c r="M4061" s="198">
        <f t="shared" si="463"/>
        <v>0</v>
      </c>
      <c r="N4061" s="212">
        <f>'02 项目基础信息（输入）'!$C$93</f>
        <v>0</v>
      </c>
      <c r="O4061" s="212">
        <f t="shared" si="460"/>
        <v>0</v>
      </c>
      <c r="P4061" s="212">
        <f>'02 项目基础信息（输入）'!$C$93</f>
        <v>0</v>
      </c>
      <c r="Q4061" s="271">
        <f t="shared" si="461"/>
        <v>0</v>
      </c>
      <c r="S4061" s="280"/>
      <c r="T4061" s="222"/>
      <c r="U4061" s="272" t="s">
        <v>6298</v>
      </c>
    </row>
    <row r="4062" spans="1:21" ht="0" hidden="1" customHeight="1" outlineLevel="4">
      <c r="A4062" s="253" t="s">
        <v>4280</v>
      </c>
      <c r="B4062" s="253"/>
      <c r="C4062" s="202" t="s">
        <v>1609</v>
      </c>
      <c r="D4062" s="203">
        <f>'02 项目基础信息（输入）'!$C$93</f>
        <v>0</v>
      </c>
      <c r="E4062" s="204" t="s">
        <v>93</v>
      </c>
      <c r="F4062" s="202" t="s">
        <v>1609</v>
      </c>
      <c r="G4062" s="204">
        <v>1</v>
      </c>
      <c r="H4062" s="204" t="s">
        <v>298</v>
      </c>
      <c r="I4062" s="265">
        <f t="shared" si="462"/>
        <v>0</v>
      </c>
      <c r="J4062" s="204" t="s">
        <v>93</v>
      </c>
      <c r="K4062" s="188"/>
      <c r="L4062" s="210" t="s">
        <v>675</v>
      </c>
      <c r="M4062" s="198">
        <f t="shared" si="463"/>
        <v>0</v>
      </c>
      <c r="N4062" s="212">
        <f>'02 项目基础信息（输入）'!$C$93</f>
        <v>0</v>
      </c>
      <c r="O4062" s="212">
        <f t="shared" si="460"/>
        <v>0</v>
      </c>
      <c r="P4062" s="212">
        <f>'02 项目基础信息（输入）'!$C$93</f>
        <v>0</v>
      </c>
      <c r="Q4062" s="271">
        <f t="shared" si="461"/>
        <v>0</v>
      </c>
      <c r="S4062" s="280"/>
      <c r="T4062" s="222"/>
      <c r="U4062" s="272" t="s">
        <v>6299</v>
      </c>
    </row>
    <row r="4063" spans="1:21" ht="0" hidden="1" customHeight="1" outlineLevel="4">
      <c r="A4063" s="253" t="s">
        <v>4282</v>
      </c>
      <c r="B4063" s="253"/>
      <c r="C4063" s="202" t="s">
        <v>1609</v>
      </c>
      <c r="D4063" s="203">
        <f>'02 项目基础信息（输入）'!$C$93</f>
        <v>0</v>
      </c>
      <c r="E4063" s="204" t="s">
        <v>93</v>
      </c>
      <c r="F4063" s="202" t="s">
        <v>1609</v>
      </c>
      <c r="G4063" s="204">
        <v>1</v>
      </c>
      <c r="H4063" s="204" t="s">
        <v>298</v>
      </c>
      <c r="I4063" s="265">
        <f t="shared" si="462"/>
        <v>0</v>
      </c>
      <c r="J4063" s="204" t="s">
        <v>93</v>
      </c>
      <c r="K4063" s="188"/>
      <c r="L4063" s="210" t="s">
        <v>675</v>
      </c>
      <c r="M4063" s="198">
        <f t="shared" si="463"/>
        <v>0</v>
      </c>
      <c r="N4063" s="212">
        <f>'02 项目基础信息（输入）'!$C$93</f>
        <v>0</v>
      </c>
      <c r="O4063" s="212">
        <f t="shared" si="460"/>
        <v>0</v>
      </c>
      <c r="P4063" s="212">
        <f>'02 项目基础信息（输入）'!$C$93</f>
        <v>0</v>
      </c>
      <c r="Q4063" s="271">
        <f t="shared" si="461"/>
        <v>0</v>
      </c>
      <c r="S4063" s="280"/>
      <c r="T4063" s="222"/>
      <c r="U4063" s="272" t="s">
        <v>6300</v>
      </c>
    </row>
    <row r="4064" spans="1:21" ht="0" hidden="1" customHeight="1" outlineLevel="3">
      <c r="A4064" s="253" t="s">
        <v>4284</v>
      </c>
      <c r="B4064" s="253"/>
      <c r="C4064" s="202" t="s">
        <v>1609</v>
      </c>
      <c r="D4064" s="203">
        <f>'02 项目基础信息（输入）'!$C$93</f>
        <v>0</v>
      </c>
      <c r="E4064" s="204" t="s">
        <v>93</v>
      </c>
      <c r="F4064" s="202"/>
      <c r="G4064" s="204"/>
      <c r="H4064" s="204"/>
      <c r="I4064" s="203"/>
      <c r="J4064" s="255"/>
      <c r="K4064" s="231"/>
      <c r="L4064" s="205"/>
      <c r="M4064" s="198">
        <f>ROUND(SUM(M4065:M4073),6)</f>
        <v>0</v>
      </c>
      <c r="N4064" s="212">
        <f>'02 项目基础信息（输入）'!$C$93</f>
        <v>0</v>
      </c>
      <c r="O4064" s="212">
        <f t="shared" si="460"/>
        <v>0</v>
      </c>
      <c r="P4064" s="212">
        <f>'02 项目基础信息（输入）'!$C$93</f>
        <v>0</v>
      </c>
      <c r="Q4064" s="271">
        <f t="shared" si="461"/>
        <v>0</v>
      </c>
      <c r="S4064" s="280"/>
      <c r="T4064" s="222"/>
      <c r="U4064" s="272" t="s">
        <v>6301</v>
      </c>
    </row>
    <row r="4065" spans="1:21" ht="0" hidden="1" customHeight="1" outlineLevel="4">
      <c r="A4065" s="253" t="s">
        <v>4286</v>
      </c>
      <c r="B4065" s="253"/>
      <c r="C4065" s="202" t="s">
        <v>1609</v>
      </c>
      <c r="D4065" s="203">
        <f>'02 项目基础信息（输入）'!$C$93</f>
        <v>0</v>
      </c>
      <c r="E4065" s="204" t="s">
        <v>93</v>
      </c>
      <c r="F4065" s="202" t="s">
        <v>1609</v>
      </c>
      <c r="G4065" s="204">
        <v>1</v>
      </c>
      <c r="H4065" s="204" t="s">
        <v>298</v>
      </c>
      <c r="I4065" s="265">
        <f t="shared" ref="I4065:I4076" si="464">D4065*G4065</f>
        <v>0</v>
      </c>
      <c r="J4065" s="204" t="s">
        <v>93</v>
      </c>
      <c r="K4065" s="188"/>
      <c r="L4065" s="210" t="s">
        <v>675</v>
      </c>
      <c r="M4065" s="198">
        <f t="shared" ref="M4065:M4076" si="465">ROUND(K4065*I4065/10000,6)</f>
        <v>0</v>
      </c>
      <c r="N4065" s="212">
        <f>'02 项目基础信息（输入）'!$C$93</f>
        <v>0</v>
      </c>
      <c r="O4065" s="212">
        <f t="shared" si="460"/>
        <v>0</v>
      </c>
      <c r="P4065" s="212">
        <f>'02 项目基础信息（输入）'!$C$93</f>
        <v>0</v>
      </c>
      <c r="Q4065" s="271">
        <f t="shared" si="461"/>
        <v>0</v>
      </c>
      <c r="S4065" s="280"/>
      <c r="T4065" s="222"/>
      <c r="U4065" s="272" t="s">
        <v>6302</v>
      </c>
    </row>
    <row r="4066" spans="1:21" ht="0" hidden="1" customHeight="1" outlineLevel="4">
      <c r="A4066" s="253" t="s">
        <v>4288</v>
      </c>
      <c r="B4066" s="253"/>
      <c r="C4066" s="202" t="s">
        <v>1609</v>
      </c>
      <c r="D4066" s="203">
        <f>'02 项目基础信息（输入）'!$C$93</f>
        <v>0</v>
      </c>
      <c r="E4066" s="204" t="s">
        <v>93</v>
      </c>
      <c r="F4066" s="202" t="s">
        <v>1609</v>
      </c>
      <c r="G4066" s="204">
        <v>1</v>
      </c>
      <c r="H4066" s="204" t="s">
        <v>298</v>
      </c>
      <c r="I4066" s="265">
        <f t="shared" si="464"/>
        <v>0</v>
      </c>
      <c r="J4066" s="204" t="s">
        <v>93</v>
      </c>
      <c r="K4066" s="188"/>
      <c r="L4066" s="210" t="s">
        <v>675</v>
      </c>
      <c r="M4066" s="198">
        <f t="shared" si="465"/>
        <v>0</v>
      </c>
      <c r="N4066" s="212">
        <f>'02 项目基础信息（输入）'!$C$93</f>
        <v>0</v>
      </c>
      <c r="O4066" s="212">
        <f t="shared" si="460"/>
        <v>0</v>
      </c>
      <c r="P4066" s="212">
        <f>'02 项目基础信息（输入）'!$C$93</f>
        <v>0</v>
      </c>
      <c r="Q4066" s="271">
        <f t="shared" si="461"/>
        <v>0</v>
      </c>
      <c r="S4066" s="280"/>
      <c r="T4066" s="222"/>
      <c r="U4066" s="272" t="s">
        <v>6303</v>
      </c>
    </row>
    <row r="4067" spans="1:21" ht="0" hidden="1" customHeight="1" outlineLevel="4">
      <c r="A4067" s="253" t="s">
        <v>4290</v>
      </c>
      <c r="B4067" s="253"/>
      <c r="C4067" s="202" t="s">
        <v>1609</v>
      </c>
      <c r="D4067" s="203">
        <f>'02 项目基础信息（输入）'!$C$93</f>
        <v>0</v>
      </c>
      <c r="E4067" s="204" t="s">
        <v>93</v>
      </c>
      <c r="F4067" s="202" t="s">
        <v>1609</v>
      </c>
      <c r="G4067" s="204">
        <v>1</v>
      </c>
      <c r="H4067" s="204" t="s">
        <v>298</v>
      </c>
      <c r="I4067" s="265">
        <f t="shared" si="464"/>
        <v>0</v>
      </c>
      <c r="J4067" s="204" t="s">
        <v>93</v>
      </c>
      <c r="K4067" s="188"/>
      <c r="L4067" s="210" t="s">
        <v>675</v>
      </c>
      <c r="M4067" s="198">
        <f t="shared" si="465"/>
        <v>0</v>
      </c>
      <c r="N4067" s="212">
        <f>'02 项目基础信息（输入）'!$C$93</f>
        <v>0</v>
      </c>
      <c r="O4067" s="212">
        <f t="shared" si="460"/>
        <v>0</v>
      </c>
      <c r="P4067" s="212">
        <f>'02 项目基础信息（输入）'!$C$93</f>
        <v>0</v>
      </c>
      <c r="Q4067" s="271">
        <f t="shared" si="461"/>
        <v>0</v>
      </c>
      <c r="S4067" s="280"/>
      <c r="T4067" s="222"/>
      <c r="U4067" s="272" t="s">
        <v>6304</v>
      </c>
    </row>
    <row r="4068" spans="1:21" ht="0" hidden="1" customHeight="1" outlineLevel="4">
      <c r="A4068" s="253" t="s">
        <v>4657</v>
      </c>
      <c r="B4068" s="253"/>
      <c r="C4068" s="202" t="s">
        <v>1609</v>
      </c>
      <c r="D4068" s="203">
        <f>'02 项目基础信息（输入）'!$C$93</f>
        <v>0</v>
      </c>
      <c r="E4068" s="204" t="s">
        <v>93</v>
      </c>
      <c r="F4068" s="202" t="s">
        <v>1609</v>
      </c>
      <c r="G4068" s="204">
        <v>1</v>
      </c>
      <c r="H4068" s="204" t="s">
        <v>298</v>
      </c>
      <c r="I4068" s="265">
        <f t="shared" si="464"/>
        <v>0</v>
      </c>
      <c r="J4068" s="204" t="s">
        <v>93</v>
      </c>
      <c r="K4068" s="188"/>
      <c r="L4068" s="210" t="s">
        <v>675</v>
      </c>
      <c r="M4068" s="198">
        <f t="shared" si="465"/>
        <v>0</v>
      </c>
      <c r="N4068" s="212">
        <f>'02 项目基础信息（输入）'!$C$93</f>
        <v>0</v>
      </c>
      <c r="O4068" s="212">
        <f t="shared" si="460"/>
        <v>0</v>
      </c>
      <c r="P4068" s="212">
        <f>'02 项目基础信息（输入）'!$C$93</f>
        <v>0</v>
      </c>
      <c r="Q4068" s="271">
        <f t="shared" si="461"/>
        <v>0</v>
      </c>
      <c r="S4068" s="280"/>
      <c r="T4068" s="222"/>
      <c r="U4068" s="272" t="s">
        <v>6305</v>
      </c>
    </row>
    <row r="4069" spans="1:21" ht="0" hidden="1" customHeight="1" outlineLevel="4">
      <c r="A4069" s="253" t="s">
        <v>4292</v>
      </c>
      <c r="B4069" s="253"/>
      <c r="C4069" s="202" t="s">
        <v>1609</v>
      </c>
      <c r="D4069" s="203">
        <f>'02 项目基础信息（输入）'!$C$93</f>
        <v>0</v>
      </c>
      <c r="E4069" s="204" t="s">
        <v>93</v>
      </c>
      <c r="F4069" s="202" t="s">
        <v>1609</v>
      </c>
      <c r="G4069" s="204">
        <v>1</v>
      </c>
      <c r="H4069" s="204" t="s">
        <v>298</v>
      </c>
      <c r="I4069" s="265">
        <f t="shared" si="464"/>
        <v>0</v>
      </c>
      <c r="J4069" s="204" t="s">
        <v>93</v>
      </c>
      <c r="K4069" s="188"/>
      <c r="L4069" s="210" t="s">
        <v>675</v>
      </c>
      <c r="M4069" s="198">
        <f t="shared" si="465"/>
        <v>0</v>
      </c>
      <c r="N4069" s="212">
        <f>'02 项目基础信息（输入）'!$C$93</f>
        <v>0</v>
      </c>
      <c r="O4069" s="212">
        <f t="shared" si="460"/>
        <v>0</v>
      </c>
      <c r="P4069" s="212">
        <f>'02 项目基础信息（输入）'!$C$93</f>
        <v>0</v>
      </c>
      <c r="Q4069" s="271">
        <f t="shared" si="461"/>
        <v>0</v>
      </c>
      <c r="S4069" s="280"/>
      <c r="T4069" s="222"/>
      <c r="U4069" s="272" t="s">
        <v>6306</v>
      </c>
    </row>
    <row r="4070" spans="1:21" ht="0" hidden="1" customHeight="1" outlineLevel="4">
      <c r="A4070" s="253" t="s">
        <v>4294</v>
      </c>
      <c r="B4070" s="253"/>
      <c r="C4070" s="202" t="s">
        <v>1609</v>
      </c>
      <c r="D4070" s="203">
        <f>'02 项目基础信息（输入）'!$C$93</f>
        <v>0</v>
      </c>
      <c r="E4070" s="204" t="s">
        <v>93</v>
      </c>
      <c r="F4070" s="202" t="s">
        <v>1609</v>
      </c>
      <c r="G4070" s="204">
        <v>1</v>
      </c>
      <c r="H4070" s="204" t="s">
        <v>298</v>
      </c>
      <c r="I4070" s="265">
        <f t="shared" si="464"/>
        <v>0</v>
      </c>
      <c r="J4070" s="204" t="s">
        <v>93</v>
      </c>
      <c r="K4070" s="188"/>
      <c r="L4070" s="210" t="s">
        <v>675</v>
      </c>
      <c r="M4070" s="198">
        <f t="shared" si="465"/>
        <v>0</v>
      </c>
      <c r="N4070" s="212">
        <f>'02 项目基础信息（输入）'!$C$93</f>
        <v>0</v>
      </c>
      <c r="O4070" s="212">
        <f t="shared" si="460"/>
        <v>0</v>
      </c>
      <c r="P4070" s="212">
        <f>'02 项目基础信息（输入）'!$C$93</f>
        <v>0</v>
      </c>
      <c r="Q4070" s="271">
        <f t="shared" si="461"/>
        <v>0</v>
      </c>
      <c r="S4070" s="280"/>
      <c r="T4070" s="222"/>
      <c r="U4070" s="272" t="s">
        <v>6307</v>
      </c>
    </row>
    <row r="4071" spans="1:21" ht="0" hidden="1" customHeight="1" outlineLevel="4">
      <c r="A4071" s="253" t="s">
        <v>4296</v>
      </c>
      <c r="B4071" s="253"/>
      <c r="C4071" s="202" t="s">
        <v>1609</v>
      </c>
      <c r="D4071" s="203">
        <f>'02 项目基础信息（输入）'!$C$93</f>
        <v>0</v>
      </c>
      <c r="E4071" s="204" t="s">
        <v>93</v>
      </c>
      <c r="F4071" s="202" t="s">
        <v>1609</v>
      </c>
      <c r="G4071" s="204">
        <v>1</v>
      </c>
      <c r="H4071" s="204" t="s">
        <v>298</v>
      </c>
      <c r="I4071" s="265">
        <f t="shared" si="464"/>
        <v>0</v>
      </c>
      <c r="J4071" s="204" t="s">
        <v>93</v>
      </c>
      <c r="K4071" s="188"/>
      <c r="L4071" s="210" t="s">
        <v>675</v>
      </c>
      <c r="M4071" s="198">
        <f t="shared" si="465"/>
        <v>0</v>
      </c>
      <c r="N4071" s="212">
        <f>'02 项目基础信息（输入）'!$C$93</f>
        <v>0</v>
      </c>
      <c r="O4071" s="212">
        <f t="shared" si="460"/>
        <v>0</v>
      </c>
      <c r="P4071" s="212">
        <f>'02 项目基础信息（输入）'!$C$93</f>
        <v>0</v>
      </c>
      <c r="Q4071" s="271">
        <f t="shared" si="461"/>
        <v>0</v>
      </c>
      <c r="S4071" s="280"/>
      <c r="T4071" s="222"/>
      <c r="U4071" s="272" t="s">
        <v>6308</v>
      </c>
    </row>
    <row r="4072" spans="1:21" ht="0" hidden="1" customHeight="1" outlineLevel="4">
      <c r="A4072" s="253" t="s">
        <v>4298</v>
      </c>
      <c r="B4072" s="253"/>
      <c r="C4072" s="202" t="s">
        <v>1609</v>
      </c>
      <c r="D4072" s="203">
        <f>'02 项目基础信息（输入）'!$C$93</f>
        <v>0</v>
      </c>
      <c r="E4072" s="204" t="s">
        <v>93</v>
      </c>
      <c r="F4072" s="202" t="s">
        <v>1609</v>
      </c>
      <c r="G4072" s="204">
        <v>1</v>
      </c>
      <c r="H4072" s="204" t="s">
        <v>298</v>
      </c>
      <c r="I4072" s="265">
        <f t="shared" si="464"/>
        <v>0</v>
      </c>
      <c r="J4072" s="204" t="s">
        <v>93</v>
      </c>
      <c r="K4072" s="188"/>
      <c r="L4072" s="210" t="s">
        <v>675</v>
      </c>
      <c r="M4072" s="198">
        <f t="shared" si="465"/>
        <v>0</v>
      </c>
      <c r="N4072" s="212">
        <f>'02 项目基础信息（输入）'!$C$93</f>
        <v>0</v>
      </c>
      <c r="O4072" s="212">
        <f t="shared" si="460"/>
        <v>0</v>
      </c>
      <c r="P4072" s="212">
        <f>'02 项目基础信息（输入）'!$C$93</f>
        <v>0</v>
      </c>
      <c r="Q4072" s="271">
        <f t="shared" si="461"/>
        <v>0</v>
      </c>
      <c r="S4072" s="280"/>
      <c r="T4072" s="222"/>
      <c r="U4072" s="272" t="s">
        <v>6309</v>
      </c>
    </row>
    <row r="4073" spans="1:21" ht="0" hidden="1" customHeight="1" outlineLevel="4">
      <c r="A4073" s="253" t="s">
        <v>4300</v>
      </c>
      <c r="B4073" s="253"/>
      <c r="C4073" s="202" t="s">
        <v>1609</v>
      </c>
      <c r="D4073" s="203">
        <f>'02 项目基础信息（输入）'!$C$93</f>
        <v>0</v>
      </c>
      <c r="E4073" s="204" t="s">
        <v>93</v>
      </c>
      <c r="F4073" s="202" t="s">
        <v>1609</v>
      </c>
      <c r="G4073" s="204">
        <v>1</v>
      </c>
      <c r="H4073" s="204" t="s">
        <v>298</v>
      </c>
      <c r="I4073" s="265">
        <f t="shared" si="464"/>
        <v>0</v>
      </c>
      <c r="J4073" s="204" t="s">
        <v>93</v>
      </c>
      <c r="K4073" s="188"/>
      <c r="L4073" s="210" t="s">
        <v>675</v>
      </c>
      <c r="M4073" s="198">
        <f t="shared" si="465"/>
        <v>0</v>
      </c>
      <c r="N4073" s="212">
        <f>'02 项目基础信息（输入）'!$C$93</f>
        <v>0</v>
      </c>
      <c r="O4073" s="212">
        <f t="shared" si="460"/>
        <v>0</v>
      </c>
      <c r="P4073" s="212">
        <f>'02 项目基础信息（输入）'!$C$93</f>
        <v>0</v>
      </c>
      <c r="Q4073" s="271">
        <f t="shared" si="461"/>
        <v>0</v>
      </c>
      <c r="S4073" s="280"/>
      <c r="T4073" s="222"/>
      <c r="U4073" s="272" t="s">
        <v>6310</v>
      </c>
    </row>
    <row r="4074" spans="1:21" ht="0" hidden="1" customHeight="1" outlineLevel="3">
      <c r="A4074" s="253" t="s">
        <v>4302</v>
      </c>
      <c r="B4074" s="253"/>
      <c r="C4074" s="202" t="s">
        <v>1609</v>
      </c>
      <c r="D4074" s="203">
        <f>'02 项目基础信息（输入）'!$C$93</f>
        <v>0</v>
      </c>
      <c r="E4074" s="204" t="s">
        <v>93</v>
      </c>
      <c r="F4074" s="202" t="s">
        <v>1609</v>
      </c>
      <c r="G4074" s="204">
        <v>1</v>
      </c>
      <c r="H4074" s="204" t="s">
        <v>298</v>
      </c>
      <c r="I4074" s="265">
        <f t="shared" si="464"/>
        <v>0</v>
      </c>
      <c r="J4074" s="204" t="s">
        <v>93</v>
      </c>
      <c r="K4074" s="188"/>
      <c r="L4074" s="210" t="s">
        <v>675</v>
      </c>
      <c r="M4074" s="198">
        <f t="shared" si="465"/>
        <v>0</v>
      </c>
      <c r="N4074" s="212">
        <f>'02 项目基础信息（输入）'!$C$93</f>
        <v>0</v>
      </c>
      <c r="O4074" s="212">
        <f t="shared" si="460"/>
        <v>0</v>
      </c>
      <c r="P4074" s="212">
        <f>'02 项目基础信息（输入）'!$C$93</f>
        <v>0</v>
      </c>
      <c r="Q4074" s="271">
        <f t="shared" si="461"/>
        <v>0</v>
      </c>
      <c r="S4074" s="280"/>
      <c r="T4074" s="222"/>
      <c r="U4074" s="272" t="s">
        <v>6311</v>
      </c>
    </row>
    <row r="4075" spans="1:21" ht="0" hidden="1" customHeight="1" outlineLevel="3">
      <c r="A4075" s="253" t="s">
        <v>4306</v>
      </c>
      <c r="B4075" s="253"/>
      <c r="C4075" s="202" t="s">
        <v>1609</v>
      </c>
      <c r="D4075" s="203">
        <f>'02 项目基础信息（输入）'!$C$93</f>
        <v>0</v>
      </c>
      <c r="E4075" s="204" t="s">
        <v>93</v>
      </c>
      <c r="F4075" s="202" t="s">
        <v>1609</v>
      </c>
      <c r="G4075" s="204">
        <v>1</v>
      </c>
      <c r="H4075" s="204" t="s">
        <v>298</v>
      </c>
      <c r="I4075" s="265">
        <f t="shared" si="464"/>
        <v>0</v>
      </c>
      <c r="J4075" s="204" t="s">
        <v>93</v>
      </c>
      <c r="K4075" s="188"/>
      <c r="L4075" s="210" t="s">
        <v>675</v>
      </c>
      <c r="M4075" s="198">
        <f t="shared" si="465"/>
        <v>0</v>
      </c>
      <c r="N4075" s="212">
        <f>'02 项目基础信息（输入）'!$C$93</f>
        <v>0</v>
      </c>
      <c r="O4075" s="212">
        <f t="shared" si="460"/>
        <v>0</v>
      </c>
      <c r="P4075" s="212">
        <f>'02 项目基础信息（输入）'!$C$93</f>
        <v>0</v>
      </c>
      <c r="Q4075" s="271">
        <f t="shared" si="461"/>
        <v>0</v>
      </c>
      <c r="S4075" s="280"/>
      <c r="T4075" s="222"/>
      <c r="U4075" s="272" t="s">
        <v>6312</v>
      </c>
    </row>
    <row r="4076" spans="1:21" ht="0" hidden="1" customHeight="1" outlineLevel="3">
      <c r="A4076" s="253" t="s">
        <v>4308</v>
      </c>
      <c r="B4076" s="253"/>
      <c r="C4076" s="202" t="s">
        <v>1609</v>
      </c>
      <c r="D4076" s="203">
        <f>'02 项目基础信息（输入）'!$C$93</f>
        <v>0</v>
      </c>
      <c r="E4076" s="204" t="s">
        <v>93</v>
      </c>
      <c r="F4076" s="202" t="s">
        <v>1609</v>
      </c>
      <c r="G4076" s="255">
        <v>1</v>
      </c>
      <c r="H4076" s="204" t="s">
        <v>298</v>
      </c>
      <c r="I4076" s="265">
        <f t="shared" si="464"/>
        <v>0</v>
      </c>
      <c r="J4076" s="204" t="s">
        <v>93</v>
      </c>
      <c r="K4076" s="188"/>
      <c r="L4076" s="210" t="s">
        <v>675</v>
      </c>
      <c r="M4076" s="198">
        <f t="shared" si="465"/>
        <v>0</v>
      </c>
      <c r="N4076" s="212">
        <f>'02 项目基础信息（输入）'!$C$93</f>
        <v>0</v>
      </c>
      <c r="O4076" s="212">
        <f t="shared" si="460"/>
        <v>0</v>
      </c>
      <c r="P4076" s="212">
        <f>'02 项目基础信息（输入）'!$C$93</f>
        <v>0</v>
      </c>
      <c r="Q4076" s="271">
        <f t="shared" si="461"/>
        <v>0</v>
      </c>
      <c r="S4076" s="280"/>
      <c r="T4076" s="222"/>
      <c r="U4076" s="272" t="s">
        <v>6313</v>
      </c>
    </row>
    <row r="4077" spans="1:21" ht="0" hidden="1" customHeight="1" outlineLevel="3">
      <c r="A4077" s="253" t="s">
        <v>4310</v>
      </c>
      <c r="B4077" s="253"/>
      <c r="C4077" s="202" t="s">
        <v>1665</v>
      </c>
      <c r="D4077" s="203">
        <f>ROUND(M4057+M4064+M4074+M4075+M4076,6)*10000</f>
        <v>0</v>
      </c>
      <c r="E4077" s="204" t="s">
        <v>1666</v>
      </c>
      <c r="F4077" s="202" t="s">
        <v>1667</v>
      </c>
      <c r="G4077" s="258">
        <f>IFERROR(I4077*100/D4077,0)</f>
        <v>0</v>
      </c>
      <c r="H4077" s="204" t="s">
        <v>123</v>
      </c>
      <c r="I4077" s="265">
        <f>N4077*K4077</f>
        <v>0</v>
      </c>
      <c r="J4077" s="204" t="s">
        <v>1666</v>
      </c>
      <c r="K4077" s="269"/>
      <c r="L4077" s="210" t="s">
        <v>675</v>
      </c>
      <c r="M4077" s="231">
        <f>ROUND(I4077/10000,6)</f>
        <v>0</v>
      </c>
      <c r="N4077" s="212">
        <f>'02 项目基础信息（输入）'!$C$93</f>
        <v>0</v>
      </c>
      <c r="O4077" s="212">
        <f t="shared" si="460"/>
        <v>0</v>
      </c>
      <c r="P4077" s="212">
        <f>'02 项目基础信息（输入）'!$C$93</f>
        <v>0</v>
      </c>
      <c r="Q4077" s="271">
        <f t="shared" si="461"/>
        <v>0</v>
      </c>
      <c r="S4077" s="280"/>
      <c r="T4077" s="222"/>
      <c r="U4077" s="272" t="s">
        <v>6314</v>
      </c>
    </row>
    <row r="4078" spans="1:21" ht="0" hidden="1" customHeight="1" outlineLevel="2">
      <c r="A4078" s="201" t="s">
        <v>4312</v>
      </c>
      <c r="B4078" s="201"/>
      <c r="C4078" s="202" t="s">
        <v>1609</v>
      </c>
      <c r="D4078" s="203">
        <f>'02 项目基础信息（输入）'!$C$93</f>
        <v>0</v>
      </c>
      <c r="E4078" s="204" t="s">
        <v>93</v>
      </c>
      <c r="F4078" s="202"/>
      <c r="G4078" s="221"/>
      <c r="H4078" s="204"/>
      <c r="I4078" s="203"/>
      <c r="J4078" s="204"/>
      <c r="K4078" s="266"/>
      <c r="L4078" s="210"/>
      <c r="M4078" s="198">
        <f>ROUND(M4079+M4080+M4081+M4082+M4092+M4093+M4094,6)</f>
        <v>0</v>
      </c>
      <c r="N4078" s="212">
        <f>'02 项目基础信息（输入）'!$C$93</f>
        <v>0</v>
      </c>
      <c r="O4078" s="212">
        <f t="shared" si="460"/>
        <v>0</v>
      </c>
      <c r="P4078" s="212">
        <f>'02 项目基础信息（输入）'!$C$93</f>
        <v>0</v>
      </c>
      <c r="Q4078" s="271">
        <f t="shared" si="461"/>
        <v>0</v>
      </c>
      <c r="S4078" s="280" t="s">
        <v>1314</v>
      </c>
      <c r="T4078" s="222"/>
      <c r="U4078" s="272" t="s">
        <v>6315</v>
      </c>
    </row>
    <row r="4079" spans="1:21" ht="0" hidden="1" customHeight="1" outlineLevel="3">
      <c r="A4079" s="253" t="s">
        <v>4314</v>
      </c>
      <c r="B4079" s="253"/>
      <c r="C4079" s="202" t="s">
        <v>1609</v>
      </c>
      <c r="D4079" s="203">
        <f>'02 项目基础信息（输入）'!$C$93</f>
        <v>0</v>
      </c>
      <c r="E4079" s="204" t="s">
        <v>93</v>
      </c>
      <c r="F4079" s="202" t="s">
        <v>4315</v>
      </c>
      <c r="G4079" s="258">
        <f>IFERROR(I4079/D4079,0)</f>
        <v>0</v>
      </c>
      <c r="H4079" s="204" t="s">
        <v>298</v>
      </c>
      <c r="I4079" s="285"/>
      <c r="J4079" s="204" t="s">
        <v>93</v>
      </c>
      <c r="K4079" s="188"/>
      <c r="L4079" s="210" t="s">
        <v>675</v>
      </c>
      <c r="M4079" s="198">
        <f>ROUND(K4079*I4079/10000,6)</f>
        <v>0</v>
      </c>
      <c r="N4079" s="212">
        <f>'02 项目基础信息（输入）'!$C$93</f>
        <v>0</v>
      </c>
      <c r="O4079" s="212">
        <f t="shared" si="460"/>
        <v>0</v>
      </c>
      <c r="P4079" s="212">
        <f>'02 项目基础信息（输入）'!$C$93</f>
        <v>0</v>
      </c>
      <c r="Q4079" s="271">
        <f t="shared" si="461"/>
        <v>0</v>
      </c>
      <c r="S4079" s="280"/>
      <c r="T4079" s="222"/>
      <c r="U4079" s="272" t="s">
        <v>6316</v>
      </c>
    </row>
    <row r="4080" spans="1:21" ht="0" hidden="1" customHeight="1" outlineLevel="3">
      <c r="A4080" s="253" t="s">
        <v>4317</v>
      </c>
      <c r="B4080" s="253"/>
      <c r="C4080" s="202" t="s">
        <v>1609</v>
      </c>
      <c r="D4080" s="203">
        <f>'02 项目基础信息（输入）'!$C$93</f>
        <v>0</v>
      </c>
      <c r="E4080" s="204" t="s">
        <v>93</v>
      </c>
      <c r="F4080" s="202" t="s">
        <v>1609</v>
      </c>
      <c r="G4080" s="255">
        <v>1</v>
      </c>
      <c r="H4080" s="204" t="s">
        <v>298</v>
      </c>
      <c r="I4080" s="265">
        <f>D4080*G4080</f>
        <v>0</v>
      </c>
      <c r="J4080" s="204" t="s">
        <v>93</v>
      </c>
      <c r="K4080" s="188"/>
      <c r="L4080" s="210" t="s">
        <v>675</v>
      </c>
      <c r="M4080" s="198">
        <f>ROUND(K4080*I4080/10000,6)</f>
        <v>0</v>
      </c>
      <c r="N4080" s="212">
        <f>'02 项目基础信息（输入）'!$C$93</f>
        <v>0</v>
      </c>
      <c r="O4080" s="212">
        <f t="shared" si="460"/>
        <v>0</v>
      </c>
      <c r="P4080" s="212">
        <f>'02 项目基础信息（输入）'!$C$93</f>
        <v>0</v>
      </c>
      <c r="Q4080" s="271">
        <f t="shared" si="461"/>
        <v>0</v>
      </c>
      <c r="S4080" s="280"/>
      <c r="T4080" s="222"/>
      <c r="U4080" s="272" t="s">
        <v>6317</v>
      </c>
    </row>
    <row r="4081" spans="1:21" ht="0" hidden="1" customHeight="1" outlineLevel="3">
      <c r="A4081" s="253" t="s">
        <v>4319</v>
      </c>
      <c r="B4081" s="253"/>
      <c r="C4081" s="202" t="s">
        <v>1609</v>
      </c>
      <c r="D4081" s="203">
        <f>'02 项目基础信息（输入）'!$C$93</f>
        <v>0</v>
      </c>
      <c r="E4081" s="204" t="s">
        <v>93</v>
      </c>
      <c r="F4081" s="202" t="s">
        <v>1609</v>
      </c>
      <c r="G4081" s="204">
        <v>1</v>
      </c>
      <c r="H4081" s="204" t="s">
        <v>298</v>
      </c>
      <c r="I4081" s="265">
        <f>D4081*G4081</f>
        <v>0</v>
      </c>
      <c r="J4081" s="204" t="s">
        <v>93</v>
      </c>
      <c r="K4081" s="188"/>
      <c r="L4081" s="210" t="s">
        <v>675</v>
      </c>
      <c r="M4081" s="198">
        <f>ROUND(K4081*I4081/10000,6)</f>
        <v>0</v>
      </c>
      <c r="N4081" s="212">
        <f>'02 项目基础信息（输入）'!$C$93</f>
        <v>0</v>
      </c>
      <c r="O4081" s="212">
        <f t="shared" si="460"/>
        <v>0</v>
      </c>
      <c r="P4081" s="212">
        <f>'02 项目基础信息（输入）'!$C$93</f>
        <v>0</v>
      </c>
      <c r="Q4081" s="271">
        <f t="shared" si="461"/>
        <v>0</v>
      </c>
      <c r="S4081" s="280"/>
      <c r="T4081" s="222"/>
      <c r="U4081" s="272" t="s">
        <v>6318</v>
      </c>
    </row>
    <row r="4082" spans="1:21" ht="0" hidden="1" customHeight="1" outlineLevel="3">
      <c r="A4082" s="253" t="s">
        <v>4321</v>
      </c>
      <c r="B4082" s="253"/>
      <c r="C4082" s="202" t="s">
        <v>1609</v>
      </c>
      <c r="D4082" s="203">
        <f>'02 项目基础信息（输入）'!$C$93</f>
        <v>0</v>
      </c>
      <c r="E4082" s="204" t="s">
        <v>93</v>
      </c>
      <c r="F4082" s="202"/>
      <c r="G4082" s="255"/>
      <c r="H4082" s="204"/>
      <c r="I4082" s="212"/>
      <c r="J4082" s="255"/>
      <c r="K4082" s="264"/>
      <c r="L4082" s="205"/>
      <c r="M4082" s="198">
        <f>ROUND(SUM(M4083:M4092),6)</f>
        <v>0</v>
      </c>
      <c r="N4082" s="212">
        <f>'02 项目基础信息（输入）'!$C$93</f>
        <v>0</v>
      </c>
      <c r="O4082" s="212">
        <f t="shared" si="460"/>
        <v>0</v>
      </c>
      <c r="P4082" s="212">
        <f>'02 项目基础信息（输入）'!$C$93</f>
        <v>0</v>
      </c>
      <c r="Q4082" s="271">
        <f t="shared" si="461"/>
        <v>0</v>
      </c>
      <c r="S4082" s="280"/>
      <c r="T4082" s="222"/>
      <c r="U4082" s="272" t="s">
        <v>6319</v>
      </c>
    </row>
    <row r="4083" spans="1:21" ht="0" hidden="1" customHeight="1" outlineLevel="4">
      <c r="A4083" s="253" t="s">
        <v>4673</v>
      </c>
      <c r="B4083" s="253"/>
      <c r="C4083" s="202" t="s">
        <v>1609</v>
      </c>
      <c r="D4083" s="203">
        <f>'02 项目基础信息（输入）'!$C$93</f>
        <v>0</v>
      </c>
      <c r="E4083" s="204" t="s">
        <v>93</v>
      </c>
      <c r="F4083" s="202" t="s">
        <v>4324</v>
      </c>
      <c r="G4083" s="258">
        <f t="shared" ref="G4083:G4091" si="466">IFERROR(I4083/D4083,0)</f>
        <v>0</v>
      </c>
      <c r="H4083" s="204" t="s">
        <v>298</v>
      </c>
      <c r="I4083" s="285"/>
      <c r="J4083" s="204" t="s">
        <v>93</v>
      </c>
      <c r="K4083" s="214"/>
      <c r="L4083" s="210" t="s">
        <v>675</v>
      </c>
      <c r="M4083" s="198">
        <f t="shared" ref="M4083:M4093" si="467">ROUND(K4083*I4083/10000,6)</f>
        <v>0</v>
      </c>
      <c r="N4083" s="212">
        <f>'02 项目基础信息（输入）'!$C$93</f>
        <v>0</v>
      </c>
      <c r="O4083" s="212">
        <f t="shared" si="460"/>
        <v>0</v>
      </c>
      <c r="P4083" s="212">
        <f>'02 项目基础信息（输入）'!$C$93</f>
        <v>0</v>
      </c>
      <c r="Q4083" s="271">
        <f t="shared" si="461"/>
        <v>0</v>
      </c>
      <c r="S4083" s="280"/>
      <c r="T4083" s="222"/>
      <c r="U4083" s="272" t="s">
        <v>6320</v>
      </c>
    </row>
    <row r="4084" spans="1:21" ht="0" hidden="1" customHeight="1" outlineLevel="4">
      <c r="A4084" s="253" t="s">
        <v>4675</v>
      </c>
      <c r="B4084" s="253"/>
      <c r="C4084" s="202" t="s">
        <v>1609</v>
      </c>
      <c r="D4084" s="203">
        <f>'02 项目基础信息（输入）'!$C$93</f>
        <v>0</v>
      </c>
      <c r="E4084" s="204" t="s">
        <v>93</v>
      </c>
      <c r="F4084" s="202" t="s">
        <v>4324</v>
      </c>
      <c r="G4084" s="258">
        <f t="shared" si="466"/>
        <v>0</v>
      </c>
      <c r="H4084" s="204" t="s">
        <v>298</v>
      </c>
      <c r="I4084" s="265">
        <f t="shared" ref="I4084:I4091" si="468">I4083</f>
        <v>0</v>
      </c>
      <c r="J4084" s="204" t="s">
        <v>93</v>
      </c>
      <c r="K4084" s="188"/>
      <c r="L4084" s="210" t="s">
        <v>675</v>
      </c>
      <c r="M4084" s="198">
        <f t="shared" si="467"/>
        <v>0</v>
      </c>
      <c r="N4084" s="212">
        <f>'02 项目基础信息（输入）'!$C$93</f>
        <v>0</v>
      </c>
      <c r="O4084" s="212">
        <f t="shared" si="460"/>
        <v>0</v>
      </c>
      <c r="P4084" s="212">
        <f>'02 项目基础信息（输入）'!$C$93</f>
        <v>0</v>
      </c>
      <c r="Q4084" s="271">
        <f t="shared" si="461"/>
        <v>0</v>
      </c>
      <c r="S4084" s="280"/>
      <c r="T4084" s="222"/>
      <c r="U4084" s="272" t="s">
        <v>6321</v>
      </c>
    </row>
    <row r="4085" spans="1:21" ht="0" hidden="1" customHeight="1" outlineLevel="4">
      <c r="A4085" s="253" t="s">
        <v>4677</v>
      </c>
      <c r="B4085" s="253"/>
      <c r="C4085" s="202" t="s">
        <v>1609</v>
      </c>
      <c r="D4085" s="203">
        <f>'02 项目基础信息（输入）'!$C$93</f>
        <v>0</v>
      </c>
      <c r="E4085" s="204" t="s">
        <v>93</v>
      </c>
      <c r="F4085" s="202" t="s">
        <v>4324</v>
      </c>
      <c r="G4085" s="258">
        <f t="shared" si="466"/>
        <v>0</v>
      </c>
      <c r="H4085" s="204" t="s">
        <v>298</v>
      </c>
      <c r="I4085" s="265">
        <f t="shared" si="468"/>
        <v>0</v>
      </c>
      <c r="J4085" s="204" t="s">
        <v>93</v>
      </c>
      <c r="K4085" s="188"/>
      <c r="L4085" s="210" t="s">
        <v>675</v>
      </c>
      <c r="M4085" s="198">
        <f t="shared" si="467"/>
        <v>0</v>
      </c>
      <c r="N4085" s="212">
        <f>'02 项目基础信息（输入）'!$C$93</f>
        <v>0</v>
      </c>
      <c r="O4085" s="212">
        <f t="shared" si="460"/>
        <v>0</v>
      </c>
      <c r="P4085" s="212">
        <f>'02 项目基础信息（输入）'!$C$93</f>
        <v>0</v>
      </c>
      <c r="Q4085" s="271">
        <f t="shared" si="461"/>
        <v>0</v>
      </c>
      <c r="S4085" s="280"/>
      <c r="T4085" s="222"/>
      <c r="U4085" s="272" t="s">
        <v>6322</v>
      </c>
    </row>
    <row r="4086" spans="1:21" ht="0" hidden="1" customHeight="1" outlineLevel="4">
      <c r="A4086" s="253" t="s">
        <v>4679</v>
      </c>
      <c r="B4086" s="253"/>
      <c r="C4086" s="202" t="s">
        <v>1609</v>
      </c>
      <c r="D4086" s="203">
        <f>'02 项目基础信息（输入）'!$C$93</f>
        <v>0</v>
      </c>
      <c r="E4086" s="204" t="s">
        <v>93</v>
      </c>
      <c r="F4086" s="202" t="s">
        <v>4324</v>
      </c>
      <c r="G4086" s="258">
        <f t="shared" si="466"/>
        <v>0</v>
      </c>
      <c r="H4086" s="204" t="s">
        <v>298</v>
      </c>
      <c r="I4086" s="265">
        <f t="shared" si="468"/>
        <v>0</v>
      </c>
      <c r="J4086" s="204" t="s">
        <v>93</v>
      </c>
      <c r="K4086" s="188"/>
      <c r="L4086" s="210" t="s">
        <v>675</v>
      </c>
      <c r="M4086" s="198">
        <f t="shared" si="467"/>
        <v>0</v>
      </c>
      <c r="N4086" s="212">
        <f>'02 项目基础信息（输入）'!$C$93</f>
        <v>0</v>
      </c>
      <c r="O4086" s="212">
        <f t="shared" si="460"/>
        <v>0</v>
      </c>
      <c r="P4086" s="212">
        <f>'02 项目基础信息（输入）'!$C$93</f>
        <v>0</v>
      </c>
      <c r="Q4086" s="271">
        <f t="shared" si="461"/>
        <v>0</v>
      </c>
      <c r="S4086" s="280"/>
      <c r="T4086" s="222"/>
      <c r="U4086" s="272" t="s">
        <v>6323</v>
      </c>
    </row>
    <row r="4087" spans="1:21" ht="0" hidden="1" customHeight="1" outlineLevel="4">
      <c r="A4087" s="253" t="s">
        <v>4681</v>
      </c>
      <c r="B4087" s="253"/>
      <c r="C4087" s="202" t="s">
        <v>1609</v>
      </c>
      <c r="D4087" s="203">
        <f>'02 项目基础信息（输入）'!$C$93</f>
        <v>0</v>
      </c>
      <c r="E4087" s="204" t="s">
        <v>93</v>
      </c>
      <c r="F4087" s="202" t="s">
        <v>4324</v>
      </c>
      <c r="G4087" s="258">
        <f t="shared" si="466"/>
        <v>0</v>
      </c>
      <c r="H4087" s="204" t="s">
        <v>298</v>
      </c>
      <c r="I4087" s="265">
        <f t="shared" si="468"/>
        <v>0</v>
      </c>
      <c r="J4087" s="204" t="s">
        <v>93</v>
      </c>
      <c r="K4087" s="188"/>
      <c r="L4087" s="210" t="s">
        <v>675</v>
      </c>
      <c r="M4087" s="198">
        <f t="shared" si="467"/>
        <v>0</v>
      </c>
      <c r="N4087" s="212">
        <f>'02 项目基础信息（输入）'!$C$93</f>
        <v>0</v>
      </c>
      <c r="O4087" s="212">
        <f t="shared" si="460"/>
        <v>0</v>
      </c>
      <c r="P4087" s="212">
        <f>'02 项目基础信息（输入）'!$C$93</f>
        <v>0</v>
      </c>
      <c r="Q4087" s="271">
        <f t="shared" si="461"/>
        <v>0</v>
      </c>
      <c r="S4087" s="280"/>
      <c r="T4087" s="222"/>
      <c r="U4087" s="272" t="s">
        <v>6324</v>
      </c>
    </row>
    <row r="4088" spans="1:21" ht="0" hidden="1" customHeight="1" outlineLevel="4">
      <c r="A4088" s="253" t="s">
        <v>4683</v>
      </c>
      <c r="B4088" s="253"/>
      <c r="C4088" s="202" t="s">
        <v>1609</v>
      </c>
      <c r="D4088" s="203">
        <f>'02 项目基础信息（输入）'!$C$93</f>
        <v>0</v>
      </c>
      <c r="E4088" s="204" t="s">
        <v>93</v>
      </c>
      <c r="F4088" s="202" t="s">
        <v>4324</v>
      </c>
      <c r="G4088" s="258">
        <f t="shared" si="466"/>
        <v>0</v>
      </c>
      <c r="H4088" s="204" t="s">
        <v>298</v>
      </c>
      <c r="I4088" s="265">
        <f t="shared" si="468"/>
        <v>0</v>
      </c>
      <c r="J4088" s="204" t="s">
        <v>93</v>
      </c>
      <c r="K4088" s="188"/>
      <c r="L4088" s="210" t="s">
        <v>675</v>
      </c>
      <c r="M4088" s="198">
        <f t="shared" si="467"/>
        <v>0</v>
      </c>
      <c r="N4088" s="212">
        <f>'02 项目基础信息（输入）'!$C$93</f>
        <v>0</v>
      </c>
      <c r="O4088" s="212">
        <f t="shared" si="460"/>
        <v>0</v>
      </c>
      <c r="P4088" s="212">
        <f>'02 项目基础信息（输入）'!$C$93</f>
        <v>0</v>
      </c>
      <c r="Q4088" s="271">
        <f t="shared" si="461"/>
        <v>0</v>
      </c>
      <c r="S4088" s="280"/>
      <c r="T4088" s="222"/>
      <c r="U4088" s="272" t="s">
        <v>6325</v>
      </c>
    </row>
    <row r="4089" spans="1:21" ht="0" hidden="1" customHeight="1" outlineLevel="4">
      <c r="A4089" s="253" t="s">
        <v>4323</v>
      </c>
      <c r="B4089" s="253"/>
      <c r="C4089" s="202" t="s">
        <v>1609</v>
      </c>
      <c r="D4089" s="203">
        <f>'02 项目基础信息（输入）'!$C$93</f>
        <v>0</v>
      </c>
      <c r="E4089" s="204" t="s">
        <v>93</v>
      </c>
      <c r="F4089" s="202" t="s">
        <v>4324</v>
      </c>
      <c r="G4089" s="258">
        <f t="shared" si="466"/>
        <v>0</v>
      </c>
      <c r="H4089" s="204" t="s">
        <v>298</v>
      </c>
      <c r="I4089" s="265">
        <f t="shared" si="468"/>
        <v>0</v>
      </c>
      <c r="J4089" s="204" t="s">
        <v>93</v>
      </c>
      <c r="K4089" s="188"/>
      <c r="L4089" s="210" t="s">
        <v>675</v>
      </c>
      <c r="M4089" s="198">
        <f t="shared" si="467"/>
        <v>0</v>
      </c>
      <c r="N4089" s="212">
        <f>'02 项目基础信息（输入）'!$C$93</f>
        <v>0</v>
      </c>
      <c r="O4089" s="212">
        <f t="shared" si="460"/>
        <v>0</v>
      </c>
      <c r="P4089" s="212">
        <f>'02 项目基础信息（输入）'!$C$93</f>
        <v>0</v>
      </c>
      <c r="Q4089" s="271">
        <f t="shared" si="461"/>
        <v>0</v>
      </c>
      <c r="S4089" s="280"/>
      <c r="T4089" s="222"/>
      <c r="U4089" s="272" t="s">
        <v>6326</v>
      </c>
    </row>
    <row r="4090" spans="1:21" ht="0" hidden="1" customHeight="1" outlineLevel="4">
      <c r="A4090" s="253" t="s">
        <v>4326</v>
      </c>
      <c r="B4090" s="253"/>
      <c r="C4090" s="202" t="s">
        <v>1609</v>
      </c>
      <c r="D4090" s="203">
        <f>'02 项目基础信息（输入）'!$C$93</f>
        <v>0</v>
      </c>
      <c r="E4090" s="204" t="s">
        <v>93</v>
      </c>
      <c r="F4090" s="202" t="s">
        <v>4324</v>
      </c>
      <c r="G4090" s="258">
        <f t="shared" si="466"/>
        <v>0</v>
      </c>
      <c r="H4090" s="204" t="s">
        <v>298</v>
      </c>
      <c r="I4090" s="265">
        <f t="shared" si="468"/>
        <v>0</v>
      </c>
      <c r="J4090" s="204" t="s">
        <v>93</v>
      </c>
      <c r="K4090" s="188"/>
      <c r="L4090" s="210" t="s">
        <v>675</v>
      </c>
      <c r="M4090" s="198">
        <f t="shared" si="467"/>
        <v>0</v>
      </c>
      <c r="N4090" s="212">
        <f>'02 项目基础信息（输入）'!$C$93</f>
        <v>0</v>
      </c>
      <c r="O4090" s="212">
        <f t="shared" si="460"/>
        <v>0</v>
      </c>
      <c r="P4090" s="212">
        <f>'02 项目基础信息（输入）'!$C$93</f>
        <v>0</v>
      </c>
      <c r="Q4090" s="271">
        <f t="shared" si="461"/>
        <v>0</v>
      </c>
      <c r="S4090" s="280"/>
      <c r="T4090" s="222"/>
      <c r="U4090" s="272" t="s">
        <v>6327</v>
      </c>
    </row>
    <row r="4091" spans="1:21" ht="0" hidden="1" customHeight="1" outlineLevel="4">
      <c r="A4091" s="253" t="s">
        <v>4328</v>
      </c>
      <c r="B4091" s="253"/>
      <c r="C4091" s="202" t="s">
        <v>1609</v>
      </c>
      <c r="D4091" s="203">
        <f>'02 项目基础信息（输入）'!$C$93</f>
        <v>0</v>
      </c>
      <c r="E4091" s="204" t="s">
        <v>93</v>
      </c>
      <c r="F4091" s="202" t="s">
        <v>4324</v>
      </c>
      <c r="G4091" s="258">
        <f t="shared" si="466"/>
        <v>0</v>
      </c>
      <c r="H4091" s="204" t="s">
        <v>298</v>
      </c>
      <c r="I4091" s="265">
        <f t="shared" si="468"/>
        <v>0</v>
      </c>
      <c r="J4091" s="204" t="s">
        <v>93</v>
      </c>
      <c r="K4091" s="188"/>
      <c r="L4091" s="210" t="s">
        <v>675</v>
      </c>
      <c r="M4091" s="198">
        <f t="shared" si="467"/>
        <v>0</v>
      </c>
      <c r="N4091" s="212">
        <f>'02 项目基础信息（输入）'!$C$93</f>
        <v>0</v>
      </c>
      <c r="O4091" s="212">
        <f t="shared" si="460"/>
        <v>0</v>
      </c>
      <c r="P4091" s="212">
        <f>'02 项目基础信息（输入）'!$C$93</f>
        <v>0</v>
      </c>
      <c r="Q4091" s="271">
        <f t="shared" si="461"/>
        <v>0</v>
      </c>
      <c r="S4091" s="280"/>
      <c r="T4091" s="222"/>
      <c r="U4091" s="272" t="s">
        <v>6328</v>
      </c>
    </row>
    <row r="4092" spans="1:21" ht="0" hidden="1" customHeight="1" outlineLevel="3">
      <c r="A4092" s="253" t="s">
        <v>4330</v>
      </c>
      <c r="B4092" s="253"/>
      <c r="C4092" s="202" t="s">
        <v>1609</v>
      </c>
      <c r="D4092" s="203">
        <f>'02 项目基础信息（输入）'!$C$93</f>
        <v>0</v>
      </c>
      <c r="E4092" s="204" t="s">
        <v>93</v>
      </c>
      <c r="F4092" s="202" t="s">
        <v>1609</v>
      </c>
      <c r="G4092" s="255">
        <v>1</v>
      </c>
      <c r="H4092" s="204" t="s">
        <v>298</v>
      </c>
      <c r="I4092" s="265">
        <f>D4092*G4092</f>
        <v>0</v>
      </c>
      <c r="J4092" s="204" t="s">
        <v>93</v>
      </c>
      <c r="K4092" s="188"/>
      <c r="L4092" s="210" t="s">
        <v>675</v>
      </c>
      <c r="M4092" s="198">
        <f t="shared" si="467"/>
        <v>0</v>
      </c>
      <c r="N4092" s="212">
        <f>'02 项目基础信息（输入）'!$C$93</f>
        <v>0</v>
      </c>
      <c r="O4092" s="212">
        <f t="shared" si="460"/>
        <v>0</v>
      </c>
      <c r="P4092" s="212">
        <f>'02 项目基础信息（输入）'!$C$93</f>
        <v>0</v>
      </c>
      <c r="Q4092" s="271">
        <f t="shared" si="461"/>
        <v>0</v>
      </c>
      <c r="S4092" s="280"/>
      <c r="T4092" s="222"/>
      <c r="U4092" s="272" t="s">
        <v>6329</v>
      </c>
    </row>
    <row r="4093" spans="1:21" ht="0" hidden="1" customHeight="1" outlineLevel="3">
      <c r="A4093" s="253" t="s">
        <v>4332</v>
      </c>
      <c r="B4093" s="253"/>
      <c r="C4093" s="202" t="s">
        <v>1609</v>
      </c>
      <c r="D4093" s="203">
        <f>'02 项目基础信息（输入）'!$C$93</f>
        <v>0</v>
      </c>
      <c r="E4093" s="204" t="s">
        <v>93</v>
      </c>
      <c r="F4093" s="202" t="s">
        <v>1609</v>
      </c>
      <c r="G4093" s="255">
        <v>1</v>
      </c>
      <c r="H4093" s="204" t="s">
        <v>298</v>
      </c>
      <c r="I4093" s="265">
        <f>D4093*G4093</f>
        <v>0</v>
      </c>
      <c r="J4093" s="204" t="s">
        <v>93</v>
      </c>
      <c r="K4093" s="188"/>
      <c r="L4093" s="210" t="s">
        <v>675</v>
      </c>
      <c r="M4093" s="198">
        <f t="shared" si="467"/>
        <v>0</v>
      </c>
      <c r="N4093" s="212">
        <f>'02 项目基础信息（输入）'!$C$93</f>
        <v>0</v>
      </c>
      <c r="O4093" s="212">
        <f t="shared" si="460"/>
        <v>0</v>
      </c>
      <c r="P4093" s="212">
        <f>'02 项目基础信息（输入）'!$C$93</f>
        <v>0</v>
      </c>
      <c r="Q4093" s="271">
        <f t="shared" si="461"/>
        <v>0</v>
      </c>
      <c r="S4093" s="280"/>
      <c r="T4093" s="222"/>
      <c r="U4093" s="272" t="s">
        <v>6330</v>
      </c>
    </row>
    <row r="4094" spans="1:21" ht="0" hidden="1" customHeight="1" outlineLevel="3">
      <c r="A4094" s="253" t="s">
        <v>4334</v>
      </c>
      <c r="B4094" s="253"/>
      <c r="C4094" s="202" t="s">
        <v>1665</v>
      </c>
      <c r="D4094" s="203">
        <f>ROUND(M4079+M4080+M4081+M4082+M4093,6)*10000</f>
        <v>0</v>
      </c>
      <c r="E4094" s="204" t="s">
        <v>1666</v>
      </c>
      <c r="F4094" s="202" t="s">
        <v>1667</v>
      </c>
      <c r="G4094" s="258">
        <f>IFERROR(I4094*100/D4094,0)</f>
        <v>0</v>
      </c>
      <c r="H4094" s="204" t="s">
        <v>123</v>
      </c>
      <c r="I4094" s="265">
        <f>N4094*K4094</f>
        <v>0</v>
      </c>
      <c r="J4094" s="204" t="s">
        <v>1666</v>
      </c>
      <c r="K4094" s="269"/>
      <c r="L4094" s="210" t="s">
        <v>675</v>
      </c>
      <c r="M4094" s="231">
        <f>ROUND(I4094/10000,6)</f>
        <v>0</v>
      </c>
      <c r="N4094" s="212">
        <f>'02 项目基础信息（输入）'!$C$93</f>
        <v>0</v>
      </c>
      <c r="O4094" s="212">
        <f t="shared" si="460"/>
        <v>0</v>
      </c>
      <c r="P4094" s="212">
        <f>'02 项目基础信息（输入）'!$C$93</f>
        <v>0</v>
      </c>
      <c r="Q4094" s="271">
        <f t="shared" si="461"/>
        <v>0</v>
      </c>
      <c r="S4094" s="280"/>
      <c r="T4094" s="222"/>
      <c r="U4094" s="272" t="s">
        <v>6331</v>
      </c>
    </row>
    <row r="4095" spans="1:21" ht="0" hidden="1" customHeight="1" outlineLevel="2">
      <c r="A4095" s="201" t="s">
        <v>4336</v>
      </c>
      <c r="B4095" s="201"/>
      <c r="C4095" s="202" t="s">
        <v>1609</v>
      </c>
      <c r="D4095" s="203">
        <f>'02 项目基础信息（输入）'!$C$93</f>
        <v>0</v>
      </c>
      <c r="E4095" s="204" t="s">
        <v>93</v>
      </c>
      <c r="F4095" s="202"/>
      <c r="G4095" s="255"/>
      <c r="H4095" s="204"/>
      <c r="I4095" s="203"/>
      <c r="J4095" s="204"/>
      <c r="K4095" s="264"/>
      <c r="L4095" s="210"/>
      <c r="M4095" s="198">
        <f>ROUND(M4096+M4099+M4104+M4105+M4106+M4107,6)</f>
        <v>0</v>
      </c>
      <c r="N4095" s="212">
        <f>'02 项目基础信息（输入）'!$C$93</f>
        <v>0</v>
      </c>
      <c r="O4095" s="212">
        <f t="shared" si="460"/>
        <v>0</v>
      </c>
      <c r="P4095" s="212">
        <f>'02 项目基础信息（输入）'!$C$93</f>
        <v>0</v>
      </c>
      <c r="Q4095" s="271">
        <f t="shared" si="461"/>
        <v>0</v>
      </c>
      <c r="S4095" s="280" t="s">
        <v>1313</v>
      </c>
      <c r="T4095" s="222"/>
      <c r="U4095" s="272" t="s">
        <v>6332</v>
      </c>
    </row>
    <row r="4096" spans="1:21" ht="0" hidden="1" customHeight="1" outlineLevel="3">
      <c r="A4096" s="253" t="s">
        <v>4338</v>
      </c>
      <c r="B4096" s="253"/>
      <c r="C4096" s="202" t="s">
        <v>1609</v>
      </c>
      <c r="D4096" s="203">
        <f>'02 项目基础信息（输入）'!$C$93</f>
        <v>0</v>
      </c>
      <c r="E4096" s="204" t="s">
        <v>93</v>
      </c>
      <c r="F4096" s="202"/>
      <c r="G4096" s="204"/>
      <c r="H4096" s="204"/>
      <c r="I4096" s="203"/>
      <c r="J4096" s="204"/>
      <c r="K4096" s="264"/>
      <c r="L4096" s="210"/>
      <c r="M4096" s="198">
        <f>ROUND(SUM(M4097:M4098),6)</f>
        <v>0</v>
      </c>
      <c r="N4096" s="212">
        <f>'02 项目基础信息（输入）'!$C$93</f>
        <v>0</v>
      </c>
      <c r="O4096" s="212">
        <f t="shared" si="460"/>
        <v>0</v>
      </c>
      <c r="P4096" s="212">
        <f>'02 项目基础信息（输入）'!$C$93</f>
        <v>0</v>
      </c>
      <c r="Q4096" s="271">
        <f t="shared" si="461"/>
        <v>0</v>
      </c>
      <c r="S4096" s="280"/>
      <c r="T4096" s="222"/>
      <c r="U4096" s="272" t="s">
        <v>6333</v>
      </c>
    </row>
    <row r="4097" spans="1:21" ht="0" hidden="1" customHeight="1" outlineLevel="4">
      <c r="A4097" s="253" t="s">
        <v>4340</v>
      </c>
      <c r="B4097" s="253"/>
      <c r="C4097" s="202" t="s">
        <v>1609</v>
      </c>
      <c r="D4097" s="203">
        <f>'02 项目基础信息（输入）'!$C$93</f>
        <v>0</v>
      </c>
      <c r="E4097" s="204" t="s">
        <v>93</v>
      </c>
      <c r="F4097" s="202" t="s">
        <v>1609</v>
      </c>
      <c r="G4097" s="204">
        <v>1</v>
      </c>
      <c r="H4097" s="204" t="s">
        <v>298</v>
      </c>
      <c r="I4097" s="265">
        <f>D4097*G4097</f>
        <v>0</v>
      </c>
      <c r="J4097" s="204" t="s">
        <v>93</v>
      </c>
      <c r="K4097" s="188"/>
      <c r="L4097" s="210" t="s">
        <v>675</v>
      </c>
      <c r="M4097" s="198">
        <f>ROUND(K4097*I4097/10000,6)</f>
        <v>0</v>
      </c>
      <c r="N4097" s="212">
        <f>'02 项目基础信息（输入）'!$C$93</f>
        <v>0</v>
      </c>
      <c r="O4097" s="212">
        <f t="shared" si="460"/>
        <v>0</v>
      </c>
      <c r="P4097" s="212">
        <f>'02 项目基础信息（输入）'!$C$93</f>
        <v>0</v>
      </c>
      <c r="Q4097" s="271">
        <f t="shared" si="461"/>
        <v>0</v>
      </c>
      <c r="S4097" s="280"/>
      <c r="T4097" s="222"/>
      <c r="U4097" s="272" t="s">
        <v>6334</v>
      </c>
    </row>
    <row r="4098" spans="1:21" ht="0" hidden="1" customHeight="1" outlineLevel="4">
      <c r="A4098" s="253" t="s">
        <v>4342</v>
      </c>
      <c r="B4098" s="253"/>
      <c r="C4098" s="202" t="s">
        <v>1609</v>
      </c>
      <c r="D4098" s="203">
        <f>'02 项目基础信息（输入）'!$C$93</f>
        <v>0</v>
      </c>
      <c r="E4098" s="204" t="s">
        <v>93</v>
      </c>
      <c r="F4098" s="202" t="s">
        <v>1609</v>
      </c>
      <c r="G4098" s="204">
        <v>1</v>
      </c>
      <c r="H4098" s="204" t="s">
        <v>298</v>
      </c>
      <c r="I4098" s="265">
        <f>D4098*G4098</f>
        <v>0</v>
      </c>
      <c r="J4098" s="204" t="s">
        <v>93</v>
      </c>
      <c r="K4098" s="188"/>
      <c r="L4098" s="210" t="s">
        <v>675</v>
      </c>
      <c r="M4098" s="198">
        <f>ROUND(K4098*I4098/10000,6)</f>
        <v>0</v>
      </c>
      <c r="N4098" s="212">
        <f>'02 项目基础信息（输入）'!$C$93</f>
        <v>0</v>
      </c>
      <c r="O4098" s="212">
        <f t="shared" si="460"/>
        <v>0</v>
      </c>
      <c r="P4098" s="212">
        <f>'02 项目基础信息（输入）'!$C$93</f>
        <v>0</v>
      </c>
      <c r="Q4098" s="271">
        <f t="shared" si="461"/>
        <v>0</v>
      </c>
      <c r="S4098" s="280"/>
      <c r="T4098" s="222"/>
      <c r="U4098" s="272" t="s">
        <v>6335</v>
      </c>
    </row>
    <row r="4099" spans="1:21" ht="0" hidden="1" customHeight="1" outlineLevel="3">
      <c r="A4099" s="253" t="s">
        <v>4344</v>
      </c>
      <c r="B4099" s="253"/>
      <c r="C4099" s="202" t="s">
        <v>1609</v>
      </c>
      <c r="D4099" s="203">
        <f>'02 项目基础信息（输入）'!$C$93</f>
        <v>0</v>
      </c>
      <c r="E4099" s="204" t="s">
        <v>93</v>
      </c>
      <c r="F4099" s="202"/>
      <c r="G4099" s="204"/>
      <c r="H4099" s="204"/>
      <c r="I4099" s="203"/>
      <c r="J4099" s="204"/>
      <c r="K4099" s="231"/>
      <c r="L4099" s="210"/>
      <c r="M4099" s="198">
        <f>ROUND(SUM(M4100:M4103),6)</f>
        <v>0</v>
      </c>
      <c r="N4099" s="212">
        <f>'02 项目基础信息（输入）'!$C$93</f>
        <v>0</v>
      </c>
      <c r="O4099" s="212">
        <f t="shared" ref="O4099:O4162" si="469">ROUND(IFERROR(M4099*10000/N4099,0),2)</f>
        <v>0</v>
      </c>
      <c r="P4099" s="212">
        <f>'02 项目基础信息（输入）'!$C$93</f>
        <v>0</v>
      </c>
      <c r="Q4099" s="271">
        <f t="shared" ref="Q4099:Q4162" si="470">ROUND(IFERROR(M4099*10000/P4099,0),2)</f>
        <v>0</v>
      </c>
      <c r="S4099" s="280"/>
      <c r="T4099" s="222"/>
      <c r="U4099" s="272" t="s">
        <v>6336</v>
      </c>
    </row>
    <row r="4100" spans="1:21" ht="0" hidden="1" customHeight="1" outlineLevel="4">
      <c r="A4100" s="253" t="s">
        <v>4346</v>
      </c>
      <c r="B4100" s="253"/>
      <c r="C4100" s="202" t="s">
        <v>1609</v>
      </c>
      <c r="D4100" s="203">
        <f>'02 项目基础信息（输入）'!$C$93</f>
        <v>0</v>
      </c>
      <c r="E4100" s="204" t="s">
        <v>93</v>
      </c>
      <c r="F4100" s="202" t="s">
        <v>1609</v>
      </c>
      <c r="G4100" s="204">
        <v>1</v>
      </c>
      <c r="H4100" s="204" t="s">
        <v>298</v>
      </c>
      <c r="I4100" s="265">
        <f t="shared" ref="I4100:I4106" si="471">D4100*G4100</f>
        <v>0</v>
      </c>
      <c r="J4100" s="204" t="s">
        <v>93</v>
      </c>
      <c r="K4100" s="188"/>
      <c r="L4100" s="210" t="s">
        <v>675</v>
      </c>
      <c r="M4100" s="198">
        <f t="shared" ref="M4100:M4106" si="472">ROUND(K4100*I4100/10000,6)</f>
        <v>0</v>
      </c>
      <c r="N4100" s="212">
        <f>'02 项目基础信息（输入）'!$C$93</f>
        <v>0</v>
      </c>
      <c r="O4100" s="212">
        <f t="shared" si="469"/>
        <v>0</v>
      </c>
      <c r="P4100" s="212">
        <f>'02 项目基础信息（输入）'!$C$93</f>
        <v>0</v>
      </c>
      <c r="Q4100" s="271">
        <f t="shared" si="470"/>
        <v>0</v>
      </c>
      <c r="S4100" s="280"/>
      <c r="T4100" s="222"/>
      <c r="U4100" s="272" t="s">
        <v>6337</v>
      </c>
    </row>
    <row r="4101" spans="1:21" ht="0" hidden="1" customHeight="1" outlineLevel="4">
      <c r="A4101" s="253" t="s">
        <v>4348</v>
      </c>
      <c r="B4101" s="253"/>
      <c r="C4101" s="202" t="s">
        <v>1609</v>
      </c>
      <c r="D4101" s="203">
        <f>'02 项目基础信息（输入）'!$C$93</f>
        <v>0</v>
      </c>
      <c r="E4101" s="204" t="s">
        <v>93</v>
      </c>
      <c r="F4101" s="202" t="s">
        <v>1609</v>
      </c>
      <c r="G4101" s="204">
        <v>1</v>
      </c>
      <c r="H4101" s="204" t="s">
        <v>298</v>
      </c>
      <c r="I4101" s="265">
        <f t="shared" si="471"/>
        <v>0</v>
      </c>
      <c r="J4101" s="204" t="s">
        <v>93</v>
      </c>
      <c r="K4101" s="188"/>
      <c r="L4101" s="210" t="s">
        <v>675</v>
      </c>
      <c r="M4101" s="198">
        <f t="shared" si="472"/>
        <v>0</v>
      </c>
      <c r="N4101" s="212">
        <f>'02 项目基础信息（输入）'!$C$93</f>
        <v>0</v>
      </c>
      <c r="O4101" s="212">
        <f t="shared" si="469"/>
        <v>0</v>
      </c>
      <c r="P4101" s="212">
        <f>'02 项目基础信息（输入）'!$C$93</f>
        <v>0</v>
      </c>
      <c r="Q4101" s="271">
        <f t="shared" si="470"/>
        <v>0</v>
      </c>
      <c r="S4101" s="280"/>
      <c r="T4101" s="222"/>
      <c r="U4101" s="272" t="s">
        <v>6338</v>
      </c>
    </row>
    <row r="4102" spans="1:21" ht="0" hidden="1" customHeight="1" outlineLevel="4">
      <c r="A4102" s="253" t="s">
        <v>4350</v>
      </c>
      <c r="B4102" s="253"/>
      <c r="C4102" s="202" t="s">
        <v>1609</v>
      </c>
      <c r="D4102" s="203">
        <f>'02 项目基础信息（输入）'!$C$93</f>
        <v>0</v>
      </c>
      <c r="E4102" s="204" t="s">
        <v>93</v>
      </c>
      <c r="F4102" s="202" t="s">
        <v>1609</v>
      </c>
      <c r="G4102" s="204">
        <v>1</v>
      </c>
      <c r="H4102" s="204" t="s">
        <v>298</v>
      </c>
      <c r="I4102" s="265">
        <f t="shared" si="471"/>
        <v>0</v>
      </c>
      <c r="J4102" s="204" t="s">
        <v>93</v>
      </c>
      <c r="K4102" s="188"/>
      <c r="L4102" s="210" t="s">
        <v>675</v>
      </c>
      <c r="M4102" s="198">
        <f t="shared" si="472"/>
        <v>0</v>
      </c>
      <c r="N4102" s="212">
        <f>'02 项目基础信息（输入）'!$C$93</f>
        <v>0</v>
      </c>
      <c r="O4102" s="212">
        <f t="shared" si="469"/>
        <v>0</v>
      </c>
      <c r="P4102" s="212">
        <f>'02 项目基础信息（输入）'!$C$93</f>
        <v>0</v>
      </c>
      <c r="Q4102" s="271">
        <f t="shared" si="470"/>
        <v>0</v>
      </c>
      <c r="S4102" s="280"/>
      <c r="T4102" s="222"/>
      <c r="U4102" s="272" t="s">
        <v>6339</v>
      </c>
    </row>
    <row r="4103" spans="1:21" ht="0" hidden="1" customHeight="1" outlineLevel="4">
      <c r="A4103" s="253" t="s">
        <v>4352</v>
      </c>
      <c r="B4103" s="253"/>
      <c r="C4103" s="202" t="s">
        <v>1609</v>
      </c>
      <c r="D4103" s="203">
        <f>'02 项目基础信息（输入）'!$C$93</f>
        <v>0</v>
      </c>
      <c r="E4103" s="204" t="s">
        <v>93</v>
      </c>
      <c r="F4103" s="202" t="s">
        <v>1609</v>
      </c>
      <c r="G4103" s="204">
        <v>1</v>
      </c>
      <c r="H4103" s="204" t="s">
        <v>298</v>
      </c>
      <c r="I4103" s="265">
        <f t="shared" si="471"/>
        <v>0</v>
      </c>
      <c r="J4103" s="204" t="s">
        <v>93</v>
      </c>
      <c r="K4103" s="188"/>
      <c r="L4103" s="210" t="s">
        <v>675</v>
      </c>
      <c r="M4103" s="198">
        <f t="shared" si="472"/>
        <v>0</v>
      </c>
      <c r="N4103" s="212">
        <f>'02 项目基础信息（输入）'!$C$93</f>
        <v>0</v>
      </c>
      <c r="O4103" s="212">
        <f t="shared" si="469"/>
        <v>0</v>
      </c>
      <c r="P4103" s="212">
        <f>'02 项目基础信息（输入）'!$C$93</f>
        <v>0</v>
      </c>
      <c r="Q4103" s="271">
        <f t="shared" si="470"/>
        <v>0</v>
      </c>
      <c r="S4103" s="280"/>
      <c r="T4103" s="222"/>
      <c r="U4103" s="272" t="s">
        <v>6340</v>
      </c>
    </row>
    <row r="4104" spans="1:21" ht="0" hidden="1" customHeight="1" outlineLevel="3">
      <c r="A4104" s="253" t="s">
        <v>4354</v>
      </c>
      <c r="B4104" s="253"/>
      <c r="C4104" s="202" t="s">
        <v>1609</v>
      </c>
      <c r="D4104" s="203">
        <f>'02 项目基础信息（输入）'!$C$93</f>
        <v>0</v>
      </c>
      <c r="E4104" s="204" t="s">
        <v>93</v>
      </c>
      <c r="F4104" s="202" t="s">
        <v>1609</v>
      </c>
      <c r="G4104" s="204">
        <v>1</v>
      </c>
      <c r="H4104" s="204" t="s">
        <v>298</v>
      </c>
      <c r="I4104" s="265">
        <f t="shared" si="471"/>
        <v>0</v>
      </c>
      <c r="J4104" s="204" t="s">
        <v>93</v>
      </c>
      <c r="K4104" s="188"/>
      <c r="L4104" s="210" t="s">
        <v>675</v>
      </c>
      <c r="M4104" s="198">
        <f t="shared" si="472"/>
        <v>0</v>
      </c>
      <c r="N4104" s="212">
        <f>'02 项目基础信息（输入）'!$C$93</f>
        <v>0</v>
      </c>
      <c r="O4104" s="212">
        <f t="shared" si="469"/>
        <v>0</v>
      </c>
      <c r="P4104" s="212">
        <f>'02 项目基础信息（输入）'!$C$93</f>
        <v>0</v>
      </c>
      <c r="Q4104" s="271">
        <f t="shared" si="470"/>
        <v>0</v>
      </c>
      <c r="S4104" s="280"/>
      <c r="T4104" s="222"/>
      <c r="U4104" s="272" t="s">
        <v>6341</v>
      </c>
    </row>
    <row r="4105" spans="1:21" ht="0" hidden="1" customHeight="1" outlineLevel="3">
      <c r="A4105" s="253" t="s">
        <v>4356</v>
      </c>
      <c r="B4105" s="253"/>
      <c r="C4105" s="202" t="s">
        <v>1609</v>
      </c>
      <c r="D4105" s="203">
        <f>'02 项目基础信息（输入）'!$C$93</f>
        <v>0</v>
      </c>
      <c r="E4105" s="204" t="s">
        <v>93</v>
      </c>
      <c r="F4105" s="202" t="s">
        <v>1609</v>
      </c>
      <c r="G4105" s="255">
        <v>1</v>
      </c>
      <c r="H4105" s="204" t="s">
        <v>298</v>
      </c>
      <c r="I4105" s="265">
        <f t="shared" si="471"/>
        <v>0</v>
      </c>
      <c r="J4105" s="204" t="s">
        <v>93</v>
      </c>
      <c r="K4105" s="188"/>
      <c r="L4105" s="210" t="s">
        <v>675</v>
      </c>
      <c r="M4105" s="198">
        <f t="shared" si="472"/>
        <v>0</v>
      </c>
      <c r="N4105" s="212">
        <f>'02 项目基础信息（输入）'!$C$93</f>
        <v>0</v>
      </c>
      <c r="O4105" s="212">
        <f t="shared" si="469"/>
        <v>0</v>
      </c>
      <c r="P4105" s="212">
        <f>'02 项目基础信息（输入）'!$C$93</f>
        <v>0</v>
      </c>
      <c r="Q4105" s="271">
        <f t="shared" si="470"/>
        <v>0</v>
      </c>
      <c r="S4105" s="280"/>
      <c r="T4105" s="222"/>
      <c r="U4105" s="272" t="s">
        <v>6342</v>
      </c>
    </row>
    <row r="4106" spans="1:21" ht="0" hidden="1" customHeight="1" outlineLevel="3">
      <c r="A4106" s="253" t="s">
        <v>4358</v>
      </c>
      <c r="B4106" s="253"/>
      <c r="C4106" s="202" t="s">
        <v>1609</v>
      </c>
      <c r="D4106" s="203">
        <f>'02 项目基础信息（输入）'!$C$93</f>
        <v>0</v>
      </c>
      <c r="E4106" s="204" t="s">
        <v>93</v>
      </c>
      <c r="F4106" s="202" t="s">
        <v>1609</v>
      </c>
      <c r="G4106" s="255">
        <v>1</v>
      </c>
      <c r="H4106" s="204" t="s">
        <v>298</v>
      </c>
      <c r="I4106" s="265">
        <f t="shared" si="471"/>
        <v>0</v>
      </c>
      <c r="J4106" s="204" t="s">
        <v>93</v>
      </c>
      <c r="K4106" s="188"/>
      <c r="L4106" s="210" t="s">
        <v>675</v>
      </c>
      <c r="M4106" s="198">
        <f t="shared" si="472"/>
        <v>0</v>
      </c>
      <c r="N4106" s="212">
        <f>'02 项目基础信息（输入）'!$C$93</f>
        <v>0</v>
      </c>
      <c r="O4106" s="212">
        <f t="shared" si="469"/>
        <v>0</v>
      </c>
      <c r="P4106" s="212">
        <f>'02 项目基础信息（输入）'!$C$93</f>
        <v>0</v>
      </c>
      <c r="Q4106" s="271">
        <f t="shared" si="470"/>
        <v>0</v>
      </c>
      <c r="S4106" s="280"/>
      <c r="T4106" s="222"/>
      <c r="U4106" s="272" t="s">
        <v>6343</v>
      </c>
    </row>
    <row r="4107" spans="1:21" ht="0" hidden="1" customHeight="1" outlineLevel="3">
      <c r="A4107" s="253" t="s">
        <v>4360</v>
      </c>
      <c r="B4107" s="253"/>
      <c r="C4107" s="202" t="s">
        <v>1665</v>
      </c>
      <c r="D4107" s="203">
        <f>ROUND(M4096+M4099+M4104+M4105+M4106,6)*10000</f>
        <v>0</v>
      </c>
      <c r="E4107" s="204" t="s">
        <v>1666</v>
      </c>
      <c r="F4107" s="202" t="s">
        <v>1667</v>
      </c>
      <c r="G4107" s="258">
        <f>IFERROR(I4107*100/D4107,0)</f>
        <v>0</v>
      </c>
      <c r="H4107" s="204" t="s">
        <v>123</v>
      </c>
      <c r="I4107" s="265">
        <f>N4107*K4107</f>
        <v>0</v>
      </c>
      <c r="J4107" s="204" t="s">
        <v>1666</v>
      </c>
      <c r="K4107" s="269"/>
      <c r="L4107" s="210" t="s">
        <v>675</v>
      </c>
      <c r="M4107" s="231">
        <f>ROUND(I4107/10000,6)</f>
        <v>0</v>
      </c>
      <c r="N4107" s="212">
        <f>'02 项目基础信息（输入）'!$C$93</f>
        <v>0</v>
      </c>
      <c r="O4107" s="212">
        <f t="shared" si="469"/>
        <v>0</v>
      </c>
      <c r="P4107" s="212">
        <f>'02 项目基础信息（输入）'!$C$93</f>
        <v>0</v>
      </c>
      <c r="Q4107" s="271">
        <f t="shared" si="470"/>
        <v>0</v>
      </c>
      <c r="S4107" s="280"/>
      <c r="T4107" s="222"/>
      <c r="U4107" s="272" t="s">
        <v>6344</v>
      </c>
    </row>
    <row r="4108" spans="1:21" ht="0" hidden="1" customHeight="1" outlineLevel="2">
      <c r="A4108" s="201" t="s">
        <v>4362</v>
      </c>
      <c r="B4108" s="201"/>
      <c r="C4108" s="202" t="s">
        <v>1609</v>
      </c>
      <c r="D4108" s="203">
        <f>'02 项目基础信息（输入）'!$C$93</f>
        <v>0</v>
      </c>
      <c r="E4108" s="204" t="s">
        <v>93</v>
      </c>
      <c r="F4108" s="202"/>
      <c r="G4108" s="255"/>
      <c r="H4108" s="204"/>
      <c r="I4108" s="203"/>
      <c r="J4108" s="204"/>
      <c r="K4108" s="264"/>
      <c r="L4108" s="210"/>
      <c r="M4108" s="198">
        <f>ROUND(M4109+M4112+M4117+M4124+M4125+M4128+M4129+M4130+M4131+M4132+M4133+M4134+M4135+M4136+M4137+M4138+M4142+M4143,6)</f>
        <v>0</v>
      </c>
      <c r="N4108" s="212">
        <f>'02 项目基础信息（输入）'!$C$93</f>
        <v>0</v>
      </c>
      <c r="O4108" s="212">
        <f t="shared" si="469"/>
        <v>0</v>
      </c>
      <c r="P4108" s="212">
        <f>'02 项目基础信息（输入）'!$C$93</f>
        <v>0</v>
      </c>
      <c r="Q4108" s="271">
        <f t="shared" si="470"/>
        <v>0</v>
      </c>
      <c r="S4108" s="280" t="s">
        <v>1314</v>
      </c>
      <c r="T4108" s="222"/>
      <c r="U4108" s="272" t="s">
        <v>6345</v>
      </c>
    </row>
    <row r="4109" spans="1:21" ht="0" hidden="1" customHeight="1" outlineLevel="3">
      <c r="A4109" s="253" t="s">
        <v>4705</v>
      </c>
      <c r="B4109" s="253"/>
      <c r="C4109" s="202" t="s">
        <v>1609</v>
      </c>
      <c r="D4109" s="203">
        <f>'02 项目基础信息（输入）'!$C$93</f>
        <v>0</v>
      </c>
      <c r="E4109" s="204" t="s">
        <v>93</v>
      </c>
      <c r="F4109" s="202"/>
      <c r="G4109" s="204"/>
      <c r="H4109" s="204"/>
      <c r="I4109" s="265"/>
      <c r="J4109" s="204"/>
      <c r="K4109" s="264"/>
      <c r="L4109" s="210"/>
      <c r="M4109" s="198">
        <f>ROUND(SUM(M4110:M4111),6)</f>
        <v>0</v>
      </c>
      <c r="N4109" s="212">
        <f>'02 项目基础信息（输入）'!$C$93</f>
        <v>0</v>
      </c>
      <c r="O4109" s="212">
        <f t="shared" si="469"/>
        <v>0</v>
      </c>
      <c r="P4109" s="212">
        <f>'02 项目基础信息（输入）'!$C$93</f>
        <v>0</v>
      </c>
      <c r="Q4109" s="271">
        <f t="shared" si="470"/>
        <v>0</v>
      </c>
      <c r="S4109" s="280"/>
      <c r="T4109" s="222"/>
      <c r="U4109" s="272" t="s">
        <v>6346</v>
      </c>
    </row>
    <row r="4110" spans="1:21" ht="0" hidden="1" customHeight="1" outlineLevel="4">
      <c r="A4110" s="253" t="s">
        <v>4707</v>
      </c>
      <c r="B4110" s="253"/>
      <c r="C4110" s="202" t="s">
        <v>1609</v>
      </c>
      <c r="D4110" s="203">
        <f>'02 项目基础信息（输入）'!$C$93</f>
        <v>0</v>
      </c>
      <c r="E4110" s="204" t="s">
        <v>93</v>
      </c>
      <c r="F4110" s="202" t="s">
        <v>1609</v>
      </c>
      <c r="G4110" s="204">
        <v>1</v>
      </c>
      <c r="H4110" s="204" t="s">
        <v>298</v>
      </c>
      <c r="I4110" s="265">
        <f>D4110*G4110</f>
        <v>0</v>
      </c>
      <c r="J4110" s="204" t="s">
        <v>93</v>
      </c>
      <c r="K4110" s="188"/>
      <c r="L4110" s="210" t="s">
        <v>675</v>
      </c>
      <c r="M4110" s="198">
        <f>ROUND(K4110*I4110/10000,6)</f>
        <v>0</v>
      </c>
      <c r="N4110" s="212">
        <f>'02 项目基础信息（输入）'!$C$93</f>
        <v>0</v>
      </c>
      <c r="O4110" s="212">
        <f t="shared" si="469"/>
        <v>0</v>
      </c>
      <c r="P4110" s="212">
        <f>'02 项目基础信息（输入）'!$C$93</f>
        <v>0</v>
      </c>
      <c r="Q4110" s="271">
        <f t="shared" si="470"/>
        <v>0</v>
      </c>
      <c r="S4110" s="280"/>
      <c r="T4110" s="222"/>
      <c r="U4110" s="272" t="s">
        <v>6347</v>
      </c>
    </row>
    <row r="4111" spans="1:21" ht="0" hidden="1" customHeight="1" outlineLevel="4">
      <c r="A4111" s="253" t="s">
        <v>4709</v>
      </c>
      <c r="B4111" s="253"/>
      <c r="C4111" s="202" t="s">
        <v>1609</v>
      </c>
      <c r="D4111" s="203">
        <f>'02 项目基础信息（输入）'!$C$93</f>
        <v>0</v>
      </c>
      <c r="E4111" s="204" t="s">
        <v>93</v>
      </c>
      <c r="F4111" s="202" t="s">
        <v>1609</v>
      </c>
      <c r="G4111" s="204">
        <v>1</v>
      </c>
      <c r="H4111" s="204" t="s">
        <v>298</v>
      </c>
      <c r="I4111" s="265">
        <f>D4111*G4111</f>
        <v>0</v>
      </c>
      <c r="J4111" s="204" t="s">
        <v>93</v>
      </c>
      <c r="K4111" s="188"/>
      <c r="L4111" s="210" t="s">
        <v>675</v>
      </c>
      <c r="M4111" s="198">
        <f>ROUND(K4111*I4111/10000,6)</f>
        <v>0</v>
      </c>
      <c r="N4111" s="212">
        <f>'02 项目基础信息（输入）'!$C$93</f>
        <v>0</v>
      </c>
      <c r="O4111" s="212">
        <f t="shared" si="469"/>
        <v>0</v>
      </c>
      <c r="P4111" s="212">
        <f>'02 项目基础信息（输入）'!$C$93</f>
        <v>0</v>
      </c>
      <c r="Q4111" s="271">
        <f t="shared" si="470"/>
        <v>0</v>
      </c>
      <c r="S4111" s="280"/>
      <c r="T4111" s="222"/>
      <c r="U4111" s="272" t="s">
        <v>6348</v>
      </c>
    </row>
    <row r="4112" spans="1:21" ht="0" hidden="1" customHeight="1" outlineLevel="3">
      <c r="A4112" s="253" t="s">
        <v>4711</v>
      </c>
      <c r="B4112" s="253"/>
      <c r="C4112" s="202" t="s">
        <v>1609</v>
      </c>
      <c r="D4112" s="203">
        <f>'02 项目基础信息（输入）'!$C$93</f>
        <v>0</v>
      </c>
      <c r="E4112" s="204" t="s">
        <v>93</v>
      </c>
      <c r="F4112" s="202"/>
      <c r="G4112" s="204"/>
      <c r="H4112" s="204"/>
      <c r="I4112" s="203"/>
      <c r="J4112" s="204"/>
      <c r="K4112" s="231"/>
      <c r="L4112" s="210"/>
      <c r="M4112" s="198">
        <f>ROUND(SUM(M4113:M4116),6)</f>
        <v>0</v>
      </c>
      <c r="N4112" s="212">
        <f>'02 项目基础信息（输入）'!$C$93</f>
        <v>0</v>
      </c>
      <c r="O4112" s="212">
        <f t="shared" si="469"/>
        <v>0</v>
      </c>
      <c r="P4112" s="212">
        <f>'02 项目基础信息（输入）'!$C$93</f>
        <v>0</v>
      </c>
      <c r="Q4112" s="271">
        <f t="shared" si="470"/>
        <v>0</v>
      </c>
      <c r="S4112" s="280"/>
      <c r="T4112" s="222"/>
      <c r="U4112" s="272" t="s">
        <v>6349</v>
      </c>
    </row>
    <row r="4113" spans="1:21" ht="0" hidden="1" customHeight="1" outlineLevel="4">
      <c r="A4113" s="253" t="s">
        <v>4713</v>
      </c>
      <c r="B4113" s="253"/>
      <c r="C4113" s="202" t="s">
        <v>1609</v>
      </c>
      <c r="D4113" s="203">
        <f>'02 项目基础信息（输入）'!$C$93</f>
        <v>0</v>
      </c>
      <c r="E4113" s="204" t="s">
        <v>93</v>
      </c>
      <c r="F4113" s="202" t="s">
        <v>1609</v>
      </c>
      <c r="G4113" s="204">
        <v>1</v>
      </c>
      <c r="H4113" s="204" t="s">
        <v>298</v>
      </c>
      <c r="I4113" s="265">
        <f>D4113*G4113</f>
        <v>0</v>
      </c>
      <c r="J4113" s="204" t="s">
        <v>93</v>
      </c>
      <c r="K4113" s="188"/>
      <c r="L4113" s="210" t="s">
        <v>675</v>
      </c>
      <c r="M4113" s="198">
        <f>ROUND(K4113*I4113/10000,6)</f>
        <v>0</v>
      </c>
      <c r="N4113" s="212">
        <f>'02 项目基础信息（输入）'!$C$93</f>
        <v>0</v>
      </c>
      <c r="O4113" s="212">
        <f t="shared" si="469"/>
        <v>0</v>
      </c>
      <c r="P4113" s="212">
        <f>'02 项目基础信息（输入）'!$C$93</f>
        <v>0</v>
      </c>
      <c r="Q4113" s="271">
        <f t="shared" si="470"/>
        <v>0</v>
      </c>
      <c r="S4113" s="280"/>
      <c r="T4113" s="222"/>
      <c r="U4113" s="272" t="s">
        <v>6350</v>
      </c>
    </row>
    <row r="4114" spans="1:21" ht="0" hidden="1" customHeight="1" outlineLevel="4">
      <c r="A4114" s="253" t="s">
        <v>4715</v>
      </c>
      <c r="B4114" s="253"/>
      <c r="C4114" s="202" t="s">
        <v>1609</v>
      </c>
      <c r="D4114" s="203">
        <f>'02 项目基础信息（输入）'!$C$93</f>
        <v>0</v>
      </c>
      <c r="E4114" s="204" t="s">
        <v>93</v>
      </c>
      <c r="F4114" s="202" t="s">
        <v>1609</v>
      </c>
      <c r="G4114" s="204">
        <v>1</v>
      </c>
      <c r="H4114" s="204" t="s">
        <v>298</v>
      </c>
      <c r="I4114" s="265">
        <f>D4114*G4114</f>
        <v>0</v>
      </c>
      <c r="J4114" s="204" t="s">
        <v>93</v>
      </c>
      <c r="K4114" s="188"/>
      <c r="L4114" s="210" t="s">
        <v>675</v>
      </c>
      <c r="M4114" s="198">
        <f>ROUND(K4114*I4114/10000,6)</f>
        <v>0</v>
      </c>
      <c r="N4114" s="212">
        <f>'02 项目基础信息（输入）'!$C$93</f>
        <v>0</v>
      </c>
      <c r="O4114" s="212">
        <f t="shared" si="469"/>
        <v>0</v>
      </c>
      <c r="P4114" s="212">
        <f>'02 项目基础信息（输入）'!$C$93</f>
        <v>0</v>
      </c>
      <c r="Q4114" s="271">
        <f t="shared" si="470"/>
        <v>0</v>
      </c>
      <c r="S4114" s="280"/>
      <c r="T4114" s="222"/>
      <c r="U4114" s="272" t="s">
        <v>6351</v>
      </c>
    </row>
    <row r="4115" spans="1:21" ht="0" hidden="1" customHeight="1" outlineLevel="4">
      <c r="A4115" s="253" t="s">
        <v>4717</v>
      </c>
      <c r="B4115" s="253"/>
      <c r="C4115" s="202" t="s">
        <v>1609</v>
      </c>
      <c r="D4115" s="203">
        <f>'02 项目基础信息（输入）'!$C$93</f>
        <v>0</v>
      </c>
      <c r="E4115" s="204" t="s">
        <v>93</v>
      </c>
      <c r="F4115" s="202" t="s">
        <v>1609</v>
      </c>
      <c r="G4115" s="204">
        <v>1</v>
      </c>
      <c r="H4115" s="204" t="s">
        <v>298</v>
      </c>
      <c r="I4115" s="265">
        <f>D4115*G4115</f>
        <v>0</v>
      </c>
      <c r="J4115" s="204" t="s">
        <v>93</v>
      </c>
      <c r="K4115" s="188"/>
      <c r="L4115" s="210" t="s">
        <v>675</v>
      </c>
      <c r="M4115" s="198">
        <f>ROUND(K4115*I4115/10000,6)</f>
        <v>0</v>
      </c>
      <c r="N4115" s="212">
        <f>'02 项目基础信息（输入）'!$C$93</f>
        <v>0</v>
      </c>
      <c r="O4115" s="212">
        <f t="shared" si="469"/>
        <v>0</v>
      </c>
      <c r="P4115" s="212">
        <f>'02 项目基础信息（输入）'!$C$93</f>
        <v>0</v>
      </c>
      <c r="Q4115" s="271">
        <f t="shared" si="470"/>
        <v>0</v>
      </c>
      <c r="S4115" s="280"/>
      <c r="T4115" s="222"/>
      <c r="U4115" s="272" t="s">
        <v>6352</v>
      </c>
    </row>
    <row r="4116" spans="1:21" ht="0" hidden="1" customHeight="1" outlineLevel="4">
      <c r="A4116" s="253" t="s">
        <v>4719</v>
      </c>
      <c r="B4116" s="253"/>
      <c r="C4116" s="202" t="s">
        <v>1609</v>
      </c>
      <c r="D4116" s="203">
        <f>'02 项目基础信息（输入）'!$C$93</f>
        <v>0</v>
      </c>
      <c r="E4116" s="204" t="s">
        <v>93</v>
      </c>
      <c r="F4116" s="202" t="s">
        <v>1609</v>
      </c>
      <c r="G4116" s="204">
        <v>1</v>
      </c>
      <c r="H4116" s="204" t="s">
        <v>298</v>
      </c>
      <c r="I4116" s="265">
        <f>D4116*G4116</f>
        <v>0</v>
      </c>
      <c r="J4116" s="204" t="s">
        <v>93</v>
      </c>
      <c r="K4116" s="188"/>
      <c r="L4116" s="210" t="s">
        <v>675</v>
      </c>
      <c r="M4116" s="198">
        <f>ROUND(K4116*I4116/10000,6)</f>
        <v>0</v>
      </c>
      <c r="N4116" s="212">
        <f>'02 项目基础信息（输入）'!$C$93</f>
        <v>0</v>
      </c>
      <c r="O4116" s="212">
        <f t="shared" si="469"/>
        <v>0</v>
      </c>
      <c r="P4116" s="212">
        <f>'02 项目基础信息（输入）'!$C$93</f>
        <v>0</v>
      </c>
      <c r="Q4116" s="271">
        <f t="shared" si="470"/>
        <v>0</v>
      </c>
      <c r="S4116" s="280"/>
      <c r="T4116" s="222"/>
      <c r="U4116" s="272" t="s">
        <v>6353</v>
      </c>
    </row>
    <row r="4117" spans="1:21" ht="0" hidden="1" customHeight="1" outlineLevel="3">
      <c r="A4117" s="253" t="s">
        <v>4721</v>
      </c>
      <c r="B4117" s="253"/>
      <c r="C4117" s="202" t="s">
        <v>1609</v>
      </c>
      <c r="D4117" s="203">
        <f>'02 项目基础信息（输入）'!$C$93</f>
        <v>0</v>
      </c>
      <c r="E4117" s="204" t="s">
        <v>93</v>
      </c>
      <c r="F4117" s="202"/>
      <c r="G4117" s="204"/>
      <c r="H4117" s="204"/>
      <c r="I4117" s="203"/>
      <c r="J4117" s="204"/>
      <c r="K4117" s="231"/>
      <c r="L4117" s="210"/>
      <c r="M4117" s="198">
        <f>ROUND(SUM(M4118:M4123),6)</f>
        <v>0</v>
      </c>
      <c r="N4117" s="212">
        <f>'02 项目基础信息（输入）'!$C$93</f>
        <v>0</v>
      </c>
      <c r="O4117" s="212">
        <f t="shared" si="469"/>
        <v>0</v>
      </c>
      <c r="P4117" s="212">
        <f>'02 项目基础信息（输入）'!$C$93</f>
        <v>0</v>
      </c>
      <c r="Q4117" s="271">
        <f t="shared" si="470"/>
        <v>0</v>
      </c>
      <c r="S4117" s="280"/>
      <c r="T4117" s="222"/>
      <c r="U4117" s="272" t="s">
        <v>6354</v>
      </c>
    </row>
    <row r="4118" spans="1:21" ht="0" hidden="1" customHeight="1" outlineLevel="4">
      <c r="A4118" s="253" t="s">
        <v>4723</v>
      </c>
      <c r="B4118" s="253"/>
      <c r="C4118" s="202" t="s">
        <v>1609</v>
      </c>
      <c r="D4118" s="203">
        <f>'02 项目基础信息（输入）'!$C$93</f>
        <v>0</v>
      </c>
      <c r="E4118" s="204" t="s">
        <v>93</v>
      </c>
      <c r="F4118" s="202" t="s">
        <v>1609</v>
      </c>
      <c r="G4118" s="204">
        <v>1</v>
      </c>
      <c r="H4118" s="204" t="s">
        <v>298</v>
      </c>
      <c r="I4118" s="265">
        <f t="shared" ref="I4118:I4124" si="473">D4118*G4118</f>
        <v>0</v>
      </c>
      <c r="J4118" s="204" t="s">
        <v>93</v>
      </c>
      <c r="K4118" s="188"/>
      <c r="L4118" s="210" t="s">
        <v>675</v>
      </c>
      <c r="M4118" s="198">
        <f t="shared" ref="M4118:M4124" si="474">ROUND(K4118*I4118/10000,6)</f>
        <v>0</v>
      </c>
      <c r="N4118" s="212">
        <f>'02 项目基础信息（输入）'!$C$93</f>
        <v>0</v>
      </c>
      <c r="O4118" s="212">
        <f t="shared" si="469"/>
        <v>0</v>
      </c>
      <c r="P4118" s="212">
        <f>'02 项目基础信息（输入）'!$C$93</f>
        <v>0</v>
      </c>
      <c r="Q4118" s="271">
        <f t="shared" si="470"/>
        <v>0</v>
      </c>
      <c r="S4118" s="280"/>
      <c r="T4118" s="222"/>
      <c r="U4118" s="272" t="s">
        <v>6355</v>
      </c>
    </row>
    <row r="4119" spans="1:21" ht="0" hidden="1" customHeight="1" outlineLevel="4">
      <c r="A4119" s="253" t="s">
        <v>4725</v>
      </c>
      <c r="B4119" s="253"/>
      <c r="C4119" s="202" t="s">
        <v>1609</v>
      </c>
      <c r="D4119" s="203">
        <f>'02 项目基础信息（输入）'!$C$93</f>
        <v>0</v>
      </c>
      <c r="E4119" s="204" t="s">
        <v>93</v>
      </c>
      <c r="F4119" s="202" t="s">
        <v>1609</v>
      </c>
      <c r="G4119" s="204">
        <v>1</v>
      </c>
      <c r="H4119" s="204" t="s">
        <v>298</v>
      </c>
      <c r="I4119" s="265">
        <f t="shared" si="473"/>
        <v>0</v>
      </c>
      <c r="J4119" s="204" t="s">
        <v>93</v>
      </c>
      <c r="K4119" s="188"/>
      <c r="L4119" s="210" t="s">
        <v>675</v>
      </c>
      <c r="M4119" s="198">
        <f t="shared" si="474"/>
        <v>0</v>
      </c>
      <c r="N4119" s="212">
        <f>'02 项目基础信息（输入）'!$C$93</f>
        <v>0</v>
      </c>
      <c r="O4119" s="212">
        <f t="shared" si="469"/>
        <v>0</v>
      </c>
      <c r="P4119" s="212">
        <f>'02 项目基础信息（输入）'!$C$93</f>
        <v>0</v>
      </c>
      <c r="Q4119" s="271">
        <f t="shared" si="470"/>
        <v>0</v>
      </c>
      <c r="S4119" s="280"/>
      <c r="T4119" s="222"/>
      <c r="U4119" s="272" t="s">
        <v>6356</v>
      </c>
    </row>
    <row r="4120" spans="1:21" ht="0" hidden="1" customHeight="1" outlineLevel="4">
      <c r="A4120" s="253" t="s">
        <v>4727</v>
      </c>
      <c r="B4120" s="253"/>
      <c r="C4120" s="202" t="s">
        <v>1609</v>
      </c>
      <c r="D4120" s="203">
        <f>'02 项目基础信息（输入）'!$C$93</f>
        <v>0</v>
      </c>
      <c r="E4120" s="204" t="s">
        <v>93</v>
      </c>
      <c r="F4120" s="202" t="s">
        <v>1609</v>
      </c>
      <c r="G4120" s="204">
        <v>1</v>
      </c>
      <c r="H4120" s="204" t="s">
        <v>298</v>
      </c>
      <c r="I4120" s="265">
        <f t="shared" si="473"/>
        <v>0</v>
      </c>
      <c r="J4120" s="204" t="s">
        <v>93</v>
      </c>
      <c r="K4120" s="188"/>
      <c r="L4120" s="210" t="s">
        <v>675</v>
      </c>
      <c r="M4120" s="198">
        <f t="shared" si="474"/>
        <v>0</v>
      </c>
      <c r="N4120" s="212">
        <f>'02 项目基础信息（输入）'!$C$93</f>
        <v>0</v>
      </c>
      <c r="O4120" s="212">
        <f t="shared" si="469"/>
        <v>0</v>
      </c>
      <c r="P4120" s="212">
        <f>'02 项目基础信息（输入）'!$C$93</f>
        <v>0</v>
      </c>
      <c r="Q4120" s="271">
        <f t="shared" si="470"/>
        <v>0</v>
      </c>
      <c r="S4120" s="280"/>
      <c r="T4120" s="222"/>
      <c r="U4120" s="272" t="s">
        <v>6357</v>
      </c>
    </row>
    <row r="4121" spans="1:21" ht="0" hidden="1" customHeight="1" outlineLevel="4">
      <c r="A4121" s="253" t="s">
        <v>4729</v>
      </c>
      <c r="B4121" s="253"/>
      <c r="C4121" s="202" t="s">
        <v>1609</v>
      </c>
      <c r="D4121" s="203">
        <f>'02 项目基础信息（输入）'!$C$93</f>
        <v>0</v>
      </c>
      <c r="E4121" s="204" t="s">
        <v>93</v>
      </c>
      <c r="F4121" s="202" t="s">
        <v>1609</v>
      </c>
      <c r="G4121" s="204">
        <v>1</v>
      </c>
      <c r="H4121" s="204" t="s">
        <v>298</v>
      </c>
      <c r="I4121" s="265">
        <f t="shared" si="473"/>
        <v>0</v>
      </c>
      <c r="J4121" s="204" t="s">
        <v>93</v>
      </c>
      <c r="K4121" s="188"/>
      <c r="L4121" s="210" t="s">
        <v>675</v>
      </c>
      <c r="M4121" s="198">
        <f t="shared" si="474"/>
        <v>0</v>
      </c>
      <c r="N4121" s="212">
        <f>'02 项目基础信息（输入）'!$C$93</f>
        <v>0</v>
      </c>
      <c r="O4121" s="212">
        <f t="shared" si="469"/>
        <v>0</v>
      </c>
      <c r="P4121" s="212">
        <f>'02 项目基础信息（输入）'!$C$93</f>
        <v>0</v>
      </c>
      <c r="Q4121" s="271">
        <f t="shared" si="470"/>
        <v>0</v>
      </c>
      <c r="S4121" s="280"/>
      <c r="T4121" s="222"/>
      <c r="U4121" s="272" t="s">
        <v>6358</v>
      </c>
    </row>
    <row r="4122" spans="1:21" ht="0" hidden="1" customHeight="1" outlineLevel="4">
      <c r="A4122" s="253" t="s">
        <v>4731</v>
      </c>
      <c r="B4122" s="253"/>
      <c r="C4122" s="202" t="s">
        <v>1609</v>
      </c>
      <c r="D4122" s="203">
        <f>'02 项目基础信息（输入）'!$C$93</f>
        <v>0</v>
      </c>
      <c r="E4122" s="204" t="s">
        <v>93</v>
      </c>
      <c r="F4122" s="202" t="s">
        <v>1609</v>
      </c>
      <c r="G4122" s="204">
        <v>1</v>
      </c>
      <c r="H4122" s="204" t="s">
        <v>298</v>
      </c>
      <c r="I4122" s="265">
        <f t="shared" si="473"/>
        <v>0</v>
      </c>
      <c r="J4122" s="204" t="s">
        <v>93</v>
      </c>
      <c r="K4122" s="188"/>
      <c r="L4122" s="210" t="s">
        <v>675</v>
      </c>
      <c r="M4122" s="198">
        <f t="shared" si="474"/>
        <v>0</v>
      </c>
      <c r="N4122" s="212">
        <f>'02 项目基础信息（输入）'!$C$93</f>
        <v>0</v>
      </c>
      <c r="O4122" s="212">
        <f t="shared" si="469"/>
        <v>0</v>
      </c>
      <c r="P4122" s="212">
        <f>'02 项目基础信息（输入）'!$C$93</f>
        <v>0</v>
      </c>
      <c r="Q4122" s="271">
        <f t="shared" si="470"/>
        <v>0</v>
      </c>
      <c r="S4122" s="280"/>
      <c r="T4122" s="222"/>
      <c r="U4122" s="272" t="s">
        <v>6359</v>
      </c>
    </row>
    <row r="4123" spans="1:21" ht="0" hidden="1" customHeight="1" outlineLevel="4">
      <c r="A4123" s="253" t="s">
        <v>4733</v>
      </c>
      <c r="B4123" s="253"/>
      <c r="C4123" s="202" t="s">
        <v>1609</v>
      </c>
      <c r="D4123" s="203">
        <f>'02 项目基础信息（输入）'!$C$93</f>
        <v>0</v>
      </c>
      <c r="E4123" s="204" t="s">
        <v>93</v>
      </c>
      <c r="F4123" s="202" t="s">
        <v>1609</v>
      </c>
      <c r="G4123" s="204">
        <v>1</v>
      </c>
      <c r="H4123" s="204" t="s">
        <v>298</v>
      </c>
      <c r="I4123" s="265">
        <f t="shared" si="473"/>
        <v>0</v>
      </c>
      <c r="J4123" s="204" t="s">
        <v>93</v>
      </c>
      <c r="K4123" s="188"/>
      <c r="L4123" s="210" t="s">
        <v>675</v>
      </c>
      <c r="M4123" s="198">
        <f t="shared" si="474"/>
        <v>0</v>
      </c>
      <c r="N4123" s="212">
        <f>'02 项目基础信息（输入）'!$C$93</f>
        <v>0</v>
      </c>
      <c r="O4123" s="212">
        <f t="shared" si="469"/>
        <v>0</v>
      </c>
      <c r="P4123" s="212">
        <f>'02 项目基础信息（输入）'!$C$93</f>
        <v>0</v>
      </c>
      <c r="Q4123" s="271">
        <f t="shared" si="470"/>
        <v>0</v>
      </c>
      <c r="S4123" s="280"/>
      <c r="T4123" s="222"/>
      <c r="U4123" s="272" t="s">
        <v>6360</v>
      </c>
    </row>
    <row r="4124" spans="1:21" ht="0" hidden="1" customHeight="1" outlineLevel="3">
      <c r="A4124" s="253" t="s">
        <v>4735</v>
      </c>
      <c r="B4124" s="253"/>
      <c r="C4124" s="202" t="s">
        <v>1609</v>
      </c>
      <c r="D4124" s="203">
        <f>'02 项目基础信息（输入）'!$C$93</f>
        <v>0</v>
      </c>
      <c r="E4124" s="204" t="s">
        <v>93</v>
      </c>
      <c r="F4124" s="202" t="s">
        <v>1609</v>
      </c>
      <c r="G4124" s="204">
        <v>1</v>
      </c>
      <c r="H4124" s="204" t="s">
        <v>298</v>
      </c>
      <c r="I4124" s="265">
        <f t="shared" si="473"/>
        <v>0</v>
      </c>
      <c r="J4124" s="204" t="s">
        <v>93</v>
      </c>
      <c r="K4124" s="188"/>
      <c r="L4124" s="210" t="s">
        <v>675</v>
      </c>
      <c r="M4124" s="198">
        <f t="shared" si="474"/>
        <v>0</v>
      </c>
      <c r="N4124" s="212">
        <f>'02 项目基础信息（输入）'!$C$93</f>
        <v>0</v>
      </c>
      <c r="O4124" s="212">
        <f t="shared" si="469"/>
        <v>0</v>
      </c>
      <c r="P4124" s="212">
        <f>'02 项目基础信息（输入）'!$C$93</f>
        <v>0</v>
      </c>
      <c r="Q4124" s="271">
        <f t="shared" si="470"/>
        <v>0</v>
      </c>
      <c r="S4124" s="280"/>
      <c r="T4124" s="222"/>
      <c r="U4124" s="272" t="s">
        <v>6361</v>
      </c>
    </row>
    <row r="4125" spans="1:21" ht="0" hidden="1" customHeight="1" outlineLevel="3">
      <c r="A4125" s="253" t="s">
        <v>4737</v>
      </c>
      <c r="B4125" s="253"/>
      <c r="C4125" s="202" t="s">
        <v>1609</v>
      </c>
      <c r="D4125" s="203">
        <f>'02 项目基础信息（输入）'!$C$93</f>
        <v>0</v>
      </c>
      <c r="E4125" s="204" t="s">
        <v>93</v>
      </c>
      <c r="F4125" s="256"/>
      <c r="G4125" s="255"/>
      <c r="H4125" s="255"/>
      <c r="I4125" s="212"/>
      <c r="J4125" s="255"/>
      <c r="K4125" s="264"/>
      <c r="L4125" s="205"/>
      <c r="M4125" s="198">
        <f>SUM(M4126:M4127)</f>
        <v>0</v>
      </c>
      <c r="N4125" s="212">
        <f>'02 项目基础信息（输入）'!$C$93</f>
        <v>0</v>
      </c>
      <c r="O4125" s="212">
        <f t="shared" si="469"/>
        <v>0</v>
      </c>
      <c r="P4125" s="212">
        <f>'02 项目基础信息（输入）'!$C$93</f>
        <v>0</v>
      </c>
      <c r="Q4125" s="271">
        <f t="shared" si="470"/>
        <v>0</v>
      </c>
      <c r="S4125" s="280"/>
      <c r="T4125" s="222"/>
      <c r="U4125" s="272" t="s">
        <v>6362</v>
      </c>
    </row>
    <row r="4126" spans="1:21" ht="0" hidden="1" customHeight="1" outlineLevel="4">
      <c r="A4126" s="253" t="s">
        <v>4739</v>
      </c>
      <c r="B4126" s="253"/>
      <c r="C4126" s="202" t="s">
        <v>1609</v>
      </c>
      <c r="D4126" s="203">
        <f>'02 项目基础信息（输入）'!$C$93</f>
        <v>0</v>
      </c>
      <c r="E4126" s="204" t="s">
        <v>93</v>
      </c>
      <c r="F4126" s="256" t="s">
        <v>4740</v>
      </c>
      <c r="G4126" s="205">
        <f>IFERROR(I4126/D4126,0)</f>
        <v>0</v>
      </c>
      <c r="H4126" s="255" t="s">
        <v>298</v>
      </c>
      <c r="I4126" s="285"/>
      <c r="J4126" s="255" t="s">
        <v>93</v>
      </c>
      <c r="K4126" s="349"/>
      <c r="L4126" s="205" t="s">
        <v>675</v>
      </c>
      <c r="M4126" s="198">
        <f>ROUND(I4126*K4126/10000,6)</f>
        <v>0</v>
      </c>
      <c r="N4126" s="212">
        <f>'02 项目基础信息（输入）'!$C$93</f>
        <v>0</v>
      </c>
      <c r="O4126" s="212">
        <f t="shared" si="469"/>
        <v>0</v>
      </c>
      <c r="P4126" s="212">
        <f>'02 项目基础信息（输入）'!$C$93</f>
        <v>0</v>
      </c>
      <c r="Q4126" s="271">
        <f t="shared" si="470"/>
        <v>0</v>
      </c>
      <c r="S4126" s="280"/>
      <c r="T4126" s="222"/>
      <c r="U4126" s="272" t="s">
        <v>6363</v>
      </c>
    </row>
    <row r="4127" spans="1:21" ht="0" hidden="1" customHeight="1" outlineLevel="4">
      <c r="A4127" s="253" t="s">
        <v>4742</v>
      </c>
      <c r="B4127" s="253"/>
      <c r="C4127" s="202" t="s">
        <v>1609</v>
      </c>
      <c r="D4127" s="203">
        <f>'02 项目基础信息（输入）'!$C$93</f>
        <v>0</v>
      </c>
      <c r="E4127" s="204" t="s">
        <v>93</v>
      </c>
      <c r="F4127" s="256" t="s">
        <v>4740</v>
      </c>
      <c r="G4127" s="205">
        <f>IFERROR(I4127/D4127,0)</f>
        <v>0</v>
      </c>
      <c r="H4127" s="255" t="s">
        <v>298</v>
      </c>
      <c r="I4127" s="285"/>
      <c r="J4127" s="255" t="s">
        <v>93</v>
      </c>
      <c r="K4127" s="349"/>
      <c r="L4127" s="205" t="s">
        <v>675</v>
      </c>
      <c r="M4127" s="198">
        <f>ROUND(I4127*K4127/10000,6)</f>
        <v>0</v>
      </c>
      <c r="N4127" s="212">
        <f>'02 项目基础信息（输入）'!$C$93</f>
        <v>0</v>
      </c>
      <c r="O4127" s="212">
        <f t="shared" si="469"/>
        <v>0</v>
      </c>
      <c r="P4127" s="212">
        <f>'02 项目基础信息（输入）'!$C$93</f>
        <v>0</v>
      </c>
      <c r="Q4127" s="271">
        <f t="shared" si="470"/>
        <v>0</v>
      </c>
      <c r="S4127" s="280"/>
      <c r="T4127" s="222"/>
      <c r="U4127" s="272" t="s">
        <v>6364</v>
      </c>
    </row>
    <row r="4128" spans="1:21" ht="0" hidden="1" customHeight="1" outlineLevel="3">
      <c r="A4128" s="253" t="s">
        <v>4744</v>
      </c>
      <c r="B4128" s="253"/>
      <c r="C4128" s="202" t="s">
        <v>1609</v>
      </c>
      <c r="D4128" s="203">
        <f>'02 项目基础信息（输入）'!$C$93</f>
        <v>0</v>
      </c>
      <c r="E4128" s="204" t="s">
        <v>93</v>
      </c>
      <c r="F4128" s="202" t="s">
        <v>1609</v>
      </c>
      <c r="G4128" s="204">
        <v>1</v>
      </c>
      <c r="H4128" s="204" t="s">
        <v>298</v>
      </c>
      <c r="I4128" s="265">
        <f t="shared" ref="I4128:I4137" si="475">D4128*G4128</f>
        <v>0</v>
      </c>
      <c r="J4128" s="204" t="s">
        <v>93</v>
      </c>
      <c r="K4128" s="188"/>
      <c r="L4128" s="210" t="s">
        <v>675</v>
      </c>
      <c r="M4128" s="198">
        <f t="shared" ref="M4128:M4137" si="476">ROUND(K4128*I4128/10000,6)</f>
        <v>0</v>
      </c>
      <c r="N4128" s="212">
        <f>'02 项目基础信息（输入）'!$C$93</f>
        <v>0</v>
      </c>
      <c r="O4128" s="212">
        <f t="shared" si="469"/>
        <v>0</v>
      </c>
      <c r="P4128" s="212">
        <f>'02 项目基础信息（输入）'!$C$93</f>
        <v>0</v>
      </c>
      <c r="Q4128" s="271">
        <f t="shared" si="470"/>
        <v>0</v>
      </c>
      <c r="S4128" s="280"/>
      <c r="T4128" s="222"/>
      <c r="U4128" s="272" t="s">
        <v>6365</v>
      </c>
    </row>
    <row r="4129" spans="1:21" ht="0" hidden="1" customHeight="1" outlineLevel="3">
      <c r="A4129" s="253" t="s">
        <v>5068</v>
      </c>
      <c r="B4129" s="253"/>
      <c r="C4129" s="202" t="s">
        <v>1609</v>
      </c>
      <c r="D4129" s="203">
        <f>'02 项目基础信息（输入）'!$C$93</f>
        <v>0</v>
      </c>
      <c r="E4129" s="204" t="s">
        <v>93</v>
      </c>
      <c r="F4129" s="202" t="s">
        <v>1609</v>
      </c>
      <c r="G4129" s="204">
        <v>1</v>
      </c>
      <c r="H4129" s="204" t="s">
        <v>298</v>
      </c>
      <c r="I4129" s="265">
        <f t="shared" si="475"/>
        <v>0</v>
      </c>
      <c r="J4129" s="204" t="s">
        <v>93</v>
      </c>
      <c r="K4129" s="188"/>
      <c r="L4129" s="210" t="s">
        <v>675</v>
      </c>
      <c r="M4129" s="198">
        <f t="shared" si="476"/>
        <v>0</v>
      </c>
      <c r="N4129" s="212">
        <f>'02 项目基础信息（输入）'!$C$93</f>
        <v>0</v>
      </c>
      <c r="O4129" s="212">
        <f t="shared" si="469"/>
        <v>0</v>
      </c>
      <c r="P4129" s="212">
        <f>'02 项目基础信息（输入）'!$C$93</f>
        <v>0</v>
      </c>
      <c r="Q4129" s="271">
        <f t="shared" si="470"/>
        <v>0</v>
      </c>
      <c r="S4129" s="280"/>
      <c r="T4129" s="222"/>
      <c r="U4129" s="272" t="s">
        <v>6366</v>
      </c>
    </row>
    <row r="4130" spans="1:21" ht="0" hidden="1" customHeight="1" outlineLevel="3">
      <c r="A4130" s="253" t="s">
        <v>4750</v>
      </c>
      <c r="B4130" s="253"/>
      <c r="C4130" s="202" t="s">
        <v>1609</v>
      </c>
      <c r="D4130" s="203">
        <f>'02 项目基础信息（输入）'!$C$93</f>
        <v>0</v>
      </c>
      <c r="E4130" s="204" t="s">
        <v>93</v>
      </c>
      <c r="F4130" s="202" t="s">
        <v>1609</v>
      </c>
      <c r="G4130" s="204">
        <v>1</v>
      </c>
      <c r="H4130" s="204" t="s">
        <v>298</v>
      </c>
      <c r="I4130" s="265">
        <f t="shared" si="475"/>
        <v>0</v>
      </c>
      <c r="J4130" s="204" t="s">
        <v>93</v>
      </c>
      <c r="K4130" s="188"/>
      <c r="L4130" s="210" t="s">
        <v>675</v>
      </c>
      <c r="M4130" s="198">
        <f t="shared" si="476"/>
        <v>0</v>
      </c>
      <c r="N4130" s="212">
        <f>'02 项目基础信息（输入）'!$C$93</f>
        <v>0</v>
      </c>
      <c r="O4130" s="212">
        <f t="shared" si="469"/>
        <v>0</v>
      </c>
      <c r="P4130" s="212">
        <f>'02 项目基础信息（输入）'!$C$93</f>
        <v>0</v>
      </c>
      <c r="Q4130" s="271">
        <f t="shared" si="470"/>
        <v>0</v>
      </c>
      <c r="S4130" s="280"/>
      <c r="T4130" s="222"/>
      <c r="U4130" s="272" t="s">
        <v>6367</v>
      </c>
    </row>
    <row r="4131" spans="1:21" ht="0" hidden="1" customHeight="1" outlineLevel="3">
      <c r="A4131" s="253" t="s">
        <v>5071</v>
      </c>
      <c r="B4131" s="253"/>
      <c r="C4131" s="202" t="s">
        <v>1609</v>
      </c>
      <c r="D4131" s="203">
        <f>'02 项目基础信息（输入）'!$C$93</f>
        <v>0</v>
      </c>
      <c r="E4131" s="204" t="s">
        <v>93</v>
      </c>
      <c r="F4131" s="202" t="s">
        <v>1609</v>
      </c>
      <c r="G4131" s="204">
        <v>1</v>
      </c>
      <c r="H4131" s="204" t="s">
        <v>298</v>
      </c>
      <c r="I4131" s="265">
        <f t="shared" si="475"/>
        <v>0</v>
      </c>
      <c r="J4131" s="204" t="s">
        <v>93</v>
      </c>
      <c r="K4131" s="188"/>
      <c r="L4131" s="210" t="s">
        <v>675</v>
      </c>
      <c r="M4131" s="198">
        <f t="shared" si="476"/>
        <v>0</v>
      </c>
      <c r="N4131" s="212">
        <f>'02 项目基础信息（输入）'!$C$93</f>
        <v>0</v>
      </c>
      <c r="O4131" s="212">
        <f t="shared" si="469"/>
        <v>0</v>
      </c>
      <c r="P4131" s="212">
        <f>'02 项目基础信息（输入）'!$C$93</f>
        <v>0</v>
      </c>
      <c r="Q4131" s="271">
        <f t="shared" si="470"/>
        <v>0</v>
      </c>
      <c r="S4131" s="280"/>
      <c r="T4131" s="222"/>
      <c r="U4131" s="272" t="s">
        <v>6368</v>
      </c>
    </row>
    <row r="4132" spans="1:21" ht="0" hidden="1" customHeight="1" outlineLevel="3">
      <c r="A4132" s="253" t="s">
        <v>5400</v>
      </c>
      <c r="B4132" s="253"/>
      <c r="C4132" s="202" t="s">
        <v>1609</v>
      </c>
      <c r="D4132" s="203">
        <f>'02 项目基础信息（输入）'!$C$93</f>
        <v>0</v>
      </c>
      <c r="E4132" s="204" t="s">
        <v>93</v>
      </c>
      <c r="F4132" s="202" t="s">
        <v>1609</v>
      </c>
      <c r="G4132" s="204">
        <v>1</v>
      </c>
      <c r="H4132" s="204" t="s">
        <v>298</v>
      </c>
      <c r="I4132" s="265">
        <f t="shared" si="475"/>
        <v>0</v>
      </c>
      <c r="J4132" s="204" t="s">
        <v>93</v>
      </c>
      <c r="K4132" s="188"/>
      <c r="L4132" s="210" t="s">
        <v>675</v>
      </c>
      <c r="M4132" s="198">
        <f t="shared" si="476"/>
        <v>0</v>
      </c>
      <c r="N4132" s="212">
        <f>'02 项目基础信息（输入）'!$C$93</f>
        <v>0</v>
      </c>
      <c r="O4132" s="212">
        <f t="shared" si="469"/>
        <v>0</v>
      </c>
      <c r="P4132" s="212">
        <f>'02 项目基础信息（输入）'!$C$93</f>
        <v>0</v>
      </c>
      <c r="Q4132" s="271">
        <f t="shared" si="470"/>
        <v>0</v>
      </c>
      <c r="S4132" s="280"/>
      <c r="T4132" s="222"/>
      <c r="U4132" s="272" t="s">
        <v>6369</v>
      </c>
    </row>
    <row r="4133" spans="1:21" ht="0" hidden="1" customHeight="1" outlineLevel="3">
      <c r="A4133" s="253" t="s">
        <v>5402</v>
      </c>
      <c r="B4133" s="253"/>
      <c r="C4133" s="202" t="s">
        <v>1609</v>
      </c>
      <c r="D4133" s="203">
        <f>'02 项目基础信息（输入）'!$C$93</f>
        <v>0</v>
      </c>
      <c r="E4133" s="204" t="s">
        <v>93</v>
      </c>
      <c r="F4133" s="202" t="s">
        <v>1609</v>
      </c>
      <c r="G4133" s="204">
        <v>1</v>
      </c>
      <c r="H4133" s="204" t="s">
        <v>298</v>
      </c>
      <c r="I4133" s="265">
        <f t="shared" si="475"/>
        <v>0</v>
      </c>
      <c r="J4133" s="204" t="s">
        <v>93</v>
      </c>
      <c r="K4133" s="188"/>
      <c r="L4133" s="210" t="s">
        <v>675</v>
      </c>
      <c r="M4133" s="198">
        <f t="shared" si="476"/>
        <v>0</v>
      </c>
      <c r="N4133" s="212">
        <f>'02 项目基础信息（输入）'!$C$93</f>
        <v>0</v>
      </c>
      <c r="O4133" s="212">
        <f t="shared" si="469"/>
        <v>0</v>
      </c>
      <c r="P4133" s="212">
        <f>'02 项目基础信息（输入）'!$C$93</f>
        <v>0</v>
      </c>
      <c r="Q4133" s="271">
        <f t="shared" si="470"/>
        <v>0</v>
      </c>
      <c r="S4133" s="280"/>
      <c r="T4133" s="222"/>
      <c r="U4133" s="272" t="s">
        <v>6370</v>
      </c>
    </row>
    <row r="4134" spans="1:21" ht="0" hidden="1" customHeight="1" outlineLevel="3">
      <c r="A4134" s="253" t="s">
        <v>5404</v>
      </c>
      <c r="B4134" s="253"/>
      <c r="C4134" s="202" t="s">
        <v>1609</v>
      </c>
      <c r="D4134" s="203">
        <f>'02 项目基础信息（输入）'!$C$93</f>
        <v>0</v>
      </c>
      <c r="E4134" s="204" t="s">
        <v>93</v>
      </c>
      <c r="F4134" s="202" t="s">
        <v>1609</v>
      </c>
      <c r="G4134" s="204">
        <v>1</v>
      </c>
      <c r="H4134" s="204" t="s">
        <v>298</v>
      </c>
      <c r="I4134" s="265">
        <f t="shared" si="475"/>
        <v>0</v>
      </c>
      <c r="J4134" s="204" t="s">
        <v>93</v>
      </c>
      <c r="K4134" s="188"/>
      <c r="L4134" s="210" t="s">
        <v>675</v>
      </c>
      <c r="M4134" s="198">
        <f t="shared" si="476"/>
        <v>0</v>
      </c>
      <c r="N4134" s="212">
        <f>'02 项目基础信息（输入）'!$C$93</f>
        <v>0</v>
      </c>
      <c r="O4134" s="212">
        <f t="shared" si="469"/>
        <v>0</v>
      </c>
      <c r="P4134" s="212">
        <f>'02 项目基础信息（输入）'!$C$93</f>
        <v>0</v>
      </c>
      <c r="Q4134" s="271">
        <f t="shared" si="470"/>
        <v>0</v>
      </c>
      <c r="S4134" s="280"/>
      <c r="T4134" s="222"/>
      <c r="U4134" s="272" t="s">
        <v>6371</v>
      </c>
    </row>
    <row r="4135" spans="1:21" ht="0" hidden="1" customHeight="1" outlineLevel="3">
      <c r="A4135" s="253" t="s">
        <v>5406</v>
      </c>
      <c r="B4135" s="253"/>
      <c r="C4135" s="202" t="s">
        <v>1609</v>
      </c>
      <c r="D4135" s="203">
        <f>'02 项目基础信息（输入）'!$C$93</f>
        <v>0</v>
      </c>
      <c r="E4135" s="204" t="s">
        <v>93</v>
      </c>
      <c r="F4135" s="202" t="s">
        <v>1609</v>
      </c>
      <c r="G4135" s="204">
        <v>1</v>
      </c>
      <c r="H4135" s="204" t="s">
        <v>298</v>
      </c>
      <c r="I4135" s="265">
        <f t="shared" si="475"/>
        <v>0</v>
      </c>
      <c r="J4135" s="204" t="s">
        <v>93</v>
      </c>
      <c r="K4135" s="188"/>
      <c r="L4135" s="210" t="s">
        <v>675</v>
      </c>
      <c r="M4135" s="198">
        <f t="shared" si="476"/>
        <v>0</v>
      </c>
      <c r="N4135" s="212">
        <f>'02 项目基础信息（输入）'!$C$93</f>
        <v>0</v>
      </c>
      <c r="O4135" s="212">
        <f t="shared" si="469"/>
        <v>0</v>
      </c>
      <c r="P4135" s="212">
        <f>'02 项目基础信息（输入）'!$C$93</f>
        <v>0</v>
      </c>
      <c r="Q4135" s="271">
        <f t="shared" si="470"/>
        <v>0</v>
      </c>
      <c r="S4135" s="280"/>
      <c r="T4135" s="222"/>
      <c r="U4135" s="272" t="s">
        <v>6372</v>
      </c>
    </row>
    <row r="4136" spans="1:21" ht="0" hidden="1" customHeight="1" outlineLevel="3">
      <c r="A4136" s="253" t="s">
        <v>5408</v>
      </c>
      <c r="B4136" s="253"/>
      <c r="C4136" s="202" t="s">
        <v>1609</v>
      </c>
      <c r="D4136" s="203">
        <f>'02 项目基础信息（输入）'!$C$93</f>
        <v>0</v>
      </c>
      <c r="E4136" s="204" t="s">
        <v>93</v>
      </c>
      <c r="F4136" s="202" t="s">
        <v>1609</v>
      </c>
      <c r="G4136" s="204">
        <v>1</v>
      </c>
      <c r="H4136" s="204" t="s">
        <v>298</v>
      </c>
      <c r="I4136" s="265">
        <f t="shared" si="475"/>
        <v>0</v>
      </c>
      <c r="J4136" s="204" t="s">
        <v>93</v>
      </c>
      <c r="K4136" s="188"/>
      <c r="L4136" s="210" t="s">
        <v>675</v>
      </c>
      <c r="M4136" s="198">
        <f t="shared" si="476"/>
        <v>0</v>
      </c>
      <c r="N4136" s="212">
        <f>'02 项目基础信息（输入）'!$C$93</f>
        <v>0</v>
      </c>
      <c r="O4136" s="212">
        <f t="shared" si="469"/>
        <v>0</v>
      </c>
      <c r="P4136" s="212">
        <f>'02 项目基础信息（输入）'!$C$93</f>
        <v>0</v>
      </c>
      <c r="Q4136" s="271">
        <f t="shared" si="470"/>
        <v>0</v>
      </c>
      <c r="S4136" s="280"/>
      <c r="T4136" s="222"/>
      <c r="U4136" s="272" t="s">
        <v>6373</v>
      </c>
    </row>
    <row r="4137" spans="1:21" ht="0" hidden="1" customHeight="1" outlineLevel="3">
      <c r="A4137" s="253" t="s">
        <v>4752</v>
      </c>
      <c r="B4137" s="253"/>
      <c r="C4137" s="202" t="s">
        <v>1609</v>
      </c>
      <c r="D4137" s="203">
        <f>'02 项目基础信息（输入）'!$C$93</f>
        <v>0</v>
      </c>
      <c r="E4137" s="204" t="s">
        <v>93</v>
      </c>
      <c r="F4137" s="202" t="s">
        <v>1609</v>
      </c>
      <c r="G4137" s="204">
        <v>1</v>
      </c>
      <c r="H4137" s="204" t="s">
        <v>298</v>
      </c>
      <c r="I4137" s="265">
        <f t="shared" si="475"/>
        <v>0</v>
      </c>
      <c r="J4137" s="204" t="s">
        <v>93</v>
      </c>
      <c r="K4137" s="188"/>
      <c r="L4137" s="210" t="s">
        <v>675</v>
      </c>
      <c r="M4137" s="198">
        <f t="shared" si="476"/>
        <v>0</v>
      </c>
      <c r="N4137" s="212">
        <f>'02 项目基础信息（输入）'!$C$93</f>
        <v>0</v>
      </c>
      <c r="O4137" s="212">
        <f t="shared" si="469"/>
        <v>0</v>
      </c>
      <c r="P4137" s="212">
        <f>'02 项目基础信息（输入）'!$C$93</f>
        <v>0</v>
      </c>
      <c r="Q4137" s="271">
        <f t="shared" si="470"/>
        <v>0</v>
      </c>
      <c r="S4137" s="280"/>
      <c r="T4137" s="222"/>
      <c r="U4137" s="272" t="s">
        <v>6374</v>
      </c>
    </row>
    <row r="4138" spans="1:21" ht="0" hidden="1" customHeight="1" outlineLevel="3">
      <c r="A4138" s="253" t="s">
        <v>4754</v>
      </c>
      <c r="B4138" s="253"/>
      <c r="C4138" s="202" t="s">
        <v>1609</v>
      </c>
      <c r="D4138" s="203">
        <f>'02 项目基础信息（输入）'!$C$93</f>
        <v>0</v>
      </c>
      <c r="E4138" s="204" t="s">
        <v>93</v>
      </c>
      <c r="F4138" s="256"/>
      <c r="G4138" s="255"/>
      <c r="H4138" s="255"/>
      <c r="I4138" s="268"/>
      <c r="J4138" s="255"/>
      <c r="K4138" s="264"/>
      <c r="L4138" s="205"/>
      <c r="M4138" s="198">
        <f>SUM(M4139:M4141)</f>
        <v>0</v>
      </c>
      <c r="N4138" s="212">
        <f>'02 项目基础信息（输入）'!$C$93</f>
        <v>0</v>
      </c>
      <c r="O4138" s="212">
        <f t="shared" si="469"/>
        <v>0</v>
      </c>
      <c r="P4138" s="212">
        <f>'02 项目基础信息（输入）'!$C$93</f>
        <v>0</v>
      </c>
      <c r="Q4138" s="271">
        <f t="shared" si="470"/>
        <v>0</v>
      </c>
      <c r="S4138" s="280"/>
      <c r="T4138" s="222"/>
      <c r="U4138" s="272" t="s">
        <v>6375</v>
      </c>
    </row>
    <row r="4139" spans="1:21" ht="0" hidden="1" customHeight="1" outlineLevel="4">
      <c r="A4139" s="253" t="s">
        <v>4756</v>
      </c>
      <c r="B4139" s="253"/>
      <c r="C4139" s="202" t="s">
        <v>1609</v>
      </c>
      <c r="D4139" s="203">
        <f>'02 项目基础信息（输入）'!$C$93</f>
        <v>0</v>
      </c>
      <c r="E4139" s="204" t="s">
        <v>93</v>
      </c>
      <c r="F4139" s="202" t="s">
        <v>1609</v>
      </c>
      <c r="G4139" s="204">
        <v>1</v>
      </c>
      <c r="H4139" s="204" t="s">
        <v>298</v>
      </c>
      <c r="I4139" s="265">
        <f>D4139*G4139</f>
        <v>0</v>
      </c>
      <c r="J4139" s="204" t="s">
        <v>93</v>
      </c>
      <c r="K4139" s="188"/>
      <c r="L4139" s="210" t="s">
        <v>675</v>
      </c>
      <c r="M4139" s="198">
        <f>ROUND(K4139*I4139/10000,6)</f>
        <v>0</v>
      </c>
      <c r="N4139" s="212">
        <f>'02 项目基础信息（输入）'!$C$93</f>
        <v>0</v>
      </c>
      <c r="O4139" s="212">
        <f t="shared" si="469"/>
        <v>0</v>
      </c>
      <c r="P4139" s="212">
        <f>'02 项目基础信息（输入）'!$C$93</f>
        <v>0</v>
      </c>
      <c r="Q4139" s="271">
        <f t="shared" si="470"/>
        <v>0</v>
      </c>
      <c r="S4139" s="280"/>
      <c r="T4139" s="222"/>
      <c r="U4139" s="272" t="s">
        <v>6376</v>
      </c>
    </row>
    <row r="4140" spans="1:21" ht="0" hidden="1" customHeight="1" outlineLevel="4">
      <c r="A4140" s="253" t="s">
        <v>4758</v>
      </c>
      <c r="B4140" s="253"/>
      <c r="C4140" s="202" t="s">
        <v>1609</v>
      </c>
      <c r="D4140" s="203">
        <f>'02 项目基础信息（输入）'!$C$93</f>
        <v>0</v>
      </c>
      <c r="E4140" s="204" t="s">
        <v>93</v>
      </c>
      <c r="F4140" s="202" t="s">
        <v>1609</v>
      </c>
      <c r="G4140" s="204">
        <v>1</v>
      </c>
      <c r="H4140" s="204" t="s">
        <v>298</v>
      </c>
      <c r="I4140" s="265">
        <f>D4140*G4140</f>
        <v>0</v>
      </c>
      <c r="J4140" s="204" t="s">
        <v>93</v>
      </c>
      <c r="K4140" s="188"/>
      <c r="L4140" s="210" t="s">
        <v>675</v>
      </c>
      <c r="M4140" s="198">
        <f>ROUND(K4140*I4140/10000,6)</f>
        <v>0</v>
      </c>
      <c r="N4140" s="212">
        <f>'02 项目基础信息（输入）'!$C$93</f>
        <v>0</v>
      </c>
      <c r="O4140" s="212">
        <f t="shared" si="469"/>
        <v>0</v>
      </c>
      <c r="P4140" s="212">
        <f>'02 项目基础信息（输入）'!$C$93</f>
        <v>0</v>
      </c>
      <c r="Q4140" s="271">
        <f t="shared" si="470"/>
        <v>0</v>
      </c>
      <c r="S4140" s="280"/>
      <c r="T4140" s="222"/>
      <c r="U4140" s="272" t="s">
        <v>6377</v>
      </c>
    </row>
    <row r="4141" spans="1:21" ht="0" hidden="1" customHeight="1" outlineLevel="4">
      <c r="A4141" s="253" t="s">
        <v>4760</v>
      </c>
      <c r="B4141" s="253"/>
      <c r="C4141" s="202" t="s">
        <v>1609</v>
      </c>
      <c r="D4141" s="203">
        <f>'02 项目基础信息（输入）'!$C$93</f>
        <v>0</v>
      </c>
      <c r="E4141" s="204" t="s">
        <v>93</v>
      </c>
      <c r="F4141" s="202" t="s">
        <v>1609</v>
      </c>
      <c r="G4141" s="204">
        <v>1</v>
      </c>
      <c r="H4141" s="204" t="s">
        <v>298</v>
      </c>
      <c r="I4141" s="265">
        <f>D4141*G4141</f>
        <v>0</v>
      </c>
      <c r="J4141" s="204" t="s">
        <v>93</v>
      </c>
      <c r="K4141" s="188"/>
      <c r="L4141" s="210" t="s">
        <v>675</v>
      </c>
      <c r="M4141" s="198">
        <f>ROUND(K4141*I4141/10000,6)</f>
        <v>0</v>
      </c>
      <c r="N4141" s="212">
        <f>'02 项目基础信息（输入）'!$C$93</f>
        <v>0</v>
      </c>
      <c r="O4141" s="212">
        <f t="shared" si="469"/>
        <v>0</v>
      </c>
      <c r="P4141" s="212">
        <f>'02 项目基础信息（输入）'!$C$93</f>
        <v>0</v>
      </c>
      <c r="Q4141" s="271">
        <f t="shared" si="470"/>
        <v>0</v>
      </c>
      <c r="S4141" s="280"/>
      <c r="T4141" s="222"/>
      <c r="U4141" s="272" t="s">
        <v>6378</v>
      </c>
    </row>
    <row r="4142" spans="1:21" ht="0" hidden="1" customHeight="1" outlineLevel="3">
      <c r="A4142" s="253" t="s">
        <v>4762</v>
      </c>
      <c r="B4142" s="253"/>
      <c r="C4142" s="202" t="s">
        <v>1609</v>
      </c>
      <c r="D4142" s="203">
        <f>'02 项目基础信息（输入）'!$C$93</f>
        <v>0</v>
      </c>
      <c r="E4142" s="204" t="s">
        <v>93</v>
      </c>
      <c r="F4142" s="202" t="s">
        <v>1609</v>
      </c>
      <c r="G4142" s="204">
        <v>1</v>
      </c>
      <c r="H4142" s="204" t="s">
        <v>298</v>
      </c>
      <c r="I4142" s="265">
        <f>D4142*G4142</f>
        <v>0</v>
      </c>
      <c r="J4142" s="204" t="s">
        <v>93</v>
      </c>
      <c r="K4142" s="188"/>
      <c r="L4142" s="210" t="s">
        <v>675</v>
      </c>
      <c r="M4142" s="198">
        <f>ROUND(K4142*I4142/10000,6)</f>
        <v>0</v>
      </c>
      <c r="N4142" s="212">
        <f>'02 项目基础信息（输入）'!$C$93</f>
        <v>0</v>
      </c>
      <c r="O4142" s="212">
        <f t="shared" si="469"/>
        <v>0</v>
      </c>
      <c r="P4142" s="212">
        <f>'02 项目基础信息（输入）'!$C$93</f>
        <v>0</v>
      </c>
      <c r="Q4142" s="271">
        <f t="shared" si="470"/>
        <v>0</v>
      </c>
      <c r="S4142" s="280"/>
      <c r="T4142" s="222"/>
      <c r="U4142" s="272" t="s">
        <v>6379</v>
      </c>
    </row>
    <row r="4143" spans="1:21" ht="0" hidden="1" customHeight="1" outlineLevel="3">
      <c r="A4143" s="253" t="s">
        <v>4371</v>
      </c>
      <c r="B4143" s="253"/>
      <c r="C4143" s="202" t="s">
        <v>1609</v>
      </c>
      <c r="D4143" s="203">
        <f>'02 项目基础信息（输入）'!$C$93</f>
        <v>0</v>
      </c>
      <c r="E4143" s="204" t="s">
        <v>93</v>
      </c>
      <c r="F4143" s="202" t="s">
        <v>1609</v>
      </c>
      <c r="G4143" s="204">
        <v>1</v>
      </c>
      <c r="H4143" s="204" t="s">
        <v>298</v>
      </c>
      <c r="I4143" s="265">
        <f>D4143*G4143</f>
        <v>0</v>
      </c>
      <c r="J4143" s="204" t="s">
        <v>93</v>
      </c>
      <c r="K4143" s="188"/>
      <c r="L4143" s="210" t="s">
        <v>675</v>
      </c>
      <c r="M4143" s="198">
        <f>ROUND(K4143*I4143/10000,6)</f>
        <v>0</v>
      </c>
      <c r="N4143" s="212">
        <f>'02 项目基础信息（输入）'!$C$93</f>
        <v>0</v>
      </c>
      <c r="O4143" s="212">
        <f t="shared" si="469"/>
        <v>0</v>
      </c>
      <c r="P4143" s="212">
        <f>'02 项目基础信息（输入）'!$C$93</f>
        <v>0</v>
      </c>
      <c r="Q4143" s="271">
        <f t="shared" si="470"/>
        <v>0</v>
      </c>
      <c r="S4143" s="280"/>
      <c r="T4143" s="222"/>
      <c r="U4143" s="272" t="s">
        <v>6380</v>
      </c>
    </row>
    <row r="4144" spans="1:21" ht="0" hidden="1" customHeight="1" outlineLevel="2">
      <c r="A4144" s="201" t="s">
        <v>4765</v>
      </c>
      <c r="B4144" s="201"/>
      <c r="C4144" s="202" t="s">
        <v>1609</v>
      </c>
      <c r="D4144" s="203">
        <f>'02 项目基础信息（输入）'!$C$93</f>
        <v>0</v>
      </c>
      <c r="E4144" s="204" t="s">
        <v>93</v>
      </c>
      <c r="F4144" s="256"/>
      <c r="G4144" s="255"/>
      <c r="H4144" s="255"/>
      <c r="I4144" s="212"/>
      <c r="J4144" s="255"/>
      <c r="K4144" s="264"/>
      <c r="L4144" s="205"/>
      <c r="M4144" s="198">
        <f>ROUND(SUM(M4145:M4148),6)</f>
        <v>0</v>
      </c>
      <c r="N4144" s="212">
        <f>'02 项目基础信息（输入）'!$C$93</f>
        <v>0</v>
      </c>
      <c r="O4144" s="212">
        <f t="shared" si="469"/>
        <v>0</v>
      </c>
      <c r="P4144" s="212">
        <f>'02 项目基础信息（输入）'!$C$93</f>
        <v>0</v>
      </c>
      <c r="Q4144" s="271">
        <f t="shared" si="470"/>
        <v>0</v>
      </c>
      <c r="S4144" s="280" t="s">
        <v>1314</v>
      </c>
      <c r="T4144" s="222"/>
      <c r="U4144" s="272" t="s">
        <v>6381</v>
      </c>
    </row>
    <row r="4145" spans="1:21" ht="0" hidden="1" customHeight="1" outlineLevel="3">
      <c r="A4145" s="253" t="s">
        <v>5081</v>
      </c>
      <c r="B4145" s="253"/>
      <c r="C4145" s="202" t="s">
        <v>1609</v>
      </c>
      <c r="D4145" s="203">
        <f>'02 项目基础信息（输入）'!$C$93</f>
        <v>0</v>
      </c>
      <c r="E4145" s="255" t="s">
        <v>93</v>
      </c>
      <c r="F4145" s="288" t="s">
        <v>4768</v>
      </c>
      <c r="G4145" s="296">
        <f>'02 项目基础信息（输入）'!CC93</f>
        <v>0</v>
      </c>
      <c r="H4145" s="255" t="s">
        <v>298</v>
      </c>
      <c r="I4145" s="268">
        <f>D4145*G4145</f>
        <v>0</v>
      </c>
      <c r="J4145" s="255" t="s">
        <v>93</v>
      </c>
      <c r="K4145" s="349"/>
      <c r="L4145" s="205" t="s">
        <v>675</v>
      </c>
      <c r="M4145" s="198">
        <f>ROUND(I4145*K4145/10000,6)</f>
        <v>0</v>
      </c>
      <c r="N4145" s="212">
        <f>'02 项目基础信息（输入）'!$C$93</f>
        <v>0</v>
      </c>
      <c r="O4145" s="212">
        <f t="shared" si="469"/>
        <v>0</v>
      </c>
      <c r="P4145" s="212">
        <f>'02 项目基础信息（输入）'!$C$93</f>
        <v>0</v>
      </c>
      <c r="Q4145" s="271">
        <f t="shared" si="470"/>
        <v>0</v>
      </c>
      <c r="S4145" s="280"/>
      <c r="T4145" s="222"/>
      <c r="U4145" s="272" t="s">
        <v>6382</v>
      </c>
    </row>
    <row r="4146" spans="1:21" ht="0" hidden="1" customHeight="1" outlineLevel="3">
      <c r="A4146" s="253" t="s">
        <v>5083</v>
      </c>
      <c r="B4146" s="253"/>
      <c r="C4146" s="202" t="s">
        <v>1609</v>
      </c>
      <c r="D4146" s="203">
        <f>'02 项目基础信息（输入）'!$C$93</f>
        <v>0</v>
      </c>
      <c r="E4146" s="255" t="s">
        <v>93</v>
      </c>
      <c r="F4146" s="288" t="s">
        <v>4768</v>
      </c>
      <c r="G4146" s="205">
        <f>G4145</f>
        <v>0</v>
      </c>
      <c r="H4146" s="255" t="s">
        <v>298</v>
      </c>
      <c r="I4146" s="268">
        <f>D4146*G4146</f>
        <v>0</v>
      </c>
      <c r="J4146" s="255" t="s">
        <v>93</v>
      </c>
      <c r="K4146" s="349"/>
      <c r="L4146" s="205" t="s">
        <v>675</v>
      </c>
      <c r="M4146" s="198">
        <f>ROUND(I4146*K4146/10000,6)</f>
        <v>0</v>
      </c>
      <c r="N4146" s="212">
        <f>'02 项目基础信息（输入）'!$C$93</f>
        <v>0</v>
      </c>
      <c r="O4146" s="212">
        <f t="shared" si="469"/>
        <v>0</v>
      </c>
      <c r="P4146" s="212">
        <f>'02 项目基础信息（输入）'!$C$93</f>
        <v>0</v>
      </c>
      <c r="Q4146" s="271">
        <f t="shared" si="470"/>
        <v>0</v>
      </c>
      <c r="S4146" s="280"/>
      <c r="T4146" s="222"/>
      <c r="U4146" s="272" t="s">
        <v>6383</v>
      </c>
    </row>
    <row r="4147" spans="1:21" ht="0" hidden="1" customHeight="1" outlineLevel="3">
      <c r="A4147" s="253" t="s">
        <v>5085</v>
      </c>
      <c r="B4147" s="253"/>
      <c r="C4147" s="202" t="s">
        <v>1609</v>
      </c>
      <c r="D4147" s="203">
        <f>'02 项目基础信息（输入）'!$C$93</f>
        <v>0</v>
      </c>
      <c r="E4147" s="255" t="s">
        <v>93</v>
      </c>
      <c r="F4147" s="250" t="s">
        <v>4773</v>
      </c>
      <c r="G4147" s="205">
        <f>IFERROR(I4147/D4147,0)</f>
        <v>0</v>
      </c>
      <c r="H4147" s="255" t="s">
        <v>4385</v>
      </c>
      <c r="I4147" s="292"/>
      <c r="J4147" s="255" t="s">
        <v>400</v>
      </c>
      <c r="K4147" s="214"/>
      <c r="L4147" s="205" t="s">
        <v>1749</v>
      </c>
      <c r="M4147" s="198">
        <f>ROUND(I4147*K4147/10000,6)</f>
        <v>0</v>
      </c>
      <c r="N4147" s="212">
        <f>'02 项目基础信息（输入）'!$C$93</f>
        <v>0</v>
      </c>
      <c r="O4147" s="212">
        <f t="shared" si="469"/>
        <v>0</v>
      </c>
      <c r="P4147" s="212">
        <f>'02 项目基础信息（输入）'!$C$93</f>
        <v>0</v>
      </c>
      <c r="Q4147" s="271">
        <f t="shared" si="470"/>
        <v>0</v>
      </c>
      <c r="S4147" s="280"/>
      <c r="T4147" s="222"/>
      <c r="U4147" s="272" t="s">
        <v>6384</v>
      </c>
    </row>
    <row r="4148" spans="1:21" ht="0" hidden="1" customHeight="1" outlineLevel="3">
      <c r="A4148" s="253" t="s">
        <v>5087</v>
      </c>
      <c r="B4148" s="253"/>
      <c r="C4148" s="202" t="s">
        <v>1609</v>
      </c>
      <c r="D4148" s="203">
        <f>'02 项目基础信息（输入）'!$C$93</f>
        <v>0</v>
      </c>
      <c r="E4148" s="255" t="s">
        <v>93</v>
      </c>
      <c r="F4148" s="256" t="s">
        <v>4740</v>
      </c>
      <c r="G4148" s="205">
        <f>IFERROR(I4148/D4148,0)</f>
        <v>0</v>
      </c>
      <c r="H4148" s="255" t="s">
        <v>298</v>
      </c>
      <c r="I4148" s="292"/>
      <c r="J4148" s="255" t="s">
        <v>93</v>
      </c>
      <c r="K4148" s="214"/>
      <c r="L4148" s="205" t="s">
        <v>675</v>
      </c>
      <c r="M4148" s="198">
        <f>ROUND(I4148*K4148/10000,6)</f>
        <v>0</v>
      </c>
      <c r="N4148" s="212">
        <f>'02 项目基础信息（输入）'!$C$93</f>
        <v>0</v>
      </c>
      <c r="O4148" s="212">
        <f t="shared" si="469"/>
        <v>0</v>
      </c>
      <c r="P4148" s="212">
        <f>'02 项目基础信息（输入）'!$C$93</f>
        <v>0</v>
      </c>
      <c r="Q4148" s="271">
        <f t="shared" si="470"/>
        <v>0</v>
      </c>
      <c r="S4148" s="280"/>
      <c r="T4148" s="222"/>
      <c r="U4148" s="272" t="s">
        <v>6385</v>
      </c>
    </row>
    <row r="4149" spans="1:21" ht="0" hidden="1" customHeight="1" outlineLevel="2">
      <c r="A4149" s="201" t="s">
        <v>4377</v>
      </c>
      <c r="B4149" s="201"/>
      <c r="C4149" s="202" t="s">
        <v>1609</v>
      </c>
      <c r="D4149" s="203">
        <f>'02 项目基础信息（输入）'!$C$93</f>
        <v>0</v>
      </c>
      <c r="E4149" s="204" t="s">
        <v>93</v>
      </c>
      <c r="F4149" s="202"/>
      <c r="G4149" s="204"/>
      <c r="H4149" s="204"/>
      <c r="I4149" s="268"/>
      <c r="J4149" s="204"/>
      <c r="K4149" s="264"/>
      <c r="L4149" s="210"/>
      <c r="M4149" s="198">
        <f>SUM(M4150)</f>
        <v>0</v>
      </c>
      <c r="N4149" s="212">
        <f>'02 项目基础信息（输入）'!$C$93</f>
        <v>0</v>
      </c>
      <c r="O4149" s="212">
        <f t="shared" si="469"/>
        <v>0</v>
      </c>
      <c r="P4149" s="212">
        <f>'02 项目基础信息（输入）'!$C$93</f>
        <v>0</v>
      </c>
      <c r="Q4149" s="271">
        <f t="shared" si="470"/>
        <v>0</v>
      </c>
      <c r="S4149" s="280" t="s">
        <v>1314</v>
      </c>
      <c r="T4149" s="222"/>
      <c r="U4149" s="272" t="s">
        <v>6386</v>
      </c>
    </row>
    <row r="4150" spans="1:21" ht="0" hidden="1" customHeight="1" outlineLevel="3">
      <c r="A4150" s="253" t="s">
        <v>4379</v>
      </c>
      <c r="B4150" s="253"/>
      <c r="C4150" s="202" t="s">
        <v>1609</v>
      </c>
      <c r="D4150" s="203">
        <f>'02 项目基础信息（输入）'!$C$93</f>
        <v>0</v>
      </c>
      <c r="E4150" s="204" t="s">
        <v>93</v>
      </c>
      <c r="F4150" s="202" t="s">
        <v>1609</v>
      </c>
      <c r="G4150" s="204">
        <v>1</v>
      </c>
      <c r="H4150" s="204" t="s">
        <v>298</v>
      </c>
      <c r="I4150" s="268">
        <f>G4150*D4150</f>
        <v>0</v>
      </c>
      <c r="J4150" s="204" t="s">
        <v>93</v>
      </c>
      <c r="K4150" s="269"/>
      <c r="L4150" s="210" t="s">
        <v>675</v>
      </c>
      <c r="M4150" s="198">
        <f>ROUND(I4150*K4150/10000,6)</f>
        <v>0</v>
      </c>
      <c r="N4150" s="212">
        <f>'02 项目基础信息（输入）'!$C$93</f>
        <v>0</v>
      </c>
      <c r="O4150" s="212">
        <f t="shared" si="469"/>
        <v>0</v>
      </c>
      <c r="P4150" s="212">
        <f>'02 项目基础信息（输入）'!$C$93</f>
        <v>0</v>
      </c>
      <c r="Q4150" s="271">
        <f t="shared" si="470"/>
        <v>0</v>
      </c>
      <c r="S4150" s="280"/>
      <c r="T4150" s="222"/>
      <c r="U4150" s="272" t="s">
        <v>6387</v>
      </c>
    </row>
    <row r="4151" spans="1:21" ht="0" hidden="1" customHeight="1" outlineLevel="2">
      <c r="A4151" s="201" t="s">
        <v>4381</v>
      </c>
      <c r="B4151" s="201"/>
      <c r="C4151" s="202" t="s">
        <v>1609</v>
      </c>
      <c r="D4151" s="203">
        <f>'02 项目基础信息（输入）'!$C$93</f>
        <v>0</v>
      </c>
      <c r="E4151" s="204" t="s">
        <v>93</v>
      </c>
      <c r="F4151" s="256"/>
      <c r="G4151" s="255"/>
      <c r="H4151" s="255"/>
      <c r="I4151" s="212"/>
      <c r="J4151" s="255"/>
      <c r="K4151" s="264"/>
      <c r="L4151" s="205"/>
      <c r="M4151" s="198">
        <f>SUM(M4152:M4160)+M4163</f>
        <v>0</v>
      </c>
      <c r="N4151" s="212">
        <f>'02 项目基础信息（输入）'!$C$93</f>
        <v>0</v>
      </c>
      <c r="O4151" s="212">
        <f t="shared" si="469"/>
        <v>0</v>
      </c>
      <c r="P4151" s="212">
        <f>'02 项目基础信息（输入）'!$C$93</f>
        <v>0</v>
      </c>
      <c r="Q4151" s="271">
        <f t="shared" si="470"/>
        <v>0</v>
      </c>
      <c r="S4151" s="280" t="s">
        <v>1314</v>
      </c>
      <c r="T4151" s="222"/>
      <c r="U4151" s="272" t="s">
        <v>6388</v>
      </c>
    </row>
    <row r="4152" spans="1:21" ht="0" hidden="1" customHeight="1" outlineLevel="3">
      <c r="A4152" s="253" t="s">
        <v>4780</v>
      </c>
      <c r="B4152" s="253"/>
      <c r="C4152" s="202" t="s">
        <v>1609</v>
      </c>
      <c r="D4152" s="203">
        <f>'02 项目基础信息（输入）'!$C$93</f>
        <v>0</v>
      </c>
      <c r="E4152" s="204" t="s">
        <v>93</v>
      </c>
      <c r="F4152" s="250" t="s">
        <v>4781</v>
      </c>
      <c r="G4152" s="205">
        <f t="shared" ref="G4152:G4158" si="477">IFERROR(I4152/D4152,0)</f>
        <v>0</v>
      </c>
      <c r="H4152" s="204" t="s">
        <v>4782</v>
      </c>
      <c r="I4152" s="213"/>
      <c r="J4152" s="204" t="s">
        <v>2198</v>
      </c>
      <c r="K4152" s="350"/>
      <c r="L4152" s="210" t="s">
        <v>841</v>
      </c>
      <c r="M4152" s="198">
        <f t="shared" ref="M4152:M4159" si="478">ROUND(I4152*K4152/10000,6)</f>
        <v>0</v>
      </c>
      <c r="N4152" s="212">
        <f>'02 项目基础信息（输入）'!$C$93</f>
        <v>0</v>
      </c>
      <c r="O4152" s="212">
        <f t="shared" si="469"/>
        <v>0</v>
      </c>
      <c r="P4152" s="212">
        <f>'02 项目基础信息（输入）'!$C$93</f>
        <v>0</v>
      </c>
      <c r="Q4152" s="271">
        <f t="shared" si="470"/>
        <v>0</v>
      </c>
      <c r="S4152" s="280"/>
      <c r="T4152" s="222"/>
      <c r="U4152" s="272" t="s">
        <v>6389</v>
      </c>
    </row>
    <row r="4153" spans="1:21" ht="0" hidden="1" customHeight="1" outlineLevel="3">
      <c r="A4153" s="253" t="s">
        <v>4784</v>
      </c>
      <c r="B4153" s="253"/>
      <c r="C4153" s="202" t="s">
        <v>1609</v>
      </c>
      <c r="D4153" s="203">
        <f>'02 项目基础信息（输入）'!$C$93</f>
        <v>0</v>
      </c>
      <c r="E4153" s="204" t="s">
        <v>93</v>
      </c>
      <c r="F4153" s="250" t="s">
        <v>4781</v>
      </c>
      <c r="G4153" s="205">
        <f t="shared" si="477"/>
        <v>0</v>
      </c>
      <c r="H4153" s="204" t="s">
        <v>4782</v>
      </c>
      <c r="I4153" s="213"/>
      <c r="J4153" s="204" t="s">
        <v>2198</v>
      </c>
      <c r="K4153" s="350"/>
      <c r="L4153" s="210" t="s">
        <v>841</v>
      </c>
      <c r="M4153" s="198">
        <f t="shared" si="478"/>
        <v>0</v>
      </c>
      <c r="N4153" s="212">
        <f>'02 项目基础信息（输入）'!$C$93</f>
        <v>0</v>
      </c>
      <c r="O4153" s="212">
        <f t="shared" si="469"/>
        <v>0</v>
      </c>
      <c r="P4153" s="212">
        <f>'02 项目基础信息（输入）'!$C$93</f>
        <v>0</v>
      </c>
      <c r="Q4153" s="271">
        <f t="shared" si="470"/>
        <v>0</v>
      </c>
      <c r="S4153" s="280"/>
      <c r="T4153" s="222"/>
      <c r="U4153" s="272" t="s">
        <v>6390</v>
      </c>
    </row>
    <row r="4154" spans="1:21" ht="0" hidden="1" customHeight="1" outlineLevel="3">
      <c r="A4154" s="253" t="s">
        <v>5094</v>
      </c>
      <c r="B4154" s="253"/>
      <c r="C4154" s="202" t="s">
        <v>1609</v>
      </c>
      <c r="D4154" s="203">
        <f>'02 项目基础信息（输入）'!$C$93</f>
        <v>0</v>
      </c>
      <c r="E4154" s="204" t="s">
        <v>93</v>
      </c>
      <c r="F4154" s="250" t="s">
        <v>5095</v>
      </c>
      <c r="G4154" s="205">
        <f t="shared" si="477"/>
        <v>0</v>
      </c>
      <c r="H4154" s="255" t="s">
        <v>298</v>
      </c>
      <c r="I4154" s="213"/>
      <c r="J4154" s="255" t="s">
        <v>93</v>
      </c>
      <c r="K4154" s="355"/>
      <c r="L4154" s="205" t="s">
        <v>675</v>
      </c>
      <c r="M4154" s="198">
        <f t="shared" si="478"/>
        <v>0</v>
      </c>
      <c r="N4154" s="212">
        <f>'02 项目基础信息（输入）'!$C$93</f>
        <v>0</v>
      </c>
      <c r="O4154" s="212">
        <f t="shared" si="469"/>
        <v>0</v>
      </c>
      <c r="P4154" s="212">
        <f>'02 项目基础信息（输入）'!$C$93</f>
        <v>0</v>
      </c>
      <c r="Q4154" s="271">
        <f t="shared" si="470"/>
        <v>0</v>
      </c>
      <c r="S4154" s="280"/>
      <c r="T4154" s="222"/>
      <c r="U4154" s="272" t="s">
        <v>6391</v>
      </c>
    </row>
    <row r="4155" spans="1:21" ht="0" hidden="1" customHeight="1" outlineLevel="3">
      <c r="A4155" s="253" t="s">
        <v>5428</v>
      </c>
      <c r="B4155" s="253"/>
      <c r="C4155" s="202" t="s">
        <v>1609</v>
      </c>
      <c r="D4155" s="203">
        <f>'02 项目基础信息（输入）'!$C$93</f>
        <v>0</v>
      </c>
      <c r="E4155" s="204" t="s">
        <v>93</v>
      </c>
      <c r="F4155" s="250" t="s">
        <v>5429</v>
      </c>
      <c r="G4155" s="205">
        <f t="shared" si="477"/>
        <v>0</v>
      </c>
      <c r="H4155" s="255" t="s">
        <v>298</v>
      </c>
      <c r="I4155" s="273"/>
      <c r="J4155" s="255" t="s">
        <v>93</v>
      </c>
      <c r="K4155" s="214"/>
      <c r="L4155" s="210" t="s">
        <v>675</v>
      </c>
      <c r="M4155" s="198">
        <f t="shared" si="478"/>
        <v>0</v>
      </c>
      <c r="N4155" s="212">
        <f>'02 项目基础信息（输入）'!$C$93</f>
        <v>0</v>
      </c>
      <c r="O4155" s="212">
        <f t="shared" si="469"/>
        <v>0</v>
      </c>
      <c r="P4155" s="212">
        <f>'02 项目基础信息（输入）'!$C$93</f>
        <v>0</v>
      </c>
      <c r="Q4155" s="271">
        <f t="shared" si="470"/>
        <v>0</v>
      </c>
      <c r="S4155" s="280"/>
      <c r="T4155" s="222"/>
      <c r="U4155" s="272" t="s">
        <v>6392</v>
      </c>
    </row>
    <row r="4156" spans="1:21" ht="0" hidden="1" customHeight="1" outlineLevel="3">
      <c r="A4156" s="253" t="s">
        <v>5431</v>
      </c>
      <c r="B4156" s="253"/>
      <c r="C4156" s="202" t="s">
        <v>1609</v>
      </c>
      <c r="D4156" s="203">
        <f>'02 项目基础信息（输入）'!$C$93</f>
        <v>0</v>
      </c>
      <c r="E4156" s="204" t="s">
        <v>93</v>
      </c>
      <c r="F4156" s="250" t="s">
        <v>4781</v>
      </c>
      <c r="G4156" s="205">
        <f t="shared" si="477"/>
        <v>0</v>
      </c>
      <c r="H4156" s="255" t="s">
        <v>4606</v>
      </c>
      <c r="I4156" s="213"/>
      <c r="J4156" s="255" t="s">
        <v>1946</v>
      </c>
      <c r="K4156" s="214"/>
      <c r="L4156" s="210" t="s">
        <v>1948</v>
      </c>
      <c r="M4156" s="198">
        <f t="shared" si="478"/>
        <v>0</v>
      </c>
      <c r="N4156" s="212">
        <f>'02 项目基础信息（输入）'!$C$93</f>
        <v>0</v>
      </c>
      <c r="O4156" s="212">
        <f t="shared" si="469"/>
        <v>0</v>
      </c>
      <c r="P4156" s="212">
        <f>'02 项目基础信息（输入）'!$C$93</f>
        <v>0</v>
      </c>
      <c r="Q4156" s="271">
        <f t="shared" si="470"/>
        <v>0</v>
      </c>
      <c r="S4156" s="280"/>
      <c r="T4156" s="222"/>
      <c r="U4156" s="272" t="s">
        <v>6393</v>
      </c>
    </row>
    <row r="4157" spans="1:21" ht="0" hidden="1" customHeight="1" outlineLevel="3">
      <c r="A4157" s="253" t="s">
        <v>5433</v>
      </c>
      <c r="B4157" s="253"/>
      <c r="C4157" s="202" t="s">
        <v>1609</v>
      </c>
      <c r="D4157" s="203">
        <f>'02 项目基础信息（输入）'!$C$93</f>
        <v>0</v>
      </c>
      <c r="E4157" s="204" t="s">
        <v>93</v>
      </c>
      <c r="F4157" s="250" t="s">
        <v>4781</v>
      </c>
      <c r="G4157" s="205">
        <f t="shared" si="477"/>
        <v>0</v>
      </c>
      <c r="H4157" s="255" t="s">
        <v>4606</v>
      </c>
      <c r="I4157" s="213"/>
      <c r="J4157" s="255" t="s">
        <v>1946</v>
      </c>
      <c r="K4157" s="214"/>
      <c r="L4157" s="210" t="s">
        <v>1948</v>
      </c>
      <c r="M4157" s="198">
        <f t="shared" si="478"/>
        <v>0</v>
      </c>
      <c r="N4157" s="212">
        <f>'02 项目基础信息（输入）'!$C$93</f>
        <v>0</v>
      </c>
      <c r="O4157" s="212">
        <f t="shared" si="469"/>
        <v>0</v>
      </c>
      <c r="P4157" s="212">
        <f>'02 项目基础信息（输入）'!$C$93</f>
        <v>0</v>
      </c>
      <c r="Q4157" s="271">
        <f t="shared" si="470"/>
        <v>0</v>
      </c>
      <c r="S4157" s="280"/>
      <c r="T4157" s="222"/>
      <c r="U4157" s="272" t="s">
        <v>6394</v>
      </c>
    </row>
    <row r="4158" spans="1:21" ht="0" hidden="1" customHeight="1" outlineLevel="3">
      <c r="A4158" s="253" t="s">
        <v>5435</v>
      </c>
      <c r="B4158" s="253"/>
      <c r="C4158" s="202" t="s">
        <v>1609</v>
      </c>
      <c r="D4158" s="203">
        <f>'02 项目基础信息（输入）'!$C$93</f>
        <v>0</v>
      </c>
      <c r="E4158" s="204" t="s">
        <v>93</v>
      </c>
      <c r="F4158" s="250" t="s">
        <v>4781</v>
      </c>
      <c r="G4158" s="205">
        <f t="shared" si="477"/>
        <v>0</v>
      </c>
      <c r="H4158" s="255" t="s">
        <v>4606</v>
      </c>
      <c r="I4158" s="213"/>
      <c r="J4158" s="255" t="s">
        <v>1946</v>
      </c>
      <c r="K4158" s="355"/>
      <c r="L4158" s="210" t="s">
        <v>1948</v>
      </c>
      <c r="M4158" s="198">
        <f t="shared" si="478"/>
        <v>0</v>
      </c>
      <c r="N4158" s="212">
        <f>'02 项目基础信息（输入）'!$C$93</f>
        <v>0</v>
      </c>
      <c r="O4158" s="212">
        <f t="shared" si="469"/>
        <v>0</v>
      </c>
      <c r="P4158" s="212">
        <f>'02 项目基础信息（输入）'!$C$93</f>
        <v>0</v>
      </c>
      <c r="Q4158" s="271">
        <f t="shared" si="470"/>
        <v>0</v>
      </c>
      <c r="S4158" s="280"/>
      <c r="T4158" s="222"/>
      <c r="U4158" s="272" t="s">
        <v>6395</v>
      </c>
    </row>
    <row r="4159" spans="1:21" ht="0" hidden="1" customHeight="1" outlineLevel="3">
      <c r="A4159" s="253" t="s">
        <v>5437</v>
      </c>
      <c r="B4159" s="253"/>
      <c r="C4159" s="202" t="s">
        <v>1609</v>
      </c>
      <c r="D4159" s="203">
        <f>'02 项目基础信息（输入）'!$C$93</f>
        <v>0</v>
      </c>
      <c r="E4159" s="204" t="s">
        <v>93</v>
      </c>
      <c r="F4159" s="202" t="s">
        <v>1609</v>
      </c>
      <c r="G4159" s="255">
        <v>1</v>
      </c>
      <c r="H4159" s="255" t="s">
        <v>298</v>
      </c>
      <c r="I4159" s="268">
        <f>G4159*D4159</f>
        <v>0</v>
      </c>
      <c r="J4159" s="255" t="s">
        <v>93</v>
      </c>
      <c r="K4159" s="355"/>
      <c r="L4159" s="205" t="s">
        <v>675</v>
      </c>
      <c r="M4159" s="198">
        <f t="shared" si="478"/>
        <v>0</v>
      </c>
      <c r="N4159" s="212">
        <f>'02 项目基础信息（输入）'!$C$93</f>
        <v>0</v>
      </c>
      <c r="O4159" s="212">
        <f t="shared" si="469"/>
        <v>0</v>
      </c>
      <c r="P4159" s="212">
        <f>'02 项目基础信息（输入）'!$C$93</f>
        <v>0</v>
      </c>
      <c r="Q4159" s="271">
        <f t="shared" si="470"/>
        <v>0</v>
      </c>
      <c r="S4159" s="280"/>
      <c r="T4159" s="222"/>
      <c r="U4159" s="272" t="s">
        <v>6396</v>
      </c>
    </row>
    <row r="4160" spans="1:21" ht="0" hidden="1" customHeight="1" outlineLevel="3">
      <c r="A4160" s="253" t="s">
        <v>5439</v>
      </c>
      <c r="B4160" s="253"/>
      <c r="C4160" s="202" t="s">
        <v>1609</v>
      </c>
      <c r="D4160" s="203">
        <f>'02 项目基础信息（输入）'!$C$93</f>
        <v>0</v>
      </c>
      <c r="E4160" s="204" t="s">
        <v>93</v>
      </c>
      <c r="F4160" s="256"/>
      <c r="G4160" s="255"/>
      <c r="H4160" s="255"/>
      <c r="I4160" s="212"/>
      <c r="J4160" s="255"/>
      <c r="K4160" s="231"/>
      <c r="L4160" s="205"/>
      <c r="M4160" s="198">
        <f>ROUND(SUM(M4161:M4162),6)</f>
        <v>0</v>
      </c>
      <c r="N4160" s="212">
        <f>'02 项目基础信息（输入）'!$C$93</f>
        <v>0</v>
      </c>
      <c r="O4160" s="212">
        <f t="shared" si="469"/>
        <v>0</v>
      </c>
      <c r="P4160" s="212">
        <f>'02 项目基础信息（输入）'!$C$93</f>
        <v>0</v>
      </c>
      <c r="Q4160" s="271">
        <f t="shared" si="470"/>
        <v>0</v>
      </c>
      <c r="S4160" s="280"/>
      <c r="T4160" s="222"/>
      <c r="U4160" s="272" t="s">
        <v>6397</v>
      </c>
    </row>
    <row r="4161" spans="1:21" ht="0" hidden="1" customHeight="1" outlineLevel="4">
      <c r="A4161" s="201" t="s">
        <v>5441</v>
      </c>
      <c r="B4161" s="249"/>
      <c r="C4161" s="288" t="s">
        <v>304</v>
      </c>
      <c r="D4161" s="273">
        <f>'02 项目基础信息（输入）'!BU93</f>
        <v>0</v>
      </c>
      <c r="E4161" s="255" t="s">
        <v>167</v>
      </c>
      <c r="F4161" s="256" t="s">
        <v>5442</v>
      </c>
      <c r="G4161" s="356"/>
      <c r="H4161" s="255" t="s">
        <v>1270</v>
      </c>
      <c r="I4161" s="268">
        <f>G4161*D4161</f>
        <v>0</v>
      </c>
      <c r="J4161" s="255" t="s">
        <v>2198</v>
      </c>
      <c r="K4161" s="355"/>
      <c r="L4161" s="205" t="s">
        <v>841</v>
      </c>
      <c r="M4161" s="198">
        <f>ROUND(I4161*K4161/10000,6)</f>
        <v>0</v>
      </c>
      <c r="N4161" s="212">
        <f>'02 项目基础信息（输入）'!$C$93</f>
        <v>0</v>
      </c>
      <c r="O4161" s="212">
        <f t="shared" si="469"/>
        <v>0</v>
      </c>
      <c r="P4161" s="212">
        <f>'02 项目基础信息（输入）'!$C$93</f>
        <v>0</v>
      </c>
      <c r="Q4161" s="271">
        <f t="shared" si="470"/>
        <v>0</v>
      </c>
      <c r="S4161" s="280"/>
      <c r="T4161" s="222"/>
      <c r="U4161" s="272" t="s">
        <v>6398</v>
      </c>
    </row>
    <row r="4162" spans="1:21" ht="0" hidden="1" customHeight="1" outlineLevel="4">
      <c r="A4162" s="201" t="s">
        <v>5444</v>
      </c>
      <c r="B4162" s="249"/>
      <c r="C4162" s="288" t="s">
        <v>304</v>
      </c>
      <c r="D4162" s="203">
        <f>D4161</f>
        <v>0</v>
      </c>
      <c r="E4162" s="255" t="s">
        <v>167</v>
      </c>
      <c r="F4162" s="256" t="s">
        <v>5442</v>
      </c>
      <c r="G4162" s="255">
        <f>G4161</f>
        <v>0</v>
      </c>
      <c r="H4162" s="255" t="s">
        <v>1270</v>
      </c>
      <c r="I4162" s="268">
        <f>G4162*D4162</f>
        <v>0</v>
      </c>
      <c r="J4162" s="255" t="s">
        <v>2198</v>
      </c>
      <c r="K4162" s="355"/>
      <c r="L4162" s="205" t="s">
        <v>841</v>
      </c>
      <c r="M4162" s="198">
        <f>ROUND(I4162*K4162/10000,6)</f>
        <v>0</v>
      </c>
      <c r="N4162" s="212">
        <f>'02 项目基础信息（输入）'!$C$93</f>
        <v>0</v>
      </c>
      <c r="O4162" s="212">
        <f t="shared" si="469"/>
        <v>0</v>
      </c>
      <c r="P4162" s="212">
        <f>'02 项目基础信息（输入）'!$C$93</f>
        <v>0</v>
      </c>
      <c r="Q4162" s="271">
        <f t="shared" si="470"/>
        <v>0</v>
      </c>
      <c r="S4162" s="280"/>
      <c r="T4162" s="222"/>
      <c r="U4162" s="272" t="s">
        <v>6399</v>
      </c>
    </row>
    <row r="4163" spans="1:21" ht="0" hidden="1" customHeight="1" outlineLevel="3">
      <c r="A4163" s="253" t="s">
        <v>4796</v>
      </c>
      <c r="B4163" s="253"/>
      <c r="C4163" s="202" t="s">
        <v>1609</v>
      </c>
      <c r="D4163" s="203">
        <f>'02 项目基础信息（输入）'!$C$93</f>
        <v>0</v>
      </c>
      <c r="E4163" s="204" t="s">
        <v>93</v>
      </c>
      <c r="F4163" s="202" t="s">
        <v>1609</v>
      </c>
      <c r="G4163" s="204">
        <v>1</v>
      </c>
      <c r="H4163" s="204" t="s">
        <v>298</v>
      </c>
      <c r="I4163" s="268">
        <f>G4163*D4163</f>
        <v>0</v>
      </c>
      <c r="J4163" s="204" t="s">
        <v>93</v>
      </c>
      <c r="K4163" s="214"/>
      <c r="L4163" s="210" t="s">
        <v>675</v>
      </c>
      <c r="M4163" s="198">
        <f>ROUND(K4163*I4163/10000,6)</f>
        <v>0</v>
      </c>
      <c r="N4163" s="212">
        <f>'02 项目基础信息（输入）'!$C$93</f>
        <v>0</v>
      </c>
      <c r="O4163" s="212">
        <f t="shared" ref="O4163:O4226" si="479">ROUND(IFERROR(M4163*10000/N4163,0),2)</f>
        <v>0</v>
      </c>
      <c r="P4163" s="212">
        <f>'02 项目基础信息（输入）'!$C$93</f>
        <v>0</v>
      </c>
      <c r="Q4163" s="271">
        <f t="shared" ref="Q4163:Q4226" si="480">ROUND(IFERROR(M4163*10000/P4163,0),2)</f>
        <v>0</v>
      </c>
      <c r="S4163" s="280"/>
      <c r="T4163" s="222"/>
      <c r="U4163" s="272" t="s">
        <v>6400</v>
      </c>
    </row>
    <row r="4164" spans="1:21" ht="20.25" customHeight="1" outlineLevel="1">
      <c r="A4164" s="196" t="s">
        <v>6401</v>
      </c>
      <c r="B4164" s="196"/>
      <c r="C4164" s="197" t="s">
        <v>256</v>
      </c>
      <c r="D4164" s="198">
        <f>'02 项目基础信息（输入）'!$D$4</f>
        <v>74626.7546</v>
      </c>
      <c r="E4164" s="199" t="s">
        <v>93</v>
      </c>
      <c r="F4164" s="197"/>
      <c r="G4164" s="199"/>
      <c r="H4164" s="199"/>
      <c r="I4164" s="197"/>
      <c r="J4164" s="199"/>
      <c r="K4164" s="197"/>
      <c r="L4164" s="209"/>
      <c r="M4164" s="198">
        <f>ROUND(M4165+M4170+M4173+M4181+M4186+M4188,6)</f>
        <v>3162.252962</v>
      </c>
      <c r="N4164" s="198">
        <f>'02 项目基础信息（输入）'!$D$4</f>
        <v>74626.7546</v>
      </c>
      <c r="O4164" s="198">
        <f t="shared" si="479"/>
        <v>423.74</v>
      </c>
      <c r="P4164" s="198">
        <f>'02 项目基础信息（输入）'!$H$69+N4164</f>
        <v>74626.7546</v>
      </c>
      <c r="Q4164" s="233">
        <f t="shared" si="480"/>
        <v>423.74</v>
      </c>
      <c r="S4164" s="280" t="s">
        <v>1312</v>
      </c>
      <c r="U4164" s="220" t="s">
        <v>6402</v>
      </c>
    </row>
    <row r="4165" spans="1:21" ht="20.25" customHeight="1" outlineLevel="2" collapsed="1">
      <c r="A4165" s="192" t="s">
        <v>6403</v>
      </c>
      <c r="B4165" s="192"/>
      <c r="C4165" s="197" t="s">
        <v>256</v>
      </c>
      <c r="D4165" s="198">
        <f>'02 项目基础信息（输入）'!$D$4</f>
        <v>74626.7546</v>
      </c>
      <c r="E4165" s="199" t="s">
        <v>93</v>
      </c>
      <c r="F4165" s="197"/>
      <c r="G4165" s="199"/>
      <c r="H4165" s="199"/>
      <c r="I4165" s="197"/>
      <c r="J4165" s="199"/>
      <c r="K4165" s="197"/>
      <c r="L4165" s="209"/>
      <c r="M4165" s="198">
        <f>ROUND(SUM(M4166:M4169),6)</f>
        <v>561.55333199999995</v>
      </c>
      <c r="N4165" s="198">
        <f>'02 项目基础信息（输入）'!$D$4</f>
        <v>74626.7546</v>
      </c>
      <c r="O4165" s="198">
        <f t="shared" si="479"/>
        <v>75.25</v>
      </c>
      <c r="P4165" s="198">
        <f>'02 项目基础信息（输入）'!$H$69+N4165</f>
        <v>74626.7546</v>
      </c>
      <c r="Q4165" s="233">
        <f t="shared" si="480"/>
        <v>75.25</v>
      </c>
      <c r="S4165" s="280"/>
      <c r="U4165" s="220" t="s">
        <v>6404</v>
      </c>
    </row>
    <row r="4166" spans="1:21" ht="20.25" hidden="1" customHeight="1" outlineLevel="3">
      <c r="A4166" s="192" t="s">
        <v>6405</v>
      </c>
      <c r="B4166" s="192"/>
      <c r="C4166" s="197" t="s">
        <v>256</v>
      </c>
      <c r="D4166" s="198">
        <f>'02 项目基础信息（输入）'!$D$4</f>
        <v>74626.7546</v>
      </c>
      <c r="E4166" s="199" t="s">
        <v>93</v>
      </c>
      <c r="F4166" s="197" t="s">
        <v>256</v>
      </c>
      <c r="G4166" s="199">
        <v>1</v>
      </c>
      <c r="H4166" s="199" t="s">
        <v>298</v>
      </c>
      <c r="I4166" s="198">
        <f>G4166*D4166</f>
        <v>74626.7546</v>
      </c>
      <c r="J4166" s="199" t="s">
        <v>93</v>
      </c>
      <c r="K4166" s="699">
        <f>苏州园区配套参考!F6</f>
        <v>75.248258459185621</v>
      </c>
      <c r="L4166" s="209" t="s">
        <v>675</v>
      </c>
      <c r="M4166" s="207">
        <f>ROUND(K4166*I4166/10000,6)</f>
        <v>561.55333199999995</v>
      </c>
      <c r="N4166" s="198">
        <f>'02 项目基础信息（输入）'!$D$4</f>
        <v>74626.7546</v>
      </c>
      <c r="O4166" s="198">
        <f t="shared" si="479"/>
        <v>75.25</v>
      </c>
      <c r="P4166" s="198">
        <f>'02 项目基础信息（输入）'!$H$69+N4166</f>
        <v>74626.7546</v>
      </c>
      <c r="Q4166" s="233">
        <f t="shared" si="480"/>
        <v>75.25</v>
      </c>
      <c r="S4166" s="280"/>
      <c r="U4166" s="220" t="s">
        <v>6406</v>
      </c>
    </row>
    <row r="4167" spans="1:21" ht="20.25" hidden="1" customHeight="1" outlineLevel="3">
      <c r="A4167" s="192" t="s">
        <v>6407</v>
      </c>
      <c r="B4167" s="192"/>
      <c r="C4167" s="197" t="s">
        <v>256</v>
      </c>
      <c r="D4167" s="198">
        <f>'02 项目基础信息（输入）'!$D$4</f>
        <v>74626.7546</v>
      </c>
      <c r="E4167" s="199" t="s">
        <v>93</v>
      </c>
      <c r="F4167" s="197" t="s">
        <v>256</v>
      </c>
      <c r="G4167" s="199">
        <v>1</v>
      </c>
      <c r="H4167" s="199" t="s">
        <v>298</v>
      </c>
      <c r="I4167" s="198">
        <f>G4167*D4167</f>
        <v>74626.7546</v>
      </c>
      <c r="J4167" s="199" t="s">
        <v>93</v>
      </c>
      <c r="K4167" s="699"/>
      <c r="L4167" s="209" t="s">
        <v>675</v>
      </c>
      <c r="M4167" s="207">
        <f>ROUND(K4167*I4167/10000,6)</f>
        <v>0</v>
      </c>
      <c r="N4167" s="198">
        <f>'02 项目基础信息（输入）'!$D$4</f>
        <v>74626.7546</v>
      </c>
      <c r="O4167" s="198">
        <f t="shared" si="479"/>
        <v>0</v>
      </c>
      <c r="P4167" s="198">
        <f>'02 项目基础信息（输入）'!$H$69+N4167</f>
        <v>74626.7546</v>
      </c>
      <c r="Q4167" s="233">
        <f t="shared" si="480"/>
        <v>0</v>
      </c>
      <c r="S4167" s="280"/>
      <c r="U4167" s="220" t="s">
        <v>6408</v>
      </c>
    </row>
    <row r="4168" spans="1:21" ht="20.25" hidden="1" customHeight="1" outlineLevel="3">
      <c r="A4168" s="192" t="s">
        <v>6409</v>
      </c>
      <c r="B4168" s="192"/>
      <c r="C4168" s="197" t="s">
        <v>256</v>
      </c>
      <c r="D4168" s="198">
        <f>'02 项目基础信息（输入）'!$D$4</f>
        <v>74626.7546</v>
      </c>
      <c r="E4168" s="199" t="s">
        <v>93</v>
      </c>
      <c r="F4168" s="197" t="s">
        <v>256</v>
      </c>
      <c r="G4168" s="199">
        <v>1</v>
      </c>
      <c r="H4168" s="199" t="s">
        <v>298</v>
      </c>
      <c r="I4168" s="198">
        <f>G4168*D4168</f>
        <v>74626.7546</v>
      </c>
      <c r="J4168" s="199" t="s">
        <v>93</v>
      </c>
      <c r="K4168" s="699"/>
      <c r="L4168" s="209" t="s">
        <v>675</v>
      </c>
      <c r="M4168" s="207">
        <f>ROUND(K4168*I4168/10000,6)</f>
        <v>0</v>
      </c>
      <c r="N4168" s="198">
        <f>'02 项目基础信息（输入）'!$D$4</f>
        <v>74626.7546</v>
      </c>
      <c r="O4168" s="198">
        <f t="shared" si="479"/>
        <v>0</v>
      </c>
      <c r="P4168" s="198">
        <f>'02 项目基础信息（输入）'!$H$69+N4168</f>
        <v>74626.7546</v>
      </c>
      <c r="Q4168" s="233">
        <f t="shared" si="480"/>
        <v>0</v>
      </c>
      <c r="S4168" s="280"/>
      <c r="U4168" s="220" t="s">
        <v>6410</v>
      </c>
    </row>
    <row r="4169" spans="1:21" ht="20.25" hidden="1" customHeight="1" outlineLevel="3">
      <c r="A4169" s="192" t="s">
        <v>6411</v>
      </c>
      <c r="B4169" s="192"/>
      <c r="C4169" s="197" t="s">
        <v>256</v>
      </c>
      <c r="D4169" s="198">
        <f>'02 项目基础信息（输入）'!$D$4</f>
        <v>74626.7546</v>
      </c>
      <c r="E4169" s="199" t="s">
        <v>93</v>
      </c>
      <c r="F4169" s="197" t="s">
        <v>256</v>
      </c>
      <c r="G4169" s="199">
        <v>1</v>
      </c>
      <c r="H4169" s="199" t="s">
        <v>298</v>
      </c>
      <c r="I4169" s="198">
        <f>G4169*D4169</f>
        <v>74626.7546</v>
      </c>
      <c r="J4169" s="199" t="s">
        <v>93</v>
      </c>
      <c r="K4169" s="699"/>
      <c r="L4169" s="209" t="s">
        <v>675</v>
      </c>
      <c r="M4169" s="207">
        <f>ROUND(K4169*I4169/10000,6)</f>
        <v>0</v>
      </c>
      <c r="N4169" s="198">
        <f>'02 项目基础信息（输入）'!$D$4</f>
        <v>74626.7546</v>
      </c>
      <c r="O4169" s="198">
        <f t="shared" si="479"/>
        <v>0</v>
      </c>
      <c r="P4169" s="198">
        <f>'02 项目基础信息（输入）'!$H$69+N4169</f>
        <v>74626.7546</v>
      </c>
      <c r="Q4169" s="233">
        <f t="shared" si="480"/>
        <v>0</v>
      </c>
      <c r="S4169" s="280"/>
      <c r="U4169" s="220" t="s">
        <v>6412</v>
      </c>
    </row>
    <row r="4170" spans="1:21" ht="20.25" customHeight="1" outlineLevel="2" collapsed="1">
      <c r="A4170" s="192" t="s">
        <v>6413</v>
      </c>
      <c r="B4170" s="192"/>
      <c r="C4170" s="197" t="s">
        <v>256</v>
      </c>
      <c r="D4170" s="198">
        <f>'02 项目基础信息（输入）'!$D$4</f>
        <v>74626.7546</v>
      </c>
      <c r="E4170" s="199" t="s">
        <v>93</v>
      </c>
      <c r="F4170" s="197"/>
      <c r="G4170" s="199"/>
      <c r="H4170" s="199"/>
      <c r="I4170" s="197"/>
      <c r="J4170" s="199"/>
      <c r="K4170" s="197"/>
      <c r="L4170" s="209"/>
      <c r="M4170" s="198">
        <f>ROUND(SUM(M4171:M4172),6)</f>
        <v>274.88393000000002</v>
      </c>
      <c r="N4170" s="198">
        <f>'02 项目基础信息（输入）'!$D$4</f>
        <v>74626.7546</v>
      </c>
      <c r="O4170" s="198">
        <f t="shared" si="479"/>
        <v>36.83</v>
      </c>
      <c r="P4170" s="198">
        <f>'02 项目基础信息（输入）'!$H$69+N4170</f>
        <v>74626.7546</v>
      </c>
      <c r="Q4170" s="233">
        <f t="shared" si="480"/>
        <v>36.83</v>
      </c>
      <c r="S4170" s="280"/>
      <c r="U4170" s="220" t="s">
        <v>6414</v>
      </c>
    </row>
    <row r="4171" spans="1:21" ht="20.25" hidden="1" customHeight="1" outlineLevel="3">
      <c r="A4171" s="192" t="s">
        <v>6415</v>
      </c>
      <c r="B4171" s="192"/>
      <c r="C4171" s="197" t="s">
        <v>256</v>
      </c>
      <c r="D4171" s="198">
        <f>'02 项目基础信息（输入）'!$D$4</f>
        <v>74626.7546</v>
      </c>
      <c r="E4171" s="199" t="s">
        <v>93</v>
      </c>
      <c r="F4171" s="197" t="s">
        <v>256</v>
      </c>
      <c r="G4171" s="199">
        <v>1</v>
      </c>
      <c r="H4171" s="199" t="s">
        <v>298</v>
      </c>
      <c r="I4171" s="198">
        <f>G4171*D4171</f>
        <v>74626.7546</v>
      </c>
      <c r="J4171" s="199" t="s">
        <v>93</v>
      </c>
      <c r="K4171" s="699">
        <f>苏州园区配套参考!F9</f>
        <v>36.834501485897007</v>
      </c>
      <c r="L4171" s="209" t="s">
        <v>675</v>
      </c>
      <c r="M4171" s="207">
        <f>ROUND(K4171*I4171/10000,6)</f>
        <v>274.88393000000002</v>
      </c>
      <c r="N4171" s="198">
        <f>'02 项目基础信息（输入）'!$D$4</f>
        <v>74626.7546</v>
      </c>
      <c r="O4171" s="198">
        <f t="shared" si="479"/>
        <v>36.83</v>
      </c>
      <c r="P4171" s="198">
        <f>'02 项目基础信息（输入）'!$H$69+N4171</f>
        <v>74626.7546</v>
      </c>
      <c r="Q4171" s="233">
        <f t="shared" si="480"/>
        <v>36.83</v>
      </c>
      <c r="S4171" s="280"/>
      <c r="U4171" s="220" t="s">
        <v>6416</v>
      </c>
    </row>
    <row r="4172" spans="1:21" ht="20.25" hidden="1" customHeight="1" outlineLevel="3">
      <c r="A4172" s="192" t="s">
        <v>6417</v>
      </c>
      <c r="B4172" s="192"/>
      <c r="C4172" s="197" t="s">
        <v>256</v>
      </c>
      <c r="D4172" s="198">
        <f>'02 项目基础信息（输入）'!$D$4</f>
        <v>74626.7546</v>
      </c>
      <c r="E4172" s="199" t="s">
        <v>93</v>
      </c>
      <c r="F4172" s="197" t="s">
        <v>256</v>
      </c>
      <c r="G4172" s="199">
        <v>1</v>
      </c>
      <c r="H4172" s="199" t="s">
        <v>298</v>
      </c>
      <c r="I4172" s="198">
        <f>G4172*D4172</f>
        <v>74626.7546</v>
      </c>
      <c r="J4172" s="199" t="s">
        <v>93</v>
      </c>
      <c r="K4172" s="699"/>
      <c r="L4172" s="209" t="s">
        <v>675</v>
      </c>
      <c r="M4172" s="207">
        <f>ROUND(K4172*I4172/10000,6)</f>
        <v>0</v>
      </c>
      <c r="N4172" s="198">
        <f>'02 项目基础信息（输入）'!$D$4</f>
        <v>74626.7546</v>
      </c>
      <c r="O4172" s="198">
        <f t="shared" si="479"/>
        <v>0</v>
      </c>
      <c r="P4172" s="198">
        <f>'02 项目基础信息（输入）'!$H$69+N4172</f>
        <v>74626.7546</v>
      </c>
      <c r="Q4172" s="233">
        <f t="shared" si="480"/>
        <v>0</v>
      </c>
      <c r="S4172" s="280"/>
      <c r="U4172" s="220" t="s">
        <v>6418</v>
      </c>
    </row>
    <row r="4173" spans="1:21" ht="20.25" customHeight="1" outlineLevel="2" collapsed="1">
      <c r="A4173" s="192" t="s">
        <v>6419</v>
      </c>
      <c r="B4173" s="192"/>
      <c r="C4173" s="197" t="s">
        <v>256</v>
      </c>
      <c r="D4173" s="198">
        <f>'02 项目基础信息（输入）'!$D$4</f>
        <v>74626.7546</v>
      </c>
      <c r="E4173" s="199" t="s">
        <v>93</v>
      </c>
      <c r="F4173" s="197"/>
      <c r="G4173" s="199"/>
      <c r="H4173" s="199"/>
      <c r="I4173" s="197"/>
      <c r="J4173" s="199"/>
      <c r="K4173" s="197"/>
      <c r="L4173" s="209"/>
      <c r="M4173" s="198">
        <f>ROUND(SUM(M4174:M4180),6)</f>
        <v>2139.2009480000002</v>
      </c>
      <c r="N4173" s="198">
        <f>'02 项目基础信息（输入）'!$D$4</f>
        <v>74626.7546</v>
      </c>
      <c r="O4173" s="198">
        <f t="shared" si="479"/>
        <v>286.64999999999998</v>
      </c>
      <c r="P4173" s="198">
        <f>'02 项目基础信息（输入）'!$H$69+N4173</f>
        <v>74626.7546</v>
      </c>
      <c r="Q4173" s="233">
        <f t="shared" si="480"/>
        <v>286.64999999999998</v>
      </c>
      <c r="S4173" s="280"/>
      <c r="U4173" s="220" t="s">
        <v>6420</v>
      </c>
    </row>
    <row r="4174" spans="1:21" ht="20.25" hidden="1" customHeight="1" outlineLevel="3">
      <c r="A4174" s="192" t="s">
        <v>6421</v>
      </c>
      <c r="B4174" s="192"/>
      <c r="C4174" s="197" t="s">
        <v>393</v>
      </c>
      <c r="D4174" s="197">
        <f>'02 项目基础信息（输入）'!$D$18</f>
        <v>0</v>
      </c>
      <c r="E4174" s="199" t="s">
        <v>394</v>
      </c>
      <c r="F4174" s="197" t="s">
        <v>393</v>
      </c>
      <c r="G4174" s="199">
        <v>1</v>
      </c>
      <c r="H4174" s="199" t="s">
        <v>6422</v>
      </c>
      <c r="I4174" s="198">
        <f t="shared" ref="I4174:I4180" si="481">G4174*D4174</f>
        <v>0</v>
      </c>
      <c r="J4174" s="199" t="s">
        <v>93</v>
      </c>
      <c r="K4174" s="699"/>
      <c r="L4174" s="209" t="s">
        <v>675</v>
      </c>
      <c r="M4174" s="207">
        <f t="shared" ref="M4174:M4180" si="482">ROUND(K4174*I4174/10000,6)</f>
        <v>0</v>
      </c>
      <c r="N4174" s="198">
        <f>'02 项目基础信息（输入）'!$D$4</f>
        <v>74626.7546</v>
      </c>
      <c r="O4174" s="198">
        <f t="shared" si="479"/>
        <v>0</v>
      </c>
      <c r="P4174" s="198">
        <f>'02 项目基础信息（输入）'!$H$69+N4174</f>
        <v>74626.7546</v>
      </c>
      <c r="Q4174" s="233">
        <f t="shared" si="480"/>
        <v>0</v>
      </c>
      <c r="S4174" s="280"/>
      <c r="U4174" s="220" t="s">
        <v>6423</v>
      </c>
    </row>
    <row r="4175" spans="1:21" ht="20.25" hidden="1" customHeight="1" outlineLevel="3">
      <c r="A4175" s="192" t="s">
        <v>6424</v>
      </c>
      <c r="B4175" s="192"/>
      <c r="C4175" s="197" t="s">
        <v>256</v>
      </c>
      <c r="D4175" s="198">
        <f>'02 项目基础信息（输入）'!$D$4</f>
        <v>74626.7546</v>
      </c>
      <c r="E4175" s="199" t="s">
        <v>93</v>
      </c>
      <c r="F4175" s="197" t="s">
        <v>6425</v>
      </c>
      <c r="G4175" s="199">
        <v>1</v>
      </c>
      <c r="H4175" s="199" t="s">
        <v>298</v>
      </c>
      <c r="I4175" s="198">
        <f t="shared" si="481"/>
        <v>74626.7546</v>
      </c>
      <c r="J4175" s="199" t="s">
        <v>93</v>
      </c>
      <c r="K4175" s="699">
        <f>苏州园区配套参考!F20</f>
        <v>286.65335367824679</v>
      </c>
      <c r="L4175" s="209" t="s">
        <v>675</v>
      </c>
      <c r="M4175" s="207">
        <f t="shared" si="482"/>
        <v>2139.2009480000002</v>
      </c>
      <c r="N4175" s="198">
        <f>'02 项目基础信息（输入）'!$D$4</f>
        <v>74626.7546</v>
      </c>
      <c r="O4175" s="198">
        <f t="shared" si="479"/>
        <v>286.64999999999998</v>
      </c>
      <c r="P4175" s="198">
        <f>'02 项目基础信息（输入）'!$H$69+N4175</f>
        <v>74626.7546</v>
      </c>
      <c r="Q4175" s="233">
        <f t="shared" si="480"/>
        <v>286.64999999999998</v>
      </c>
      <c r="S4175" s="280"/>
      <c r="U4175" s="220" t="s">
        <v>6426</v>
      </c>
    </row>
    <row r="4176" spans="1:21" ht="20.25" hidden="1" customHeight="1" outlineLevel="3">
      <c r="A4176" s="192" t="s">
        <v>6427</v>
      </c>
      <c r="B4176" s="192"/>
      <c r="C4176" s="197" t="s">
        <v>263</v>
      </c>
      <c r="D4176" s="198">
        <f>'02 项目基础信息（输入）'!$D$4-'02 项目基础信息（输入）'!$C$32</f>
        <v>52694.834600000002</v>
      </c>
      <c r="E4176" s="199" t="s">
        <v>93</v>
      </c>
      <c r="F4176" s="197" t="s">
        <v>6428</v>
      </c>
      <c r="G4176" s="701" t="s">
        <v>717</v>
      </c>
      <c r="H4176" s="199" t="s">
        <v>298</v>
      </c>
      <c r="I4176" s="198">
        <f t="shared" si="481"/>
        <v>0</v>
      </c>
      <c r="J4176" s="199" t="s">
        <v>93</v>
      </c>
      <c r="K4176" s="699"/>
      <c r="L4176" s="209" t="s">
        <v>675</v>
      </c>
      <c r="M4176" s="207">
        <f t="shared" si="482"/>
        <v>0</v>
      </c>
      <c r="N4176" s="198">
        <f>'02 项目基础信息（输入）'!$D$4</f>
        <v>74626.7546</v>
      </c>
      <c r="O4176" s="198">
        <f t="shared" si="479"/>
        <v>0</v>
      </c>
      <c r="P4176" s="198">
        <f>'02 项目基础信息（输入）'!$H$69+N4176</f>
        <v>74626.7546</v>
      </c>
      <c r="Q4176" s="233">
        <f t="shared" si="480"/>
        <v>0</v>
      </c>
      <c r="S4176" s="280"/>
      <c r="U4176" s="220" t="s">
        <v>6429</v>
      </c>
    </row>
    <row r="4177" spans="1:21" ht="20.25" hidden="1" customHeight="1" outlineLevel="3">
      <c r="A4177" s="192" t="s">
        <v>6430</v>
      </c>
      <c r="B4177" s="192"/>
      <c r="C4177" s="197" t="s">
        <v>263</v>
      </c>
      <c r="D4177" s="198">
        <f>'02 项目基础信息（输入）'!$D$4-'02 项目基础信息（输入）'!$C$32</f>
        <v>52694.834600000002</v>
      </c>
      <c r="E4177" s="199" t="s">
        <v>93</v>
      </c>
      <c r="F4177" s="197" t="s">
        <v>6431</v>
      </c>
      <c r="G4177" s="701" t="s">
        <v>717</v>
      </c>
      <c r="H4177" s="199" t="s">
        <v>298</v>
      </c>
      <c r="I4177" s="198">
        <f t="shared" si="481"/>
        <v>0</v>
      </c>
      <c r="J4177" s="199" t="s">
        <v>93</v>
      </c>
      <c r="K4177" s="699"/>
      <c r="L4177" s="209" t="s">
        <v>675</v>
      </c>
      <c r="M4177" s="207">
        <f t="shared" si="482"/>
        <v>0</v>
      </c>
      <c r="N4177" s="198">
        <f>'02 项目基础信息（输入）'!$D$4</f>
        <v>74626.7546</v>
      </c>
      <c r="O4177" s="198">
        <f t="shared" si="479"/>
        <v>0</v>
      </c>
      <c r="P4177" s="198">
        <f>'02 项目基础信息（输入）'!$H$69+N4177</f>
        <v>74626.7546</v>
      </c>
      <c r="Q4177" s="233">
        <f t="shared" si="480"/>
        <v>0</v>
      </c>
      <c r="S4177" s="280"/>
      <c r="U4177" s="220" t="s">
        <v>6432</v>
      </c>
    </row>
    <row r="4178" spans="1:21" ht="20.25" hidden="1" customHeight="1" outlineLevel="3">
      <c r="A4178" s="192" t="s">
        <v>6433</v>
      </c>
      <c r="B4178" s="192"/>
      <c r="C4178" s="197" t="s">
        <v>256</v>
      </c>
      <c r="D4178" s="198">
        <f>'02 项目基础信息（输入）'!$D$4</f>
        <v>74626.7546</v>
      </c>
      <c r="E4178" s="199" t="s">
        <v>93</v>
      </c>
      <c r="F4178" s="197" t="s">
        <v>256</v>
      </c>
      <c r="G4178" s="199">
        <v>1</v>
      </c>
      <c r="H4178" s="199" t="s">
        <v>298</v>
      </c>
      <c r="I4178" s="198">
        <f t="shared" si="481"/>
        <v>74626.7546</v>
      </c>
      <c r="J4178" s="199" t="s">
        <v>93</v>
      </c>
      <c r="K4178" s="699"/>
      <c r="L4178" s="209" t="s">
        <v>675</v>
      </c>
      <c r="M4178" s="207">
        <f t="shared" si="482"/>
        <v>0</v>
      </c>
      <c r="N4178" s="198">
        <f>'02 项目基础信息（输入）'!$D$4</f>
        <v>74626.7546</v>
      </c>
      <c r="O4178" s="198">
        <f t="shared" si="479"/>
        <v>0</v>
      </c>
      <c r="P4178" s="198">
        <f>'02 项目基础信息（输入）'!$H$69+N4178</f>
        <v>74626.7546</v>
      </c>
      <c r="Q4178" s="233">
        <f t="shared" si="480"/>
        <v>0</v>
      </c>
      <c r="S4178" s="280"/>
      <c r="U4178" s="220" t="s">
        <v>6434</v>
      </c>
    </row>
    <row r="4179" spans="1:21" ht="20.25" hidden="1" customHeight="1" outlineLevel="3">
      <c r="A4179" s="192" t="s">
        <v>6435</v>
      </c>
      <c r="B4179" s="192"/>
      <c r="C4179" s="197" t="s">
        <v>256</v>
      </c>
      <c r="D4179" s="198">
        <f>'02 项目基础信息（输入）'!$D$4</f>
        <v>74626.7546</v>
      </c>
      <c r="E4179" s="199" t="s">
        <v>93</v>
      </c>
      <c r="F4179" s="197" t="s">
        <v>256</v>
      </c>
      <c r="G4179" s="199">
        <v>1</v>
      </c>
      <c r="H4179" s="199" t="s">
        <v>298</v>
      </c>
      <c r="I4179" s="198">
        <f t="shared" si="481"/>
        <v>74626.7546</v>
      </c>
      <c r="J4179" s="199" t="s">
        <v>93</v>
      </c>
      <c r="K4179" s="699"/>
      <c r="L4179" s="209" t="s">
        <v>675</v>
      </c>
      <c r="M4179" s="207">
        <f t="shared" si="482"/>
        <v>0</v>
      </c>
      <c r="N4179" s="198">
        <f>'02 项目基础信息（输入）'!$D$4</f>
        <v>74626.7546</v>
      </c>
      <c r="O4179" s="198">
        <f t="shared" si="479"/>
        <v>0</v>
      </c>
      <c r="P4179" s="198">
        <f>'02 项目基础信息（输入）'!$H$69+N4179</f>
        <v>74626.7546</v>
      </c>
      <c r="Q4179" s="233">
        <f t="shared" si="480"/>
        <v>0</v>
      </c>
      <c r="S4179" s="280"/>
      <c r="U4179" s="220" t="s">
        <v>6436</v>
      </c>
    </row>
    <row r="4180" spans="1:21" ht="20.25" hidden="1" customHeight="1" outlineLevel="3">
      <c r="A4180" s="192" t="s">
        <v>6437</v>
      </c>
      <c r="B4180" s="192"/>
      <c r="C4180" s="197" t="s">
        <v>256</v>
      </c>
      <c r="D4180" s="198">
        <f>'02 项目基础信息（输入）'!$D$4</f>
        <v>74626.7546</v>
      </c>
      <c r="E4180" s="199" t="s">
        <v>93</v>
      </c>
      <c r="F4180" s="197" t="s">
        <v>256</v>
      </c>
      <c r="G4180" s="199">
        <v>1</v>
      </c>
      <c r="H4180" s="199" t="s">
        <v>298</v>
      </c>
      <c r="I4180" s="198">
        <f t="shared" si="481"/>
        <v>74626.7546</v>
      </c>
      <c r="J4180" s="199" t="s">
        <v>93</v>
      </c>
      <c r="K4180" s="699"/>
      <c r="L4180" s="209" t="s">
        <v>675</v>
      </c>
      <c r="M4180" s="207">
        <f t="shared" si="482"/>
        <v>0</v>
      </c>
      <c r="N4180" s="198">
        <f>'02 项目基础信息（输入）'!$D$4</f>
        <v>74626.7546</v>
      </c>
      <c r="O4180" s="198">
        <f t="shared" si="479"/>
        <v>0</v>
      </c>
      <c r="P4180" s="198">
        <f>'02 项目基础信息（输入）'!$H$69+N4180</f>
        <v>74626.7546</v>
      </c>
      <c r="Q4180" s="233">
        <f t="shared" si="480"/>
        <v>0</v>
      </c>
      <c r="S4180" s="280"/>
      <c r="U4180" s="220" t="s">
        <v>6438</v>
      </c>
    </row>
    <row r="4181" spans="1:21" ht="20.25" customHeight="1" outlineLevel="2" collapsed="1">
      <c r="A4181" s="192" t="s">
        <v>6439</v>
      </c>
      <c r="B4181" s="192"/>
      <c r="C4181" s="197" t="s">
        <v>256</v>
      </c>
      <c r="D4181" s="198">
        <f>'02 项目基础信息（输入）'!$D$4</f>
        <v>74626.7546</v>
      </c>
      <c r="E4181" s="199" t="s">
        <v>93</v>
      </c>
      <c r="F4181" s="197"/>
      <c r="G4181" s="199"/>
      <c r="H4181" s="199"/>
      <c r="I4181" s="197"/>
      <c r="J4181" s="199"/>
      <c r="K4181" s="197"/>
      <c r="L4181" s="209"/>
      <c r="M4181" s="198">
        <f>ROUND(SUM(M4182:M4185),6)</f>
        <v>166.61475200000001</v>
      </c>
      <c r="N4181" s="198">
        <f>'02 项目基础信息（输入）'!$D$4</f>
        <v>74626.7546</v>
      </c>
      <c r="O4181" s="198">
        <f t="shared" si="479"/>
        <v>22.33</v>
      </c>
      <c r="P4181" s="198">
        <f>'02 项目基础信息（输入）'!$H$69+N4181</f>
        <v>74626.7546</v>
      </c>
      <c r="Q4181" s="233">
        <f t="shared" si="480"/>
        <v>22.33</v>
      </c>
      <c r="S4181" s="280"/>
      <c r="U4181" s="220" t="s">
        <v>6440</v>
      </c>
    </row>
    <row r="4182" spans="1:21" ht="20.25" hidden="1" customHeight="1" outlineLevel="3">
      <c r="A4182" s="192" t="s">
        <v>6441</v>
      </c>
      <c r="B4182" s="192"/>
      <c r="C4182" s="197" t="s">
        <v>356</v>
      </c>
      <c r="D4182" s="198">
        <f>'02 项目基础信息（输入）'!$D$14</f>
        <v>18786.64</v>
      </c>
      <c r="E4182" s="199" t="s">
        <v>93</v>
      </c>
      <c r="F4182" s="197" t="s">
        <v>356</v>
      </c>
      <c r="G4182" s="199">
        <v>1</v>
      </c>
      <c r="H4182" s="199" t="s">
        <v>298</v>
      </c>
      <c r="I4182" s="198">
        <f>G4182*D4182</f>
        <v>18786.64</v>
      </c>
      <c r="J4182" s="199" t="s">
        <v>93</v>
      </c>
      <c r="K4182" s="699"/>
      <c r="L4182" s="209" t="s">
        <v>675</v>
      </c>
      <c r="M4182" s="207">
        <f>ROUND(K4182*I4182/10000,6)</f>
        <v>0</v>
      </c>
      <c r="N4182" s="198">
        <f>'02 项目基础信息（输入）'!$D$4</f>
        <v>74626.7546</v>
      </c>
      <c r="O4182" s="198">
        <f t="shared" si="479"/>
        <v>0</v>
      </c>
      <c r="P4182" s="198">
        <f>'02 项目基础信息（输入）'!$H$69+N4182</f>
        <v>74626.7546</v>
      </c>
      <c r="Q4182" s="233">
        <f t="shared" si="480"/>
        <v>0</v>
      </c>
      <c r="S4182" s="280"/>
      <c r="U4182" s="220" t="s">
        <v>6442</v>
      </c>
    </row>
    <row r="4183" spans="1:21" ht="20.25" hidden="1" customHeight="1" outlineLevel="3">
      <c r="A4183" s="192" t="s">
        <v>6443</v>
      </c>
      <c r="B4183" s="192"/>
      <c r="C4183" s="197" t="s">
        <v>309</v>
      </c>
      <c r="D4183" s="198">
        <f>'02 项目基础信息（输入）'!$K$9-'02 项目基础信息（输入）'!$AC$32</f>
        <v>301</v>
      </c>
      <c r="E4183" s="199" t="s">
        <v>310</v>
      </c>
      <c r="F4183" s="197" t="s">
        <v>309</v>
      </c>
      <c r="G4183" s="199">
        <v>1</v>
      </c>
      <c r="H4183" s="199" t="s">
        <v>1903</v>
      </c>
      <c r="I4183" s="198">
        <f>G4183*D4183</f>
        <v>301</v>
      </c>
      <c r="J4183" s="199" t="s">
        <v>310</v>
      </c>
      <c r="K4183" s="699">
        <f>2200+750+15*'02 项目基础信息（输入）'!C42/D4183</f>
        <v>5535.3738172757476</v>
      </c>
      <c r="L4183" s="209" t="s">
        <v>736</v>
      </c>
      <c r="M4183" s="207">
        <f>ROUND(K4183*I4183/10000,6)</f>
        <v>166.61475200000001</v>
      </c>
      <c r="N4183" s="198">
        <f>'02 项目基础信息（输入）'!$D$4</f>
        <v>74626.7546</v>
      </c>
      <c r="O4183" s="198">
        <f t="shared" si="479"/>
        <v>22.33</v>
      </c>
      <c r="P4183" s="198">
        <f>'02 项目基础信息（输入）'!$H$69+N4183</f>
        <v>74626.7546</v>
      </c>
      <c r="Q4183" s="233">
        <f t="shared" si="480"/>
        <v>22.33</v>
      </c>
      <c r="S4183" s="280"/>
      <c r="U4183" s="220" t="s">
        <v>6444</v>
      </c>
    </row>
    <row r="4184" spans="1:21" ht="0" hidden="1" customHeight="1" outlineLevel="3">
      <c r="A4184" s="201" t="s">
        <v>6445</v>
      </c>
      <c r="B4184" s="201"/>
      <c r="C4184" s="202" t="s">
        <v>256</v>
      </c>
      <c r="D4184" s="212">
        <f>N4184</f>
        <v>74626.7546</v>
      </c>
      <c r="E4184" s="204" t="s">
        <v>93</v>
      </c>
      <c r="F4184" s="202" t="s">
        <v>256</v>
      </c>
      <c r="G4184" s="204">
        <v>1</v>
      </c>
      <c r="H4184" s="204" t="s">
        <v>298</v>
      </c>
      <c r="I4184" s="265">
        <f>G4184*D4184</f>
        <v>74626.7546</v>
      </c>
      <c r="J4184" s="204" t="s">
        <v>93</v>
      </c>
      <c r="K4184" s="616"/>
      <c r="L4184" s="210" t="s">
        <v>675</v>
      </c>
      <c r="M4184" s="211">
        <f>ROUND(K4184*I4184/10000,6)</f>
        <v>0</v>
      </c>
      <c r="N4184" s="198">
        <f>'02 项目基础信息（输入）'!$D$4</f>
        <v>74626.7546</v>
      </c>
      <c r="O4184" s="198">
        <f t="shared" si="479"/>
        <v>0</v>
      </c>
      <c r="P4184" s="198">
        <f>'02 项目基础信息（输入）'!$H$69+N4184</f>
        <v>74626.7546</v>
      </c>
      <c r="Q4184" s="233">
        <f t="shared" si="480"/>
        <v>0</v>
      </c>
      <c r="S4184" s="280"/>
      <c r="T4184" s="222"/>
      <c r="U4184" s="220" t="s">
        <v>6446</v>
      </c>
    </row>
    <row r="4185" spans="1:21" ht="0" hidden="1" customHeight="1" outlineLevel="3">
      <c r="A4185" s="201" t="s">
        <v>6447</v>
      </c>
      <c r="B4185" s="201"/>
      <c r="C4185" s="202" t="s">
        <v>256</v>
      </c>
      <c r="D4185" s="212">
        <f>N4185</f>
        <v>74626.7546</v>
      </c>
      <c r="E4185" s="204" t="s">
        <v>93</v>
      </c>
      <c r="F4185" s="202" t="s">
        <v>6448</v>
      </c>
      <c r="G4185" s="210">
        <f>IFERROR(I4185/D4185,0)</f>
        <v>0</v>
      </c>
      <c r="H4185" s="204" t="s">
        <v>6449</v>
      </c>
      <c r="I4185" s="616"/>
      <c r="J4185" s="204" t="s">
        <v>310</v>
      </c>
      <c r="K4185" s="616"/>
      <c r="L4185" s="210" t="s">
        <v>736</v>
      </c>
      <c r="M4185" s="211">
        <f>ROUND(K4185*I4185/10000,6)</f>
        <v>0</v>
      </c>
      <c r="N4185" s="198">
        <f>'02 项目基础信息（输入）'!$D$4</f>
        <v>74626.7546</v>
      </c>
      <c r="O4185" s="198">
        <f t="shared" si="479"/>
        <v>0</v>
      </c>
      <c r="P4185" s="198">
        <f>'02 项目基础信息（输入）'!$H$69+N4185</f>
        <v>74626.7546</v>
      </c>
      <c r="Q4185" s="233">
        <f t="shared" si="480"/>
        <v>0</v>
      </c>
      <c r="S4185" s="280"/>
      <c r="T4185" s="222"/>
      <c r="U4185" s="220" t="s">
        <v>6450</v>
      </c>
    </row>
    <row r="4186" spans="1:21" ht="20.25" customHeight="1" outlineLevel="2" collapsed="1">
      <c r="A4186" s="192" t="s">
        <v>6451</v>
      </c>
      <c r="B4186" s="192"/>
      <c r="C4186" s="197" t="s">
        <v>256</v>
      </c>
      <c r="D4186" s="198">
        <f>'02 项目基础信息（输入）'!$D$4</f>
        <v>74626.7546</v>
      </c>
      <c r="E4186" s="199" t="s">
        <v>93</v>
      </c>
      <c r="F4186" s="197"/>
      <c r="G4186" s="199"/>
      <c r="H4186" s="199"/>
      <c r="I4186" s="197"/>
      <c r="J4186" s="199"/>
      <c r="K4186" s="197"/>
      <c r="L4186" s="209"/>
      <c r="M4186" s="198">
        <f>ROUND(SUM(M4187),6)</f>
        <v>0</v>
      </c>
      <c r="N4186" s="198">
        <f>'02 项目基础信息（输入）'!$D$4</f>
        <v>74626.7546</v>
      </c>
      <c r="O4186" s="198">
        <f t="shared" si="479"/>
        <v>0</v>
      </c>
      <c r="P4186" s="198">
        <f>'02 项目基础信息（输入）'!$H$69+N4186</f>
        <v>74626.7546</v>
      </c>
      <c r="Q4186" s="233">
        <f t="shared" si="480"/>
        <v>0</v>
      </c>
      <c r="S4186" s="280"/>
      <c r="U4186" s="220" t="s">
        <v>6452</v>
      </c>
    </row>
    <row r="4187" spans="1:21" ht="20.25" hidden="1" customHeight="1" outlineLevel="3">
      <c r="A4187" s="192" t="s">
        <v>6453</v>
      </c>
      <c r="B4187" s="192"/>
      <c r="C4187" s="197" t="s">
        <v>256</v>
      </c>
      <c r="D4187" s="198">
        <f>'02 项目基础信息（输入）'!$D$4</f>
        <v>74626.7546</v>
      </c>
      <c r="E4187" s="199" t="s">
        <v>93</v>
      </c>
      <c r="F4187" s="197" t="s">
        <v>256</v>
      </c>
      <c r="G4187" s="199">
        <v>1</v>
      </c>
      <c r="H4187" s="199" t="s">
        <v>298</v>
      </c>
      <c r="I4187" s="198">
        <f>G4187*D4187</f>
        <v>74626.7546</v>
      </c>
      <c r="J4187" s="199" t="s">
        <v>93</v>
      </c>
      <c r="K4187" s="699"/>
      <c r="L4187" s="209" t="s">
        <v>675</v>
      </c>
      <c r="M4187" s="207">
        <f>ROUND(K4187*I4187/10000,6)</f>
        <v>0</v>
      </c>
      <c r="N4187" s="198">
        <f>'02 项目基础信息（输入）'!$D$4</f>
        <v>74626.7546</v>
      </c>
      <c r="O4187" s="198">
        <f t="shared" si="479"/>
        <v>0</v>
      </c>
      <c r="P4187" s="198">
        <f>'02 项目基础信息（输入）'!$H$69+N4187</f>
        <v>74626.7546</v>
      </c>
      <c r="Q4187" s="233">
        <f t="shared" si="480"/>
        <v>0</v>
      </c>
      <c r="S4187" s="280"/>
      <c r="U4187" s="220" t="s">
        <v>6454</v>
      </c>
    </row>
    <row r="4188" spans="1:21" ht="20.25" customHeight="1" outlineLevel="2" collapsed="1">
      <c r="A4188" s="192" t="s">
        <v>6455</v>
      </c>
      <c r="B4188" s="192"/>
      <c r="C4188" s="197" t="s">
        <v>256</v>
      </c>
      <c r="D4188" s="198">
        <f>'02 项目基础信息（输入）'!$D$4</f>
        <v>74626.7546</v>
      </c>
      <c r="E4188" s="199" t="s">
        <v>93</v>
      </c>
      <c r="F4188" s="197"/>
      <c r="G4188" s="199"/>
      <c r="H4188" s="199"/>
      <c r="I4188" s="197"/>
      <c r="J4188" s="199"/>
      <c r="K4188" s="197"/>
      <c r="L4188" s="209"/>
      <c r="M4188" s="198">
        <f>ROUND(SUM(M4189),6)</f>
        <v>20</v>
      </c>
      <c r="N4188" s="198">
        <f>'02 项目基础信息（输入）'!$D$4</f>
        <v>74626.7546</v>
      </c>
      <c r="O4188" s="198">
        <f t="shared" si="479"/>
        <v>2.68</v>
      </c>
      <c r="P4188" s="198">
        <f>'02 项目基础信息（输入）'!$H$69+N4188</f>
        <v>74626.7546</v>
      </c>
      <c r="Q4188" s="233">
        <f t="shared" si="480"/>
        <v>2.68</v>
      </c>
      <c r="S4188" s="280"/>
      <c r="U4188" s="220" t="s">
        <v>6456</v>
      </c>
    </row>
    <row r="4189" spans="1:21" ht="20.25" hidden="1" customHeight="1" outlineLevel="3">
      <c r="A4189" s="192" t="s">
        <v>6457</v>
      </c>
      <c r="B4189" s="192"/>
      <c r="C4189" s="197" t="s">
        <v>256</v>
      </c>
      <c r="D4189" s="198">
        <f>'02 项目基础信息（输入）'!$D$4</f>
        <v>74626.7546</v>
      </c>
      <c r="E4189" s="199" t="s">
        <v>93</v>
      </c>
      <c r="F4189" s="197" t="s">
        <v>256</v>
      </c>
      <c r="G4189" s="199">
        <v>1</v>
      </c>
      <c r="H4189" s="199" t="s">
        <v>298</v>
      </c>
      <c r="I4189" s="198">
        <f>G4189*D4189</f>
        <v>74626.7546</v>
      </c>
      <c r="J4189" s="199" t="s">
        <v>93</v>
      </c>
      <c r="K4189" s="700">
        <f>'03 成本测算（输入）'!D348</f>
        <v>2.680003988810737</v>
      </c>
      <c r="L4189" s="209" t="s">
        <v>675</v>
      </c>
      <c r="M4189" s="207">
        <f>ROUND(K4189*I4189/10000,6)</f>
        <v>20</v>
      </c>
      <c r="N4189" s="198">
        <f>'02 项目基础信息（输入）'!$D$4</f>
        <v>74626.7546</v>
      </c>
      <c r="O4189" s="198">
        <f t="shared" si="479"/>
        <v>2.68</v>
      </c>
      <c r="P4189" s="198">
        <f>'02 项目基础信息（输入）'!$H$69+N4189</f>
        <v>74626.7546</v>
      </c>
      <c r="Q4189" s="233">
        <f t="shared" si="480"/>
        <v>2.68</v>
      </c>
      <c r="R4189" s="188" t="s">
        <v>6458</v>
      </c>
      <c r="S4189" s="280"/>
      <c r="U4189" s="220" t="s">
        <v>6459</v>
      </c>
    </row>
    <row r="4190" spans="1:21" ht="20.25" customHeight="1" outlineLevel="1">
      <c r="A4190" s="196" t="s">
        <v>6460</v>
      </c>
      <c r="B4190" s="196"/>
      <c r="C4190" s="197" t="s">
        <v>356</v>
      </c>
      <c r="D4190" s="198">
        <f>'02 项目基础信息（输入）'!$D$14</f>
        <v>18786.64</v>
      </c>
      <c r="E4190" s="199" t="s">
        <v>93</v>
      </c>
      <c r="F4190" s="197"/>
      <c r="G4190" s="199"/>
      <c r="H4190" s="199"/>
      <c r="I4190" s="197"/>
      <c r="J4190" s="199"/>
      <c r="K4190" s="357">
        <f>'03 成本测算（输入）'!D351</f>
        <v>1045</v>
      </c>
      <c r="L4190" s="209"/>
      <c r="M4190" s="198">
        <f>ROUND(D4190*K4190/10000,6)</f>
        <v>1963.20388</v>
      </c>
      <c r="N4190" s="198">
        <f>'02 项目基础信息（输入）'!$D$14</f>
        <v>18786.64</v>
      </c>
      <c r="O4190" s="198">
        <f t="shared" si="479"/>
        <v>1045</v>
      </c>
      <c r="P4190" s="198">
        <f>'02 项目基础信息（输入）'!$D$14</f>
        <v>18786.64</v>
      </c>
      <c r="Q4190" s="233">
        <f t="shared" si="480"/>
        <v>1045</v>
      </c>
      <c r="S4190" s="280" t="s">
        <v>1314</v>
      </c>
      <c r="U4190" s="220" t="s">
        <v>6461</v>
      </c>
    </row>
    <row r="4191" spans="1:21" ht="20.25" customHeight="1" outlineLevel="2" collapsed="1">
      <c r="A4191" s="192" t="s">
        <v>6462</v>
      </c>
      <c r="B4191" s="192"/>
      <c r="C4191" s="197" t="s">
        <v>356</v>
      </c>
      <c r="D4191" s="198">
        <f>'02 项目基础信息（输入）'!$D$14</f>
        <v>18786.64</v>
      </c>
      <c r="E4191" s="199" t="s">
        <v>93</v>
      </c>
      <c r="F4191" s="197"/>
      <c r="G4191" s="199"/>
      <c r="H4191" s="199"/>
      <c r="I4191" s="197"/>
      <c r="J4191" s="199"/>
      <c r="K4191" s="197"/>
      <c r="L4191" s="209"/>
      <c r="M4191" s="198">
        <f>ROUND(SUM(M4192:M4193),6)</f>
        <v>0</v>
      </c>
      <c r="N4191" s="198">
        <f>'02 项目基础信息（输入）'!$D$14</f>
        <v>18786.64</v>
      </c>
      <c r="O4191" s="198">
        <f t="shared" si="479"/>
        <v>0</v>
      </c>
      <c r="P4191" s="198">
        <f>'02 项目基础信息（输入）'!$D$14</f>
        <v>18786.64</v>
      </c>
      <c r="Q4191" s="233">
        <f t="shared" si="480"/>
        <v>0</v>
      </c>
      <c r="S4191" s="280"/>
      <c r="U4191" s="220" t="s">
        <v>6463</v>
      </c>
    </row>
    <row r="4192" spans="1:21" ht="20.25" hidden="1" customHeight="1" outlineLevel="3">
      <c r="A4192" s="192" t="s">
        <v>6464</v>
      </c>
      <c r="B4192" s="192"/>
      <c r="C4192" s="197" t="s">
        <v>356</v>
      </c>
      <c r="D4192" s="198">
        <f>'02 项目基础信息（输入）'!$D$14</f>
        <v>18786.64</v>
      </c>
      <c r="E4192" s="199" t="s">
        <v>93</v>
      </c>
      <c r="F4192" s="197" t="s">
        <v>356</v>
      </c>
      <c r="G4192" s="199">
        <v>1</v>
      </c>
      <c r="H4192" s="199" t="s">
        <v>298</v>
      </c>
      <c r="I4192" s="198">
        <f>G4192*D4192</f>
        <v>18786.64</v>
      </c>
      <c r="J4192" s="199" t="s">
        <v>93</v>
      </c>
      <c r="K4192" s="188"/>
      <c r="L4192" s="209" t="s">
        <v>675</v>
      </c>
      <c r="M4192" s="207">
        <f>ROUND(K4192*I4192/10000,6)</f>
        <v>0</v>
      </c>
      <c r="N4192" s="198">
        <f>'02 项目基础信息（输入）'!$D$14</f>
        <v>18786.64</v>
      </c>
      <c r="O4192" s="198">
        <f t="shared" si="479"/>
        <v>0</v>
      </c>
      <c r="P4192" s="198">
        <f>'02 项目基础信息（输入）'!$D$14</f>
        <v>18786.64</v>
      </c>
      <c r="Q4192" s="233">
        <f t="shared" si="480"/>
        <v>0</v>
      </c>
      <c r="S4192" s="280"/>
      <c r="U4192" s="220" t="s">
        <v>6465</v>
      </c>
    </row>
    <row r="4193" spans="1:21" ht="20.25" hidden="1" customHeight="1" outlineLevel="3">
      <c r="A4193" s="192" t="s">
        <v>6466</v>
      </c>
      <c r="B4193" s="192"/>
      <c r="C4193" s="197" t="s">
        <v>356</v>
      </c>
      <c r="D4193" s="198">
        <f>'02 项目基础信息（输入）'!$D$14</f>
        <v>18786.64</v>
      </c>
      <c r="E4193" s="199" t="s">
        <v>93</v>
      </c>
      <c r="F4193" s="197" t="s">
        <v>356</v>
      </c>
      <c r="G4193" s="199">
        <v>1</v>
      </c>
      <c r="H4193" s="199" t="s">
        <v>298</v>
      </c>
      <c r="I4193" s="198">
        <f>G4193*D4193</f>
        <v>18786.64</v>
      </c>
      <c r="J4193" s="199" t="s">
        <v>93</v>
      </c>
      <c r="K4193" s="188"/>
      <c r="L4193" s="209" t="s">
        <v>675</v>
      </c>
      <c r="M4193" s="207">
        <f>ROUND(K4193*I4193/10000,6)</f>
        <v>0</v>
      </c>
      <c r="N4193" s="198">
        <f>'02 项目基础信息（输入）'!$D$14</f>
        <v>18786.64</v>
      </c>
      <c r="O4193" s="198">
        <f t="shared" si="479"/>
        <v>0</v>
      </c>
      <c r="P4193" s="198">
        <f>'02 项目基础信息（输入）'!$D$14</f>
        <v>18786.64</v>
      </c>
      <c r="Q4193" s="233">
        <f t="shared" si="480"/>
        <v>0</v>
      </c>
      <c r="S4193" s="280"/>
      <c r="U4193" s="220" t="s">
        <v>6467</v>
      </c>
    </row>
    <row r="4194" spans="1:21" ht="20.25" customHeight="1" outlineLevel="2" collapsed="1">
      <c r="A4194" s="192" t="s">
        <v>6468</v>
      </c>
      <c r="B4194" s="192"/>
      <c r="C4194" s="197" t="s">
        <v>356</v>
      </c>
      <c r="D4194" s="198">
        <f>'02 项目基础信息（输入）'!$D$14</f>
        <v>18786.64</v>
      </c>
      <c r="E4194" s="199" t="s">
        <v>93</v>
      </c>
      <c r="F4194" s="197"/>
      <c r="G4194" s="199"/>
      <c r="H4194" s="199"/>
      <c r="I4194" s="197"/>
      <c r="J4194" s="199"/>
      <c r="K4194" s="197"/>
      <c r="L4194" s="209"/>
      <c r="M4194" s="198">
        <f>ROUND(SUM(M4195:M4202),6)</f>
        <v>0</v>
      </c>
      <c r="N4194" s="198">
        <f>'02 项目基础信息（输入）'!$D$14</f>
        <v>18786.64</v>
      </c>
      <c r="O4194" s="198">
        <f t="shared" si="479"/>
        <v>0</v>
      </c>
      <c r="P4194" s="198">
        <f>'02 项目基础信息（输入）'!$D$14</f>
        <v>18786.64</v>
      </c>
      <c r="Q4194" s="233">
        <f t="shared" si="480"/>
        <v>0</v>
      </c>
      <c r="S4194" s="280"/>
      <c r="U4194" s="220" t="s">
        <v>6469</v>
      </c>
    </row>
    <row r="4195" spans="1:21" ht="20.25" hidden="1" customHeight="1" outlineLevel="3">
      <c r="A4195" s="192" t="s">
        <v>6470</v>
      </c>
      <c r="B4195" s="192"/>
      <c r="C4195" s="197" t="s">
        <v>356</v>
      </c>
      <c r="D4195" s="198">
        <f>'02 项目基础信息（输入）'!$D$14</f>
        <v>18786.64</v>
      </c>
      <c r="E4195" s="199" t="s">
        <v>93</v>
      </c>
      <c r="F4195" s="197" t="s">
        <v>356</v>
      </c>
      <c r="G4195" s="199">
        <v>1</v>
      </c>
      <c r="H4195" s="199" t="s">
        <v>298</v>
      </c>
      <c r="I4195" s="198">
        <f t="shared" ref="I4195:I4202" si="483">G4195*D4195</f>
        <v>18786.64</v>
      </c>
      <c r="J4195" s="199" t="s">
        <v>93</v>
      </c>
      <c r="K4195" s="188"/>
      <c r="L4195" s="209" t="s">
        <v>675</v>
      </c>
      <c r="M4195" s="207">
        <f t="shared" ref="M4195:M4202" si="484">ROUND(K4195*I4195/10000,6)</f>
        <v>0</v>
      </c>
      <c r="N4195" s="198">
        <f>'02 项目基础信息（输入）'!$D$14</f>
        <v>18786.64</v>
      </c>
      <c r="O4195" s="198">
        <f t="shared" si="479"/>
        <v>0</v>
      </c>
      <c r="P4195" s="198">
        <f>'02 项目基础信息（输入）'!$D$14</f>
        <v>18786.64</v>
      </c>
      <c r="Q4195" s="233">
        <f t="shared" si="480"/>
        <v>0</v>
      </c>
      <c r="S4195" s="280"/>
      <c r="U4195" s="220" t="s">
        <v>6471</v>
      </c>
    </row>
    <row r="4196" spans="1:21" ht="20.25" hidden="1" customHeight="1" outlineLevel="3">
      <c r="A4196" s="192" t="s">
        <v>6472</v>
      </c>
      <c r="B4196" s="192"/>
      <c r="C4196" s="197" t="s">
        <v>356</v>
      </c>
      <c r="D4196" s="198">
        <f>'02 项目基础信息（输入）'!$D$14</f>
        <v>18786.64</v>
      </c>
      <c r="E4196" s="199" t="s">
        <v>93</v>
      </c>
      <c r="F4196" s="197" t="s">
        <v>356</v>
      </c>
      <c r="G4196" s="199">
        <v>1</v>
      </c>
      <c r="H4196" s="199" t="s">
        <v>298</v>
      </c>
      <c r="I4196" s="198">
        <f t="shared" si="483"/>
        <v>18786.64</v>
      </c>
      <c r="J4196" s="199" t="s">
        <v>93</v>
      </c>
      <c r="K4196" s="188"/>
      <c r="L4196" s="209" t="s">
        <v>675</v>
      </c>
      <c r="M4196" s="207">
        <f t="shared" si="484"/>
        <v>0</v>
      </c>
      <c r="N4196" s="198">
        <f>'02 项目基础信息（输入）'!$D$14</f>
        <v>18786.64</v>
      </c>
      <c r="O4196" s="198">
        <f t="shared" si="479"/>
        <v>0</v>
      </c>
      <c r="P4196" s="198">
        <f>'02 项目基础信息（输入）'!$D$14</f>
        <v>18786.64</v>
      </c>
      <c r="Q4196" s="233">
        <f t="shared" si="480"/>
        <v>0</v>
      </c>
      <c r="S4196" s="280"/>
      <c r="U4196" s="220" t="s">
        <v>6473</v>
      </c>
    </row>
    <row r="4197" spans="1:21" ht="20.25" hidden="1" customHeight="1" outlineLevel="3">
      <c r="A4197" s="192" t="s">
        <v>6474</v>
      </c>
      <c r="B4197" s="192"/>
      <c r="C4197" s="197" t="s">
        <v>356</v>
      </c>
      <c r="D4197" s="198">
        <f>'02 项目基础信息（输入）'!$D$14</f>
        <v>18786.64</v>
      </c>
      <c r="E4197" s="199" t="s">
        <v>93</v>
      </c>
      <c r="F4197" s="197" t="s">
        <v>356</v>
      </c>
      <c r="G4197" s="199">
        <v>1</v>
      </c>
      <c r="H4197" s="199" t="s">
        <v>298</v>
      </c>
      <c r="I4197" s="198">
        <f t="shared" si="483"/>
        <v>18786.64</v>
      </c>
      <c r="J4197" s="199" t="s">
        <v>93</v>
      </c>
      <c r="K4197" s="188"/>
      <c r="L4197" s="209" t="s">
        <v>675</v>
      </c>
      <c r="M4197" s="207">
        <f t="shared" si="484"/>
        <v>0</v>
      </c>
      <c r="N4197" s="198">
        <f>'02 项目基础信息（输入）'!$D$14</f>
        <v>18786.64</v>
      </c>
      <c r="O4197" s="198">
        <f t="shared" si="479"/>
        <v>0</v>
      </c>
      <c r="P4197" s="198">
        <f>'02 项目基础信息（输入）'!$D$14</f>
        <v>18786.64</v>
      </c>
      <c r="Q4197" s="233">
        <f t="shared" si="480"/>
        <v>0</v>
      </c>
      <c r="S4197" s="280"/>
      <c r="U4197" s="220" t="s">
        <v>6475</v>
      </c>
    </row>
    <row r="4198" spans="1:21" ht="20.25" hidden="1" customHeight="1" outlineLevel="3">
      <c r="A4198" s="192" t="s">
        <v>6476</v>
      </c>
      <c r="B4198" s="192"/>
      <c r="C4198" s="197" t="s">
        <v>356</v>
      </c>
      <c r="D4198" s="198">
        <f>'02 项目基础信息（输入）'!$D$14</f>
        <v>18786.64</v>
      </c>
      <c r="E4198" s="199" t="s">
        <v>93</v>
      </c>
      <c r="F4198" s="197" t="s">
        <v>356</v>
      </c>
      <c r="G4198" s="199">
        <v>1</v>
      </c>
      <c r="H4198" s="199" t="s">
        <v>298</v>
      </c>
      <c r="I4198" s="198">
        <f t="shared" si="483"/>
        <v>18786.64</v>
      </c>
      <c r="J4198" s="199" t="s">
        <v>93</v>
      </c>
      <c r="K4198" s="188"/>
      <c r="L4198" s="209" t="s">
        <v>675</v>
      </c>
      <c r="M4198" s="207">
        <f t="shared" si="484"/>
        <v>0</v>
      </c>
      <c r="N4198" s="198">
        <f>'02 项目基础信息（输入）'!$D$14</f>
        <v>18786.64</v>
      </c>
      <c r="O4198" s="198">
        <f t="shared" si="479"/>
        <v>0</v>
      </c>
      <c r="P4198" s="198">
        <f>'02 项目基础信息（输入）'!$D$14</f>
        <v>18786.64</v>
      </c>
      <c r="Q4198" s="233">
        <f t="shared" si="480"/>
        <v>0</v>
      </c>
      <c r="S4198" s="280"/>
      <c r="U4198" s="220" t="s">
        <v>6477</v>
      </c>
    </row>
    <row r="4199" spans="1:21" ht="20.25" hidden="1" customHeight="1" outlineLevel="3">
      <c r="A4199" s="192" t="s">
        <v>6478</v>
      </c>
      <c r="B4199" s="192"/>
      <c r="C4199" s="197" t="s">
        <v>356</v>
      </c>
      <c r="D4199" s="198">
        <f>'02 项目基础信息（输入）'!$D$14</f>
        <v>18786.64</v>
      </c>
      <c r="E4199" s="199" t="s">
        <v>93</v>
      </c>
      <c r="F4199" s="197" t="s">
        <v>356</v>
      </c>
      <c r="G4199" s="199">
        <v>1</v>
      </c>
      <c r="H4199" s="199" t="s">
        <v>298</v>
      </c>
      <c r="I4199" s="198">
        <f t="shared" si="483"/>
        <v>18786.64</v>
      </c>
      <c r="J4199" s="199" t="s">
        <v>93</v>
      </c>
      <c r="K4199" s="188"/>
      <c r="L4199" s="209" t="s">
        <v>675</v>
      </c>
      <c r="M4199" s="207">
        <f t="shared" si="484"/>
        <v>0</v>
      </c>
      <c r="N4199" s="198">
        <f>'02 项目基础信息（输入）'!$D$14</f>
        <v>18786.64</v>
      </c>
      <c r="O4199" s="198">
        <f t="shared" si="479"/>
        <v>0</v>
      </c>
      <c r="P4199" s="198">
        <f>'02 项目基础信息（输入）'!$D$14</f>
        <v>18786.64</v>
      </c>
      <c r="Q4199" s="233">
        <f t="shared" si="480"/>
        <v>0</v>
      </c>
      <c r="S4199" s="280"/>
      <c r="U4199" s="220" t="s">
        <v>6479</v>
      </c>
    </row>
    <row r="4200" spans="1:21" ht="20.25" hidden="1" customHeight="1" outlineLevel="3">
      <c r="A4200" s="192" t="s">
        <v>6480</v>
      </c>
      <c r="B4200" s="192"/>
      <c r="C4200" s="197" t="s">
        <v>356</v>
      </c>
      <c r="D4200" s="198">
        <f>'02 项目基础信息（输入）'!$D$14</f>
        <v>18786.64</v>
      </c>
      <c r="E4200" s="199" t="s">
        <v>93</v>
      </c>
      <c r="F4200" s="197" t="s">
        <v>356</v>
      </c>
      <c r="G4200" s="199">
        <v>1</v>
      </c>
      <c r="H4200" s="199" t="s">
        <v>298</v>
      </c>
      <c r="I4200" s="198">
        <f t="shared" si="483"/>
        <v>18786.64</v>
      </c>
      <c r="J4200" s="199" t="s">
        <v>93</v>
      </c>
      <c r="K4200" s="188"/>
      <c r="L4200" s="209" t="s">
        <v>675</v>
      </c>
      <c r="M4200" s="207">
        <f t="shared" si="484"/>
        <v>0</v>
      </c>
      <c r="N4200" s="198">
        <f>'02 项目基础信息（输入）'!$D$14</f>
        <v>18786.64</v>
      </c>
      <c r="O4200" s="198">
        <f t="shared" si="479"/>
        <v>0</v>
      </c>
      <c r="P4200" s="198">
        <f>'02 项目基础信息（输入）'!$D$14</f>
        <v>18786.64</v>
      </c>
      <c r="Q4200" s="233">
        <f t="shared" si="480"/>
        <v>0</v>
      </c>
      <c r="S4200" s="280"/>
      <c r="U4200" s="220" t="s">
        <v>6481</v>
      </c>
    </row>
    <row r="4201" spans="1:21" ht="20.25" hidden="1" customHeight="1" outlineLevel="3">
      <c r="A4201" s="192" t="s">
        <v>6482</v>
      </c>
      <c r="B4201" s="192"/>
      <c r="C4201" s="197" t="s">
        <v>356</v>
      </c>
      <c r="D4201" s="198">
        <f>'02 项目基础信息（输入）'!$D$14</f>
        <v>18786.64</v>
      </c>
      <c r="E4201" s="199" t="s">
        <v>93</v>
      </c>
      <c r="F4201" s="197" t="s">
        <v>356</v>
      </c>
      <c r="G4201" s="199">
        <v>1</v>
      </c>
      <c r="H4201" s="199" t="s">
        <v>298</v>
      </c>
      <c r="I4201" s="198">
        <f t="shared" si="483"/>
        <v>18786.64</v>
      </c>
      <c r="J4201" s="199" t="s">
        <v>93</v>
      </c>
      <c r="K4201" s="188"/>
      <c r="L4201" s="209" t="s">
        <v>675</v>
      </c>
      <c r="M4201" s="207">
        <f t="shared" si="484"/>
        <v>0</v>
      </c>
      <c r="N4201" s="198">
        <f>'02 项目基础信息（输入）'!$D$14</f>
        <v>18786.64</v>
      </c>
      <c r="O4201" s="198">
        <f t="shared" si="479"/>
        <v>0</v>
      </c>
      <c r="P4201" s="198">
        <f>'02 项目基础信息（输入）'!$D$14</f>
        <v>18786.64</v>
      </c>
      <c r="Q4201" s="233">
        <f t="shared" si="480"/>
        <v>0</v>
      </c>
      <c r="S4201" s="280"/>
      <c r="U4201" s="220" t="s">
        <v>6483</v>
      </c>
    </row>
    <row r="4202" spans="1:21" ht="20.25" hidden="1" customHeight="1" outlineLevel="3">
      <c r="A4202" s="192" t="s">
        <v>6484</v>
      </c>
      <c r="B4202" s="192"/>
      <c r="C4202" s="197" t="s">
        <v>356</v>
      </c>
      <c r="D4202" s="198">
        <f>'02 项目基础信息（输入）'!$D$14</f>
        <v>18786.64</v>
      </c>
      <c r="E4202" s="199" t="s">
        <v>93</v>
      </c>
      <c r="F4202" s="197" t="s">
        <v>356</v>
      </c>
      <c r="G4202" s="199">
        <v>1</v>
      </c>
      <c r="H4202" s="199" t="s">
        <v>298</v>
      </c>
      <c r="I4202" s="198">
        <f t="shared" si="483"/>
        <v>18786.64</v>
      </c>
      <c r="J4202" s="199" t="s">
        <v>93</v>
      </c>
      <c r="K4202" s="188"/>
      <c r="L4202" s="209" t="s">
        <v>675</v>
      </c>
      <c r="M4202" s="207">
        <f t="shared" si="484"/>
        <v>0</v>
      </c>
      <c r="N4202" s="198">
        <f>'02 项目基础信息（输入）'!$D$14</f>
        <v>18786.64</v>
      </c>
      <c r="O4202" s="198">
        <f t="shared" si="479"/>
        <v>0</v>
      </c>
      <c r="P4202" s="198">
        <f>'02 项目基础信息（输入）'!$D$14</f>
        <v>18786.64</v>
      </c>
      <c r="Q4202" s="233">
        <f t="shared" si="480"/>
        <v>0</v>
      </c>
      <c r="S4202" s="280"/>
      <c r="U4202" s="220" t="s">
        <v>6485</v>
      </c>
    </row>
    <row r="4203" spans="1:21" ht="20.25" customHeight="1" outlineLevel="2" collapsed="1">
      <c r="A4203" s="192" t="s">
        <v>6486</v>
      </c>
      <c r="B4203" s="192"/>
      <c r="C4203" s="197" t="s">
        <v>356</v>
      </c>
      <c r="D4203" s="198">
        <f>'02 项目基础信息（输入）'!$D$14</f>
        <v>18786.64</v>
      </c>
      <c r="E4203" s="199" t="s">
        <v>93</v>
      </c>
      <c r="F4203" s="197"/>
      <c r="G4203" s="199"/>
      <c r="H4203" s="199"/>
      <c r="I4203" s="197"/>
      <c r="J4203" s="199"/>
      <c r="K4203" s="197"/>
      <c r="L4203" s="209"/>
      <c r="M4203" s="198">
        <f>ROUND(SUM(M4204:M4207),6)</f>
        <v>0</v>
      </c>
      <c r="N4203" s="198">
        <f>'02 项目基础信息（输入）'!$D$14</f>
        <v>18786.64</v>
      </c>
      <c r="O4203" s="198">
        <f t="shared" si="479"/>
        <v>0</v>
      </c>
      <c r="P4203" s="198">
        <f>'02 项目基础信息（输入）'!$D$14</f>
        <v>18786.64</v>
      </c>
      <c r="Q4203" s="233">
        <f t="shared" si="480"/>
        <v>0</v>
      </c>
      <c r="S4203" s="280"/>
      <c r="U4203" s="220" t="s">
        <v>6487</v>
      </c>
    </row>
    <row r="4204" spans="1:21" ht="20.25" hidden="1" customHeight="1" outlineLevel="3">
      <c r="A4204" s="192" t="s">
        <v>6488</v>
      </c>
      <c r="B4204" s="192"/>
      <c r="C4204" s="197" t="s">
        <v>356</v>
      </c>
      <c r="D4204" s="198">
        <f>'02 项目基础信息（输入）'!$D$14</f>
        <v>18786.64</v>
      </c>
      <c r="E4204" s="199" t="s">
        <v>93</v>
      </c>
      <c r="F4204" s="197" t="s">
        <v>356</v>
      </c>
      <c r="G4204" s="199">
        <v>1</v>
      </c>
      <c r="H4204" s="199" t="s">
        <v>298</v>
      </c>
      <c r="I4204" s="198">
        <f>G4204*D4204</f>
        <v>18786.64</v>
      </c>
      <c r="J4204" s="199" t="s">
        <v>93</v>
      </c>
      <c r="K4204" s="188"/>
      <c r="L4204" s="209" t="s">
        <v>675</v>
      </c>
      <c r="M4204" s="207">
        <f>ROUND(K4204*I4204/10000,6)</f>
        <v>0</v>
      </c>
      <c r="N4204" s="198">
        <f>'02 项目基础信息（输入）'!$D$14</f>
        <v>18786.64</v>
      </c>
      <c r="O4204" s="198">
        <f t="shared" si="479"/>
        <v>0</v>
      </c>
      <c r="P4204" s="198">
        <f>'02 项目基础信息（输入）'!$D$14</f>
        <v>18786.64</v>
      </c>
      <c r="Q4204" s="233">
        <f t="shared" si="480"/>
        <v>0</v>
      </c>
      <c r="S4204" s="280"/>
      <c r="U4204" s="220" t="s">
        <v>6489</v>
      </c>
    </row>
    <row r="4205" spans="1:21" ht="20.25" hidden="1" customHeight="1" outlineLevel="3">
      <c r="A4205" s="192" t="s">
        <v>6490</v>
      </c>
      <c r="B4205" s="192"/>
      <c r="C4205" s="197" t="s">
        <v>356</v>
      </c>
      <c r="D4205" s="198">
        <f>'02 项目基础信息（输入）'!$D$14</f>
        <v>18786.64</v>
      </c>
      <c r="E4205" s="199" t="s">
        <v>93</v>
      </c>
      <c r="F4205" s="197" t="s">
        <v>356</v>
      </c>
      <c r="G4205" s="199">
        <v>1</v>
      </c>
      <c r="H4205" s="199" t="s">
        <v>298</v>
      </c>
      <c r="I4205" s="198">
        <f>G4205*D4205</f>
        <v>18786.64</v>
      </c>
      <c r="J4205" s="199" t="s">
        <v>93</v>
      </c>
      <c r="K4205" s="188"/>
      <c r="L4205" s="209" t="s">
        <v>675</v>
      </c>
      <c r="M4205" s="207">
        <f>ROUND(K4205*I4205/10000,6)</f>
        <v>0</v>
      </c>
      <c r="N4205" s="198">
        <f>'02 项目基础信息（输入）'!$D$14</f>
        <v>18786.64</v>
      </c>
      <c r="O4205" s="198">
        <f t="shared" si="479"/>
        <v>0</v>
      </c>
      <c r="P4205" s="198">
        <f>'02 项目基础信息（输入）'!$D$14</f>
        <v>18786.64</v>
      </c>
      <c r="Q4205" s="233">
        <f t="shared" si="480"/>
        <v>0</v>
      </c>
      <c r="S4205" s="280"/>
      <c r="U4205" s="220" t="s">
        <v>6491</v>
      </c>
    </row>
    <row r="4206" spans="1:21" ht="20.25" hidden="1" customHeight="1" outlineLevel="3">
      <c r="A4206" s="192" t="s">
        <v>6492</v>
      </c>
      <c r="B4206" s="192"/>
      <c r="C4206" s="197" t="s">
        <v>356</v>
      </c>
      <c r="D4206" s="198">
        <f>'02 项目基础信息（输入）'!$D$14</f>
        <v>18786.64</v>
      </c>
      <c r="E4206" s="199" t="s">
        <v>93</v>
      </c>
      <c r="F4206" s="197" t="s">
        <v>356</v>
      </c>
      <c r="G4206" s="199">
        <v>1</v>
      </c>
      <c r="H4206" s="199" t="s">
        <v>298</v>
      </c>
      <c r="I4206" s="198">
        <f>G4206*D4206</f>
        <v>18786.64</v>
      </c>
      <c r="J4206" s="199" t="s">
        <v>93</v>
      </c>
      <c r="K4206" s="188"/>
      <c r="L4206" s="209" t="s">
        <v>675</v>
      </c>
      <c r="M4206" s="207">
        <f>ROUND(K4206*I4206/10000,6)</f>
        <v>0</v>
      </c>
      <c r="N4206" s="198">
        <f>'02 项目基础信息（输入）'!$D$14</f>
        <v>18786.64</v>
      </c>
      <c r="O4206" s="198">
        <f t="shared" si="479"/>
        <v>0</v>
      </c>
      <c r="P4206" s="198">
        <f>'02 项目基础信息（输入）'!$D$14</f>
        <v>18786.64</v>
      </c>
      <c r="Q4206" s="233">
        <f t="shared" si="480"/>
        <v>0</v>
      </c>
      <c r="S4206" s="280"/>
      <c r="U4206" s="220" t="s">
        <v>6493</v>
      </c>
    </row>
    <row r="4207" spans="1:21" ht="20.25" hidden="1" customHeight="1" outlineLevel="3">
      <c r="A4207" s="192" t="s">
        <v>6494</v>
      </c>
      <c r="B4207" s="192"/>
      <c r="C4207" s="197" t="s">
        <v>356</v>
      </c>
      <c r="D4207" s="198">
        <f>'02 项目基础信息（输入）'!$D$14</f>
        <v>18786.64</v>
      </c>
      <c r="E4207" s="199" t="s">
        <v>93</v>
      </c>
      <c r="F4207" s="197" t="s">
        <v>356</v>
      </c>
      <c r="G4207" s="199">
        <v>1</v>
      </c>
      <c r="H4207" s="199" t="s">
        <v>298</v>
      </c>
      <c r="I4207" s="198">
        <f>G4207*D4207</f>
        <v>18786.64</v>
      </c>
      <c r="J4207" s="199" t="s">
        <v>93</v>
      </c>
      <c r="K4207" s="188"/>
      <c r="L4207" s="209" t="s">
        <v>675</v>
      </c>
      <c r="M4207" s="207">
        <f>ROUND(K4207*I4207/10000,6)</f>
        <v>0</v>
      </c>
      <c r="N4207" s="198">
        <f>'02 项目基础信息（输入）'!$D$14</f>
        <v>18786.64</v>
      </c>
      <c r="O4207" s="198">
        <f t="shared" si="479"/>
        <v>0</v>
      </c>
      <c r="P4207" s="198">
        <f>'02 项目基础信息（输入）'!$D$14</f>
        <v>18786.64</v>
      </c>
      <c r="Q4207" s="233">
        <f t="shared" si="480"/>
        <v>0</v>
      </c>
      <c r="S4207" s="280"/>
      <c r="U4207" s="220" t="s">
        <v>6495</v>
      </c>
    </row>
    <row r="4208" spans="1:21" ht="20.25" customHeight="1" outlineLevel="2" collapsed="1">
      <c r="A4208" s="192" t="s">
        <v>6496</v>
      </c>
      <c r="B4208" s="192"/>
      <c r="C4208" s="197" t="s">
        <v>356</v>
      </c>
      <c r="D4208" s="198">
        <f>'02 项目基础信息（输入）'!$D$14</f>
        <v>18786.64</v>
      </c>
      <c r="E4208" s="199" t="s">
        <v>93</v>
      </c>
      <c r="F4208" s="197"/>
      <c r="G4208" s="199"/>
      <c r="H4208" s="199"/>
      <c r="I4208" s="197"/>
      <c r="J4208" s="199"/>
      <c r="K4208" s="197"/>
      <c r="L4208" s="209"/>
      <c r="M4208" s="198">
        <f>ROUND(SUM(M4209:M4213),6)</f>
        <v>0</v>
      </c>
      <c r="N4208" s="198">
        <f>'02 项目基础信息（输入）'!$D$14</f>
        <v>18786.64</v>
      </c>
      <c r="O4208" s="198">
        <f t="shared" si="479"/>
        <v>0</v>
      </c>
      <c r="P4208" s="198">
        <f>'02 项目基础信息（输入）'!$D$14</f>
        <v>18786.64</v>
      </c>
      <c r="Q4208" s="233">
        <f t="shared" si="480"/>
        <v>0</v>
      </c>
      <c r="S4208" s="280"/>
      <c r="U4208" s="220" t="s">
        <v>6497</v>
      </c>
    </row>
    <row r="4209" spans="1:21" ht="20.25" hidden="1" customHeight="1" outlineLevel="3">
      <c r="A4209" s="192" t="s">
        <v>6498</v>
      </c>
      <c r="B4209" s="192"/>
      <c r="C4209" s="197" t="s">
        <v>356</v>
      </c>
      <c r="D4209" s="198">
        <f>'02 项目基础信息（输入）'!$D$14</f>
        <v>18786.64</v>
      </c>
      <c r="E4209" s="199" t="s">
        <v>93</v>
      </c>
      <c r="F4209" s="197" t="s">
        <v>356</v>
      </c>
      <c r="G4209" s="199">
        <v>1</v>
      </c>
      <c r="H4209" s="199" t="s">
        <v>298</v>
      </c>
      <c r="I4209" s="198">
        <f>G4209*D4209</f>
        <v>18786.64</v>
      </c>
      <c r="J4209" s="199" t="s">
        <v>93</v>
      </c>
      <c r="K4209" s="188"/>
      <c r="L4209" s="209" t="s">
        <v>675</v>
      </c>
      <c r="M4209" s="207">
        <f>ROUND(K4209*I4209/10000,6)</f>
        <v>0</v>
      </c>
      <c r="N4209" s="198">
        <f>'02 项目基础信息（输入）'!$D$14</f>
        <v>18786.64</v>
      </c>
      <c r="O4209" s="198">
        <f t="shared" si="479"/>
        <v>0</v>
      </c>
      <c r="P4209" s="198">
        <f>'02 项目基础信息（输入）'!$D$14</f>
        <v>18786.64</v>
      </c>
      <c r="Q4209" s="233">
        <f t="shared" si="480"/>
        <v>0</v>
      </c>
      <c r="S4209" s="280"/>
      <c r="U4209" s="220" t="s">
        <v>6499</v>
      </c>
    </row>
    <row r="4210" spans="1:21" ht="20.25" hidden="1" customHeight="1" outlineLevel="3">
      <c r="A4210" s="192" t="s">
        <v>6500</v>
      </c>
      <c r="B4210" s="192"/>
      <c r="C4210" s="197" t="s">
        <v>356</v>
      </c>
      <c r="D4210" s="198">
        <f>'02 项目基础信息（输入）'!$D$14</f>
        <v>18786.64</v>
      </c>
      <c r="E4210" s="199" t="s">
        <v>93</v>
      </c>
      <c r="F4210" s="197" t="s">
        <v>356</v>
      </c>
      <c r="G4210" s="199">
        <v>1</v>
      </c>
      <c r="H4210" s="199" t="s">
        <v>298</v>
      </c>
      <c r="I4210" s="198">
        <f>G4210*D4210</f>
        <v>18786.64</v>
      </c>
      <c r="J4210" s="199" t="s">
        <v>93</v>
      </c>
      <c r="K4210" s="188"/>
      <c r="L4210" s="209" t="s">
        <v>675</v>
      </c>
      <c r="M4210" s="207">
        <f>ROUND(K4210*I4210/10000,6)</f>
        <v>0</v>
      </c>
      <c r="N4210" s="198">
        <f>'02 项目基础信息（输入）'!$D$14</f>
        <v>18786.64</v>
      </c>
      <c r="O4210" s="198">
        <f t="shared" si="479"/>
        <v>0</v>
      </c>
      <c r="P4210" s="198">
        <f>'02 项目基础信息（输入）'!$D$14</f>
        <v>18786.64</v>
      </c>
      <c r="Q4210" s="233">
        <f t="shared" si="480"/>
        <v>0</v>
      </c>
      <c r="S4210" s="280"/>
      <c r="U4210" s="220" t="s">
        <v>6501</v>
      </c>
    </row>
    <row r="4211" spans="1:21" ht="20.25" hidden="1" customHeight="1" outlineLevel="3">
      <c r="A4211" s="192" t="s">
        <v>6502</v>
      </c>
      <c r="B4211" s="192"/>
      <c r="C4211" s="197" t="s">
        <v>356</v>
      </c>
      <c r="D4211" s="198">
        <f>'02 项目基础信息（输入）'!$D$14</f>
        <v>18786.64</v>
      </c>
      <c r="E4211" s="199" t="s">
        <v>93</v>
      </c>
      <c r="F4211" s="197" t="s">
        <v>356</v>
      </c>
      <c r="G4211" s="199">
        <v>1</v>
      </c>
      <c r="H4211" s="199" t="s">
        <v>298</v>
      </c>
      <c r="I4211" s="198">
        <f>G4211*D4211</f>
        <v>18786.64</v>
      </c>
      <c r="J4211" s="199" t="s">
        <v>93</v>
      </c>
      <c r="K4211" s="188"/>
      <c r="L4211" s="209" t="s">
        <v>675</v>
      </c>
      <c r="M4211" s="207">
        <f>ROUND(K4211*I4211/10000,6)</f>
        <v>0</v>
      </c>
      <c r="N4211" s="198">
        <f>'02 项目基础信息（输入）'!$D$14</f>
        <v>18786.64</v>
      </c>
      <c r="O4211" s="198">
        <f t="shared" si="479"/>
        <v>0</v>
      </c>
      <c r="P4211" s="198">
        <f>'02 项目基础信息（输入）'!$D$14</f>
        <v>18786.64</v>
      </c>
      <c r="Q4211" s="233">
        <f t="shared" si="480"/>
        <v>0</v>
      </c>
      <c r="S4211" s="280"/>
      <c r="U4211" s="220" t="s">
        <v>6503</v>
      </c>
    </row>
    <row r="4212" spans="1:21" ht="20.25" hidden="1" customHeight="1" outlineLevel="3">
      <c r="A4212" s="192" t="s">
        <v>6504</v>
      </c>
      <c r="B4212" s="192"/>
      <c r="C4212" s="197" t="s">
        <v>356</v>
      </c>
      <c r="D4212" s="198">
        <f>'02 项目基础信息（输入）'!$D$14</f>
        <v>18786.64</v>
      </c>
      <c r="E4212" s="199" t="s">
        <v>93</v>
      </c>
      <c r="F4212" s="197" t="s">
        <v>356</v>
      </c>
      <c r="G4212" s="199">
        <v>1</v>
      </c>
      <c r="H4212" s="199" t="s">
        <v>298</v>
      </c>
      <c r="I4212" s="198">
        <f>G4212*D4212</f>
        <v>18786.64</v>
      </c>
      <c r="J4212" s="199" t="s">
        <v>93</v>
      </c>
      <c r="K4212" s="188"/>
      <c r="L4212" s="209" t="s">
        <v>675</v>
      </c>
      <c r="M4212" s="207">
        <f>ROUND(K4212*I4212/10000,6)</f>
        <v>0</v>
      </c>
      <c r="N4212" s="198">
        <f>'02 项目基础信息（输入）'!$D$14</f>
        <v>18786.64</v>
      </c>
      <c r="O4212" s="198">
        <f t="shared" si="479"/>
        <v>0</v>
      </c>
      <c r="P4212" s="198">
        <f>'02 项目基础信息（输入）'!$D$14</f>
        <v>18786.64</v>
      </c>
      <c r="Q4212" s="233">
        <f t="shared" si="480"/>
        <v>0</v>
      </c>
      <c r="S4212" s="280"/>
      <c r="U4212" s="220" t="s">
        <v>6505</v>
      </c>
    </row>
    <row r="4213" spans="1:21" ht="20.25" hidden="1" customHeight="1" outlineLevel="3">
      <c r="A4213" s="192" t="s">
        <v>6506</v>
      </c>
      <c r="B4213" s="192"/>
      <c r="C4213" s="197" t="s">
        <v>356</v>
      </c>
      <c r="D4213" s="198">
        <f>'02 项目基础信息（输入）'!$D$14</f>
        <v>18786.64</v>
      </c>
      <c r="E4213" s="199" t="s">
        <v>93</v>
      </c>
      <c r="F4213" s="197" t="s">
        <v>356</v>
      </c>
      <c r="G4213" s="199">
        <v>1</v>
      </c>
      <c r="H4213" s="199" t="s">
        <v>298</v>
      </c>
      <c r="I4213" s="198">
        <f>G4213*D4213</f>
        <v>18786.64</v>
      </c>
      <c r="J4213" s="199" t="s">
        <v>93</v>
      </c>
      <c r="K4213" s="188"/>
      <c r="L4213" s="209" t="s">
        <v>675</v>
      </c>
      <c r="M4213" s="207">
        <f>ROUND(K4213*I4213/10000,6)</f>
        <v>0</v>
      </c>
      <c r="N4213" s="198">
        <f>'02 项目基础信息（输入）'!$D$14</f>
        <v>18786.64</v>
      </c>
      <c r="O4213" s="198">
        <f t="shared" si="479"/>
        <v>0</v>
      </c>
      <c r="P4213" s="198">
        <f>'02 项目基础信息（输入）'!$D$14</f>
        <v>18786.64</v>
      </c>
      <c r="Q4213" s="233">
        <f t="shared" si="480"/>
        <v>0</v>
      </c>
      <c r="S4213" s="280"/>
      <c r="U4213" s="220" t="s">
        <v>6507</v>
      </c>
    </row>
    <row r="4214" spans="1:21" ht="20.25" customHeight="1" outlineLevel="2" collapsed="1">
      <c r="A4214" s="192" t="s">
        <v>6508</v>
      </c>
      <c r="B4214" s="192"/>
      <c r="C4214" s="197" t="s">
        <v>356</v>
      </c>
      <c r="D4214" s="198">
        <f>'02 项目基础信息（输入）'!$D$14</f>
        <v>18786.64</v>
      </c>
      <c r="E4214" s="199" t="s">
        <v>93</v>
      </c>
      <c r="F4214" s="197"/>
      <c r="G4214" s="199"/>
      <c r="H4214" s="199"/>
      <c r="I4214" s="197"/>
      <c r="J4214" s="199"/>
      <c r="K4214" s="197"/>
      <c r="L4214" s="209"/>
      <c r="M4214" s="198">
        <f>ROUND(SUM(M4215),6)</f>
        <v>0</v>
      </c>
      <c r="N4214" s="198">
        <f>'02 项目基础信息（输入）'!$D$14</f>
        <v>18786.64</v>
      </c>
      <c r="O4214" s="198">
        <f t="shared" si="479"/>
        <v>0</v>
      </c>
      <c r="P4214" s="198">
        <f>'02 项目基础信息（输入）'!$D$14</f>
        <v>18786.64</v>
      </c>
      <c r="Q4214" s="233">
        <f t="shared" si="480"/>
        <v>0</v>
      </c>
      <c r="S4214" s="280"/>
      <c r="U4214" s="220" t="s">
        <v>6509</v>
      </c>
    </row>
    <row r="4215" spans="1:21" ht="20.25" hidden="1" customHeight="1" outlineLevel="3">
      <c r="A4215" s="192" t="s">
        <v>6510</v>
      </c>
      <c r="B4215" s="192"/>
      <c r="C4215" s="197" t="s">
        <v>356</v>
      </c>
      <c r="D4215" s="198">
        <f>'02 项目基础信息（输入）'!$D$14</f>
        <v>18786.64</v>
      </c>
      <c r="E4215" s="199" t="s">
        <v>93</v>
      </c>
      <c r="F4215" s="197" t="s">
        <v>356</v>
      </c>
      <c r="G4215" s="199">
        <v>1</v>
      </c>
      <c r="H4215" s="199" t="s">
        <v>298</v>
      </c>
      <c r="I4215" s="198">
        <f>G4215*D4215</f>
        <v>18786.64</v>
      </c>
      <c r="J4215" s="199" t="s">
        <v>93</v>
      </c>
      <c r="K4215" s="188"/>
      <c r="L4215" s="209" t="s">
        <v>675</v>
      </c>
      <c r="M4215" s="207">
        <f>ROUND(K4215*I4215/10000,6)</f>
        <v>0</v>
      </c>
      <c r="N4215" s="198">
        <f>'02 项目基础信息（输入）'!$D$14</f>
        <v>18786.64</v>
      </c>
      <c r="O4215" s="198">
        <f t="shared" si="479"/>
        <v>0</v>
      </c>
      <c r="P4215" s="198">
        <f>'02 项目基础信息（输入）'!$D$14</f>
        <v>18786.64</v>
      </c>
      <c r="Q4215" s="233">
        <f t="shared" si="480"/>
        <v>0</v>
      </c>
      <c r="S4215" s="280"/>
      <c r="U4215" s="220" t="s">
        <v>6511</v>
      </c>
    </row>
    <row r="4216" spans="1:21" ht="20.25" customHeight="1" outlineLevel="2" collapsed="1">
      <c r="A4216" s="192" t="s">
        <v>6512</v>
      </c>
      <c r="B4216" s="192"/>
      <c r="C4216" s="197" t="s">
        <v>356</v>
      </c>
      <c r="D4216" s="198">
        <f>'02 项目基础信息（输入）'!$D$14</f>
        <v>18786.64</v>
      </c>
      <c r="E4216" s="199" t="s">
        <v>93</v>
      </c>
      <c r="F4216" s="197"/>
      <c r="G4216" s="199"/>
      <c r="H4216" s="199"/>
      <c r="I4216" s="197"/>
      <c r="J4216" s="199"/>
      <c r="K4216" s="197"/>
      <c r="L4216" s="209"/>
      <c r="M4216" s="198">
        <f>ROUND(SUM(M4217:M4218),6)</f>
        <v>0</v>
      </c>
      <c r="N4216" s="198">
        <f>'02 项目基础信息（输入）'!$D$14</f>
        <v>18786.64</v>
      </c>
      <c r="O4216" s="198">
        <f t="shared" si="479"/>
        <v>0</v>
      </c>
      <c r="P4216" s="198">
        <f>'02 项目基础信息（输入）'!$D$14</f>
        <v>18786.64</v>
      </c>
      <c r="Q4216" s="233">
        <f t="shared" si="480"/>
        <v>0</v>
      </c>
      <c r="S4216" s="280"/>
      <c r="U4216" s="220" t="s">
        <v>6513</v>
      </c>
    </row>
    <row r="4217" spans="1:21" ht="20.25" hidden="1" customHeight="1" outlineLevel="3">
      <c r="A4217" s="192" t="s">
        <v>6514</v>
      </c>
      <c r="B4217" s="192"/>
      <c r="C4217" s="197" t="s">
        <v>356</v>
      </c>
      <c r="D4217" s="198">
        <f>'02 项目基础信息（输入）'!$D$14</f>
        <v>18786.64</v>
      </c>
      <c r="E4217" s="199" t="s">
        <v>93</v>
      </c>
      <c r="F4217" s="197" t="s">
        <v>356</v>
      </c>
      <c r="G4217" s="199">
        <v>1</v>
      </c>
      <c r="H4217" s="199" t="s">
        <v>298</v>
      </c>
      <c r="I4217" s="198">
        <f>G4217*D4217</f>
        <v>18786.64</v>
      </c>
      <c r="J4217" s="199" t="s">
        <v>93</v>
      </c>
      <c r="K4217" s="188"/>
      <c r="L4217" s="209" t="s">
        <v>675</v>
      </c>
      <c r="M4217" s="207">
        <f>ROUND(K4217*I4217/10000,6)</f>
        <v>0</v>
      </c>
      <c r="N4217" s="198">
        <f>'02 项目基础信息（输入）'!$D$14</f>
        <v>18786.64</v>
      </c>
      <c r="O4217" s="198">
        <f t="shared" si="479"/>
        <v>0</v>
      </c>
      <c r="P4217" s="198">
        <f>'02 项目基础信息（输入）'!$D$14</f>
        <v>18786.64</v>
      </c>
      <c r="Q4217" s="233">
        <f t="shared" si="480"/>
        <v>0</v>
      </c>
      <c r="S4217" s="280"/>
      <c r="U4217" s="220" t="s">
        <v>6515</v>
      </c>
    </row>
    <row r="4218" spans="1:21" ht="20.25" hidden="1" customHeight="1" outlineLevel="3">
      <c r="A4218" s="192" t="s">
        <v>6516</v>
      </c>
      <c r="B4218" s="192"/>
      <c r="C4218" s="197" t="s">
        <v>356</v>
      </c>
      <c r="D4218" s="198">
        <f>'02 项目基础信息（输入）'!$D$14</f>
        <v>18786.64</v>
      </c>
      <c r="E4218" s="199" t="s">
        <v>93</v>
      </c>
      <c r="F4218" s="197" t="s">
        <v>356</v>
      </c>
      <c r="G4218" s="199">
        <v>1</v>
      </c>
      <c r="H4218" s="199" t="s">
        <v>298</v>
      </c>
      <c r="I4218" s="198">
        <f>G4218*D4218</f>
        <v>18786.64</v>
      </c>
      <c r="J4218" s="199" t="s">
        <v>93</v>
      </c>
      <c r="K4218" s="188"/>
      <c r="L4218" s="209" t="s">
        <v>675</v>
      </c>
      <c r="M4218" s="207">
        <f>ROUND(K4218*I4218/10000,6)</f>
        <v>0</v>
      </c>
      <c r="N4218" s="198">
        <f>'02 项目基础信息（输入）'!$D$14</f>
        <v>18786.64</v>
      </c>
      <c r="O4218" s="198">
        <f t="shared" si="479"/>
        <v>0</v>
      </c>
      <c r="P4218" s="198">
        <f>'02 项目基础信息（输入）'!$D$14</f>
        <v>18786.64</v>
      </c>
      <c r="Q4218" s="233">
        <f t="shared" si="480"/>
        <v>0</v>
      </c>
      <c r="S4218" s="280"/>
      <c r="U4218" s="220" t="s">
        <v>6517</v>
      </c>
    </row>
    <row r="4219" spans="1:21" ht="20.25" customHeight="1" outlineLevel="2" collapsed="1">
      <c r="A4219" s="192" t="s">
        <v>6518</v>
      </c>
      <c r="B4219" s="192"/>
      <c r="C4219" s="197" t="s">
        <v>356</v>
      </c>
      <c r="D4219" s="198">
        <f>'02 项目基础信息（输入）'!$D$14</f>
        <v>18786.64</v>
      </c>
      <c r="E4219" s="199" t="s">
        <v>93</v>
      </c>
      <c r="F4219" s="197"/>
      <c r="G4219" s="199"/>
      <c r="H4219" s="199"/>
      <c r="I4219" s="197"/>
      <c r="J4219" s="199"/>
      <c r="K4219" s="197"/>
      <c r="L4219" s="209"/>
      <c r="M4219" s="198">
        <f>ROUND(SUM(M4220),6)</f>
        <v>0</v>
      </c>
      <c r="N4219" s="198">
        <f>'02 项目基础信息（输入）'!$D$14</f>
        <v>18786.64</v>
      </c>
      <c r="O4219" s="198">
        <f t="shared" si="479"/>
        <v>0</v>
      </c>
      <c r="P4219" s="198">
        <f>'02 项目基础信息（输入）'!$D$14</f>
        <v>18786.64</v>
      </c>
      <c r="Q4219" s="233">
        <f t="shared" si="480"/>
        <v>0</v>
      </c>
      <c r="S4219" s="280"/>
      <c r="U4219" s="220" t="s">
        <v>6519</v>
      </c>
    </row>
    <row r="4220" spans="1:21" ht="20.25" hidden="1" customHeight="1" outlineLevel="3">
      <c r="A4220" s="192" t="s">
        <v>6520</v>
      </c>
      <c r="B4220" s="192"/>
      <c r="C4220" s="197" t="s">
        <v>356</v>
      </c>
      <c r="D4220" s="198">
        <f>'02 项目基础信息（输入）'!$D$14</f>
        <v>18786.64</v>
      </c>
      <c r="E4220" s="199" t="s">
        <v>93</v>
      </c>
      <c r="F4220" s="197" t="s">
        <v>356</v>
      </c>
      <c r="G4220" s="199">
        <v>1</v>
      </c>
      <c r="H4220" s="199" t="s">
        <v>298</v>
      </c>
      <c r="I4220" s="198">
        <f>G4220*D4220</f>
        <v>18786.64</v>
      </c>
      <c r="J4220" s="199" t="s">
        <v>93</v>
      </c>
      <c r="K4220" s="188"/>
      <c r="L4220" s="209" t="s">
        <v>675</v>
      </c>
      <c r="M4220" s="207">
        <f>ROUND(K4220*I4220/10000,6)</f>
        <v>0</v>
      </c>
      <c r="N4220" s="198">
        <f>'02 项目基础信息（输入）'!$D$14</f>
        <v>18786.64</v>
      </c>
      <c r="O4220" s="198">
        <f t="shared" si="479"/>
        <v>0</v>
      </c>
      <c r="P4220" s="198">
        <f>'02 项目基础信息（输入）'!$D$14</f>
        <v>18786.64</v>
      </c>
      <c r="Q4220" s="233">
        <f t="shared" si="480"/>
        <v>0</v>
      </c>
      <c r="S4220" s="280"/>
      <c r="U4220" s="220" t="s">
        <v>6521</v>
      </c>
    </row>
    <row r="4221" spans="1:21" ht="20.25" customHeight="1" outlineLevel="2" collapsed="1">
      <c r="A4221" s="192" t="s">
        <v>6522</v>
      </c>
      <c r="B4221" s="192"/>
      <c r="C4221" s="197" t="s">
        <v>356</v>
      </c>
      <c r="D4221" s="198">
        <f>'02 项目基础信息（输入）'!$D$14</f>
        <v>18786.64</v>
      </c>
      <c r="E4221" s="199" t="s">
        <v>93</v>
      </c>
      <c r="F4221" s="197"/>
      <c r="G4221" s="199"/>
      <c r="H4221" s="199"/>
      <c r="I4221" s="197"/>
      <c r="J4221" s="199"/>
      <c r="K4221" s="197"/>
      <c r="L4221" s="209"/>
      <c r="M4221" s="198">
        <f>ROUND(SUM(M4222),6)</f>
        <v>0</v>
      </c>
      <c r="N4221" s="198">
        <f>'02 项目基础信息（输入）'!$D$14</f>
        <v>18786.64</v>
      </c>
      <c r="O4221" s="198">
        <f t="shared" si="479"/>
        <v>0</v>
      </c>
      <c r="P4221" s="198">
        <f>'02 项目基础信息（输入）'!$D$14</f>
        <v>18786.64</v>
      </c>
      <c r="Q4221" s="233">
        <f t="shared" si="480"/>
        <v>0</v>
      </c>
      <c r="S4221" s="280"/>
      <c r="U4221" s="220" t="s">
        <v>6523</v>
      </c>
    </row>
    <row r="4222" spans="1:21" ht="20.25" hidden="1" customHeight="1" outlineLevel="3">
      <c r="A4222" s="192" t="s">
        <v>6524</v>
      </c>
      <c r="B4222" s="192"/>
      <c r="C4222" s="197" t="s">
        <v>356</v>
      </c>
      <c r="D4222" s="198">
        <f>'02 项目基础信息（输入）'!$D$14</f>
        <v>18786.64</v>
      </c>
      <c r="E4222" s="199" t="s">
        <v>93</v>
      </c>
      <c r="F4222" s="197" t="s">
        <v>356</v>
      </c>
      <c r="G4222" s="199">
        <v>1</v>
      </c>
      <c r="H4222" s="199" t="s">
        <v>298</v>
      </c>
      <c r="I4222" s="198">
        <f>G4222*D4222</f>
        <v>18786.64</v>
      </c>
      <c r="J4222" s="199" t="s">
        <v>93</v>
      </c>
      <c r="K4222" s="188"/>
      <c r="L4222" s="209" t="s">
        <v>675</v>
      </c>
      <c r="M4222" s="207">
        <f>ROUND(K4222*I4222/10000,6)</f>
        <v>0</v>
      </c>
      <c r="N4222" s="198">
        <f>'02 项目基础信息（输入）'!$D$14</f>
        <v>18786.64</v>
      </c>
      <c r="O4222" s="198">
        <f t="shared" si="479"/>
        <v>0</v>
      </c>
      <c r="P4222" s="198">
        <f>'02 项目基础信息（输入）'!$D$14</f>
        <v>18786.64</v>
      </c>
      <c r="Q4222" s="233">
        <f t="shared" si="480"/>
        <v>0</v>
      </c>
      <c r="S4222" s="280"/>
      <c r="U4222" s="220" t="s">
        <v>6525</v>
      </c>
    </row>
    <row r="4223" spans="1:21" ht="0" hidden="1" customHeight="1" outlineLevel="2" collapsed="1">
      <c r="A4223" s="253" t="s">
        <v>6526</v>
      </c>
      <c r="B4223" s="253"/>
      <c r="C4223" s="202" t="s">
        <v>356</v>
      </c>
      <c r="D4223" s="212">
        <f t="shared" ref="D4223:D4240" si="485">N4223</f>
        <v>18786.64</v>
      </c>
      <c r="E4223" s="204" t="s">
        <v>93</v>
      </c>
      <c r="F4223" s="202"/>
      <c r="G4223" s="204"/>
      <c r="H4223" s="204"/>
      <c r="I4223" s="203"/>
      <c r="J4223" s="255"/>
      <c r="K4223" s="264"/>
      <c r="L4223" s="205"/>
      <c r="M4223" s="211">
        <f>ROUND(SUM(M4224:M4230),6)</f>
        <v>0</v>
      </c>
      <c r="N4223" s="198">
        <f>'02 项目基础信息（输入）'!$D$14</f>
        <v>18786.64</v>
      </c>
      <c r="O4223" s="198">
        <f t="shared" si="479"/>
        <v>0</v>
      </c>
      <c r="P4223" s="198">
        <f>'02 项目基础信息（输入）'!$D$14</f>
        <v>18786.64</v>
      </c>
      <c r="Q4223" s="271">
        <f t="shared" si="480"/>
        <v>0</v>
      </c>
      <c r="S4223" s="280"/>
      <c r="T4223" s="222"/>
      <c r="U4223" s="220" t="s">
        <v>6527</v>
      </c>
    </row>
    <row r="4224" spans="1:21" ht="0" hidden="1" customHeight="1" outlineLevel="4">
      <c r="A4224" s="253" t="s">
        <v>6528</v>
      </c>
      <c r="B4224" s="253"/>
      <c r="C4224" s="202" t="s">
        <v>356</v>
      </c>
      <c r="D4224" s="212">
        <f t="shared" si="485"/>
        <v>18786.64</v>
      </c>
      <c r="E4224" s="204" t="s">
        <v>93</v>
      </c>
      <c r="F4224" s="202" t="s">
        <v>694</v>
      </c>
      <c r="G4224" s="286"/>
      <c r="H4224" s="204" t="s">
        <v>298</v>
      </c>
      <c r="I4224" s="268">
        <f t="shared" ref="I4224:I4230" si="486">G4224*D4224</f>
        <v>0</v>
      </c>
      <c r="J4224" s="204" t="s">
        <v>93</v>
      </c>
      <c r="K4224" s="269"/>
      <c r="L4224" s="210" t="s">
        <v>675</v>
      </c>
      <c r="M4224" s="211">
        <f t="shared" ref="M4224:M4230" si="487">ROUND(K4224*I4224/10000,6)</f>
        <v>0</v>
      </c>
      <c r="N4224" s="198">
        <f>'02 项目基础信息（输入）'!$D$14</f>
        <v>18786.64</v>
      </c>
      <c r="O4224" s="198">
        <f t="shared" si="479"/>
        <v>0</v>
      </c>
      <c r="P4224" s="198">
        <f>'02 项目基础信息（输入）'!$D$14</f>
        <v>18786.64</v>
      </c>
      <c r="Q4224" s="271">
        <f t="shared" si="480"/>
        <v>0</v>
      </c>
      <c r="S4224" s="280"/>
      <c r="T4224" s="222"/>
      <c r="U4224" s="220" t="s">
        <v>6529</v>
      </c>
    </row>
    <row r="4225" spans="1:21" ht="0" hidden="1" customHeight="1" outlineLevel="4">
      <c r="A4225" s="253" t="s">
        <v>6530</v>
      </c>
      <c r="B4225" s="253"/>
      <c r="C4225" s="202" t="s">
        <v>356</v>
      </c>
      <c r="D4225" s="212">
        <f t="shared" si="485"/>
        <v>18786.64</v>
      </c>
      <c r="E4225" s="204" t="s">
        <v>93</v>
      </c>
      <c r="F4225" s="202" t="s">
        <v>694</v>
      </c>
      <c r="G4225" s="286"/>
      <c r="H4225" s="204" t="s">
        <v>298</v>
      </c>
      <c r="I4225" s="268">
        <f t="shared" si="486"/>
        <v>0</v>
      </c>
      <c r="J4225" s="204" t="s">
        <v>93</v>
      </c>
      <c r="K4225" s="269"/>
      <c r="L4225" s="210" t="s">
        <v>675</v>
      </c>
      <c r="M4225" s="211">
        <f t="shared" si="487"/>
        <v>0</v>
      </c>
      <c r="N4225" s="198">
        <f>'02 项目基础信息（输入）'!$D$14</f>
        <v>18786.64</v>
      </c>
      <c r="O4225" s="198">
        <f t="shared" si="479"/>
        <v>0</v>
      </c>
      <c r="P4225" s="198">
        <f>'02 项目基础信息（输入）'!$D$14</f>
        <v>18786.64</v>
      </c>
      <c r="Q4225" s="271">
        <f t="shared" si="480"/>
        <v>0</v>
      </c>
      <c r="S4225" s="280"/>
      <c r="T4225" s="222"/>
      <c r="U4225" s="220" t="s">
        <v>6531</v>
      </c>
    </row>
    <row r="4226" spans="1:21" ht="0" hidden="1" customHeight="1" outlineLevel="4">
      <c r="A4226" s="253" t="s">
        <v>6532</v>
      </c>
      <c r="B4226" s="253"/>
      <c r="C4226" s="202" t="s">
        <v>356</v>
      </c>
      <c r="D4226" s="212">
        <f t="shared" si="485"/>
        <v>18786.64</v>
      </c>
      <c r="E4226" s="204" t="s">
        <v>93</v>
      </c>
      <c r="F4226" s="202" t="s">
        <v>694</v>
      </c>
      <c r="G4226" s="286"/>
      <c r="H4226" s="204" t="s">
        <v>298</v>
      </c>
      <c r="I4226" s="268">
        <f t="shared" si="486"/>
        <v>0</v>
      </c>
      <c r="J4226" s="204" t="s">
        <v>93</v>
      </c>
      <c r="K4226" s="269"/>
      <c r="L4226" s="210" t="s">
        <v>675</v>
      </c>
      <c r="M4226" s="211">
        <f t="shared" si="487"/>
        <v>0</v>
      </c>
      <c r="N4226" s="198">
        <f>'02 项目基础信息（输入）'!$D$14</f>
        <v>18786.64</v>
      </c>
      <c r="O4226" s="198">
        <f t="shared" si="479"/>
        <v>0</v>
      </c>
      <c r="P4226" s="198">
        <f>'02 项目基础信息（输入）'!$D$14</f>
        <v>18786.64</v>
      </c>
      <c r="Q4226" s="271">
        <f t="shared" si="480"/>
        <v>0</v>
      </c>
      <c r="S4226" s="280"/>
      <c r="T4226" s="222"/>
      <c r="U4226" s="220" t="s">
        <v>6533</v>
      </c>
    </row>
    <row r="4227" spans="1:21" ht="0" hidden="1" customHeight="1" outlineLevel="4">
      <c r="A4227" s="253" t="s">
        <v>6534</v>
      </c>
      <c r="B4227" s="253"/>
      <c r="C4227" s="202" t="s">
        <v>356</v>
      </c>
      <c r="D4227" s="212">
        <f t="shared" si="485"/>
        <v>18786.64</v>
      </c>
      <c r="E4227" s="204" t="s">
        <v>93</v>
      </c>
      <c r="F4227" s="202" t="s">
        <v>694</v>
      </c>
      <c r="G4227" s="286"/>
      <c r="H4227" s="204" t="s">
        <v>298</v>
      </c>
      <c r="I4227" s="268">
        <f t="shared" si="486"/>
        <v>0</v>
      </c>
      <c r="J4227" s="204" t="s">
        <v>93</v>
      </c>
      <c r="K4227" s="269"/>
      <c r="L4227" s="210" t="s">
        <v>675</v>
      </c>
      <c r="M4227" s="211">
        <f t="shared" si="487"/>
        <v>0</v>
      </c>
      <c r="N4227" s="198">
        <f>'02 项目基础信息（输入）'!$D$14</f>
        <v>18786.64</v>
      </c>
      <c r="O4227" s="198">
        <f t="shared" ref="O4227:O4290" si="488">ROUND(IFERROR(M4227*10000/N4227,0),2)</f>
        <v>0</v>
      </c>
      <c r="P4227" s="198">
        <f>'02 项目基础信息（输入）'!$D$14</f>
        <v>18786.64</v>
      </c>
      <c r="Q4227" s="271">
        <f t="shared" ref="Q4227:Q4290" si="489">ROUND(IFERROR(M4227*10000/P4227,0),2)</f>
        <v>0</v>
      </c>
      <c r="S4227" s="280"/>
      <c r="T4227" s="222"/>
      <c r="U4227" s="220" t="s">
        <v>6535</v>
      </c>
    </row>
    <row r="4228" spans="1:21" ht="0" hidden="1" customHeight="1" outlineLevel="4">
      <c r="A4228" s="253" t="s">
        <v>6536</v>
      </c>
      <c r="B4228" s="253"/>
      <c r="C4228" s="202" t="s">
        <v>356</v>
      </c>
      <c r="D4228" s="212">
        <f t="shared" si="485"/>
        <v>18786.64</v>
      </c>
      <c r="E4228" s="204" t="s">
        <v>93</v>
      </c>
      <c r="F4228" s="202" t="s">
        <v>694</v>
      </c>
      <c r="G4228" s="286"/>
      <c r="H4228" s="204" t="s">
        <v>298</v>
      </c>
      <c r="I4228" s="268">
        <f t="shared" si="486"/>
        <v>0</v>
      </c>
      <c r="J4228" s="204" t="s">
        <v>93</v>
      </c>
      <c r="K4228" s="269"/>
      <c r="L4228" s="210" t="s">
        <v>675</v>
      </c>
      <c r="M4228" s="211">
        <f t="shared" si="487"/>
        <v>0</v>
      </c>
      <c r="N4228" s="198">
        <f>'02 项目基础信息（输入）'!$D$14</f>
        <v>18786.64</v>
      </c>
      <c r="O4228" s="198">
        <f t="shared" si="488"/>
        <v>0</v>
      </c>
      <c r="P4228" s="198">
        <f>'02 项目基础信息（输入）'!$D$14</f>
        <v>18786.64</v>
      </c>
      <c r="Q4228" s="271">
        <f t="shared" si="489"/>
        <v>0</v>
      </c>
      <c r="S4228" s="280"/>
      <c r="T4228" s="222"/>
      <c r="U4228" s="220" t="s">
        <v>6537</v>
      </c>
    </row>
    <row r="4229" spans="1:21" ht="0" hidden="1" customHeight="1" outlineLevel="4">
      <c r="A4229" s="253" t="s">
        <v>6538</v>
      </c>
      <c r="B4229" s="253"/>
      <c r="C4229" s="202" t="s">
        <v>356</v>
      </c>
      <c r="D4229" s="212">
        <f t="shared" si="485"/>
        <v>18786.64</v>
      </c>
      <c r="E4229" s="204" t="s">
        <v>93</v>
      </c>
      <c r="F4229" s="202" t="s">
        <v>694</v>
      </c>
      <c r="G4229" s="286"/>
      <c r="H4229" s="204" t="s">
        <v>298</v>
      </c>
      <c r="I4229" s="268">
        <f t="shared" si="486"/>
        <v>0</v>
      </c>
      <c r="J4229" s="204" t="s">
        <v>93</v>
      </c>
      <c r="K4229" s="269"/>
      <c r="L4229" s="210" t="s">
        <v>675</v>
      </c>
      <c r="M4229" s="211">
        <f t="shared" si="487"/>
        <v>0</v>
      </c>
      <c r="N4229" s="198">
        <f>'02 项目基础信息（输入）'!$D$14</f>
        <v>18786.64</v>
      </c>
      <c r="O4229" s="198">
        <f t="shared" si="488"/>
        <v>0</v>
      </c>
      <c r="P4229" s="198">
        <f>'02 项目基础信息（输入）'!$D$14</f>
        <v>18786.64</v>
      </c>
      <c r="Q4229" s="271">
        <f t="shared" si="489"/>
        <v>0</v>
      </c>
      <c r="S4229" s="280"/>
      <c r="T4229" s="222"/>
      <c r="U4229" s="220" t="s">
        <v>6539</v>
      </c>
    </row>
    <row r="4230" spans="1:21" ht="0" hidden="1" customHeight="1" outlineLevel="4">
      <c r="A4230" s="253" t="s">
        <v>6540</v>
      </c>
      <c r="B4230" s="253"/>
      <c r="C4230" s="202" t="s">
        <v>356</v>
      </c>
      <c r="D4230" s="212">
        <f t="shared" si="485"/>
        <v>18786.64</v>
      </c>
      <c r="E4230" s="204" t="s">
        <v>93</v>
      </c>
      <c r="F4230" s="202" t="s">
        <v>694</v>
      </c>
      <c r="G4230" s="286"/>
      <c r="H4230" s="204" t="s">
        <v>1473</v>
      </c>
      <c r="I4230" s="268">
        <f t="shared" si="486"/>
        <v>0</v>
      </c>
      <c r="J4230" s="204" t="s">
        <v>131</v>
      </c>
      <c r="K4230" s="269"/>
      <c r="L4230" s="210" t="s">
        <v>792</v>
      </c>
      <c r="M4230" s="211">
        <f t="shared" si="487"/>
        <v>0</v>
      </c>
      <c r="N4230" s="198">
        <f>'02 项目基础信息（输入）'!$D$14</f>
        <v>18786.64</v>
      </c>
      <c r="O4230" s="198">
        <f t="shared" si="488"/>
        <v>0</v>
      </c>
      <c r="P4230" s="198">
        <f>'02 项目基础信息（输入）'!$D$14</f>
        <v>18786.64</v>
      </c>
      <c r="Q4230" s="271">
        <f t="shared" si="489"/>
        <v>0</v>
      </c>
      <c r="S4230" s="280"/>
      <c r="T4230" s="222"/>
      <c r="U4230" s="220" t="s">
        <v>6541</v>
      </c>
    </row>
    <row r="4231" spans="1:21" ht="0" hidden="1" customHeight="1" outlineLevel="2" collapsed="1">
      <c r="A4231" s="253" t="s">
        <v>6542</v>
      </c>
      <c r="B4231" s="253"/>
      <c r="C4231" s="202" t="s">
        <v>356</v>
      </c>
      <c r="D4231" s="212">
        <f t="shared" si="485"/>
        <v>18786.64</v>
      </c>
      <c r="E4231" s="204" t="s">
        <v>93</v>
      </c>
      <c r="F4231" s="202"/>
      <c r="G4231" s="204"/>
      <c r="H4231" s="204"/>
      <c r="I4231" s="203"/>
      <c r="J4231" s="255"/>
      <c r="K4231" s="264"/>
      <c r="L4231" s="205"/>
      <c r="M4231" s="358">
        <f>ROUND(SUM(M4232:M4234),6)</f>
        <v>0</v>
      </c>
      <c r="N4231" s="198">
        <f>'02 项目基础信息（输入）'!$D$14</f>
        <v>18786.64</v>
      </c>
      <c r="O4231" s="198">
        <f t="shared" si="488"/>
        <v>0</v>
      </c>
      <c r="P4231" s="198">
        <f>'02 项目基础信息（输入）'!$D$14</f>
        <v>18786.64</v>
      </c>
      <c r="Q4231" s="271">
        <f t="shared" si="489"/>
        <v>0</v>
      </c>
      <c r="S4231" s="280"/>
      <c r="T4231" s="222"/>
      <c r="U4231" s="220" t="s">
        <v>6543</v>
      </c>
    </row>
    <row r="4232" spans="1:21" ht="0" hidden="1" customHeight="1" outlineLevel="3">
      <c r="A4232" s="253" t="s">
        <v>6544</v>
      </c>
      <c r="B4232" s="253"/>
      <c r="C4232" s="202" t="s">
        <v>356</v>
      </c>
      <c r="D4232" s="212">
        <f t="shared" si="485"/>
        <v>18786.64</v>
      </c>
      <c r="E4232" s="204" t="s">
        <v>93</v>
      </c>
      <c r="F4232" s="202" t="s">
        <v>694</v>
      </c>
      <c r="G4232" s="286"/>
      <c r="H4232" s="204" t="s">
        <v>298</v>
      </c>
      <c r="I4232" s="268">
        <f>G4232*D4232</f>
        <v>0</v>
      </c>
      <c r="J4232" s="204" t="s">
        <v>93</v>
      </c>
      <c r="K4232" s="269"/>
      <c r="L4232" s="210" t="s">
        <v>675</v>
      </c>
      <c r="M4232" s="211">
        <f>ROUND(K4232*I4232/10000,6)</f>
        <v>0</v>
      </c>
      <c r="N4232" s="198">
        <f>'02 项目基础信息（输入）'!$D$14</f>
        <v>18786.64</v>
      </c>
      <c r="O4232" s="198">
        <f t="shared" si="488"/>
        <v>0</v>
      </c>
      <c r="P4232" s="198">
        <f>'02 项目基础信息（输入）'!$D$14</f>
        <v>18786.64</v>
      </c>
      <c r="Q4232" s="271">
        <f t="shared" si="489"/>
        <v>0</v>
      </c>
      <c r="S4232" s="280"/>
      <c r="T4232" s="222"/>
      <c r="U4232" s="220" t="s">
        <v>6545</v>
      </c>
    </row>
    <row r="4233" spans="1:21" ht="0" hidden="1" customHeight="1" outlineLevel="3">
      <c r="A4233" s="253" t="s">
        <v>6546</v>
      </c>
      <c r="B4233" s="253"/>
      <c r="C4233" s="202" t="s">
        <v>356</v>
      </c>
      <c r="D4233" s="212">
        <f t="shared" si="485"/>
        <v>18786.64</v>
      </c>
      <c r="E4233" s="204" t="s">
        <v>93</v>
      </c>
      <c r="F4233" s="202" t="s">
        <v>694</v>
      </c>
      <c r="G4233" s="286"/>
      <c r="H4233" s="204" t="s">
        <v>298</v>
      </c>
      <c r="I4233" s="268">
        <f>G4233*D4233</f>
        <v>0</v>
      </c>
      <c r="J4233" s="204" t="s">
        <v>93</v>
      </c>
      <c r="K4233" s="269"/>
      <c r="L4233" s="210" t="s">
        <v>675</v>
      </c>
      <c r="M4233" s="211">
        <f>ROUND(K4233*I4233/10000,6)</f>
        <v>0</v>
      </c>
      <c r="N4233" s="198">
        <f>'02 项目基础信息（输入）'!$D$14</f>
        <v>18786.64</v>
      </c>
      <c r="O4233" s="198">
        <f t="shared" si="488"/>
        <v>0</v>
      </c>
      <c r="P4233" s="198">
        <f>'02 项目基础信息（输入）'!$D$14</f>
        <v>18786.64</v>
      </c>
      <c r="Q4233" s="271">
        <f t="shared" si="489"/>
        <v>0</v>
      </c>
      <c r="S4233" s="280"/>
      <c r="T4233" s="222"/>
      <c r="U4233" s="220" t="s">
        <v>6547</v>
      </c>
    </row>
    <row r="4234" spans="1:21" ht="0" hidden="1" customHeight="1" outlineLevel="3">
      <c r="A4234" s="253" t="s">
        <v>6548</v>
      </c>
      <c r="B4234" s="253"/>
      <c r="C4234" s="202" t="s">
        <v>356</v>
      </c>
      <c r="D4234" s="212">
        <f t="shared" si="485"/>
        <v>18786.64</v>
      </c>
      <c r="E4234" s="204" t="s">
        <v>93</v>
      </c>
      <c r="F4234" s="202" t="s">
        <v>694</v>
      </c>
      <c r="G4234" s="286"/>
      <c r="H4234" s="204" t="s">
        <v>298</v>
      </c>
      <c r="I4234" s="268">
        <f>G4234*D4234</f>
        <v>0</v>
      </c>
      <c r="J4234" s="204" t="s">
        <v>93</v>
      </c>
      <c r="K4234" s="269"/>
      <c r="L4234" s="210" t="s">
        <v>675</v>
      </c>
      <c r="M4234" s="211">
        <f>ROUND(K4234*I4234/10000,6)</f>
        <v>0</v>
      </c>
      <c r="N4234" s="198">
        <f>'02 项目基础信息（输入）'!$D$14</f>
        <v>18786.64</v>
      </c>
      <c r="O4234" s="198">
        <f t="shared" si="488"/>
        <v>0</v>
      </c>
      <c r="P4234" s="198">
        <f>'02 项目基础信息（输入）'!$D$14</f>
        <v>18786.64</v>
      </c>
      <c r="Q4234" s="271">
        <f t="shared" si="489"/>
        <v>0</v>
      </c>
      <c r="S4234" s="280"/>
      <c r="T4234" s="222"/>
      <c r="U4234" s="220" t="s">
        <v>6549</v>
      </c>
    </row>
    <row r="4235" spans="1:21" ht="0" hidden="1" customHeight="1" outlineLevel="2" collapsed="1">
      <c r="A4235" s="253" t="s">
        <v>6550</v>
      </c>
      <c r="B4235" s="253"/>
      <c r="C4235" s="202" t="s">
        <v>356</v>
      </c>
      <c r="D4235" s="212">
        <f t="shared" si="485"/>
        <v>18786.64</v>
      </c>
      <c r="E4235" s="204" t="s">
        <v>93</v>
      </c>
      <c r="F4235" s="256"/>
      <c r="G4235" s="221"/>
      <c r="H4235" s="255"/>
      <c r="I4235" s="268"/>
      <c r="J4235" s="255"/>
      <c r="K4235" s="264"/>
      <c r="L4235" s="205"/>
      <c r="M4235" s="358">
        <f>ROUND(SUM(M4236),6)</f>
        <v>0</v>
      </c>
      <c r="N4235" s="198">
        <f>'02 项目基础信息（输入）'!$D$14</f>
        <v>18786.64</v>
      </c>
      <c r="O4235" s="198">
        <f t="shared" si="488"/>
        <v>0</v>
      </c>
      <c r="P4235" s="198">
        <f>'02 项目基础信息（输入）'!$D$14</f>
        <v>18786.64</v>
      </c>
      <c r="Q4235" s="271">
        <f t="shared" si="489"/>
        <v>0</v>
      </c>
      <c r="S4235" s="280"/>
      <c r="T4235" s="222"/>
      <c r="U4235" s="220" t="s">
        <v>6551</v>
      </c>
    </row>
    <row r="4236" spans="1:21" ht="0" hidden="1" customHeight="1" outlineLevel="3">
      <c r="A4236" s="253" t="s">
        <v>6552</v>
      </c>
      <c r="B4236" s="253"/>
      <c r="C4236" s="202" t="s">
        <v>356</v>
      </c>
      <c r="D4236" s="212">
        <f t="shared" si="485"/>
        <v>18786.64</v>
      </c>
      <c r="E4236" s="204" t="s">
        <v>93</v>
      </c>
      <c r="F4236" s="202" t="s">
        <v>356</v>
      </c>
      <c r="G4236" s="283">
        <v>1</v>
      </c>
      <c r="H4236" s="204" t="s">
        <v>298</v>
      </c>
      <c r="I4236" s="268">
        <f>G4236*D4236</f>
        <v>18786.64</v>
      </c>
      <c r="J4236" s="204" t="s">
        <v>93</v>
      </c>
      <c r="K4236" s="269"/>
      <c r="L4236" s="210" t="s">
        <v>675</v>
      </c>
      <c r="M4236" s="211">
        <f>ROUND(K4236*I4236/10000,6)</f>
        <v>0</v>
      </c>
      <c r="N4236" s="198">
        <f>'02 项目基础信息（输入）'!$D$14</f>
        <v>18786.64</v>
      </c>
      <c r="O4236" s="198">
        <f t="shared" si="488"/>
        <v>0</v>
      </c>
      <c r="P4236" s="198">
        <f>'02 项目基础信息（输入）'!$D$14</f>
        <v>18786.64</v>
      </c>
      <c r="Q4236" s="271">
        <f t="shared" si="489"/>
        <v>0</v>
      </c>
      <c r="S4236" s="280"/>
      <c r="T4236" s="222"/>
      <c r="U4236" s="220" t="s">
        <v>6553</v>
      </c>
    </row>
    <row r="4237" spans="1:21" ht="0" hidden="1" customHeight="1" outlineLevel="2" collapsed="1">
      <c r="A4237" s="253" t="s">
        <v>6554</v>
      </c>
      <c r="B4237" s="253"/>
      <c r="C4237" s="202" t="s">
        <v>356</v>
      </c>
      <c r="D4237" s="212">
        <f t="shared" si="485"/>
        <v>18786.64</v>
      </c>
      <c r="E4237" s="204" t="s">
        <v>93</v>
      </c>
      <c r="F4237" s="202"/>
      <c r="G4237" s="283"/>
      <c r="H4237" s="204"/>
      <c r="I4237" s="359"/>
      <c r="J4237" s="204"/>
      <c r="K4237" s="264"/>
      <c r="L4237" s="210"/>
      <c r="M4237" s="358">
        <f>ROUND(SUM(M4238),6)</f>
        <v>0</v>
      </c>
      <c r="N4237" s="198">
        <f>'02 项目基础信息（输入）'!$D$14</f>
        <v>18786.64</v>
      </c>
      <c r="O4237" s="198">
        <f t="shared" si="488"/>
        <v>0</v>
      </c>
      <c r="P4237" s="198">
        <f>'02 项目基础信息（输入）'!$D$14</f>
        <v>18786.64</v>
      </c>
      <c r="Q4237" s="271">
        <f t="shared" si="489"/>
        <v>0</v>
      </c>
      <c r="S4237" s="280"/>
      <c r="T4237" s="222"/>
      <c r="U4237" s="220" t="s">
        <v>6555</v>
      </c>
    </row>
    <row r="4238" spans="1:21" ht="0" hidden="1" customHeight="1" outlineLevel="3">
      <c r="A4238" s="253" t="s">
        <v>6556</v>
      </c>
      <c r="B4238" s="253"/>
      <c r="C4238" s="202" t="s">
        <v>356</v>
      </c>
      <c r="D4238" s="212">
        <f t="shared" si="485"/>
        <v>18786.64</v>
      </c>
      <c r="E4238" s="204" t="s">
        <v>93</v>
      </c>
      <c r="F4238" s="202" t="s">
        <v>6557</v>
      </c>
      <c r="G4238" s="280">
        <f>IFERROR(I4238/D4238,0)</f>
        <v>0</v>
      </c>
      <c r="H4238" s="204" t="s">
        <v>298</v>
      </c>
      <c r="I4238" s="213"/>
      <c r="J4238" s="204" t="s">
        <v>93</v>
      </c>
      <c r="K4238" s="269"/>
      <c r="L4238" s="210" t="s">
        <v>675</v>
      </c>
      <c r="M4238" s="211">
        <f>ROUND(K4238*I4238/10000,6)</f>
        <v>0</v>
      </c>
      <c r="N4238" s="198">
        <f>'02 项目基础信息（输入）'!$D$14</f>
        <v>18786.64</v>
      </c>
      <c r="O4238" s="198">
        <f t="shared" si="488"/>
        <v>0</v>
      </c>
      <c r="P4238" s="198">
        <f>'02 项目基础信息（输入）'!$D$14</f>
        <v>18786.64</v>
      </c>
      <c r="Q4238" s="271">
        <f t="shared" si="489"/>
        <v>0</v>
      </c>
      <c r="S4238" s="280"/>
      <c r="T4238" s="222"/>
      <c r="U4238" s="220" t="s">
        <v>6558</v>
      </c>
    </row>
    <row r="4239" spans="1:21" ht="20.25" customHeight="1" outlineLevel="2" collapsed="1">
      <c r="A4239" s="253" t="s">
        <v>6559</v>
      </c>
      <c r="B4239" s="253"/>
      <c r="C4239" s="202" t="s">
        <v>356</v>
      </c>
      <c r="D4239" s="212">
        <f t="shared" si="485"/>
        <v>18786.64</v>
      </c>
      <c r="E4239" s="204" t="s">
        <v>93</v>
      </c>
      <c r="F4239" s="202"/>
      <c r="G4239" s="290"/>
      <c r="H4239" s="204"/>
      <c r="I4239" s="268"/>
      <c r="J4239" s="204"/>
      <c r="K4239" s="264"/>
      <c r="L4239" s="210"/>
      <c r="M4239" s="358">
        <f>ROUND(SUM(M4240),6)</f>
        <v>0</v>
      </c>
      <c r="N4239" s="198">
        <f>'02 项目基础信息（输入）'!$D$14</f>
        <v>18786.64</v>
      </c>
      <c r="O4239" s="198">
        <f t="shared" si="488"/>
        <v>0</v>
      </c>
      <c r="P4239" s="198">
        <f>'02 项目基础信息（输入）'!$D$14</f>
        <v>18786.64</v>
      </c>
      <c r="Q4239" s="271">
        <f t="shared" si="489"/>
        <v>0</v>
      </c>
      <c r="S4239" s="280"/>
      <c r="T4239" s="222"/>
      <c r="U4239" s="220" t="s">
        <v>6560</v>
      </c>
    </row>
    <row r="4240" spans="1:21" ht="20.25" hidden="1" customHeight="1" outlineLevel="3">
      <c r="A4240" s="253" t="s">
        <v>6561</v>
      </c>
      <c r="B4240" s="253"/>
      <c r="C4240" s="202" t="s">
        <v>356</v>
      </c>
      <c r="D4240" s="212">
        <f t="shared" si="485"/>
        <v>18786.64</v>
      </c>
      <c r="E4240" s="204" t="s">
        <v>93</v>
      </c>
      <c r="F4240" s="202" t="s">
        <v>356</v>
      </c>
      <c r="G4240" s="283">
        <v>1</v>
      </c>
      <c r="H4240" s="204" t="s">
        <v>298</v>
      </c>
      <c r="I4240" s="265">
        <f>K4240*N4240/10000</f>
        <v>0</v>
      </c>
      <c r="J4240" s="204" t="s">
        <v>93</v>
      </c>
      <c r="K4240" s="269"/>
      <c r="L4240" s="210" t="s">
        <v>675</v>
      </c>
      <c r="M4240" s="211">
        <f>ROUND(K4240*I4240/10000,6)</f>
        <v>0</v>
      </c>
      <c r="N4240" s="198">
        <f>'02 项目基础信息（输入）'!$D$14</f>
        <v>18786.64</v>
      </c>
      <c r="O4240" s="198">
        <f t="shared" si="488"/>
        <v>0</v>
      </c>
      <c r="P4240" s="198">
        <f>'02 项目基础信息（输入）'!$D$14</f>
        <v>18786.64</v>
      </c>
      <c r="Q4240" s="271">
        <f t="shared" si="489"/>
        <v>0</v>
      </c>
      <c r="S4240" s="280"/>
      <c r="T4240" s="222"/>
      <c r="U4240" s="220" t="s">
        <v>6562</v>
      </c>
    </row>
    <row r="4241" spans="1:21" ht="20.25" customHeight="1" outlineLevel="1">
      <c r="A4241" s="196" t="s">
        <v>6563</v>
      </c>
      <c r="B4241" s="196"/>
      <c r="C4241" s="197" t="s">
        <v>402</v>
      </c>
      <c r="D4241" s="198">
        <f>'02 项目基础信息（输入）'!$K$19</f>
        <v>46191.064599999998</v>
      </c>
      <c r="E4241" s="199" t="s">
        <v>93</v>
      </c>
      <c r="F4241" s="197"/>
      <c r="G4241" s="199"/>
      <c r="H4241" s="199"/>
      <c r="I4241" s="197"/>
      <c r="J4241" s="199"/>
      <c r="K4241" s="197"/>
      <c r="L4241" s="209"/>
      <c r="M4241" s="198">
        <f>ROUND(M4242+M4243+M4244+M4245+M4246+M4247+M4248+M4249+M4250+M4251,6)</f>
        <v>13857.319380000001</v>
      </c>
      <c r="N4241" s="198">
        <f>'02 项目基础信息（输入）'!$G$69</f>
        <v>46191.064599999998</v>
      </c>
      <c r="O4241" s="198">
        <f t="shared" si="488"/>
        <v>3000</v>
      </c>
      <c r="P4241" s="198">
        <f>'02 项目基础信息（输入）'!$G$69+'02 项目基础信息（输入）'!$H$69</f>
        <v>46191.064599999998</v>
      </c>
      <c r="Q4241" s="233">
        <f t="shared" si="489"/>
        <v>3000</v>
      </c>
      <c r="S4241" s="280"/>
      <c r="U4241" s="220" t="s">
        <v>6564</v>
      </c>
    </row>
    <row r="4242" spans="1:21" ht="0" hidden="1" customHeight="1" outlineLevel="2">
      <c r="A4242" s="192" t="s">
        <v>490</v>
      </c>
      <c r="B4242" s="192"/>
      <c r="C4242" s="197" t="s">
        <v>402</v>
      </c>
      <c r="D4242" s="198">
        <f>'02 项目基础信息（输入）'!$G$36</f>
        <v>0</v>
      </c>
      <c r="E4242" s="199" t="s">
        <v>93</v>
      </c>
      <c r="F4242" s="197" t="s">
        <v>402</v>
      </c>
      <c r="G4242" s="199">
        <v>1</v>
      </c>
      <c r="H4242" s="199" t="s">
        <v>298</v>
      </c>
      <c r="I4242" s="198">
        <f t="shared" ref="I4242:I4251" si="490">G4242*D4242</f>
        <v>0</v>
      </c>
      <c r="J4242" s="199" t="s">
        <v>93</v>
      </c>
      <c r="K4242" s="360"/>
      <c r="L4242" s="209" t="s">
        <v>675</v>
      </c>
      <c r="M4242" s="207">
        <f t="shared" ref="M4242:M4251" si="491">ROUND(K4242*I4242/10000,6)</f>
        <v>0</v>
      </c>
      <c r="N4242" s="198">
        <f>'02 项目基础信息（输入）'!$G$36</f>
        <v>0</v>
      </c>
      <c r="O4242" s="198">
        <f t="shared" si="488"/>
        <v>0</v>
      </c>
      <c r="P4242" s="198">
        <f>'02 项目基础信息（输入）'!$G$36+'02 项目基础信息（输入）'!$H$36</f>
        <v>0</v>
      </c>
      <c r="Q4242" s="233">
        <f t="shared" si="489"/>
        <v>0</v>
      </c>
      <c r="S4242" s="280"/>
      <c r="U4242" s="220" t="s">
        <v>6565</v>
      </c>
    </row>
    <row r="4243" spans="1:21" ht="0" hidden="1" customHeight="1" outlineLevel="2">
      <c r="A4243" s="192" t="s">
        <v>496</v>
      </c>
      <c r="B4243" s="192"/>
      <c r="C4243" s="197" t="s">
        <v>402</v>
      </c>
      <c r="D4243" s="198">
        <f>'02 项目基础信息（输入）'!$G$39</f>
        <v>0</v>
      </c>
      <c r="E4243" s="199" t="s">
        <v>93</v>
      </c>
      <c r="F4243" s="197" t="s">
        <v>402</v>
      </c>
      <c r="G4243" s="199">
        <v>1</v>
      </c>
      <c r="H4243" s="199" t="s">
        <v>298</v>
      </c>
      <c r="I4243" s="198">
        <f t="shared" si="490"/>
        <v>0</v>
      </c>
      <c r="J4243" s="199" t="s">
        <v>93</v>
      </c>
      <c r="K4243" s="360"/>
      <c r="L4243" s="209" t="s">
        <v>675</v>
      </c>
      <c r="M4243" s="207">
        <f t="shared" si="491"/>
        <v>0</v>
      </c>
      <c r="N4243" s="198">
        <f>'02 项目基础信息（输入）'!$G$39</f>
        <v>0</v>
      </c>
      <c r="O4243" s="198">
        <f t="shared" si="488"/>
        <v>0</v>
      </c>
      <c r="P4243" s="198">
        <f>'02 项目基础信息（输入）'!$G$39+'02 项目基础信息（输入）'!$H$39</f>
        <v>0</v>
      </c>
      <c r="Q4243" s="233">
        <f t="shared" si="489"/>
        <v>0</v>
      </c>
      <c r="S4243" s="280"/>
      <c r="U4243" s="220" t="s">
        <v>6566</v>
      </c>
    </row>
    <row r="4244" spans="1:21" ht="20.25" customHeight="1" outlineLevel="2">
      <c r="A4244" s="192" t="s">
        <v>500</v>
      </c>
      <c r="B4244" s="192"/>
      <c r="C4244" s="197" t="s">
        <v>402</v>
      </c>
      <c r="D4244" s="198">
        <f>'02 项目基础信息（输入）'!$G$42</f>
        <v>46191.064599999998</v>
      </c>
      <c r="E4244" s="199" t="s">
        <v>93</v>
      </c>
      <c r="F4244" s="197" t="s">
        <v>402</v>
      </c>
      <c r="G4244" s="199">
        <v>1</v>
      </c>
      <c r="H4244" s="199" t="s">
        <v>298</v>
      </c>
      <c r="I4244" s="198">
        <f t="shared" si="490"/>
        <v>46191.064599999998</v>
      </c>
      <c r="J4244" s="199" t="s">
        <v>93</v>
      </c>
      <c r="K4244" s="1043">
        <v>3000</v>
      </c>
      <c r="L4244" s="209" t="s">
        <v>675</v>
      </c>
      <c r="M4244" s="207">
        <f t="shared" si="491"/>
        <v>13857.319380000001</v>
      </c>
      <c r="N4244" s="198">
        <f>'02 项目基础信息（输入）'!$G$42</f>
        <v>46191.064599999998</v>
      </c>
      <c r="O4244" s="198">
        <f t="shared" si="488"/>
        <v>3000</v>
      </c>
      <c r="P4244" s="198">
        <f>'02 项目基础信息（输入）'!$G$42+'02 项目基础信息（输入）'!$H$42</f>
        <v>46191.064599999998</v>
      </c>
      <c r="Q4244" s="233">
        <f t="shared" si="489"/>
        <v>3000</v>
      </c>
      <c r="S4244" s="280"/>
      <c r="U4244" s="220" t="s">
        <v>6567</v>
      </c>
    </row>
    <row r="4245" spans="1:21" ht="0" hidden="1" customHeight="1" outlineLevel="2">
      <c r="A4245" s="192" t="s">
        <v>504</v>
      </c>
      <c r="B4245" s="192"/>
      <c r="C4245" s="197" t="s">
        <v>402</v>
      </c>
      <c r="D4245" s="198">
        <f>'02 项目基础信息（输入）'!$G$45</f>
        <v>0</v>
      </c>
      <c r="E4245" s="199" t="s">
        <v>93</v>
      </c>
      <c r="F4245" s="197" t="s">
        <v>402</v>
      </c>
      <c r="G4245" s="199">
        <v>1</v>
      </c>
      <c r="H4245" s="199" t="s">
        <v>298</v>
      </c>
      <c r="I4245" s="198">
        <f t="shared" si="490"/>
        <v>0</v>
      </c>
      <c r="J4245" s="199" t="s">
        <v>93</v>
      </c>
      <c r="K4245" s="360"/>
      <c r="L4245" s="209" t="s">
        <v>675</v>
      </c>
      <c r="M4245" s="207">
        <f t="shared" si="491"/>
        <v>0</v>
      </c>
      <c r="N4245" s="198">
        <f>'02 项目基础信息（输入）'!$G$45</f>
        <v>0</v>
      </c>
      <c r="O4245" s="198">
        <f t="shared" si="488"/>
        <v>0</v>
      </c>
      <c r="P4245" s="198">
        <f>'02 项目基础信息（输入）'!$G$45+'02 项目基础信息（输入）'!$H$45</f>
        <v>0</v>
      </c>
      <c r="Q4245" s="233">
        <f t="shared" si="489"/>
        <v>0</v>
      </c>
      <c r="S4245" s="280"/>
      <c r="U4245" s="220" t="s">
        <v>6568</v>
      </c>
    </row>
    <row r="4246" spans="1:21" ht="0" hidden="1" customHeight="1" outlineLevel="2">
      <c r="A4246" s="192" t="s">
        <v>508</v>
      </c>
      <c r="B4246" s="192"/>
      <c r="C4246" s="197" t="s">
        <v>402</v>
      </c>
      <c r="D4246" s="198">
        <f>'02 项目基础信息（输入）'!$G$48</f>
        <v>0</v>
      </c>
      <c r="E4246" s="199" t="s">
        <v>93</v>
      </c>
      <c r="F4246" s="197" t="s">
        <v>402</v>
      </c>
      <c r="G4246" s="199">
        <v>1</v>
      </c>
      <c r="H4246" s="199" t="s">
        <v>298</v>
      </c>
      <c r="I4246" s="198">
        <f t="shared" si="490"/>
        <v>0</v>
      </c>
      <c r="J4246" s="199" t="s">
        <v>93</v>
      </c>
      <c r="K4246" s="360"/>
      <c r="L4246" s="209" t="s">
        <v>675</v>
      </c>
      <c r="M4246" s="207">
        <f t="shared" si="491"/>
        <v>0</v>
      </c>
      <c r="N4246" s="198">
        <f>'02 项目基础信息（输入）'!$G$48</f>
        <v>0</v>
      </c>
      <c r="O4246" s="198">
        <f t="shared" si="488"/>
        <v>0</v>
      </c>
      <c r="P4246" s="198">
        <f>'02 项目基础信息（输入）'!$G$48+'02 项目基础信息（输入）'!$H$48</f>
        <v>0</v>
      </c>
      <c r="Q4246" s="233">
        <f t="shared" si="489"/>
        <v>0</v>
      </c>
      <c r="S4246" s="280"/>
      <c r="U4246" s="220" t="s">
        <v>6569</v>
      </c>
    </row>
    <row r="4247" spans="1:21" ht="0" hidden="1" customHeight="1" outlineLevel="2">
      <c r="A4247" s="192" t="s">
        <v>512</v>
      </c>
      <c r="B4247" s="192"/>
      <c r="C4247" s="197" t="s">
        <v>402</v>
      </c>
      <c r="D4247" s="198">
        <f>'02 项目基础信息（输入）'!$G$51</f>
        <v>0</v>
      </c>
      <c r="E4247" s="199" t="s">
        <v>93</v>
      </c>
      <c r="F4247" s="197" t="s">
        <v>402</v>
      </c>
      <c r="G4247" s="199">
        <v>1</v>
      </c>
      <c r="H4247" s="199" t="s">
        <v>298</v>
      </c>
      <c r="I4247" s="198">
        <f t="shared" si="490"/>
        <v>0</v>
      </c>
      <c r="J4247" s="199" t="s">
        <v>93</v>
      </c>
      <c r="K4247" s="360"/>
      <c r="L4247" s="209" t="s">
        <v>675</v>
      </c>
      <c r="M4247" s="207">
        <f t="shared" si="491"/>
        <v>0</v>
      </c>
      <c r="N4247" s="198">
        <f>'02 项目基础信息（输入）'!$G$51</f>
        <v>0</v>
      </c>
      <c r="O4247" s="198">
        <f t="shared" si="488"/>
        <v>0</v>
      </c>
      <c r="P4247" s="198">
        <f>'02 项目基础信息（输入）'!$G$51+'02 项目基础信息（输入）'!$H$51</f>
        <v>0</v>
      </c>
      <c r="Q4247" s="233">
        <f t="shared" si="489"/>
        <v>0</v>
      </c>
      <c r="S4247" s="280"/>
      <c r="U4247" s="220" t="s">
        <v>6570</v>
      </c>
    </row>
    <row r="4248" spans="1:21" ht="0" hidden="1" customHeight="1" outlineLevel="2">
      <c r="A4248" s="192" t="s">
        <v>516</v>
      </c>
      <c r="B4248" s="192"/>
      <c r="C4248" s="197" t="s">
        <v>402</v>
      </c>
      <c r="D4248" s="198">
        <f>'02 项目基础信息（输入）'!$G$54</f>
        <v>0</v>
      </c>
      <c r="E4248" s="199" t="s">
        <v>93</v>
      </c>
      <c r="F4248" s="197" t="s">
        <v>402</v>
      </c>
      <c r="G4248" s="199">
        <v>1</v>
      </c>
      <c r="H4248" s="199" t="s">
        <v>298</v>
      </c>
      <c r="I4248" s="198">
        <f t="shared" si="490"/>
        <v>0</v>
      </c>
      <c r="J4248" s="199" t="s">
        <v>93</v>
      </c>
      <c r="K4248" s="360"/>
      <c r="L4248" s="209" t="s">
        <v>675</v>
      </c>
      <c r="M4248" s="207">
        <f t="shared" si="491"/>
        <v>0</v>
      </c>
      <c r="N4248" s="198">
        <f>'02 项目基础信息（输入）'!$G$54</f>
        <v>0</v>
      </c>
      <c r="O4248" s="198">
        <f t="shared" si="488"/>
        <v>0</v>
      </c>
      <c r="P4248" s="198">
        <f>'02 项目基础信息（输入）'!$G$54+'02 项目基础信息（输入）'!$H$54</f>
        <v>0</v>
      </c>
      <c r="Q4248" s="233">
        <f t="shared" si="489"/>
        <v>0</v>
      </c>
      <c r="S4248" s="280"/>
      <c r="U4248" s="220" t="s">
        <v>6571</v>
      </c>
    </row>
    <row r="4249" spans="1:21" ht="0" hidden="1" customHeight="1" outlineLevel="2">
      <c r="A4249" s="192" t="s">
        <v>520</v>
      </c>
      <c r="B4249" s="192"/>
      <c r="C4249" s="197" t="s">
        <v>402</v>
      </c>
      <c r="D4249" s="198">
        <f>'02 项目基础信息（输入）'!$G$57</f>
        <v>0</v>
      </c>
      <c r="E4249" s="199" t="s">
        <v>93</v>
      </c>
      <c r="F4249" s="197" t="s">
        <v>402</v>
      </c>
      <c r="G4249" s="199">
        <v>1</v>
      </c>
      <c r="H4249" s="199" t="s">
        <v>298</v>
      </c>
      <c r="I4249" s="198">
        <f t="shared" si="490"/>
        <v>0</v>
      </c>
      <c r="J4249" s="199" t="s">
        <v>93</v>
      </c>
      <c r="K4249" s="360"/>
      <c r="L4249" s="209" t="s">
        <v>675</v>
      </c>
      <c r="M4249" s="207">
        <f t="shared" si="491"/>
        <v>0</v>
      </c>
      <c r="N4249" s="198">
        <f>'02 项目基础信息（输入）'!$G$57</f>
        <v>0</v>
      </c>
      <c r="O4249" s="198">
        <f t="shared" si="488"/>
        <v>0</v>
      </c>
      <c r="P4249" s="198">
        <f>'02 项目基础信息（输入）'!$G$57+'02 项目基础信息（输入）'!$H$57</f>
        <v>0</v>
      </c>
      <c r="Q4249" s="233">
        <f t="shared" si="489"/>
        <v>0</v>
      </c>
      <c r="S4249" s="280"/>
      <c r="U4249" s="220" t="s">
        <v>6572</v>
      </c>
    </row>
    <row r="4250" spans="1:21" ht="0" hidden="1" customHeight="1" outlineLevel="2">
      <c r="A4250" s="192" t="s">
        <v>524</v>
      </c>
      <c r="B4250" s="192"/>
      <c r="C4250" s="197" t="s">
        <v>402</v>
      </c>
      <c r="D4250" s="198">
        <f>'02 项目基础信息（输入）'!$G$60</f>
        <v>0</v>
      </c>
      <c r="E4250" s="199" t="s">
        <v>93</v>
      </c>
      <c r="F4250" s="197" t="s">
        <v>402</v>
      </c>
      <c r="G4250" s="199">
        <v>1</v>
      </c>
      <c r="H4250" s="199" t="s">
        <v>298</v>
      </c>
      <c r="I4250" s="198">
        <f t="shared" si="490"/>
        <v>0</v>
      </c>
      <c r="J4250" s="199" t="s">
        <v>93</v>
      </c>
      <c r="K4250" s="360"/>
      <c r="L4250" s="209" t="s">
        <v>675</v>
      </c>
      <c r="M4250" s="207">
        <f t="shared" si="491"/>
        <v>0</v>
      </c>
      <c r="N4250" s="198">
        <f>'02 项目基础信息（输入）'!$G$60</f>
        <v>0</v>
      </c>
      <c r="O4250" s="198">
        <f t="shared" si="488"/>
        <v>0</v>
      </c>
      <c r="P4250" s="198">
        <f>'02 项目基础信息（输入）'!$G$60+'02 项目基础信息（输入）'!$H$60</f>
        <v>0</v>
      </c>
      <c r="Q4250" s="233">
        <f t="shared" si="489"/>
        <v>0</v>
      </c>
      <c r="S4250" s="280"/>
      <c r="U4250" s="220" t="s">
        <v>6573</v>
      </c>
    </row>
    <row r="4251" spans="1:21" ht="0" hidden="1" customHeight="1" outlineLevel="2">
      <c r="A4251" s="192" t="s">
        <v>528</v>
      </c>
      <c r="B4251" s="192"/>
      <c r="C4251" s="197" t="s">
        <v>402</v>
      </c>
      <c r="D4251" s="198">
        <f>'02 项目基础信息（输入）'!$G$63</f>
        <v>0</v>
      </c>
      <c r="E4251" s="199" t="s">
        <v>93</v>
      </c>
      <c r="F4251" s="197" t="s">
        <v>402</v>
      </c>
      <c r="G4251" s="199">
        <v>1</v>
      </c>
      <c r="H4251" s="199" t="s">
        <v>298</v>
      </c>
      <c r="I4251" s="198">
        <f t="shared" si="490"/>
        <v>0</v>
      </c>
      <c r="J4251" s="199" t="s">
        <v>93</v>
      </c>
      <c r="K4251" s="360"/>
      <c r="L4251" s="209" t="s">
        <v>675</v>
      </c>
      <c r="M4251" s="207">
        <f t="shared" si="491"/>
        <v>0</v>
      </c>
      <c r="N4251" s="198">
        <f>'02 项目基础信息（输入）'!$G$63</f>
        <v>0</v>
      </c>
      <c r="O4251" s="198">
        <f t="shared" si="488"/>
        <v>0</v>
      </c>
      <c r="P4251" s="198">
        <f>'02 项目基础信息（输入）'!$G$63+'02 项目基础信息（输入）'!$H$63</f>
        <v>0</v>
      </c>
      <c r="Q4251" s="233">
        <f t="shared" si="489"/>
        <v>0</v>
      </c>
      <c r="S4251" s="280"/>
      <c r="U4251" s="220" t="s">
        <v>6574</v>
      </c>
    </row>
    <row r="4252" spans="1:21" ht="20.25" customHeight="1" outlineLevel="1">
      <c r="A4252" s="196" t="s">
        <v>6575</v>
      </c>
      <c r="B4252" s="196"/>
      <c r="C4252" s="197" t="s">
        <v>256</v>
      </c>
      <c r="D4252" s="198">
        <f>'02 项目基础信息（输入）'!$D$4</f>
        <v>74626.7546</v>
      </c>
      <c r="E4252" s="199" t="s">
        <v>93</v>
      </c>
      <c r="F4252" s="197"/>
      <c r="G4252" s="199"/>
      <c r="H4252" s="199"/>
      <c r="I4252" s="197"/>
      <c r="J4252" s="199"/>
      <c r="K4252" s="197"/>
      <c r="L4252" s="209"/>
      <c r="M4252" s="198">
        <f>ROUND(M4253+M4255+M4257+M4259+M4261+M4263+M4265+M4267+M4269+M4271+M4273+M4275+M4277+M4279,6)</f>
        <v>228</v>
      </c>
      <c r="N4252" s="198">
        <f>'02 项目基础信息（输入）'!$D$4</f>
        <v>74626.7546</v>
      </c>
      <c r="O4252" s="198">
        <f t="shared" si="488"/>
        <v>30.55</v>
      </c>
      <c r="P4252" s="198">
        <f>'02 项目基础信息（输入）'!$H$69+N4252</f>
        <v>74626.7546</v>
      </c>
      <c r="Q4252" s="233">
        <f t="shared" si="489"/>
        <v>30.55</v>
      </c>
      <c r="S4252" s="280"/>
      <c r="U4252" s="220" t="s">
        <v>6576</v>
      </c>
    </row>
    <row r="4253" spans="1:21" ht="20.25" customHeight="1" outlineLevel="2" collapsed="1">
      <c r="A4253" s="192" t="s">
        <v>6577</v>
      </c>
      <c r="B4253" s="192"/>
      <c r="C4253" s="197" t="s">
        <v>256</v>
      </c>
      <c r="D4253" s="198">
        <f>'02 项目基础信息（输入）'!$D$4</f>
        <v>74626.7546</v>
      </c>
      <c r="E4253" s="199" t="s">
        <v>93</v>
      </c>
      <c r="F4253" s="197"/>
      <c r="G4253" s="199"/>
      <c r="H4253" s="199"/>
      <c r="I4253" s="197"/>
      <c r="J4253" s="199"/>
      <c r="K4253" s="197"/>
      <c r="L4253" s="209"/>
      <c r="M4253" s="198">
        <f>ROUND(SUM(M4254),6)</f>
        <v>0</v>
      </c>
      <c r="N4253" s="198">
        <f>'02 项目基础信息（输入）'!$D$4</f>
        <v>74626.7546</v>
      </c>
      <c r="O4253" s="198">
        <f t="shared" si="488"/>
        <v>0</v>
      </c>
      <c r="P4253" s="198">
        <f>'02 项目基础信息（输入）'!$H$69+N4253</f>
        <v>74626.7546</v>
      </c>
      <c r="Q4253" s="233">
        <f t="shared" si="489"/>
        <v>0</v>
      </c>
      <c r="S4253" s="280"/>
      <c r="U4253" s="220" t="s">
        <v>6578</v>
      </c>
    </row>
    <row r="4254" spans="1:21" ht="20.25" hidden="1" customHeight="1" outlineLevel="3">
      <c r="A4254" s="192" t="s">
        <v>6579</v>
      </c>
      <c r="B4254" s="192"/>
      <c r="C4254" s="197" t="s">
        <v>256</v>
      </c>
      <c r="D4254" s="198">
        <f>'02 项目基础信息（输入）'!$D$4</f>
        <v>74626.7546</v>
      </c>
      <c r="E4254" s="199" t="s">
        <v>93</v>
      </c>
      <c r="F4254" s="197" t="s">
        <v>256</v>
      </c>
      <c r="G4254" s="199">
        <v>1</v>
      </c>
      <c r="H4254" s="199" t="s">
        <v>298</v>
      </c>
      <c r="I4254" s="198">
        <f>G4254*D4254</f>
        <v>74626.7546</v>
      </c>
      <c r="J4254" s="199" t="s">
        <v>93</v>
      </c>
      <c r="K4254" s="188"/>
      <c r="L4254" s="209" t="s">
        <v>675</v>
      </c>
      <c r="M4254" s="198">
        <f>ROUND(K4254*I4254/10000,6)</f>
        <v>0</v>
      </c>
      <c r="N4254" s="198">
        <f>'02 项目基础信息（输入）'!$D$4</f>
        <v>74626.7546</v>
      </c>
      <c r="O4254" s="198">
        <f t="shared" si="488"/>
        <v>0</v>
      </c>
      <c r="P4254" s="198">
        <f>'02 项目基础信息（输入）'!$H$69+N4254</f>
        <v>74626.7546</v>
      </c>
      <c r="Q4254" s="233">
        <f t="shared" si="489"/>
        <v>0</v>
      </c>
      <c r="S4254" s="280"/>
      <c r="U4254" s="220" t="s">
        <v>6580</v>
      </c>
    </row>
    <row r="4255" spans="1:21" ht="20.25" customHeight="1" outlineLevel="2" collapsed="1">
      <c r="A4255" s="192" t="s">
        <v>6581</v>
      </c>
      <c r="B4255" s="192"/>
      <c r="C4255" s="197" t="s">
        <v>256</v>
      </c>
      <c r="D4255" s="198">
        <f>'02 项目基础信息（输入）'!$D$4</f>
        <v>74626.7546</v>
      </c>
      <c r="E4255" s="199" t="s">
        <v>93</v>
      </c>
      <c r="F4255" s="197"/>
      <c r="G4255" s="199"/>
      <c r="H4255" s="199"/>
      <c r="I4255" s="197"/>
      <c r="J4255" s="199"/>
      <c r="K4255" s="197"/>
      <c r="L4255" s="209"/>
      <c r="M4255" s="198">
        <f>ROUND(SUM(M4256),6)</f>
        <v>0</v>
      </c>
      <c r="N4255" s="198">
        <f>'02 项目基础信息（输入）'!$D$4</f>
        <v>74626.7546</v>
      </c>
      <c r="O4255" s="198">
        <f t="shared" si="488"/>
        <v>0</v>
      </c>
      <c r="P4255" s="198">
        <f>'02 项目基础信息（输入）'!$H$69+N4255</f>
        <v>74626.7546</v>
      </c>
      <c r="Q4255" s="233">
        <f t="shared" si="489"/>
        <v>0</v>
      </c>
      <c r="S4255" s="280"/>
      <c r="U4255" s="220" t="s">
        <v>6582</v>
      </c>
    </row>
    <row r="4256" spans="1:21" ht="20.25" hidden="1" customHeight="1" outlineLevel="3">
      <c r="A4256" s="192" t="s">
        <v>6583</v>
      </c>
      <c r="B4256" s="192"/>
      <c r="C4256" s="197" t="s">
        <v>256</v>
      </c>
      <c r="D4256" s="198">
        <f>'02 项目基础信息（输入）'!$D$4</f>
        <v>74626.7546</v>
      </c>
      <c r="E4256" s="199" t="s">
        <v>93</v>
      </c>
      <c r="F4256" s="197" t="s">
        <v>256</v>
      </c>
      <c r="G4256" s="199">
        <v>1</v>
      </c>
      <c r="H4256" s="199" t="s">
        <v>298</v>
      </c>
      <c r="I4256" s="198">
        <f>G4256*D4256</f>
        <v>74626.7546</v>
      </c>
      <c r="J4256" s="199" t="s">
        <v>93</v>
      </c>
      <c r="K4256" s="188"/>
      <c r="L4256" s="209" t="s">
        <v>675</v>
      </c>
      <c r="M4256" s="198">
        <f>ROUND(K4256*I4256/10000,6)</f>
        <v>0</v>
      </c>
      <c r="N4256" s="198">
        <f>'02 项目基础信息（输入）'!$D$4</f>
        <v>74626.7546</v>
      </c>
      <c r="O4256" s="198">
        <f t="shared" si="488"/>
        <v>0</v>
      </c>
      <c r="P4256" s="198">
        <f>'02 项目基础信息（输入）'!$H$69+N4256</f>
        <v>74626.7546</v>
      </c>
      <c r="Q4256" s="233">
        <f t="shared" si="489"/>
        <v>0</v>
      </c>
      <c r="S4256" s="280"/>
      <c r="U4256" s="220" t="s">
        <v>6584</v>
      </c>
    </row>
    <row r="4257" spans="1:21" ht="20.25" customHeight="1" outlineLevel="2" collapsed="1">
      <c r="A4257" s="192" t="s">
        <v>6585</v>
      </c>
      <c r="B4257" s="192"/>
      <c r="C4257" s="197" t="s">
        <v>256</v>
      </c>
      <c r="D4257" s="198">
        <f>'02 项目基础信息（输入）'!$D$4</f>
        <v>74626.7546</v>
      </c>
      <c r="E4257" s="199" t="s">
        <v>93</v>
      </c>
      <c r="F4257" s="197"/>
      <c r="G4257" s="199"/>
      <c r="H4257" s="199"/>
      <c r="I4257" s="197"/>
      <c r="J4257" s="199"/>
      <c r="K4257" s="197"/>
      <c r="L4257" s="209"/>
      <c r="M4257" s="198">
        <f>ROUND(SUM(M4258),6)</f>
        <v>0</v>
      </c>
      <c r="N4257" s="198">
        <f>'02 项目基础信息（输入）'!$D$4</f>
        <v>74626.7546</v>
      </c>
      <c r="O4257" s="198">
        <f t="shared" si="488"/>
        <v>0</v>
      </c>
      <c r="P4257" s="198">
        <f>'02 项目基础信息（输入）'!$H$69+N4257</f>
        <v>74626.7546</v>
      </c>
      <c r="Q4257" s="233">
        <f t="shared" si="489"/>
        <v>0</v>
      </c>
      <c r="S4257" s="280"/>
      <c r="U4257" s="220" t="s">
        <v>6586</v>
      </c>
    </row>
    <row r="4258" spans="1:21" ht="20.25" hidden="1" customHeight="1" outlineLevel="3">
      <c r="A4258" s="192" t="s">
        <v>6587</v>
      </c>
      <c r="B4258" s="192"/>
      <c r="C4258" s="197" t="s">
        <v>256</v>
      </c>
      <c r="D4258" s="198">
        <f>'02 项目基础信息（输入）'!$D$4</f>
        <v>74626.7546</v>
      </c>
      <c r="E4258" s="199" t="s">
        <v>93</v>
      </c>
      <c r="F4258" s="197" t="s">
        <v>256</v>
      </c>
      <c r="G4258" s="199">
        <v>1</v>
      </c>
      <c r="H4258" s="199" t="s">
        <v>298</v>
      </c>
      <c r="I4258" s="198">
        <f>G4258*D4258</f>
        <v>74626.7546</v>
      </c>
      <c r="J4258" s="199" t="s">
        <v>93</v>
      </c>
      <c r="K4258" s="188"/>
      <c r="L4258" s="209" t="s">
        <v>675</v>
      </c>
      <c r="M4258" s="198">
        <f>ROUND(K4258*I4258/10000,6)</f>
        <v>0</v>
      </c>
      <c r="N4258" s="198">
        <f>'02 项目基础信息（输入）'!$D$4</f>
        <v>74626.7546</v>
      </c>
      <c r="O4258" s="198">
        <f t="shared" si="488"/>
        <v>0</v>
      </c>
      <c r="P4258" s="198">
        <f>'02 项目基础信息（输入）'!$H$69+N4258</f>
        <v>74626.7546</v>
      </c>
      <c r="Q4258" s="233">
        <f t="shared" si="489"/>
        <v>0</v>
      </c>
      <c r="S4258" s="280"/>
      <c r="U4258" s="220" t="s">
        <v>6588</v>
      </c>
    </row>
    <row r="4259" spans="1:21" ht="20.25" customHeight="1" outlineLevel="2" collapsed="1">
      <c r="A4259" s="192" t="s">
        <v>6589</v>
      </c>
      <c r="B4259" s="192"/>
      <c r="C4259" s="197" t="s">
        <v>256</v>
      </c>
      <c r="D4259" s="198">
        <f>'02 项目基础信息（输入）'!$D$4</f>
        <v>74626.7546</v>
      </c>
      <c r="E4259" s="199" t="s">
        <v>93</v>
      </c>
      <c r="F4259" s="197"/>
      <c r="G4259" s="199"/>
      <c r="H4259" s="199"/>
      <c r="I4259" s="197"/>
      <c r="J4259" s="199"/>
      <c r="K4259" s="197"/>
      <c r="L4259" s="209"/>
      <c r="M4259" s="198">
        <f>ROUND(SUM(M4260),6)</f>
        <v>127.2</v>
      </c>
      <c r="N4259" s="198">
        <f>'02 项目基础信息（输入）'!$D$4</f>
        <v>74626.7546</v>
      </c>
      <c r="O4259" s="198">
        <f t="shared" si="488"/>
        <v>17.04</v>
      </c>
      <c r="P4259" s="198">
        <f>'02 项目基础信息（输入）'!$H$69+N4259</f>
        <v>74626.7546</v>
      </c>
      <c r="Q4259" s="233">
        <f t="shared" si="489"/>
        <v>17.04</v>
      </c>
      <c r="S4259" s="280"/>
      <c r="U4259" s="220" t="s">
        <v>6590</v>
      </c>
    </row>
    <row r="4260" spans="1:21" ht="20.25" hidden="1" customHeight="1" outlineLevel="3">
      <c r="A4260" s="192" t="s">
        <v>6591</v>
      </c>
      <c r="B4260" s="192"/>
      <c r="C4260" s="197" t="s">
        <v>256</v>
      </c>
      <c r="D4260" s="198">
        <f>'02 项目基础信息（输入）'!$D$4</f>
        <v>74626.7546</v>
      </c>
      <c r="E4260" s="199" t="s">
        <v>93</v>
      </c>
      <c r="F4260" s="197" t="s">
        <v>1960</v>
      </c>
      <c r="G4260" s="1347">
        <f>6360/D4260</f>
        <v>8.522412684418143E-2</v>
      </c>
      <c r="H4260" s="199" t="s">
        <v>298</v>
      </c>
      <c r="I4260" s="198">
        <f>G4260*D4260</f>
        <v>6360</v>
      </c>
      <c r="J4260" s="199" t="s">
        <v>93</v>
      </c>
      <c r="K4260" s="1326">
        <v>200</v>
      </c>
      <c r="L4260" s="209" t="s">
        <v>675</v>
      </c>
      <c r="M4260" s="198">
        <f>ROUND(K4260*I4260/10000,6)</f>
        <v>127.2</v>
      </c>
      <c r="N4260" s="198">
        <f>'02 项目基础信息（输入）'!$D$4</f>
        <v>74626.7546</v>
      </c>
      <c r="O4260" s="198">
        <f t="shared" si="488"/>
        <v>17.04</v>
      </c>
      <c r="P4260" s="198">
        <f>'02 项目基础信息（输入）'!$H$69+N4260</f>
        <v>74626.7546</v>
      </c>
      <c r="Q4260" s="233">
        <f t="shared" si="489"/>
        <v>17.04</v>
      </c>
      <c r="R4260" s="188" t="s">
        <v>8065</v>
      </c>
      <c r="S4260" s="280"/>
      <c r="U4260" s="220" t="s">
        <v>6592</v>
      </c>
    </row>
    <row r="4261" spans="1:21" ht="20.25" customHeight="1" outlineLevel="2" collapsed="1">
      <c r="A4261" s="192" t="s">
        <v>6593</v>
      </c>
      <c r="B4261" s="192"/>
      <c r="C4261" s="197" t="s">
        <v>256</v>
      </c>
      <c r="D4261" s="198">
        <f>'02 项目基础信息（输入）'!$D$4</f>
        <v>74626.7546</v>
      </c>
      <c r="E4261" s="199" t="s">
        <v>93</v>
      </c>
      <c r="F4261" s="197"/>
      <c r="G4261" s="199"/>
      <c r="H4261" s="199"/>
      <c r="I4261" s="197"/>
      <c r="J4261" s="199"/>
      <c r="K4261" s="197"/>
      <c r="L4261" s="209"/>
      <c r="M4261" s="198">
        <f>ROUND(SUM(M4262),6)</f>
        <v>100.8</v>
      </c>
      <c r="N4261" s="198">
        <f>'02 项目基础信息（输入）'!$D$4</f>
        <v>74626.7546</v>
      </c>
      <c r="O4261" s="198">
        <f t="shared" si="488"/>
        <v>13.51</v>
      </c>
      <c r="P4261" s="198">
        <f>'02 项目基础信息（输入）'!$H$69+N4261</f>
        <v>74626.7546</v>
      </c>
      <c r="Q4261" s="233">
        <f t="shared" si="489"/>
        <v>13.51</v>
      </c>
      <c r="S4261" s="280"/>
      <c r="U4261" s="220" t="s">
        <v>6594</v>
      </c>
    </row>
    <row r="4262" spans="1:21" ht="20.25" hidden="1" customHeight="1" outlineLevel="3">
      <c r="A4262" s="192" t="s">
        <v>6595</v>
      </c>
      <c r="B4262" s="192"/>
      <c r="C4262" s="197" t="s">
        <v>256</v>
      </c>
      <c r="D4262" s="198">
        <f>'02 项目基础信息（输入）'!$D$4</f>
        <v>74626.7546</v>
      </c>
      <c r="E4262" s="199" t="s">
        <v>93</v>
      </c>
      <c r="F4262" s="197" t="s">
        <v>1960</v>
      </c>
      <c r="G4262" s="1347">
        <f>2800/D4262</f>
        <v>3.7520055843350317E-2</v>
      </c>
      <c r="H4262" s="199" t="s">
        <v>298</v>
      </c>
      <c r="I4262" s="198">
        <f>G4262*D4262</f>
        <v>2800</v>
      </c>
      <c r="J4262" s="199" t="s">
        <v>93</v>
      </c>
      <c r="K4262" s="1326">
        <v>360</v>
      </c>
      <c r="L4262" s="209" t="s">
        <v>675</v>
      </c>
      <c r="M4262" s="198">
        <f>ROUND(K4262*I4262/10000,6)</f>
        <v>100.8</v>
      </c>
      <c r="N4262" s="198">
        <f>'02 项目基础信息（输入）'!$D$4</f>
        <v>74626.7546</v>
      </c>
      <c r="O4262" s="198">
        <f t="shared" si="488"/>
        <v>13.51</v>
      </c>
      <c r="P4262" s="198">
        <f>'02 项目基础信息（输入）'!$H$69+N4262</f>
        <v>74626.7546</v>
      </c>
      <c r="Q4262" s="233">
        <f t="shared" si="489"/>
        <v>13.51</v>
      </c>
      <c r="R4262" s="188" t="s">
        <v>8066</v>
      </c>
      <c r="S4262" s="280"/>
      <c r="U4262" s="220" t="s">
        <v>6596</v>
      </c>
    </row>
    <row r="4263" spans="1:21" ht="20.25" customHeight="1" outlineLevel="2" collapsed="1">
      <c r="A4263" s="192" t="s">
        <v>6597</v>
      </c>
      <c r="B4263" s="192"/>
      <c r="C4263" s="197" t="s">
        <v>256</v>
      </c>
      <c r="D4263" s="198">
        <f>'02 项目基础信息（输入）'!$D$4</f>
        <v>74626.7546</v>
      </c>
      <c r="E4263" s="199" t="s">
        <v>93</v>
      </c>
      <c r="F4263" s="197"/>
      <c r="G4263" s="199"/>
      <c r="H4263" s="199"/>
      <c r="I4263" s="197"/>
      <c r="J4263" s="199"/>
      <c r="K4263" s="197"/>
      <c r="L4263" s="209"/>
      <c r="M4263" s="198">
        <f>ROUND(SUM(M4264),6)</f>
        <v>0</v>
      </c>
      <c r="N4263" s="198">
        <f>'02 项目基础信息（输入）'!$D$4</f>
        <v>74626.7546</v>
      </c>
      <c r="O4263" s="198">
        <f t="shared" si="488"/>
        <v>0</v>
      </c>
      <c r="P4263" s="198">
        <f>'02 项目基础信息（输入）'!$H$69+N4263</f>
        <v>74626.7546</v>
      </c>
      <c r="Q4263" s="233">
        <f t="shared" si="489"/>
        <v>0</v>
      </c>
      <c r="S4263" s="280"/>
      <c r="U4263" s="220" t="s">
        <v>6598</v>
      </c>
    </row>
    <row r="4264" spans="1:21" ht="20.25" hidden="1" customHeight="1" outlineLevel="3">
      <c r="A4264" s="192" t="s">
        <v>6599</v>
      </c>
      <c r="B4264" s="192"/>
      <c r="C4264" s="197" t="s">
        <v>256</v>
      </c>
      <c r="D4264" s="198">
        <f>'02 项目基础信息（输入）'!$D$4</f>
        <v>74626.7546</v>
      </c>
      <c r="E4264" s="199" t="s">
        <v>93</v>
      </c>
      <c r="F4264" s="197" t="s">
        <v>1960</v>
      </c>
      <c r="G4264" s="82"/>
      <c r="H4264" s="199" t="s">
        <v>298</v>
      </c>
      <c r="I4264" s="198">
        <f>G4264*D4264</f>
        <v>0</v>
      </c>
      <c r="J4264" s="199" t="s">
        <v>93</v>
      </c>
      <c r="K4264" s="188"/>
      <c r="L4264" s="209" t="s">
        <v>675</v>
      </c>
      <c r="M4264" s="198">
        <f>ROUND(K4264*I4264/10000,6)</f>
        <v>0</v>
      </c>
      <c r="N4264" s="198">
        <f>'02 项目基础信息（输入）'!$D$4</f>
        <v>74626.7546</v>
      </c>
      <c r="O4264" s="198">
        <f t="shared" si="488"/>
        <v>0</v>
      </c>
      <c r="P4264" s="198">
        <f>'02 项目基础信息（输入）'!$H$69+N4264</f>
        <v>74626.7546</v>
      </c>
      <c r="Q4264" s="233">
        <f t="shared" si="489"/>
        <v>0</v>
      </c>
      <c r="S4264" s="280"/>
      <c r="U4264" s="220" t="s">
        <v>6600</v>
      </c>
    </row>
    <row r="4265" spans="1:21" ht="20.25" customHeight="1" outlineLevel="2" collapsed="1">
      <c r="A4265" s="192" t="s">
        <v>6601</v>
      </c>
      <c r="B4265" s="192"/>
      <c r="C4265" s="197" t="s">
        <v>256</v>
      </c>
      <c r="D4265" s="198">
        <f>'02 项目基础信息（输入）'!$D$4</f>
        <v>74626.7546</v>
      </c>
      <c r="E4265" s="199" t="s">
        <v>93</v>
      </c>
      <c r="F4265" s="197"/>
      <c r="G4265" s="199"/>
      <c r="H4265" s="199"/>
      <c r="I4265" s="197"/>
      <c r="J4265" s="199"/>
      <c r="K4265" s="197"/>
      <c r="L4265" s="209"/>
      <c r="M4265" s="198">
        <f>ROUND(SUM(M4266),6)</f>
        <v>0</v>
      </c>
      <c r="N4265" s="198">
        <f>'02 项目基础信息（输入）'!$D$4</f>
        <v>74626.7546</v>
      </c>
      <c r="O4265" s="198">
        <f t="shared" si="488"/>
        <v>0</v>
      </c>
      <c r="P4265" s="198">
        <f>'02 项目基础信息（输入）'!$H$69+N4265</f>
        <v>74626.7546</v>
      </c>
      <c r="Q4265" s="233">
        <f t="shared" si="489"/>
        <v>0</v>
      </c>
      <c r="S4265" s="280"/>
      <c r="U4265" s="220" t="s">
        <v>6602</v>
      </c>
    </row>
    <row r="4266" spans="1:21" ht="20.25" hidden="1" customHeight="1" outlineLevel="3">
      <c r="A4266" s="192" t="s">
        <v>6603</v>
      </c>
      <c r="B4266" s="192"/>
      <c r="C4266" s="197" t="s">
        <v>256</v>
      </c>
      <c r="D4266" s="198">
        <f>'02 项目基础信息（输入）'!$D$4</f>
        <v>74626.7546</v>
      </c>
      <c r="E4266" s="199" t="s">
        <v>93</v>
      </c>
      <c r="F4266" s="197" t="s">
        <v>256</v>
      </c>
      <c r="G4266" s="199">
        <v>1</v>
      </c>
      <c r="H4266" s="199" t="s">
        <v>298</v>
      </c>
      <c r="I4266" s="198">
        <f>G4266*D4266</f>
        <v>74626.7546</v>
      </c>
      <c r="J4266" s="199" t="s">
        <v>93</v>
      </c>
      <c r="K4266" s="188"/>
      <c r="L4266" s="209" t="s">
        <v>675</v>
      </c>
      <c r="M4266" s="198">
        <f>ROUND(K4266*I4266/10000,6)</f>
        <v>0</v>
      </c>
      <c r="N4266" s="198">
        <f>'02 项目基础信息（输入）'!$D$4</f>
        <v>74626.7546</v>
      </c>
      <c r="O4266" s="198">
        <f t="shared" si="488"/>
        <v>0</v>
      </c>
      <c r="P4266" s="198">
        <f>'02 项目基础信息（输入）'!$H$69+N4266</f>
        <v>74626.7546</v>
      </c>
      <c r="Q4266" s="233">
        <f t="shared" si="489"/>
        <v>0</v>
      </c>
      <c r="S4266" s="280"/>
      <c r="U4266" s="220" t="s">
        <v>6604</v>
      </c>
    </row>
    <row r="4267" spans="1:21" ht="20.25" customHeight="1" outlineLevel="2" collapsed="1">
      <c r="A4267" s="192" t="s">
        <v>6605</v>
      </c>
      <c r="B4267" s="192"/>
      <c r="C4267" s="197" t="s">
        <v>256</v>
      </c>
      <c r="D4267" s="198">
        <f>'02 项目基础信息（输入）'!$D$4</f>
        <v>74626.7546</v>
      </c>
      <c r="E4267" s="199" t="s">
        <v>93</v>
      </c>
      <c r="F4267" s="197"/>
      <c r="G4267" s="199"/>
      <c r="H4267" s="199"/>
      <c r="I4267" s="197"/>
      <c r="J4267" s="199"/>
      <c r="K4267" s="197"/>
      <c r="L4267" s="209"/>
      <c r="M4267" s="198">
        <f>ROUND(SUM(M4268),6)</f>
        <v>0</v>
      </c>
      <c r="N4267" s="198">
        <f>'02 项目基础信息（输入）'!$D$4</f>
        <v>74626.7546</v>
      </c>
      <c r="O4267" s="198">
        <f t="shared" si="488"/>
        <v>0</v>
      </c>
      <c r="P4267" s="198">
        <f>'02 项目基础信息（输入）'!$H$69+N4267</f>
        <v>74626.7546</v>
      </c>
      <c r="Q4267" s="233">
        <f t="shared" si="489"/>
        <v>0</v>
      </c>
      <c r="S4267" s="280"/>
      <c r="U4267" s="220" t="s">
        <v>6606</v>
      </c>
    </row>
    <row r="4268" spans="1:21" ht="20.25" hidden="1" customHeight="1" outlineLevel="3">
      <c r="A4268" s="192" t="s">
        <v>6607</v>
      </c>
      <c r="B4268" s="192"/>
      <c r="C4268" s="197" t="s">
        <v>256</v>
      </c>
      <c r="D4268" s="198">
        <f>'02 项目基础信息（输入）'!$D$4</f>
        <v>74626.7546</v>
      </c>
      <c r="E4268" s="199" t="s">
        <v>93</v>
      </c>
      <c r="F4268" s="197" t="s">
        <v>256</v>
      </c>
      <c r="G4268" s="199">
        <v>1</v>
      </c>
      <c r="H4268" s="199" t="s">
        <v>298</v>
      </c>
      <c r="I4268" s="198">
        <f>G4268*D4268</f>
        <v>74626.7546</v>
      </c>
      <c r="J4268" s="199" t="s">
        <v>93</v>
      </c>
      <c r="K4268" s="188"/>
      <c r="L4268" s="209" t="s">
        <v>675</v>
      </c>
      <c r="M4268" s="198">
        <f>ROUND(K4268*I4268/10000,6)</f>
        <v>0</v>
      </c>
      <c r="N4268" s="198">
        <f>'02 项目基础信息（输入）'!$D$4</f>
        <v>74626.7546</v>
      </c>
      <c r="O4268" s="198">
        <f t="shared" si="488"/>
        <v>0</v>
      </c>
      <c r="P4268" s="198">
        <f>'02 项目基础信息（输入）'!$H$69+N4268</f>
        <v>74626.7546</v>
      </c>
      <c r="Q4268" s="233">
        <f t="shared" si="489"/>
        <v>0</v>
      </c>
      <c r="S4268" s="280"/>
      <c r="U4268" s="220" t="s">
        <v>6608</v>
      </c>
    </row>
    <row r="4269" spans="1:21" ht="20.25" customHeight="1" outlineLevel="2" collapsed="1">
      <c r="A4269" s="192" t="s">
        <v>6609</v>
      </c>
      <c r="B4269" s="192"/>
      <c r="C4269" s="197" t="s">
        <v>256</v>
      </c>
      <c r="D4269" s="198">
        <f>'02 项目基础信息（输入）'!$D$4</f>
        <v>74626.7546</v>
      </c>
      <c r="E4269" s="199" t="s">
        <v>93</v>
      </c>
      <c r="F4269" s="197"/>
      <c r="G4269" s="199"/>
      <c r="H4269" s="199"/>
      <c r="I4269" s="197"/>
      <c r="J4269" s="199"/>
      <c r="K4269" s="197"/>
      <c r="L4269" s="209"/>
      <c r="M4269" s="198">
        <f>ROUND(SUM(M4270),6)</f>
        <v>0</v>
      </c>
      <c r="N4269" s="198">
        <f>'02 项目基础信息（输入）'!$D$4</f>
        <v>74626.7546</v>
      </c>
      <c r="O4269" s="198">
        <f t="shared" si="488"/>
        <v>0</v>
      </c>
      <c r="P4269" s="198">
        <f>'02 项目基础信息（输入）'!$H$69+N4269</f>
        <v>74626.7546</v>
      </c>
      <c r="Q4269" s="233">
        <f t="shared" si="489"/>
        <v>0</v>
      </c>
      <c r="S4269" s="280"/>
      <c r="U4269" s="220" t="s">
        <v>6610</v>
      </c>
    </row>
    <row r="4270" spans="1:21" ht="20.25" hidden="1" customHeight="1" outlineLevel="3">
      <c r="A4270" s="192" t="s">
        <v>6611</v>
      </c>
      <c r="B4270" s="192"/>
      <c r="C4270" s="197" t="s">
        <v>256</v>
      </c>
      <c r="D4270" s="198">
        <f>'02 项目基础信息（输入）'!$D$4</f>
        <v>74626.7546</v>
      </c>
      <c r="E4270" s="199" t="s">
        <v>93</v>
      </c>
      <c r="F4270" s="197" t="s">
        <v>256</v>
      </c>
      <c r="G4270" s="199">
        <v>1</v>
      </c>
      <c r="H4270" s="199" t="s">
        <v>298</v>
      </c>
      <c r="I4270" s="198">
        <f>G4270*D4270</f>
        <v>74626.7546</v>
      </c>
      <c r="J4270" s="199" t="s">
        <v>93</v>
      </c>
      <c r="K4270" s="188"/>
      <c r="L4270" s="209" t="s">
        <v>675</v>
      </c>
      <c r="M4270" s="198">
        <f>ROUND(K4270*I4270/10000,6)</f>
        <v>0</v>
      </c>
      <c r="N4270" s="198">
        <f>'02 项目基础信息（输入）'!$D$4</f>
        <v>74626.7546</v>
      </c>
      <c r="O4270" s="198">
        <f t="shared" si="488"/>
        <v>0</v>
      </c>
      <c r="P4270" s="198">
        <f>'02 项目基础信息（输入）'!$H$69+N4270</f>
        <v>74626.7546</v>
      </c>
      <c r="Q4270" s="233">
        <f t="shared" si="489"/>
        <v>0</v>
      </c>
      <c r="S4270" s="280"/>
      <c r="U4270" s="220" t="s">
        <v>6612</v>
      </c>
    </row>
    <row r="4271" spans="1:21" ht="20.25" customHeight="1" outlineLevel="2" collapsed="1">
      <c r="A4271" s="192" t="s">
        <v>6613</v>
      </c>
      <c r="B4271" s="192"/>
      <c r="C4271" s="197" t="s">
        <v>256</v>
      </c>
      <c r="D4271" s="198">
        <f>'02 项目基础信息（输入）'!$D$4</f>
        <v>74626.7546</v>
      </c>
      <c r="E4271" s="199" t="s">
        <v>93</v>
      </c>
      <c r="F4271" s="197"/>
      <c r="G4271" s="199"/>
      <c r="H4271" s="199"/>
      <c r="I4271" s="197"/>
      <c r="J4271" s="199"/>
      <c r="K4271" s="197"/>
      <c r="L4271" s="209"/>
      <c r="M4271" s="198">
        <f>ROUND(SUM(M4272),6)</f>
        <v>0</v>
      </c>
      <c r="N4271" s="198">
        <f>'02 项目基础信息（输入）'!$D$4</f>
        <v>74626.7546</v>
      </c>
      <c r="O4271" s="198">
        <f t="shared" si="488"/>
        <v>0</v>
      </c>
      <c r="P4271" s="198">
        <f>'02 项目基础信息（输入）'!$H$69+N4271</f>
        <v>74626.7546</v>
      </c>
      <c r="Q4271" s="233">
        <f t="shared" si="489"/>
        <v>0</v>
      </c>
      <c r="S4271" s="280"/>
      <c r="U4271" s="220" t="s">
        <v>6614</v>
      </c>
    </row>
    <row r="4272" spans="1:21" ht="20.25" hidden="1" customHeight="1" outlineLevel="3">
      <c r="A4272" s="192" t="s">
        <v>6615</v>
      </c>
      <c r="B4272" s="192"/>
      <c r="C4272" s="197" t="s">
        <v>256</v>
      </c>
      <c r="D4272" s="198">
        <f>'02 项目基础信息（输入）'!$D$4</f>
        <v>74626.7546</v>
      </c>
      <c r="E4272" s="199" t="s">
        <v>93</v>
      </c>
      <c r="F4272" s="197" t="s">
        <v>256</v>
      </c>
      <c r="G4272" s="199">
        <v>1</v>
      </c>
      <c r="H4272" s="199" t="s">
        <v>298</v>
      </c>
      <c r="I4272" s="198">
        <f>G4272*D4272</f>
        <v>74626.7546</v>
      </c>
      <c r="J4272" s="199" t="s">
        <v>93</v>
      </c>
      <c r="K4272" s="188"/>
      <c r="L4272" s="209" t="s">
        <v>675</v>
      </c>
      <c r="M4272" s="198">
        <f>ROUND(K4272*I4272/10000,6)</f>
        <v>0</v>
      </c>
      <c r="N4272" s="198">
        <f>'02 项目基础信息（输入）'!$D$4</f>
        <v>74626.7546</v>
      </c>
      <c r="O4272" s="198">
        <f t="shared" si="488"/>
        <v>0</v>
      </c>
      <c r="P4272" s="198">
        <f>'02 项目基础信息（输入）'!$H$69+N4272</f>
        <v>74626.7546</v>
      </c>
      <c r="Q4272" s="233">
        <f t="shared" si="489"/>
        <v>0</v>
      </c>
      <c r="S4272" s="280"/>
      <c r="U4272" s="220" t="s">
        <v>6616</v>
      </c>
    </row>
    <row r="4273" spans="1:21" ht="20.25" customHeight="1" outlineLevel="2" collapsed="1">
      <c r="A4273" s="192" t="s">
        <v>6617</v>
      </c>
      <c r="B4273" s="192"/>
      <c r="C4273" s="197" t="s">
        <v>256</v>
      </c>
      <c r="D4273" s="198">
        <f>'02 项目基础信息（输入）'!$D$4</f>
        <v>74626.7546</v>
      </c>
      <c r="E4273" s="199" t="s">
        <v>93</v>
      </c>
      <c r="F4273" s="197"/>
      <c r="G4273" s="199"/>
      <c r="H4273" s="199"/>
      <c r="I4273" s="197"/>
      <c r="J4273" s="199"/>
      <c r="K4273" s="197"/>
      <c r="L4273" s="209"/>
      <c r="M4273" s="198">
        <f>ROUND(SUM(M4274),6)</f>
        <v>0</v>
      </c>
      <c r="N4273" s="198">
        <f>'02 项目基础信息（输入）'!$D$4</f>
        <v>74626.7546</v>
      </c>
      <c r="O4273" s="198">
        <f t="shared" si="488"/>
        <v>0</v>
      </c>
      <c r="P4273" s="198">
        <f>'02 项目基础信息（输入）'!$H$69+N4273</f>
        <v>74626.7546</v>
      </c>
      <c r="Q4273" s="233">
        <f t="shared" si="489"/>
        <v>0</v>
      </c>
      <c r="S4273" s="280"/>
      <c r="U4273" s="220" t="s">
        <v>6618</v>
      </c>
    </row>
    <row r="4274" spans="1:21" ht="20.25" hidden="1" customHeight="1" outlineLevel="3">
      <c r="A4274" s="192" t="s">
        <v>6619</v>
      </c>
      <c r="B4274" s="192"/>
      <c r="C4274" s="197" t="s">
        <v>256</v>
      </c>
      <c r="D4274" s="198">
        <f>'02 项目基础信息（输入）'!$D$4</f>
        <v>74626.7546</v>
      </c>
      <c r="E4274" s="199" t="s">
        <v>93</v>
      </c>
      <c r="F4274" s="197" t="s">
        <v>256</v>
      </c>
      <c r="G4274" s="199">
        <v>1</v>
      </c>
      <c r="H4274" s="199" t="s">
        <v>298</v>
      </c>
      <c r="I4274" s="198">
        <f>G4274*D4274</f>
        <v>74626.7546</v>
      </c>
      <c r="J4274" s="199" t="s">
        <v>93</v>
      </c>
      <c r="K4274" s="188"/>
      <c r="L4274" s="209" t="s">
        <v>675</v>
      </c>
      <c r="M4274" s="198">
        <f>ROUND(K4274*I4274/10000,6)</f>
        <v>0</v>
      </c>
      <c r="N4274" s="198">
        <f>'02 项目基础信息（输入）'!$D$4</f>
        <v>74626.7546</v>
      </c>
      <c r="O4274" s="198">
        <f t="shared" si="488"/>
        <v>0</v>
      </c>
      <c r="P4274" s="198">
        <f>'02 项目基础信息（输入）'!$H$69+N4274</f>
        <v>74626.7546</v>
      </c>
      <c r="Q4274" s="233">
        <f t="shared" si="489"/>
        <v>0</v>
      </c>
      <c r="S4274" s="280"/>
      <c r="U4274" s="220" t="s">
        <v>6620</v>
      </c>
    </row>
    <row r="4275" spans="1:21" ht="20.25" customHeight="1" outlineLevel="2" collapsed="1">
      <c r="A4275" s="192" t="s">
        <v>6621</v>
      </c>
      <c r="B4275" s="192"/>
      <c r="C4275" s="197" t="s">
        <v>256</v>
      </c>
      <c r="D4275" s="198">
        <f>'02 项目基础信息（输入）'!$D$4</f>
        <v>74626.7546</v>
      </c>
      <c r="E4275" s="199" t="s">
        <v>93</v>
      </c>
      <c r="F4275" s="197"/>
      <c r="G4275" s="199"/>
      <c r="H4275" s="199"/>
      <c r="I4275" s="197"/>
      <c r="J4275" s="199"/>
      <c r="K4275" s="197"/>
      <c r="L4275" s="209"/>
      <c r="M4275" s="198">
        <f>ROUND(SUM(M4276),6)</f>
        <v>0</v>
      </c>
      <c r="N4275" s="198">
        <f>'02 项目基础信息（输入）'!$D$4</f>
        <v>74626.7546</v>
      </c>
      <c r="O4275" s="198">
        <f t="shared" si="488"/>
        <v>0</v>
      </c>
      <c r="P4275" s="198">
        <f>'02 项目基础信息（输入）'!$H$69+N4275</f>
        <v>74626.7546</v>
      </c>
      <c r="Q4275" s="233">
        <f t="shared" si="489"/>
        <v>0</v>
      </c>
      <c r="S4275" s="280"/>
      <c r="U4275" s="220" t="s">
        <v>6622</v>
      </c>
    </row>
    <row r="4276" spans="1:21" ht="20.25" hidden="1" customHeight="1" outlineLevel="3">
      <c r="A4276" s="192" t="s">
        <v>6623</v>
      </c>
      <c r="B4276" s="192"/>
      <c r="C4276" s="197" t="s">
        <v>256</v>
      </c>
      <c r="D4276" s="198">
        <f>'02 项目基础信息（输入）'!$D$4</f>
        <v>74626.7546</v>
      </c>
      <c r="E4276" s="199" t="s">
        <v>93</v>
      </c>
      <c r="F4276" s="197" t="s">
        <v>256</v>
      </c>
      <c r="G4276" s="199">
        <v>1</v>
      </c>
      <c r="H4276" s="199" t="s">
        <v>298</v>
      </c>
      <c r="I4276" s="198">
        <f>G4276*D4276</f>
        <v>74626.7546</v>
      </c>
      <c r="J4276" s="199" t="s">
        <v>93</v>
      </c>
      <c r="K4276" s="188"/>
      <c r="L4276" s="209" t="s">
        <v>675</v>
      </c>
      <c r="M4276" s="198">
        <f>ROUND(K4276*I4276/10000,6)</f>
        <v>0</v>
      </c>
      <c r="N4276" s="198">
        <f>'02 项目基础信息（输入）'!$D$4</f>
        <v>74626.7546</v>
      </c>
      <c r="O4276" s="198">
        <f t="shared" si="488"/>
        <v>0</v>
      </c>
      <c r="P4276" s="198">
        <f>'02 项目基础信息（输入）'!$H$69+N4276</f>
        <v>74626.7546</v>
      </c>
      <c r="Q4276" s="233">
        <f t="shared" si="489"/>
        <v>0</v>
      </c>
      <c r="S4276" s="280"/>
      <c r="U4276" s="220" t="s">
        <v>6624</v>
      </c>
    </row>
    <row r="4277" spans="1:21" ht="20.25" customHeight="1" outlineLevel="2" collapsed="1">
      <c r="A4277" s="192" t="s">
        <v>6625</v>
      </c>
      <c r="B4277" s="192"/>
      <c r="C4277" s="197" t="s">
        <v>256</v>
      </c>
      <c r="D4277" s="198">
        <f>'02 项目基础信息（输入）'!$D$4</f>
        <v>74626.7546</v>
      </c>
      <c r="E4277" s="199" t="s">
        <v>93</v>
      </c>
      <c r="F4277" s="197"/>
      <c r="G4277" s="199"/>
      <c r="H4277" s="199"/>
      <c r="I4277" s="197"/>
      <c r="J4277" s="199"/>
      <c r="K4277" s="197"/>
      <c r="L4277" s="209"/>
      <c r="M4277" s="198">
        <f>ROUND(SUM(M4278),6)</f>
        <v>0</v>
      </c>
      <c r="N4277" s="198">
        <f>'02 项目基础信息（输入）'!$D$4</f>
        <v>74626.7546</v>
      </c>
      <c r="O4277" s="198">
        <f t="shared" si="488"/>
        <v>0</v>
      </c>
      <c r="P4277" s="198">
        <f>'02 项目基础信息（输入）'!$H$69+N4277</f>
        <v>74626.7546</v>
      </c>
      <c r="Q4277" s="233">
        <f t="shared" si="489"/>
        <v>0</v>
      </c>
      <c r="S4277" s="280"/>
      <c r="U4277" s="220" t="s">
        <v>6626</v>
      </c>
    </row>
    <row r="4278" spans="1:21" ht="20.25" hidden="1" customHeight="1" outlineLevel="3">
      <c r="A4278" s="192" t="s">
        <v>6627</v>
      </c>
      <c r="B4278" s="192"/>
      <c r="C4278" s="197" t="s">
        <v>256</v>
      </c>
      <c r="D4278" s="198">
        <f>'02 项目基础信息（输入）'!$D$4</f>
        <v>74626.7546</v>
      </c>
      <c r="E4278" s="199" t="s">
        <v>93</v>
      </c>
      <c r="F4278" s="197" t="s">
        <v>256</v>
      </c>
      <c r="G4278" s="199">
        <v>1</v>
      </c>
      <c r="H4278" s="199" t="s">
        <v>298</v>
      </c>
      <c r="I4278" s="198">
        <f>G4278*D4278</f>
        <v>74626.7546</v>
      </c>
      <c r="J4278" s="199" t="s">
        <v>93</v>
      </c>
      <c r="K4278" s="188"/>
      <c r="L4278" s="209" t="s">
        <v>675</v>
      </c>
      <c r="M4278" s="198">
        <f>ROUND(K4278*I4278/10000,6)</f>
        <v>0</v>
      </c>
      <c r="N4278" s="198">
        <f>'02 项目基础信息（输入）'!$D$4</f>
        <v>74626.7546</v>
      </c>
      <c r="O4278" s="198">
        <f t="shared" si="488"/>
        <v>0</v>
      </c>
      <c r="P4278" s="198">
        <f>'02 项目基础信息（输入）'!$H$69+N4278</f>
        <v>74626.7546</v>
      </c>
      <c r="Q4278" s="233">
        <f t="shared" si="489"/>
        <v>0</v>
      </c>
      <c r="S4278" s="280"/>
      <c r="U4278" s="220" t="s">
        <v>6628</v>
      </c>
    </row>
    <row r="4279" spans="1:21" ht="20.25" customHeight="1" outlineLevel="2" collapsed="1">
      <c r="A4279" s="201" t="s">
        <v>6629</v>
      </c>
      <c r="B4279" s="201"/>
      <c r="C4279" s="202" t="s">
        <v>256</v>
      </c>
      <c r="D4279" s="203">
        <f>N4279</f>
        <v>74626.7546</v>
      </c>
      <c r="E4279" s="204" t="s">
        <v>93</v>
      </c>
      <c r="F4279" s="202"/>
      <c r="G4279" s="204"/>
      <c r="H4279" s="204"/>
      <c r="I4279" s="203"/>
      <c r="J4279" s="204"/>
      <c r="K4279" s="266"/>
      <c r="L4279" s="210"/>
      <c r="M4279" s="211">
        <f>ROUND(SUM(M4280),6)</f>
        <v>0</v>
      </c>
      <c r="N4279" s="198">
        <f>'02 项目基础信息（输入）'!$D$4</f>
        <v>74626.7546</v>
      </c>
      <c r="O4279" s="198">
        <f t="shared" si="488"/>
        <v>0</v>
      </c>
      <c r="P4279" s="198">
        <f>'02 项目基础信息（输入）'!$H$69+N4279</f>
        <v>74626.7546</v>
      </c>
      <c r="Q4279" s="233">
        <f t="shared" si="489"/>
        <v>0</v>
      </c>
      <c r="S4279" s="280"/>
      <c r="T4279" s="222"/>
      <c r="U4279" s="220" t="s">
        <v>6630</v>
      </c>
    </row>
    <row r="4280" spans="1:21" ht="20.25" hidden="1" customHeight="1" outlineLevel="3">
      <c r="A4280" s="201" t="s">
        <v>6631</v>
      </c>
      <c r="B4280" s="201"/>
      <c r="C4280" s="202" t="s">
        <v>256</v>
      </c>
      <c r="D4280" s="203">
        <f>N4280</f>
        <v>74626.7546</v>
      </c>
      <c r="E4280" s="204" t="s">
        <v>93</v>
      </c>
      <c r="F4280" s="202" t="s">
        <v>256</v>
      </c>
      <c r="G4280" s="204">
        <v>1</v>
      </c>
      <c r="H4280" s="204" t="s">
        <v>298</v>
      </c>
      <c r="I4280" s="203">
        <f>G4280*D4280</f>
        <v>74626.7546</v>
      </c>
      <c r="J4280" s="204" t="s">
        <v>93</v>
      </c>
      <c r="K4280" s="214"/>
      <c r="L4280" s="210" t="s">
        <v>675</v>
      </c>
      <c r="M4280" s="211">
        <f>ROUND(K4280*I4280/10000,6)</f>
        <v>0</v>
      </c>
      <c r="N4280" s="198">
        <f>'02 项目基础信息（输入）'!$D$4</f>
        <v>74626.7546</v>
      </c>
      <c r="O4280" s="198">
        <f t="shared" si="488"/>
        <v>0</v>
      </c>
      <c r="P4280" s="198">
        <f>'02 项目基础信息（输入）'!$H$69+N4280</f>
        <v>74626.7546</v>
      </c>
      <c r="Q4280" s="233">
        <f t="shared" si="489"/>
        <v>0</v>
      </c>
      <c r="S4280" s="280"/>
      <c r="T4280" s="222"/>
      <c r="U4280" s="220" t="s">
        <v>6632</v>
      </c>
    </row>
    <row r="4281" spans="1:21" ht="20.25" customHeight="1" outlineLevel="1">
      <c r="A4281" s="196" t="s">
        <v>6633</v>
      </c>
      <c r="B4281" s="196"/>
      <c r="C4281" s="197" t="s">
        <v>256</v>
      </c>
      <c r="D4281" s="198">
        <f>'02 项目基础信息（输入）'!$K$21</f>
        <v>1370</v>
      </c>
      <c r="E4281" s="199" t="s">
        <v>93</v>
      </c>
      <c r="F4281" s="197"/>
      <c r="G4281" s="199"/>
      <c r="H4281" s="199"/>
      <c r="I4281" s="197"/>
      <c r="J4281" s="199"/>
      <c r="K4281" s="197"/>
      <c r="L4281" s="209"/>
      <c r="M4281" s="198">
        <f>ROUND(M4282+M4290+M4296+M4298+M4300+M4302+M4304+M4306+M4308,6)</f>
        <v>3207.05</v>
      </c>
      <c r="N4281" s="198">
        <f>'02 项目基础信息（输入）'!$D$4</f>
        <v>74626.7546</v>
      </c>
      <c r="O4281" s="198">
        <f t="shared" si="488"/>
        <v>429.75</v>
      </c>
      <c r="P4281" s="198">
        <f>'02 项目基础信息（输入）'!$H$69+N4281</f>
        <v>74626.7546</v>
      </c>
      <c r="Q4281" s="233">
        <f t="shared" si="489"/>
        <v>429.75</v>
      </c>
      <c r="S4281" s="280"/>
      <c r="U4281" s="220" t="s">
        <v>6634</v>
      </c>
    </row>
    <row r="4282" spans="1:21" ht="20.25" customHeight="1" outlineLevel="2" collapsed="1">
      <c r="A4282" s="192" t="s">
        <v>6635</v>
      </c>
      <c r="B4282" s="192"/>
      <c r="C4282" s="197" t="s">
        <v>256</v>
      </c>
      <c r="D4282" s="198">
        <f>'02 项目基础信息（输入）'!$K$21</f>
        <v>1370</v>
      </c>
      <c r="E4282" s="199" t="s">
        <v>93</v>
      </c>
      <c r="F4282" s="197"/>
      <c r="G4282" s="199"/>
      <c r="H4282" s="199"/>
      <c r="I4282" s="197"/>
      <c r="J4282" s="199"/>
      <c r="K4282" s="197"/>
      <c r="L4282" s="209"/>
      <c r="M4282" s="198">
        <f>ROUND(SUM(M4283:M4289),6)</f>
        <v>3207.05</v>
      </c>
      <c r="N4282" s="198">
        <f>'02 项目基础信息（输入）'!$D$4</f>
        <v>74626.7546</v>
      </c>
      <c r="O4282" s="198">
        <f t="shared" si="488"/>
        <v>429.75</v>
      </c>
      <c r="P4282" s="198">
        <f>'02 项目基础信息（输入）'!$H$69+N4282</f>
        <v>74626.7546</v>
      </c>
      <c r="Q4282" s="233">
        <f t="shared" si="489"/>
        <v>429.75</v>
      </c>
      <c r="S4282" s="280"/>
      <c r="U4282" s="220" t="s">
        <v>6636</v>
      </c>
    </row>
    <row r="4283" spans="1:21" ht="20.25" hidden="1" customHeight="1" outlineLevel="3">
      <c r="A4283" s="192" t="s">
        <v>6637</v>
      </c>
      <c r="B4283" s="192"/>
      <c r="C4283" s="197" t="s">
        <v>6638</v>
      </c>
      <c r="D4283" s="198">
        <f>'02 项目基础信息（输入）'!$K$21</f>
        <v>1370</v>
      </c>
      <c r="E4283" s="199" t="s">
        <v>93</v>
      </c>
      <c r="F4283" s="197" t="s">
        <v>694</v>
      </c>
      <c r="G4283" s="82">
        <v>1</v>
      </c>
      <c r="H4283" s="199" t="s">
        <v>93</v>
      </c>
      <c r="I4283" s="198">
        <f>G4283*D4283</f>
        <v>1370</v>
      </c>
      <c r="J4283" s="199" t="s">
        <v>93</v>
      </c>
      <c r="K4283" s="188">
        <f>卖场策划!H22</f>
        <v>23409.124087591237</v>
      </c>
      <c r="L4283" s="209" t="s">
        <v>675</v>
      </c>
      <c r="M4283" s="198">
        <f t="shared" ref="M4283:M4289" si="492">ROUND(K4283*I4283/10000,6)</f>
        <v>3207.05</v>
      </c>
      <c r="N4283" s="198">
        <f>'02 项目基础信息（输入）'!$D$4</f>
        <v>74626.7546</v>
      </c>
      <c r="O4283" s="198">
        <f t="shared" si="488"/>
        <v>429.75</v>
      </c>
      <c r="P4283" s="198">
        <f>'02 项目基础信息（输入）'!$H$69+N4283</f>
        <v>74626.7546</v>
      </c>
      <c r="Q4283" s="233">
        <f t="shared" si="489"/>
        <v>429.75</v>
      </c>
      <c r="S4283" s="280"/>
      <c r="U4283" s="220" t="s">
        <v>6639</v>
      </c>
    </row>
    <row r="4284" spans="1:21" ht="20.25" hidden="1" customHeight="1" outlineLevel="3">
      <c r="A4284" s="192" t="s">
        <v>6640</v>
      </c>
      <c r="B4284" s="192"/>
      <c r="C4284" s="197" t="s">
        <v>6638</v>
      </c>
      <c r="D4284" s="198">
        <f>'02 项目基础信息（输入）'!$K$21</f>
        <v>1370</v>
      </c>
      <c r="E4284" s="199" t="s">
        <v>93</v>
      </c>
      <c r="F4284" s="197" t="s">
        <v>694</v>
      </c>
      <c r="G4284" s="82"/>
      <c r="H4284" s="199" t="s">
        <v>93</v>
      </c>
      <c r="I4284" s="198">
        <f>G4284*D4284</f>
        <v>0</v>
      </c>
      <c r="J4284" s="199" t="s">
        <v>93</v>
      </c>
      <c r="K4284" s="188"/>
      <c r="L4284" s="209" t="s">
        <v>675</v>
      </c>
      <c r="M4284" s="198">
        <f t="shared" si="492"/>
        <v>0</v>
      </c>
      <c r="N4284" s="198">
        <f>'02 项目基础信息（输入）'!$D$4</f>
        <v>74626.7546</v>
      </c>
      <c r="O4284" s="198">
        <f t="shared" si="488"/>
        <v>0</v>
      </c>
      <c r="P4284" s="198">
        <f>'02 项目基础信息（输入）'!$H$69+N4284</f>
        <v>74626.7546</v>
      </c>
      <c r="Q4284" s="233">
        <f t="shared" si="489"/>
        <v>0</v>
      </c>
      <c r="S4284" s="280"/>
      <c r="U4284" s="220" t="s">
        <v>6641</v>
      </c>
    </row>
    <row r="4285" spans="1:21" ht="20.25" hidden="1" customHeight="1" outlineLevel="3">
      <c r="A4285" s="192" t="s">
        <v>6642</v>
      </c>
      <c r="B4285" s="192"/>
      <c r="C4285" s="197" t="s">
        <v>6638</v>
      </c>
      <c r="D4285" s="198">
        <f>'02 项目基础信息（输入）'!$K$21</f>
        <v>1370</v>
      </c>
      <c r="E4285" s="199" t="s">
        <v>93</v>
      </c>
      <c r="F4285" s="197" t="s">
        <v>694</v>
      </c>
      <c r="G4285" s="82"/>
      <c r="H4285" s="199" t="s">
        <v>93</v>
      </c>
      <c r="I4285" s="198">
        <f>G4285*D4285</f>
        <v>0</v>
      </c>
      <c r="J4285" s="199" t="s">
        <v>93</v>
      </c>
      <c r="K4285" s="188"/>
      <c r="L4285" s="209" t="s">
        <v>675</v>
      </c>
      <c r="M4285" s="198">
        <f t="shared" si="492"/>
        <v>0</v>
      </c>
      <c r="N4285" s="198">
        <f>'02 项目基础信息（输入）'!$D$4</f>
        <v>74626.7546</v>
      </c>
      <c r="O4285" s="198">
        <f t="shared" si="488"/>
        <v>0</v>
      </c>
      <c r="P4285" s="198">
        <f>'02 项目基础信息（输入）'!$H$69+N4285</f>
        <v>74626.7546</v>
      </c>
      <c r="Q4285" s="233">
        <f t="shared" si="489"/>
        <v>0</v>
      </c>
      <c r="S4285" s="280"/>
      <c r="U4285" s="220" t="s">
        <v>6643</v>
      </c>
    </row>
    <row r="4286" spans="1:21" ht="20.25" hidden="1" customHeight="1" outlineLevel="3">
      <c r="A4286" s="192" t="s">
        <v>6644</v>
      </c>
      <c r="B4286" s="192"/>
      <c r="C4286" s="197" t="s">
        <v>6638</v>
      </c>
      <c r="D4286" s="198">
        <f>'02 项目基础信息（输入）'!$K$21</f>
        <v>1370</v>
      </c>
      <c r="E4286" s="199" t="s">
        <v>93</v>
      </c>
      <c r="F4286" s="197" t="s">
        <v>694</v>
      </c>
      <c r="G4286" s="82"/>
      <c r="H4286" s="199" t="s">
        <v>93</v>
      </c>
      <c r="I4286" s="198">
        <f>G4286*D4286</f>
        <v>0</v>
      </c>
      <c r="J4286" s="199" t="s">
        <v>93</v>
      </c>
      <c r="K4286" s="188"/>
      <c r="L4286" s="209" t="s">
        <v>675</v>
      </c>
      <c r="M4286" s="198">
        <f t="shared" si="492"/>
        <v>0</v>
      </c>
      <c r="N4286" s="198">
        <f>'02 项目基础信息（输入）'!$D$4</f>
        <v>74626.7546</v>
      </c>
      <c r="O4286" s="198">
        <f t="shared" si="488"/>
        <v>0</v>
      </c>
      <c r="P4286" s="198">
        <f>'02 项目基础信息（输入）'!$H$69+N4286</f>
        <v>74626.7546</v>
      </c>
      <c r="Q4286" s="233">
        <f t="shared" si="489"/>
        <v>0</v>
      </c>
      <c r="S4286" s="280"/>
      <c r="U4286" s="220" t="s">
        <v>6645</v>
      </c>
    </row>
    <row r="4287" spans="1:21" ht="20.25" hidden="1" customHeight="1" outlineLevel="3">
      <c r="A4287" s="192" t="s">
        <v>6646</v>
      </c>
      <c r="B4287" s="192"/>
      <c r="C4287" s="197" t="s">
        <v>6638</v>
      </c>
      <c r="D4287" s="198">
        <f>'02 项目基础信息（输入）'!$K$21</f>
        <v>1370</v>
      </c>
      <c r="E4287" s="199" t="s">
        <v>93</v>
      </c>
      <c r="F4287" s="197" t="s">
        <v>694</v>
      </c>
      <c r="H4287" s="199" t="s">
        <v>93</v>
      </c>
      <c r="I4287" s="198">
        <f>G4288*D4287</f>
        <v>0</v>
      </c>
      <c r="J4287" s="199" t="s">
        <v>93</v>
      </c>
      <c r="K4287" s="188"/>
      <c r="L4287" s="209" t="s">
        <v>675</v>
      </c>
      <c r="M4287" s="198">
        <f t="shared" si="492"/>
        <v>0</v>
      </c>
      <c r="N4287" s="198">
        <f>'02 项目基础信息（输入）'!$D$4</f>
        <v>74626.7546</v>
      </c>
      <c r="O4287" s="198">
        <f t="shared" si="488"/>
        <v>0</v>
      </c>
      <c r="P4287" s="198">
        <f>'02 项目基础信息（输入）'!$H$69+N4287</f>
        <v>74626.7546</v>
      </c>
      <c r="Q4287" s="233">
        <f t="shared" si="489"/>
        <v>0</v>
      </c>
      <c r="S4287" s="280"/>
      <c r="U4287" s="220" t="s">
        <v>6647</v>
      </c>
    </row>
    <row r="4288" spans="1:21" ht="20.25" hidden="1" customHeight="1" outlineLevel="3">
      <c r="A4288" s="192" t="s">
        <v>6648</v>
      </c>
      <c r="B4288" s="192"/>
      <c r="C4288" s="197" t="s">
        <v>6638</v>
      </c>
      <c r="D4288" s="198">
        <f>'02 项目基础信息（输入）'!$K$21</f>
        <v>1370</v>
      </c>
      <c r="E4288" s="199" t="s">
        <v>93</v>
      </c>
      <c r="F4288" s="197" t="s">
        <v>694</v>
      </c>
      <c r="G4288" s="82"/>
      <c r="H4288" s="199" t="s">
        <v>93</v>
      </c>
      <c r="I4288" s="198">
        <f>G4288*D4288</f>
        <v>0</v>
      </c>
      <c r="J4288" s="199" t="s">
        <v>93</v>
      </c>
      <c r="K4288" s="188"/>
      <c r="L4288" s="209" t="s">
        <v>675</v>
      </c>
      <c r="M4288" s="198">
        <f t="shared" si="492"/>
        <v>0</v>
      </c>
      <c r="N4288" s="198">
        <f>'02 项目基础信息（输入）'!$D$4</f>
        <v>74626.7546</v>
      </c>
      <c r="O4288" s="198">
        <f t="shared" si="488"/>
        <v>0</v>
      </c>
      <c r="P4288" s="198">
        <f>'02 项目基础信息（输入）'!$H$69+N4288</f>
        <v>74626.7546</v>
      </c>
      <c r="Q4288" s="233">
        <f t="shared" si="489"/>
        <v>0</v>
      </c>
      <c r="S4288" s="280"/>
      <c r="U4288" s="220" t="s">
        <v>6649</v>
      </c>
    </row>
    <row r="4289" spans="1:21" ht="20.25" hidden="1" customHeight="1" outlineLevel="3">
      <c r="A4289" s="192" t="s">
        <v>6650</v>
      </c>
      <c r="B4289" s="192"/>
      <c r="C4289" s="197" t="s">
        <v>6638</v>
      </c>
      <c r="D4289" s="198">
        <f>'02 项目基础信息（输入）'!$K$21</f>
        <v>1370</v>
      </c>
      <c r="E4289" s="199" t="s">
        <v>93</v>
      </c>
      <c r="F4289" s="197" t="s">
        <v>694</v>
      </c>
      <c r="G4289" s="82"/>
      <c r="H4289" s="199" t="s">
        <v>93</v>
      </c>
      <c r="I4289" s="198">
        <f>G4289*D4289</f>
        <v>0</v>
      </c>
      <c r="J4289" s="199" t="s">
        <v>93</v>
      </c>
      <c r="K4289" s="188"/>
      <c r="L4289" s="209" t="s">
        <v>675</v>
      </c>
      <c r="M4289" s="198">
        <f t="shared" si="492"/>
        <v>0</v>
      </c>
      <c r="N4289" s="198">
        <f>'02 项目基础信息（输入）'!$D$4</f>
        <v>74626.7546</v>
      </c>
      <c r="O4289" s="198">
        <f t="shared" si="488"/>
        <v>0</v>
      </c>
      <c r="P4289" s="198">
        <f>'02 项目基础信息（输入）'!$H$69+N4289</f>
        <v>74626.7546</v>
      </c>
      <c r="Q4289" s="233">
        <f t="shared" si="489"/>
        <v>0</v>
      </c>
      <c r="S4289" s="280"/>
      <c r="U4289" s="220" t="s">
        <v>6651</v>
      </c>
    </row>
    <row r="4290" spans="1:21" ht="20.25" customHeight="1" outlineLevel="2" collapsed="1">
      <c r="A4290" s="192" t="s">
        <v>6652</v>
      </c>
      <c r="B4290" s="192"/>
      <c r="C4290" s="197" t="s">
        <v>256</v>
      </c>
      <c r="D4290" s="198">
        <f>'02 项目基础信息（输入）'!$K$21</f>
        <v>1370</v>
      </c>
      <c r="E4290" s="199" t="s">
        <v>93</v>
      </c>
      <c r="F4290" s="197"/>
      <c r="G4290" s="199"/>
      <c r="H4290" s="199"/>
      <c r="I4290" s="197"/>
      <c r="J4290" s="199"/>
      <c r="K4290" s="197"/>
      <c r="L4290" s="209"/>
      <c r="M4290" s="198">
        <f>ROUND(SUM(M4291:M4295),6)</f>
        <v>0</v>
      </c>
      <c r="N4290" s="198">
        <f>'02 项目基础信息（输入）'!$D$4</f>
        <v>74626.7546</v>
      </c>
      <c r="O4290" s="198">
        <f t="shared" si="488"/>
        <v>0</v>
      </c>
      <c r="P4290" s="198">
        <f>'02 项目基础信息（输入）'!$H$69+N4290</f>
        <v>74626.7546</v>
      </c>
      <c r="Q4290" s="233">
        <f t="shared" si="489"/>
        <v>0</v>
      </c>
      <c r="S4290" s="280"/>
      <c r="U4290" s="220" t="s">
        <v>6653</v>
      </c>
    </row>
    <row r="4291" spans="1:21" ht="20.25" hidden="1" customHeight="1" outlineLevel="3">
      <c r="A4291" s="192" t="s">
        <v>6654</v>
      </c>
      <c r="B4291" s="192"/>
      <c r="C4291" s="197" t="s">
        <v>6638</v>
      </c>
      <c r="D4291" s="198">
        <f>'02 项目基础信息（输入）'!$K$21</f>
        <v>1370</v>
      </c>
      <c r="E4291" s="199" t="s">
        <v>93</v>
      </c>
      <c r="F4291" s="197" t="s">
        <v>694</v>
      </c>
      <c r="G4291" s="82"/>
      <c r="H4291" s="199" t="s">
        <v>93</v>
      </c>
      <c r="I4291" s="198">
        <f>G4291*D4291</f>
        <v>0</v>
      </c>
      <c r="J4291" s="199" t="s">
        <v>93</v>
      </c>
      <c r="K4291" s="188"/>
      <c r="L4291" s="209" t="s">
        <v>675</v>
      </c>
      <c r="M4291" s="198">
        <f>ROUND(K4291*I4291/10000,6)</f>
        <v>0</v>
      </c>
      <c r="N4291" s="198">
        <f>'02 项目基础信息（输入）'!$D$4</f>
        <v>74626.7546</v>
      </c>
      <c r="O4291" s="198">
        <f t="shared" ref="O4291:O4313" si="493">ROUND(IFERROR(M4291*10000/N4291,0),2)</f>
        <v>0</v>
      </c>
      <c r="P4291" s="198">
        <f>'02 项目基础信息（输入）'!$H$69+N4291</f>
        <v>74626.7546</v>
      </c>
      <c r="Q4291" s="233">
        <f t="shared" ref="Q4291:Q4313" si="494">ROUND(IFERROR(M4291*10000/P4291,0),2)</f>
        <v>0</v>
      </c>
      <c r="S4291" s="280"/>
      <c r="U4291" s="220" t="s">
        <v>6655</v>
      </c>
    </row>
    <row r="4292" spans="1:21" ht="20.25" hidden="1" customHeight="1" outlineLevel="3">
      <c r="A4292" s="192" t="s">
        <v>6656</v>
      </c>
      <c r="B4292" s="192"/>
      <c r="C4292" s="197" t="s">
        <v>6638</v>
      </c>
      <c r="D4292" s="198">
        <f>'02 项目基础信息（输入）'!$K$21</f>
        <v>1370</v>
      </c>
      <c r="E4292" s="199" t="s">
        <v>93</v>
      </c>
      <c r="F4292" s="197" t="s">
        <v>694</v>
      </c>
      <c r="G4292" s="82"/>
      <c r="H4292" s="199" t="s">
        <v>93</v>
      </c>
      <c r="I4292" s="198">
        <f>G4292*D4292</f>
        <v>0</v>
      </c>
      <c r="J4292" s="199" t="s">
        <v>93</v>
      </c>
      <c r="K4292" s="188"/>
      <c r="L4292" s="209" t="s">
        <v>675</v>
      </c>
      <c r="M4292" s="198">
        <f>ROUND(K4292*I4292/10000,6)</f>
        <v>0</v>
      </c>
      <c r="N4292" s="198">
        <f>'02 项目基础信息（输入）'!$D$4</f>
        <v>74626.7546</v>
      </c>
      <c r="O4292" s="198">
        <f t="shared" si="493"/>
        <v>0</v>
      </c>
      <c r="P4292" s="198">
        <f>'02 项目基础信息（输入）'!$H$69+N4292</f>
        <v>74626.7546</v>
      </c>
      <c r="Q4292" s="233">
        <f t="shared" si="494"/>
        <v>0</v>
      </c>
      <c r="S4292" s="280"/>
      <c r="U4292" s="220" t="s">
        <v>6657</v>
      </c>
    </row>
    <row r="4293" spans="1:21" ht="20.25" hidden="1" customHeight="1" outlineLevel="3">
      <c r="A4293" s="192" t="s">
        <v>6658</v>
      </c>
      <c r="B4293" s="192"/>
      <c r="C4293" s="197" t="s">
        <v>6638</v>
      </c>
      <c r="D4293" s="198">
        <f>'02 项目基础信息（输入）'!$K$21</f>
        <v>1370</v>
      </c>
      <c r="E4293" s="199" t="s">
        <v>93</v>
      </c>
      <c r="F4293" s="197" t="s">
        <v>694</v>
      </c>
      <c r="G4293" s="82"/>
      <c r="H4293" s="199" t="s">
        <v>93</v>
      </c>
      <c r="I4293" s="198">
        <f>G4293*D4293</f>
        <v>0</v>
      </c>
      <c r="J4293" s="199" t="s">
        <v>93</v>
      </c>
      <c r="K4293" s="188"/>
      <c r="L4293" s="209" t="s">
        <v>675</v>
      </c>
      <c r="M4293" s="198">
        <f>ROUND(K4293*I4293/10000,6)</f>
        <v>0</v>
      </c>
      <c r="N4293" s="198">
        <f>'02 项目基础信息（输入）'!$D$4</f>
        <v>74626.7546</v>
      </c>
      <c r="O4293" s="198">
        <f t="shared" si="493"/>
        <v>0</v>
      </c>
      <c r="P4293" s="198">
        <f>'02 项目基础信息（输入）'!$H$69+N4293</f>
        <v>74626.7546</v>
      </c>
      <c r="Q4293" s="233">
        <f t="shared" si="494"/>
        <v>0</v>
      </c>
      <c r="S4293" s="280"/>
      <c r="U4293" s="220" t="s">
        <v>6659</v>
      </c>
    </row>
    <row r="4294" spans="1:21" ht="20.25" hidden="1" customHeight="1" outlineLevel="3">
      <c r="A4294" s="192" t="s">
        <v>6660</v>
      </c>
      <c r="B4294" s="192"/>
      <c r="C4294" s="197" t="s">
        <v>6638</v>
      </c>
      <c r="D4294" s="198">
        <f>'02 项目基础信息（输入）'!$K$21</f>
        <v>1370</v>
      </c>
      <c r="E4294" s="199" t="s">
        <v>93</v>
      </c>
      <c r="F4294" s="197" t="s">
        <v>694</v>
      </c>
      <c r="G4294" s="82"/>
      <c r="H4294" s="199" t="s">
        <v>93</v>
      </c>
      <c r="I4294" s="198">
        <f>G4294*D4294</f>
        <v>0</v>
      </c>
      <c r="J4294" s="199" t="s">
        <v>93</v>
      </c>
      <c r="K4294" s="188"/>
      <c r="L4294" s="209" t="s">
        <v>675</v>
      </c>
      <c r="M4294" s="198">
        <f>ROUND(K4294*I4294/10000,6)</f>
        <v>0</v>
      </c>
      <c r="N4294" s="198">
        <f>'02 项目基础信息（输入）'!$D$4</f>
        <v>74626.7546</v>
      </c>
      <c r="O4294" s="198">
        <f t="shared" si="493"/>
        <v>0</v>
      </c>
      <c r="P4294" s="198">
        <f>'02 项目基础信息（输入）'!$H$69+N4294</f>
        <v>74626.7546</v>
      </c>
      <c r="Q4294" s="233">
        <f t="shared" si="494"/>
        <v>0</v>
      </c>
      <c r="S4294" s="280"/>
      <c r="U4294" s="220" t="s">
        <v>6661</v>
      </c>
    </row>
    <row r="4295" spans="1:21" ht="20.25" hidden="1" customHeight="1" outlineLevel="3">
      <c r="A4295" s="192" t="s">
        <v>6662</v>
      </c>
      <c r="B4295" s="192"/>
      <c r="C4295" s="197" t="s">
        <v>6638</v>
      </c>
      <c r="D4295" s="198">
        <f>'02 项目基础信息（输入）'!$K$21</f>
        <v>1370</v>
      </c>
      <c r="E4295" s="199" t="s">
        <v>93</v>
      </c>
      <c r="F4295" s="197" t="s">
        <v>694</v>
      </c>
      <c r="G4295" s="82"/>
      <c r="H4295" s="199" t="s">
        <v>93</v>
      </c>
      <c r="I4295" s="198">
        <f>G4295*D4295</f>
        <v>0</v>
      </c>
      <c r="J4295" s="199" t="s">
        <v>93</v>
      </c>
      <c r="K4295" s="188"/>
      <c r="L4295" s="209" t="s">
        <v>675</v>
      </c>
      <c r="M4295" s="198">
        <f>ROUND(K4295*I4295/10000,6)</f>
        <v>0</v>
      </c>
      <c r="N4295" s="198">
        <f>'02 项目基础信息（输入）'!$D$4</f>
        <v>74626.7546</v>
      </c>
      <c r="O4295" s="198">
        <f t="shared" si="493"/>
        <v>0</v>
      </c>
      <c r="P4295" s="198">
        <f>'02 项目基础信息（输入）'!$H$69+N4295</f>
        <v>74626.7546</v>
      </c>
      <c r="Q4295" s="233">
        <f t="shared" si="494"/>
        <v>0</v>
      </c>
      <c r="S4295" s="280"/>
      <c r="U4295" s="220" t="s">
        <v>6663</v>
      </c>
    </row>
    <row r="4296" spans="1:21" ht="20.25" customHeight="1" outlineLevel="2" collapsed="1">
      <c r="A4296" s="192" t="s">
        <v>6664</v>
      </c>
      <c r="B4296" s="192"/>
      <c r="C4296" s="197" t="s">
        <v>256</v>
      </c>
      <c r="D4296" s="198">
        <f>'02 项目基础信息（输入）'!$K$21</f>
        <v>1370</v>
      </c>
      <c r="E4296" s="199" t="s">
        <v>93</v>
      </c>
      <c r="F4296" s="197"/>
      <c r="G4296" s="199"/>
      <c r="H4296" s="199"/>
      <c r="I4296" s="197"/>
      <c r="J4296" s="199"/>
      <c r="K4296" s="197"/>
      <c r="L4296" s="209"/>
      <c r="M4296" s="198">
        <f>ROUND(SUM(M4297),6)</f>
        <v>0</v>
      </c>
      <c r="N4296" s="198">
        <f>'02 项目基础信息（输入）'!$D$4</f>
        <v>74626.7546</v>
      </c>
      <c r="O4296" s="198">
        <f t="shared" si="493"/>
        <v>0</v>
      </c>
      <c r="P4296" s="198">
        <f>'02 项目基础信息（输入）'!$H$69+N4296</f>
        <v>74626.7546</v>
      </c>
      <c r="Q4296" s="233">
        <f t="shared" si="494"/>
        <v>0</v>
      </c>
      <c r="S4296" s="280"/>
      <c r="U4296" s="220" t="s">
        <v>6665</v>
      </c>
    </row>
    <row r="4297" spans="1:21" ht="20.25" hidden="1" customHeight="1" outlineLevel="3">
      <c r="A4297" s="192" t="s">
        <v>6666</v>
      </c>
      <c r="B4297" s="192"/>
      <c r="C4297" s="197" t="s">
        <v>6638</v>
      </c>
      <c r="D4297" s="198">
        <f>'02 项目基础信息（输入）'!$K$21</f>
        <v>1370</v>
      </c>
      <c r="E4297" s="199" t="s">
        <v>93</v>
      </c>
      <c r="F4297" s="197" t="s">
        <v>694</v>
      </c>
      <c r="G4297" s="82"/>
      <c r="H4297" s="199" t="s">
        <v>93</v>
      </c>
      <c r="I4297" s="198">
        <f>G4297*D4297</f>
        <v>0</v>
      </c>
      <c r="J4297" s="199" t="s">
        <v>93</v>
      </c>
      <c r="K4297" s="188"/>
      <c r="L4297" s="209" t="s">
        <v>675</v>
      </c>
      <c r="M4297" s="198">
        <f>ROUND(K4297*I4297/10000,6)</f>
        <v>0</v>
      </c>
      <c r="N4297" s="198">
        <f>'02 项目基础信息（输入）'!$D$4</f>
        <v>74626.7546</v>
      </c>
      <c r="O4297" s="198">
        <f t="shared" si="493"/>
        <v>0</v>
      </c>
      <c r="P4297" s="198">
        <f>'02 项目基础信息（输入）'!$H$69+N4297</f>
        <v>74626.7546</v>
      </c>
      <c r="Q4297" s="233">
        <f t="shared" si="494"/>
        <v>0</v>
      </c>
      <c r="S4297" s="280"/>
      <c r="U4297" s="220" t="s">
        <v>6667</v>
      </c>
    </row>
    <row r="4298" spans="1:21" ht="20.25" customHeight="1" outlineLevel="2" collapsed="1">
      <c r="A4298" s="192" t="s">
        <v>6668</v>
      </c>
      <c r="B4298" s="192"/>
      <c r="C4298" s="197" t="s">
        <v>256</v>
      </c>
      <c r="D4298" s="198">
        <f>'02 项目基础信息（输入）'!$K$21</f>
        <v>1370</v>
      </c>
      <c r="E4298" s="199" t="s">
        <v>93</v>
      </c>
      <c r="F4298" s="197"/>
      <c r="G4298" s="199"/>
      <c r="H4298" s="199"/>
      <c r="I4298" s="197"/>
      <c r="J4298" s="199"/>
      <c r="K4298" s="197"/>
      <c r="L4298" s="209"/>
      <c r="M4298" s="198">
        <f>ROUND(SUM(M4299),6)</f>
        <v>0</v>
      </c>
      <c r="N4298" s="198">
        <f>'02 项目基础信息（输入）'!$D$4</f>
        <v>74626.7546</v>
      </c>
      <c r="O4298" s="198">
        <f t="shared" si="493"/>
        <v>0</v>
      </c>
      <c r="P4298" s="198">
        <f>'02 项目基础信息（输入）'!$H$69+N4298</f>
        <v>74626.7546</v>
      </c>
      <c r="Q4298" s="233">
        <f t="shared" si="494"/>
        <v>0</v>
      </c>
      <c r="S4298" s="280"/>
      <c r="U4298" s="220" t="s">
        <v>6669</v>
      </c>
    </row>
    <row r="4299" spans="1:21" ht="20.25" hidden="1" customHeight="1" outlineLevel="3">
      <c r="A4299" s="192" t="s">
        <v>6670</v>
      </c>
      <c r="B4299" s="192"/>
      <c r="C4299" s="197" t="s">
        <v>6638</v>
      </c>
      <c r="D4299" s="198">
        <f>'02 项目基础信息（输入）'!$K$21</f>
        <v>1370</v>
      </c>
      <c r="E4299" s="199" t="s">
        <v>93</v>
      </c>
      <c r="F4299" s="197" t="s">
        <v>694</v>
      </c>
      <c r="G4299" s="82"/>
      <c r="H4299" s="199" t="s">
        <v>93</v>
      </c>
      <c r="I4299" s="198">
        <f>G4299*D4299</f>
        <v>0</v>
      </c>
      <c r="J4299" s="199" t="s">
        <v>93</v>
      </c>
      <c r="K4299" s="188"/>
      <c r="L4299" s="209" t="s">
        <v>675</v>
      </c>
      <c r="M4299" s="198">
        <f>ROUND(K4299*I4299/10000,6)</f>
        <v>0</v>
      </c>
      <c r="N4299" s="198">
        <f>'02 项目基础信息（输入）'!$D$4</f>
        <v>74626.7546</v>
      </c>
      <c r="O4299" s="198">
        <f t="shared" si="493"/>
        <v>0</v>
      </c>
      <c r="P4299" s="198">
        <f>'02 项目基础信息（输入）'!$H$69+N4299</f>
        <v>74626.7546</v>
      </c>
      <c r="Q4299" s="233">
        <f t="shared" si="494"/>
        <v>0</v>
      </c>
      <c r="S4299" s="280"/>
      <c r="U4299" s="220" t="s">
        <v>6671</v>
      </c>
    </row>
    <row r="4300" spans="1:21" ht="20.25" customHeight="1" outlineLevel="2" collapsed="1">
      <c r="A4300" s="192" t="s">
        <v>6672</v>
      </c>
      <c r="B4300" s="192"/>
      <c r="C4300" s="197" t="s">
        <v>256</v>
      </c>
      <c r="D4300" s="198">
        <f>'02 项目基础信息（输入）'!$K$21</f>
        <v>1370</v>
      </c>
      <c r="E4300" s="199" t="s">
        <v>93</v>
      </c>
      <c r="F4300" s="197"/>
      <c r="G4300" s="199"/>
      <c r="H4300" s="199"/>
      <c r="I4300" s="197"/>
      <c r="J4300" s="199"/>
      <c r="K4300" s="197"/>
      <c r="L4300" s="209"/>
      <c r="M4300" s="198">
        <f>ROUND(SUM(M4301),6)</f>
        <v>0</v>
      </c>
      <c r="N4300" s="198">
        <f>'02 项目基础信息（输入）'!$D$4</f>
        <v>74626.7546</v>
      </c>
      <c r="O4300" s="198">
        <f t="shared" si="493"/>
        <v>0</v>
      </c>
      <c r="P4300" s="198">
        <f>'02 项目基础信息（输入）'!$H$69+N4300</f>
        <v>74626.7546</v>
      </c>
      <c r="Q4300" s="233">
        <f t="shared" si="494"/>
        <v>0</v>
      </c>
      <c r="S4300" s="280"/>
      <c r="U4300" s="220" t="s">
        <v>6673</v>
      </c>
    </row>
    <row r="4301" spans="1:21" ht="20.25" hidden="1" customHeight="1" outlineLevel="3">
      <c r="A4301" s="192" t="s">
        <v>6674</v>
      </c>
      <c r="B4301" s="192"/>
      <c r="C4301" s="197" t="s">
        <v>439</v>
      </c>
      <c r="D4301" s="197">
        <f>'02 项目基础信息（输入）'!$K$26</f>
        <v>4600</v>
      </c>
      <c r="E4301" s="199" t="s">
        <v>93</v>
      </c>
      <c r="F4301" s="197" t="s">
        <v>694</v>
      </c>
      <c r="G4301" s="82"/>
      <c r="H4301" s="199" t="s">
        <v>93</v>
      </c>
      <c r="I4301" s="198">
        <f>G4301*D4301</f>
        <v>0</v>
      </c>
      <c r="J4301" s="199" t="s">
        <v>93</v>
      </c>
      <c r="K4301" s="188"/>
      <c r="L4301" s="209" t="s">
        <v>675</v>
      </c>
      <c r="M4301" s="198">
        <f>ROUND(K4301*I4301/10000,6)</f>
        <v>0</v>
      </c>
      <c r="N4301" s="198">
        <f>'02 项目基础信息（输入）'!$D$4</f>
        <v>74626.7546</v>
      </c>
      <c r="O4301" s="198">
        <f t="shared" si="493"/>
        <v>0</v>
      </c>
      <c r="P4301" s="198">
        <f>'02 项目基础信息（输入）'!$H$69+N4301</f>
        <v>74626.7546</v>
      </c>
      <c r="Q4301" s="233">
        <f t="shared" si="494"/>
        <v>0</v>
      </c>
      <c r="S4301" s="280"/>
      <c r="U4301" s="220" t="s">
        <v>6675</v>
      </c>
    </row>
    <row r="4302" spans="1:21" ht="20.25" customHeight="1" outlineLevel="2" collapsed="1">
      <c r="A4302" s="192" t="s">
        <v>6676</v>
      </c>
      <c r="B4302" s="192"/>
      <c r="C4302" s="197" t="s">
        <v>256</v>
      </c>
      <c r="D4302" s="198">
        <f>'02 项目基础信息（输入）'!$K$21</f>
        <v>1370</v>
      </c>
      <c r="E4302" s="199" t="s">
        <v>93</v>
      </c>
      <c r="F4302" s="197"/>
      <c r="G4302" s="199"/>
      <c r="H4302" s="199"/>
      <c r="I4302" s="197"/>
      <c r="J4302" s="199"/>
      <c r="K4302" s="197"/>
      <c r="L4302" s="209"/>
      <c r="M4302" s="198">
        <f>ROUND(SUM(M4303),6)</f>
        <v>0</v>
      </c>
      <c r="N4302" s="198">
        <f>'02 项目基础信息（输入）'!$D$4</f>
        <v>74626.7546</v>
      </c>
      <c r="O4302" s="198">
        <f t="shared" si="493"/>
        <v>0</v>
      </c>
      <c r="P4302" s="198">
        <f>'02 项目基础信息（输入）'!$H$69+N4302</f>
        <v>74626.7546</v>
      </c>
      <c r="Q4302" s="233">
        <f t="shared" si="494"/>
        <v>0</v>
      </c>
      <c r="S4302" s="280"/>
      <c r="U4302" s="220" t="s">
        <v>6677</v>
      </c>
    </row>
    <row r="4303" spans="1:21" ht="20.25" hidden="1" customHeight="1" outlineLevel="3">
      <c r="A4303" s="192" t="s">
        <v>6678</v>
      </c>
      <c r="B4303" s="192"/>
      <c r="C4303" s="197" t="s">
        <v>6638</v>
      </c>
      <c r="D4303" s="198">
        <f>'02 项目基础信息（输入）'!$K$21</f>
        <v>1370</v>
      </c>
      <c r="E4303" s="199" t="s">
        <v>93</v>
      </c>
      <c r="F4303" s="197" t="s">
        <v>694</v>
      </c>
      <c r="G4303" s="82"/>
      <c r="H4303" s="199" t="s">
        <v>93</v>
      </c>
      <c r="I4303" s="198">
        <f>G4303*D4303</f>
        <v>0</v>
      </c>
      <c r="J4303" s="199" t="s">
        <v>93</v>
      </c>
      <c r="K4303" s="188"/>
      <c r="L4303" s="209" t="s">
        <v>675</v>
      </c>
      <c r="M4303" s="198">
        <f>ROUND(K4303*I4303/10000,6)</f>
        <v>0</v>
      </c>
      <c r="N4303" s="198">
        <f>'02 项目基础信息（输入）'!$D$4</f>
        <v>74626.7546</v>
      </c>
      <c r="O4303" s="198">
        <f t="shared" si="493"/>
        <v>0</v>
      </c>
      <c r="P4303" s="198">
        <f>'02 项目基础信息（输入）'!$H$69+N4303</f>
        <v>74626.7546</v>
      </c>
      <c r="Q4303" s="233">
        <f t="shared" si="494"/>
        <v>0</v>
      </c>
      <c r="S4303" s="280"/>
      <c r="U4303" s="220" t="s">
        <v>6679</v>
      </c>
    </row>
    <row r="4304" spans="1:21" ht="0" hidden="1" customHeight="1" outlineLevel="2" collapsed="1">
      <c r="A4304" s="201" t="s">
        <v>6680</v>
      </c>
      <c r="B4304" s="201"/>
      <c r="C4304" s="202" t="s">
        <v>256</v>
      </c>
      <c r="D4304" s="203">
        <f t="shared" ref="D4304:D4309" si="495">N4304</f>
        <v>74626.7546</v>
      </c>
      <c r="E4304" s="204" t="s">
        <v>93</v>
      </c>
      <c r="F4304" s="202"/>
      <c r="G4304" s="255"/>
      <c r="H4304" s="204"/>
      <c r="I4304" s="203"/>
      <c r="J4304" s="255"/>
      <c r="K4304" s="264"/>
      <c r="L4304" s="205"/>
      <c r="M4304" s="211">
        <f>ROUND(SUM(M4305),6)</f>
        <v>0</v>
      </c>
      <c r="N4304" s="198">
        <f>'02 项目基础信息（输入）'!$D$4</f>
        <v>74626.7546</v>
      </c>
      <c r="O4304" s="198">
        <f t="shared" si="493"/>
        <v>0</v>
      </c>
      <c r="P4304" s="198">
        <f>'02 项目基础信息（输入）'!$H$69+N4304</f>
        <v>74626.7546</v>
      </c>
      <c r="Q4304" s="271">
        <f t="shared" si="494"/>
        <v>0</v>
      </c>
      <c r="S4304" s="280"/>
      <c r="T4304" s="222"/>
      <c r="U4304" s="220" t="s">
        <v>6681</v>
      </c>
    </row>
    <row r="4305" spans="1:21" ht="0" hidden="1" customHeight="1" outlineLevel="3">
      <c r="A4305" s="201" t="s">
        <v>6682</v>
      </c>
      <c r="B4305" s="201"/>
      <c r="C4305" s="202" t="s">
        <v>256</v>
      </c>
      <c r="D4305" s="203">
        <f t="shared" si="495"/>
        <v>74626.7546</v>
      </c>
      <c r="E4305" s="204" t="s">
        <v>93</v>
      </c>
      <c r="F4305" s="250" t="s">
        <v>6683</v>
      </c>
      <c r="G4305" s="205">
        <f>IFERROR(I4305/D4305,0)</f>
        <v>0</v>
      </c>
      <c r="H4305" s="204" t="s">
        <v>298</v>
      </c>
      <c r="I4305" s="273">
        <f>'02 项目基础信息（输入）'!M96</f>
        <v>0</v>
      </c>
      <c r="J4305" s="204" t="s">
        <v>93</v>
      </c>
      <c r="K4305" s="269"/>
      <c r="L4305" s="210" t="s">
        <v>675</v>
      </c>
      <c r="M4305" s="198">
        <f>ROUND(K4305*I4305/10000,6)</f>
        <v>0</v>
      </c>
      <c r="N4305" s="198">
        <f>'02 项目基础信息（输入）'!$D$4</f>
        <v>74626.7546</v>
      </c>
      <c r="O4305" s="198">
        <f t="shared" si="493"/>
        <v>0</v>
      </c>
      <c r="P4305" s="198">
        <f>'02 项目基础信息（输入）'!$H$69+N4305</f>
        <v>74626.7546</v>
      </c>
      <c r="Q4305" s="271">
        <f t="shared" si="494"/>
        <v>0</v>
      </c>
      <c r="S4305" s="280"/>
      <c r="T4305" s="222"/>
      <c r="U4305" s="220" t="s">
        <v>6684</v>
      </c>
    </row>
    <row r="4306" spans="1:21" ht="0" hidden="1" customHeight="1" outlineLevel="2" collapsed="1">
      <c r="A4306" s="201" t="s">
        <v>6685</v>
      </c>
      <c r="B4306" s="201"/>
      <c r="C4306" s="202" t="s">
        <v>256</v>
      </c>
      <c r="D4306" s="203">
        <f t="shared" si="495"/>
        <v>74626.7546</v>
      </c>
      <c r="E4306" s="204" t="s">
        <v>93</v>
      </c>
      <c r="F4306" s="202"/>
      <c r="G4306" s="255"/>
      <c r="H4306" s="204"/>
      <c r="I4306" s="203"/>
      <c r="J4306" s="255"/>
      <c r="K4306" s="264"/>
      <c r="L4306" s="205"/>
      <c r="M4306" s="211">
        <f>ROUND(SUM(M4307),6)</f>
        <v>0</v>
      </c>
      <c r="N4306" s="198">
        <f>'02 项目基础信息（输入）'!$D$4</f>
        <v>74626.7546</v>
      </c>
      <c r="O4306" s="198">
        <f t="shared" si="493"/>
        <v>0</v>
      </c>
      <c r="P4306" s="198">
        <f>'02 项目基础信息（输入）'!$H$69+N4306</f>
        <v>74626.7546</v>
      </c>
      <c r="Q4306" s="271">
        <f t="shared" si="494"/>
        <v>0</v>
      </c>
      <c r="S4306" s="280"/>
      <c r="T4306" s="222"/>
      <c r="U4306" s="220" t="s">
        <v>6686</v>
      </c>
    </row>
    <row r="4307" spans="1:21" ht="0" hidden="1" customHeight="1" outlineLevel="3">
      <c r="A4307" s="201" t="s">
        <v>6687</v>
      </c>
      <c r="B4307" s="201"/>
      <c r="C4307" s="202" t="s">
        <v>256</v>
      </c>
      <c r="D4307" s="203">
        <f t="shared" si="495"/>
        <v>74626.7546</v>
      </c>
      <c r="E4307" s="204" t="s">
        <v>93</v>
      </c>
      <c r="F4307" s="250" t="s">
        <v>6688</v>
      </c>
      <c r="G4307" s="205">
        <f>IFERROR(I4307/D4307,0)</f>
        <v>0</v>
      </c>
      <c r="H4307" s="204" t="s">
        <v>298</v>
      </c>
      <c r="I4307" s="273">
        <f>'02 项目基础信息（输入）'!L96</f>
        <v>0</v>
      </c>
      <c r="J4307" s="204" t="s">
        <v>93</v>
      </c>
      <c r="K4307" s="269"/>
      <c r="L4307" s="210" t="s">
        <v>675</v>
      </c>
      <c r="M4307" s="198">
        <f>ROUND(K4307*I4307/10000,6)</f>
        <v>0</v>
      </c>
      <c r="N4307" s="198">
        <f>'02 项目基础信息（输入）'!$D$4</f>
        <v>74626.7546</v>
      </c>
      <c r="O4307" s="198">
        <f t="shared" si="493"/>
        <v>0</v>
      </c>
      <c r="P4307" s="198">
        <f>'02 项目基础信息（输入）'!$H$69+N4307</f>
        <v>74626.7546</v>
      </c>
      <c r="Q4307" s="271">
        <f t="shared" si="494"/>
        <v>0</v>
      </c>
      <c r="S4307" s="280"/>
      <c r="T4307" s="222"/>
      <c r="U4307" s="220" t="s">
        <v>6689</v>
      </c>
    </row>
    <row r="4308" spans="1:21" ht="0" hidden="1" customHeight="1" outlineLevel="2" collapsed="1">
      <c r="A4308" s="201" t="s">
        <v>6690</v>
      </c>
      <c r="B4308" s="201"/>
      <c r="C4308" s="202" t="s">
        <v>256</v>
      </c>
      <c r="D4308" s="203">
        <f t="shared" si="495"/>
        <v>74626.7546</v>
      </c>
      <c r="E4308" s="204" t="s">
        <v>93</v>
      </c>
      <c r="F4308" s="202"/>
      <c r="G4308" s="255"/>
      <c r="H4308" s="204"/>
      <c r="I4308" s="203"/>
      <c r="J4308" s="255"/>
      <c r="K4308" s="264"/>
      <c r="L4308" s="205"/>
      <c r="M4308" s="211">
        <f>ROUND(SUM(M4309),6)</f>
        <v>0</v>
      </c>
      <c r="N4308" s="198">
        <f>'02 项目基础信息（输入）'!$D$4</f>
        <v>74626.7546</v>
      </c>
      <c r="O4308" s="198">
        <f t="shared" si="493"/>
        <v>0</v>
      </c>
      <c r="P4308" s="198">
        <f>'02 项目基础信息（输入）'!$H$69+N4308</f>
        <v>74626.7546</v>
      </c>
      <c r="Q4308" s="271">
        <f t="shared" si="494"/>
        <v>0</v>
      </c>
      <c r="S4308" s="280"/>
      <c r="T4308" s="222"/>
      <c r="U4308" s="220" t="s">
        <v>6691</v>
      </c>
    </row>
    <row r="4309" spans="1:21" ht="0" hidden="1" customHeight="1" outlineLevel="3">
      <c r="A4309" s="201" t="s">
        <v>6692</v>
      </c>
      <c r="B4309" s="201"/>
      <c r="C4309" s="202" t="s">
        <v>256</v>
      </c>
      <c r="D4309" s="203">
        <f t="shared" si="495"/>
        <v>74626.7546</v>
      </c>
      <c r="E4309" s="204" t="s">
        <v>93</v>
      </c>
      <c r="F4309" s="202" t="s">
        <v>6693</v>
      </c>
      <c r="G4309" s="205">
        <f>IFERROR(I4309/D4309,0)</f>
        <v>0</v>
      </c>
      <c r="H4309" s="204" t="s">
        <v>298</v>
      </c>
      <c r="I4309" s="292"/>
      <c r="J4309" s="204" t="s">
        <v>93</v>
      </c>
      <c r="K4309" s="269"/>
      <c r="L4309" s="210" t="s">
        <v>675</v>
      </c>
      <c r="M4309" s="198">
        <f>ROUND(K4309*I4309/10000,6)</f>
        <v>0</v>
      </c>
      <c r="N4309" s="198">
        <f>'02 项目基础信息（输入）'!$D$4</f>
        <v>74626.7546</v>
      </c>
      <c r="O4309" s="198">
        <f t="shared" si="493"/>
        <v>0</v>
      </c>
      <c r="P4309" s="198">
        <f>'02 项目基础信息（输入）'!$H$69+N4309</f>
        <v>74626.7546</v>
      </c>
      <c r="Q4309" s="271">
        <f t="shared" si="494"/>
        <v>0</v>
      </c>
      <c r="S4309" s="280"/>
      <c r="T4309" s="222"/>
      <c r="U4309" s="220" t="s">
        <v>6694</v>
      </c>
    </row>
    <row r="4310" spans="1:21" ht="20.25" customHeight="1" outlineLevel="1">
      <c r="A4310" s="196" t="s">
        <v>6695</v>
      </c>
      <c r="B4310" s="196"/>
      <c r="C4310" s="197" t="s">
        <v>256</v>
      </c>
      <c r="D4310" s="198">
        <f>'02 项目基础信息（输入）'!$D$4</f>
        <v>74626.7546</v>
      </c>
      <c r="E4310" s="199" t="s">
        <v>93</v>
      </c>
      <c r="F4310" s="197"/>
      <c r="G4310" s="199"/>
      <c r="H4310" s="199"/>
      <c r="I4310" s="197"/>
      <c r="J4310" s="199"/>
      <c r="K4310" s="197"/>
      <c r="L4310" s="209"/>
      <c r="M4310" s="198">
        <f>ROUND(M4311,6)</f>
        <v>0</v>
      </c>
      <c r="N4310" s="198">
        <f>'02 项目基础信息（输入）'!$D$4</f>
        <v>74626.7546</v>
      </c>
      <c r="O4310" s="198">
        <f t="shared" si="493"/>
        <v>0</v>
      </c>
      <c r="P4310" s="198">
        <f>'02 项目基础信息（输入）'!$H$69+N4310</f>
        <v>74626.7546</v>
      </c>
      <c r="Q4310" s="233">
        <f t="shared" si="494"/>
        <v>0</v>
      </c>
      <c r="S4310" s="280"/>
      <c r="U4310" s="220" t="s">
        <v>6696</v>
      </c>
    </row>
    <row r="4311" spans="1:21" ht="20.25" customHeight="1" outlineLevel="2" collapsed="1">
      <c r="A4311" s="192" t="s">
        <v>6697</v>
      </c>
      <c r="B4311" s="192"/>
      <c r="C4311" s="197" t="s">
        <v>256</v>
      </c>
      <c r="D4311" s="198">
        <f>'02 项目基础信息（输入）'!$D$4</f>
        <v>74626.7546</v>
      </c>
      <c r="E4311" s="199" t="s">
        <v>93</v>
      </c>
      <c r="F4311" s="197"/>
      <c r="G4311" s="199"/>
      <c r="H4311" s="199"/>
      <c r="I4311" s="197"/>
      <c r="J4311" s="199"/>
      <c r="K4311" s="197"/>
      <c r="L4311" s="209"/>
      <c r="M4311" s="198">
        <f>ROUND(SUM(M4312:M4313),6)</f>
        <v>0</v>
      </c>
      <c r="N4311" s="198">
        <f>'02 项目基础信息（输入）'!$D$4</f>
        <v>74626.7546</v>
      </c>
      <c r="O4311" s="198">
        <f t="shared" si="493"/>
        <v>0</v>
      </c>
      <c r="P4311" s="198">
        <f>'02 项目基础信息（输入）'!$H$69+N4311</f>
        <v>74626.7546</v>
      </c>
      <c r="Q4311" s="198">
        <f t="shared" si="494"/>
        <v>0</v>
      </c>
      <c r="S4311" s="361"/>
      <c r="U4311" s="220" t="s">
        <v>6698</v>
      </c>
    </row>
    <row r="4312" spans="1:21" ht="20.25" hidden="1" customHeight="1" outlineLevel="3">
      <c r="A4312" s="192" t="s">
        <v>6699</v>
      </c>
      <c r="B4312" s="192"/>
      <c r="C4312" s="197" t="s">
        <v>256</v>
      </c>
      <c r="D4312" s="198">
        <f>'02 项目基础信息（输入）'!$D$4</f>
        <v>74626.7546</v>
      </c>
      <c r="E4312" s="199" t="s">
        <v>93</v>
      </c>
      <c r="F4312" s="197" t="s">
        <v>256</v>
      </c>
      <c r="G4312" s="199">
        <v>1</v>
      </c>
      <c r="H4312" s="199" t="s">
        <v>298</v>
      </c>
      <c r="I4312" s="198">
        <f>G4312*D4312</f>
        <v>74626.7546</v>
      </c>
      <c r="J4312" s="199" t="s">
        <v>93</v>
      </c>
      <c r="K4312" s="188"/>
      <c r="L4312" s="209" t="s">
        <v>675</v>
      </c>
      <c r="M4312" s="198">
        <f>ROUND(K4312*I4312/10000,6)</f>
        <v>0</v>
      </c>
      <c r="N4312" s="198">
        <f>'02 项目基础信息（输入）'!$D$4</f>
        <v>74626.7546</v>
      </c>
      <c r="O4312" s="198">
        <f t="shared" si="493"/>
        <v>0</v>
      </c>
      <c r="P4312" s="198">
        <f>'02 项目基础信息（输入）'!$H$69+N4312</f>
        <v>74626.7546</v>
      </c>
      <c r="Q4312" s="198">
        <f t="shared" si="494"/>
        <v>0</v>
      </c>
      <c r="S4312" s="362"/>
      <c r="U4312" s="220" t="s">
        <v>6700</v>
      </c>
    </row>
    <row r="4313" spans="1:21" ht="20.25" hidden="1" customHeight="1" outlineLevel="3">
      <c r="A4313" s="192" t="s">
        <v>6701</v>
      </c>
      <c r="B4313" s="192"/>
      <c r="C4313" s="197" t="s">
        <v>256</v>
      </c>
      <c r="D4313" s="198">
        <f>'02 项目基础信息（输入）'!$D$4</f>
        <v>74626.7546</v>
      </c>
      <c r="E4313" s="199" t="s">
        <v>93</v>
      </c>
      <c r="F4313" s="197" t="s">
        <v>256</v>
      </c>
      <c r="G4313" s="199">
        <v>1</v>
      </c>
      <c r="H4313" s="199" t="s">
        <v>298</v>
      </c>
      <c r="I4313" s="198">
        <f>G4313*D4313</f>
        <v>74626.7546</v>
      </c>
      <c r="J4313" s="199" t="s">
        <v>93</v>
      </c>
      <c r="K4313" s="188"/>
      <c r="L4313" s="209" t="s">
        <v>675</v>
      </c>
      <c r="M4313" s="198">
        <f>ROUND(K4313*I4313/10000,6)</f>
        <v>0</v>
      </c>
      <c r="N4313" s="198">
        <f>'02 项目基础信息（输入）'!$D$4</f>
        <v>74626.7546</v>
      </c>
      <c r="O4313" s="198">
        <f t="shared" si="493"/>
        <v>0</v>
      </c>
      <c r="P4313" s="198">
        <f>'02 项目基础信息（输入）'!$H$69+N4313</f>
        <v>74626.7546</v>
      </c>
      <c r="Q4313" s="198">
        <f t="shared" si="494"/>
        <v>0</v>
      </c>
      <c r="S4313" s="362"/>
      <c r="U4313" s="220" t="s">
        <v>6702</v>
      </c>
    </row>
  </sheetData>
  <sheetProtection formatCells="0" formatColumns="0" formatRows="0" insertColumns="0" insertHyperlinks="0" deleteColumns="0" sort="0" autoFilter="0" pivotTables="0"/>
  <autoFilter ref="A2:U4313" xr:uid="{00000000-0009-0000-0000-000006000000}"/>
  <mergeCells count="12">
    <mergeCell ref="R1:R2"/>
    <mergeCell ref="S1:S2"/>
    <mergeCell ref="M1:M2"/>
    <mergeCell ref="N1:N2"/>
    <mergeCell ref="O1:O2"/>
    <mergeCell ref="P1:P2"/>
    <mergeCell ref="Q1:Q2"/>
    <mergeCell ref="C1:E1"/>
    <mergeCell ref="F1:H1"/>
    <mergeCell ref="I1:J1"/>
    <mergeCell ref="K1:L1"/>
    <mergeCell ref="A1:A2"/>
  </mergeCells>
  <phoneticPr fontId="84" type="noConversion"/>
  <pageMargins left="0.69791666666666663" right="0.69791666666666663" top="0.75" bottom="0.75" header="0.30208333333333331" footer="0.30208333333333331"/>
  <pageSetup pageOrder="overThenDown" orientation="portrait"/>
  <headerFooter>
    <oddHeader>&amp;L&amp;C&amp;R</oddHeader>
    <oddFooter>&amp;L&amp;C&amp;R</oddFooter>
    <evenHeader>&amp;L&amp;C&amp;R</evenHeader>
    <evenFooter>&amp;L&amp;C&amp;R</even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Q151"/>
  <sheetViews>
    <sheetView topLeftCell="A27" workbookViewId="0">
      <selection activeCell="F45" sqref="F45"/>
    </sheetView>
  </sheetViews>
  <sheetFormatPr baseColWidth="10" defaultColWidth="9.1640625" defaultRowHeight="16.5" customHeight="1" outlineLevelRow="2"/>
  <cols>
    <col min="1" max="1" width="6.33203125" style="65" customWidth="1"/>
    <col min="2" max="2" width="16.5" style="65" customWidth="1"/>
    <col min="3" max="4" width="25.6640625" style="61" customWidth="1"/>
    <col min="5" max="5" width="24" style="61" customWidth="1"/>
    <col min="6" max="6" width="28.33203125" style="61" customWidth="1"/>
    <col min="7" max="7" width="32" style="61" customWidth="1"/>
    <col min="8" max="9" width="16.83203125" style="61" customWidth="1"/>
    <col min="10" max="10" width="30.6640625" style="61" customWidth="1"/>
    <col min="11" max="11" width="24.83203125" style="61" customWidth="1"/>
    <col min="12" max="12" width="23.33203125" style="66" hidden="1" customWidth="1"/>
    <col min="13" max="17" width="9.1640625" style="61"/>
  </cols>
  <sheetData>
    <row r="1" spans="1:12" s="61" customFormat="1" ht="22.5" customHeight="1">
      <c r="A1" s="67" t="s">
        <v>15</v>
      </c>
      <c r="B1" s="1487" t="s">
        <v>6703</v>
      </c>
      <c r="C1" s="1487"/>
      <c r="D1" s="1487"/>
      <c r="E1" s="1487"/>
      <c r="F1" s="1487"/>
      <c r="G1" s="1487"/>
      <c r="L1" s="66" t="s">
        <v>6704</v>
      </c>
    </row>
    <row r="2" spans="1:12" s="61" customFormat="1" ht="16.5" customHeight="1" outlineLevel="2">
      <c r="A2" s="68" t="s">
        <v>11</v>
      </c>
      <c r="B2" s="68" t="s">
        <v>6705</v>
      </c>
      <c r="C2" s="1488" t="s">
        <v>6706</v>
      </c>
      <c r="D2" s="1488"/>
      <c r="E2" s="1488" t="s">
        <v>6707</v>
      </c>
      <c r="F2" s="1488"/>
      <c r="G2" s="68" t="s">
        <v>6708</v>
      </c>
      <c r="H2" s="69"/>
      <c r="I2" s="69"/>
      <c r="L2" s="66" t="s">
        <v>6709</v>
      </c>
    </row>
    <row r="3" spans="1:12" s="61" customFormat="1" ht="32.25" customHeight="1" outlineLevel="2">
      <c r="A3" s="68">
        <v>1</v>
      </c>
      <c r="B3" s="68" t="s">
        <v>6710</v>
      </c>
      <c r="C3" s="1489" t="s">
        <v>82</v>
      </c>
      <c r="D3" s="1489"/>
      <c r="E3" s="1489" t="s">
        <v>6711</v>
      </c>
      <c r="F3" s="1489"/>
      <c r="G3" s="70"/>
      <c r="H3" s="69"/>
      <c r="I3" s="69"/>
      <c r="L3" s="66" t="s">
        <v>6712</v>
      </c>
    </row>
    <row r="4" spans="1:12" s="61" customFormat="1" ht="32.25" customHeight="1" outlineLevel="2">
      <c r="A4" s="68">
        <v>2</v>
      </c>
      <c r="B4" s="68" t="s">
        <v>6713</v>
      </c>
      <c r="C4" s="1489" t="s">
        <v>82</v>
      </c>
      <c r="D4" s="1489"/>
      <c r="E4" s="1489" t="s">
        <v>6714</v>
      </c>
      <c r="F4" s="1489"/>
      <c r="G4" s="70"/>
      <c r="H4" s="69"/>
      <c r="I4" s="69"/>
      <c r="L4" s="66" t="s">
        <v>6715</v>
      </c>
    </row>
    <row r="5" spans="1:12" s="61" customFormat="1" ht="32.25" customHeight="1" outlineLevel="2">
      <c r="A5" s="68">
        <v>3</v>
      </c>
      <c r="B5" s="71" t="s">
        <v>6716</v>
      </c>
      <c r="C5" s="1489" t="s">
        <v>6717</v>
      </c>
      <c r="D5" s="1489"/>
      <c r="E5" s="1489" t="s">
        <v>6718</v>
      </c>
      <c r="F5" s="1489"/>
      <c r="G5" s="70" t="s">
        <v>6719</v>
      </c>
      <c r="H5" s="69"/>
      <c r="I5" s="69"/>
      <c r="L5" s="66" t="s">
        <v>6720</v>
      </c>
    </row>
    <row r="6" spans="1:12" s="61" customFormat="1" ht="32.25" customHeight="1" outlineLevel="2">
      <c r="A6" s="68">
        <v>4</v>
      </c>
      <c r="B6" s="71" t="s">
        <v>6721</v>
      </c>
      <c r="C6" s="1489" t="s">
        <v>6722</v>
      </c>
      <c r="D6" s="1489"/>
      <c r="E6" s="1489" t="s">
        <v>6723</v>
      </c>
      <c r="F6" s="1489"/>
      <c r="G6" s="70" t="s">
        <v>6719</v>
      </c>
      <c r="H6" s="69"/>
      <c r="I6" s="69"/>
      <c r="L6" s="66" t="s">
        <v>6724</v>
      </c>
    </row>
    <row r="7" spans="1:12" s="61" customFormat="1" ht="32.25" customHeight="1" outlineLevel="2">
      <c r="A7" s="68">
        <v>5</v>
      </c>
      <c r="B7" s="71" t="s">
        <v>6725</v>
      </c>
      <c r="C7" s="1489" t="s">
        <v>6726</v>
      </c>
      <c r="D7" s="1489"/>
      <c r="E7" s="1489" t="s">
        <v>6727</v>
      </c>
      <c r="F7" s="1489"/>
      <c r="G7" s="70" t="s">
        <v>6719</v>
      </c>
      <c r="H7" s="69"/>
      <c r="I7" s="69"/>
      <c r="L7" s="66" t="s">
        <v>6728</v>
      </c>
    </row>
    <row r="8" spans="1:12" s="61" customFormat="1" ht="32.25" customHeight="1" outlineLevel="2">
      <c r="A8" s="68">
        <v>6</v>
      </c>
      <c r="B8" s="68" t="s">
        <v>6729</v>
      </c>
      <c r="C8" s="1489" t="s">
        <v>6730</v>
      </c>
      <c r="D8" s="1489"/>
      <c r="E8" s="1489" t="s">
        <v>6731</v>
      </c>
      <c r="F8" s="1489"/>
      <c r="G8" s="70" t="s">
        <v>6719</v>
      </c>
      <c r="H8" s="69"/>
      <c r="I8" s="69"/>
      <c r="L8" s="66" t="s">
        <v>6732</v>
      </c>
    </row>
    <row r="9" spans="1:12" s="61" customFormat="1" ht="32.25" customHeight="1" outlineLevel="2">
      <c r="A9" s="68">
        <v>7</v>
      </c>
      <c r="B9" s="68" t="s">
        <v>1850</v>
      </c>
      <c r="C9" s="1489" t="s">
        <v>6733</v>
      </c>
      <c r="D9" s="1489"/>
      <c r="E9" s="1489" t="s">
        <v>6734</v>
      </c>
      <c r="F9" s="1489"/>
      <c r="G9" s="70" t="s">
        <v>6719</v>
      </c>
      <c r="H9" s="69"/>
      <c r="I9" s="69"/>
      <c r="L9" s="66" t="s">
        <v>6735</v>
      </c>
    </row>
    <row r="10" spans="1:12" s="61" customFormat="1" ht="32.25" customHeight="1" outlineLevel="2">
      <c r="A10" s="68">
        <v>8</v>
      </c>
      <c r="B10" s="68" t="s">
        <v>6736</v>
      </c>
      <c r="C10" s="1489" t="s">
        <v>82</v>
      </c>
      <c r="D10" s="1489"/>
      <c r="E10" s="1489" t="s">
        <v>6737</v>
      </c>
      <c r="F10" s="1489"/>
      <c r="G10" s="70" t="s">
        <v>6719</v>
      </c>
      <c r="H10" s="69"/>
      <c r="I10" s="69"/>
      <c r="L10" s="66" t="s">
        <v>6738</v>
      </c>
    </row>
    <row r="11" spans="1:12" s="61" customFormat="1" ht="32.25" customHeight="1" outlineLevel="2">
      <c r="A11" s="68">
        <v>9</v>
      </c>
      <c r="B11" s="68" t="s">
        <v>6739</v>
      </c>
      <c r="C11" s="1489" t="s">
        <v>82</v>
      </c>
      <c r="D11" s="1489"/>
      <c r="E11" s="1489" t="s">
        <v>6740</v>
      </c>
      <c r="F11" s="1489"/>
      <c r="G11" s="70" t="s">
        <v>6719</v>
      </c>
      <c r="H11" s="69"/>
      <c r="I11" s="69"/>
      <c r="L11" s="66" t="s">
        <v>6741</v>
      </c>
    </row>
    <row r="12" spans="1:12" s="61" customFormat="1" ht="16.5" customHeight="1" outlineLevel="2">
      <c r="A12" s="72">
        <v>10</v>
      </c>
      <c r="B12" s="72" t="s">
        <v>6742</v>
      </c>
      <c r="C12" s="1490"/>
      <c r="D12" s="1491"/>
      <c r="E12" s="1490"/>
      <c r="F12" s="1491"/>
      <c r="G12" s="73"/>
      <c r="H12" s="69"/>
      <c r="I12" s="69"/>
      <c r="J12" s="103"/>
      <c r="L12" s="66" t="s">
        <v>6743</v>
      </c>
    </row>
    <row r="13" spans="1:12" s="62" customFormat="1" ht="22.5" customHeight="1">
      <c r="A13" s="74" t="s">
        <v>6744</v>
      </c>
      <c r="B13" s="1492" t="s">
        <v>6745</v>
      </c>
      <c r="C13" s="1493"/>
      <c r="D13" s="1493"/>
      <c r="E13" s="1493"/>
      <c r="F13" s="1493"/>
      <c r="G13" s="1494"/>
      <c r="L13" s="66" t="s">
        <v>6746</v>
      </c>
    </row>
    <row r="14" spans="1:12" s="62" customFormat="1" ht="18.75" customHeight="1" outlineLevel="2">
      <c r="A14" s="75" t="s">
        <v>11</v>
      </c>
      <c r="B14" s="75" t="s">
        <v>6747</v>
      </c>
      <c r="C14" s="75" t="s">
        <v>6748</v>
      </c>
      <c r="D14" s="75" t="s">
        <v>649</v>
      </c>
      <c r="E14" s="75" t="s">
        <v>1312</v>
      </c>
      <c r="F14" s="75" t="s">
        <v>1313</v>
      </c>
      <c r="G14" s="75" t="s">
        <v>1314</v>
      </c>
      <c r="L14" s="66" t="s">
        <v>6749</v>
      </c>
    </row>
    <row r="15" spans="1:12" s="62" customFormat="1" ht="18.75" customHeight="1" outlineLevel="2">
      <c r="A15" s="75">
        <v>1</v>
      </c>
      <c r="B15" s="75" t="s">
        <v>6750</v>
      </c>
      <c r="C15" s="75" t="s">
        <v>6751</v>
      </c>
      <c r="D15" s="76">
        <f>D19-D22</f>
        <v>-3763.28902256741</v>
      </c>
      <c r="E15" s="76">
        <f>E19-E22</f>
        <v>-735.97990195614796</v>
      </c>
      <c r="F15" s="76">
        <f>F19-F22</f>
        <v>-2084.1567761676802</v>
      </c>
      <c r="G15" s="76">
        <f>G19-G22</f>
        <v>-943.15234444357998</v>
      </c>
      <c r="H15" s="77"/>
      <c r="I15" s="77"/>
      <c r="J15" s="77"/>
      <c r="K15" s="77"/>
      <c r="L15" s="66" t="s">
        <v>6752</v>
      </c>
    </row>
    <row r="16" spans="1:12" s="62" customFormat="1" ht="18.75" customHeight="1" outlineLevel="2">
      <c r="A16" s="75"/>
      <c r="B16" s="75"/>
      <c r="C16" s="75"/>
      <c r="D16" s="76"/>
      <c r="E16" s="76"/>
      <c r="F16" s="76"/>
      <c r="G16" s="76"/>
      <c r="H16" s="77"/>
      <c r="I16" s="77"/>
      <c r="J16" s="77"/>
      <c r="K16" s="77"/>
      <c r="L16" s="66"/>
    </row>
    <row r="17" spans="1:12" s="62" customFormat="1" ht="18.75" customHeight="1" outlineLevel="2">
      <c r="A17" s="75">
        <v>2</v>
      </c>
      <c r="B17" s="75" t="s">
        <v>6750</v>
      </c>
      <c r="C17" s="75" t="s">
        <v>6753</v>
      </c>
      <c r="D17" s="76">
        <f t="shared" ref="D17:G18" si="0">D20-D23</f>
        <v>991.87703704936303</v>
      </c>
      <c r="E17" s="76">
        <f t="shared" si="0"/>
        <v>293.41619723914391</v>
      </c>
      <c r="F17" s="76">
        <f t="shared" si="0"/>
        <v>60.75398398374864</v>
      </c>
      <c r="G17" s="76">
        <f t="shared" si="0"/>
        <v>637.70685582647388</v>
      </c>
      <c r="H17" s="77"/>
      <c r="I17" s="77"/>
      <c r="J17" s="77"/>
      <c r="K17" s="77"/>
      <c r="L17" s="66" t="s">
        <v>6754</v>
      </c>
    </row>
    <row r="18" spans="1:12" s="62" customFormat="1" ht="18.75" customHeight="1" outlineLevel="2">
      <c r="A18" s="75">
        <v>3</v>
      </c>
      <c r="B18" s="75" t="s">
        <v>6750</v>
      </c>
      <c r="C18" s="75" t="s">
        <v>6755</v>
      </c>
      <c r="D18" s="76">
        <f t="shared" si="0"/>
        <v>-3788.2081439149902</v>
      </c>
      <c r="E18" s="76">
        <f t="shared" si="0"/>
        <v>-735.97990195614898</v>
      </c>
      <c r="F18" s="76">
        <f t="shared" si="0"/>
        <v>-2094.5997998924499</v>
      </c>
      <c r="G18" s="76">
        <f t="shared" si="0"/>
        <v>-957.62844206638897</v>
      </c>
      <c r="H18" s="77"/>
      <c r="I18" s="77"/>
      <c r="J18" s="77"/>
      <c r="K18" s="77"/>
      <c r="L18" s="66" t="s">
        <v>6756</v>
      </c>
    </row>
    <row r="19" spans="1:12" s="62" customFormat="1" ht="18.75" customHeight="1" outlineLevel="2">
      <c r="A19" s="75">
        <v>4</v>
      </c>
      <c r="B19" s="75" t="s">
        <v>6757</v>
      </c>
      <c r="C19" s="75" t="s">
        <v>6751</v>
      </c>
      <c r="D19" s="76">
        <f>'04 目标成本控制表'!E53</f>
        <v>0</v>
      </c>
      <c r="E19" s="76">
        <f>'04 目标成本控制表'!M53</f>
        <v>0</v>
      </c>
      <c r="F19" s="76">
        <f>'04 目标成本控制表'!N53</f>
        <v>0</v>
      </c>
      <c r="G19" s="76">
        <f>'04 目标成本控制表'!O53</f>
        <v>0</v>
      </c>
      <c r="H19" s="77"/>
      <c r="I19" s="77"/>
      <c r="J19" s="77"/>
      <c r="K19" s="77"/>
      <c r="L19" s="66" t="s">
        <v>6758</v>
      </c>
    </row>
    <row r="20" spans="1:12" s="62" customFormat="1" ht="18.75" customHeight="1" outlineLevel="2">
      <c r="A20" s="75">
        <v>5</v>
      </c>
      <c r="B20" s="75" t="s">
        <v>6757</v>
      </c>
      <c r="C20" s="75" t="s">
        <v>6753</v>
      </c>
      <c r="D20" s="76">
        <f>'04 目标成本控制表'!E52</f>
        <v>4831.5236913498329</v>
      </c>
      <c r="E20" s="76">
        <f>'04 目标成本控制表'!M52</f>
        <v>1029.3960991952899</v>
      </c>
      <c r="F20" s="76">
        <f>'04 目标成本控制表'!N52</f>
        <v>2216.8241575712386</v>
      </c>
      <c r="G20" s="76">
        <f>'04 目标成本控制表'!O52</f>
        <v>1585.3034345833039</v>
      </c>
      <c r="H20" s="77"/>
      <c r="I20" s="77"/>
      <c r="J20" s="77"/>
      <c r="K20" s="77"/>
      <c r="L20" s="66" t="s">
        <v>6759</v>
      </c>
    </row>
    <row r="21" spans="1:12" s="62" customFormat="1" ht="18.75" customHeight="1" outlineLevel="2">
      <c r="A21" s="75">
        <v>6</v>
      </c>
      <c r="B21" s="75" t="s">
        <v>6757</v>
      </c>
      <c r="C21" s="75" t="s">
        <v>6755</v>
      </c>
      <c r="D21" s="76">
        <f>'04 目标成本控制表'!E51</f>
        <v>0</v>
      </c>
      <c r="E21" s="76">
        <f>'04 目标成本控制表'!M51</f>
        <v>0</v>
      </c>
      <c r="F21" s="76">
        <f>'04 目标成本控制表'!N51</f>
        <v>0</v>
      </c>
      <c r="G21" s="76">
        <f>'04 目标成本控制表'!O51</f>
        <v>0</v>
      </c>
      <c r="H21" s="77"/>
      <c r="I21" s="77"/>
      <c r="J21" s="77"/>
      <c r="K21" s="77"/>
      <c r="L21" s="66" t="s">
        <v>6760</v>
      </c>
    </row>
    <row r="22" spans="1:12" s="62" customFormat="1" ht="18.75" customHeight="1" outlineLevel="2">
      <c r="A22" s="75">
        <v>7</v>
      </c>
      <c r="B22" s="75" t="s">
        <v>6761</v>
      </c>
      <c r="C22" s="75" t="s">
        <v>6751</v>
      </c>
      <c r="D22" s="76">
        <f>'04 目标成本控制表'!W53</f>
        <v>3763.28902256741</v>
      </c>
      <c r="E22" s="76">
        <f>'04 目标成本控制表'!Y53</f>
        <v>735.97990195614796</v>
      </c>
      <c r="F22" s="76">
        <f>'04 目标成本控制表'!Z53</f>
        <v>2084.1567761676802</v>
      </c>
      <c r="G22" s="76">
        <f>'04 目标成本控制表'!AA53</f>
        <v>943.15234444357998</v>
      </c>
      <c r="H22" s="77"/>
      <c r="I22" s="77"/>
      <c r="J22" s="77"/>
      <c r="K22" s="77"/>
      <c r="L22" s="66" t="s">
        <v>6762</v>
      </c>
    </row>
    <row r="23" spans="1:12" s="62" customFormat="1" ht="18.75" customHeight="1" outlineLevel="2">
      <c r="A23" s="75">
        <v>8</v>
      </c>
      <c r="B23" s="75" t="s">
        <v>6761</v>
      </c>
      <c r="C23" s="75" t="s">
        <v>6753</v>
      </c>
      <c r="D23" s="76">
        <f>'04 目标成本控制表'!W52</f>
        <v>3839.6466543004699</v>
      </c>
      <c r="E23" s="76">
        <f>'04 目标成本控制表'!Y52</f>
        <v>735.97990195614602</v>
      </c>
      <c r="F23" s="76">
        <f>'04 目标成本控制表'!Z52</f>
        <v>2156.07017358749</v>
      </c>
      <c r="G23" s="76">
        <f>'04 目标成本控制表'!AA52</f>
        <v>947.59657875683001</v>
      </c>
      <c r="H23" s="77"/>
      <c r="I23" s="77"/>
      <c r="J23" s="77"/>
      <c r="K23" s="77"/>
      <c r="L23" s="66" t="s">
        <v>6763</v>
      </c>
    </row>
    <row r="24" spans="1:12" s="62" customFormat="1" ht="18.75" customHeight="1" outlineLevel="2">
      <c r="A24" s="75">
        <v>9</v>
      </c>
      <c r="B24" s="75" t="s">
        <v>6761</v>
      </c>
      <c r="C24" s="75" t="s">
        <v>6755</v>
      </c>
      <c r="D24" s="76">
        <f>'04 目标成本控制表'!W51</f>
        <v>3788.2081439149902</v>
      </c>
      <c r="E24" s="76">
        <f>'04 目标成本控制表'!Y51</f>
        <v>735.97990195614898</v>
      </c>
      <c r="F24" s="76">
        <f>'04 目标成本控制表'!Z51</f>
        <v>2094.5997998924499</v>
      </c>
      <c r="G24" s="76">
        <f>'04 目标成本控制表'!AA51</f>
        <v>957.62844206638897</v>
      </c>
      <c r="H24" s="77"/>
      <c r="I24" s="77"/>
      <c r="J24" s="77"/>
      <c r="K24" s="77"/>
      <c r="L24" s="66" t="s">
        <v>6764</v>
      </c>
    </row>
    <row r="25" spans="1:12" s="62" customFormat="1" ht="23.25" customHeight="1">
      <c r="A25" s="78" t="s">
        <v>6765</v>
      </c>
      <c r="B25" s="1495" t="s">
        <v>6766</v>
      </c>
      <c r="C25" s="1495"/>
      <c r="D25" s="1495"/>
      <c r="E25" s="1495"/>
      <c r="F25" s="1495"/>
      <c r="G25" s="1495"/>
      <c r="H25" s="63"/>
      <c r="I25" s="63"/>
      <c r="J25" s="63"/>
      <c r="L25" s="66" t="s">
        <v>6767</v>
      </c>
    </row>
    <row r="26" spans="1:12" s="62" customFormat="1" ht="23.25" customHeight="1" outlineLevel="1">
      <c r="A26" s="71" t="s">
        <v>11</v>
      </c>
      <c r="B26" s="71" t="s">
        <v>6768</v>
      </c>
      <c r="C26" s="71" t="s">
        <v>6769</v>
      </c>
      <c r="D26" s="71" t="s">
        <v>6770</v>
      </c>
      <c r="E26" s="71" t="s">
        <v>6771</v>
      </c>
      <c r="F26" s="1496" t="s">
        <v>6772</v>
      </c>
      <c r="G26" s="1496"/>
      <c r="H26" s="63"/>
      <c r="I26" s="63"/>
      <c r="J26" s="63"/>
      <c r="L26" s="66" t="s">
        <v>6773</v>
      </c>
    </row>
    <row r="27" spans="1:12" s="62" customFormat="1" ht="45.75" customHeight="1" outlineLevel="1">
      <c r="A27" s="79">
        <v>1</v>
      </c>
      <c r="B27" s="79" t="s">
        <v>221</v>
      </c>
      <c r="C27" s="80">
        <f>'05 成本测算明细'!$O$29</f>
        <v>214.34</v>
      </c>
      <c r="D27" s="81">
        <f>'04 目标成本控制表'!$W$9</f>
        <v>0</v>
      </c>
      <c r="E27" s="81">
        <f>C27-D27</f>
        <v>214.34</v>
      </c>
      <c r="F27" s="1497"/>
      <c r="G27" s="1497"/>
      <c r="L27" s="66" t="s">
        <v>6774</v>
      </c>
    </row>
    <row r="28" spans="1:12" s="62" customFormat="1" ht="45.75" customHeight="1" outlineLevel="1">
      <c r="A28" s="79">
        <v>2</v>
      </c>
      <c r="B28" s="79" t="s">
        <v>222</v>
      </c>
      <c r="C28" s="80">
        <f>'05 成本测算明细'!$O$47</f>
        <v>336.4</v>
      </c>
      <c r="D28" s="83">
        <f>'04 目标成本控制表'!$W$10</f>
        <v>0</v>
      </c>
      <c r="E28" s="81">
        <f>C28-D28</f>
        <v>336.4</v>
      </c>
      <c r="F28" s="1497"/>
      <c r="G28" s="1497"/>
      <c r="L28" s="66" t="s">
        <v>6775</v>
      </c>
    </row>
    <row r="29" spans="1:12" s="62" customFormat="1" ht="45.75" customHeight="1" outlineLevel="1">
      <c r="A29" s="79">
        <v>3</v>
      </c>
      <c r="B29" s="84" t="s">
        <v>229</v>
      </c>
      <c r="C29" s="85">
        <f>'05 成本测算明细'!$O$4164</f>
        <v>423.74</v>
      </c>
      <c r="D29" s="86">
        <f>'04 目标成本控制表'!$W$32</f>
        <v>0</v>
      </c>
      <c r="E29" s="87">
        <f>C29-D29</f>
        <v>423.74</v>
      </c>
      <c r="F29" s="1498"/>
      <c r="G29" s="1498"/>
      <c r="L29" s="66" t="s">
        <v>6776</v>
      </c>
    </row>
    <row r="30" spans="1:12" s="62" customFormat="1" ht="23.25" customHeight="1">
      <c r="A30" s="78" t="s">
        <v>6777</v>
      </c>
      <c r="B30" s="1495" t="s">
        <v>6778</v>
      </c>
      <c r="C30" s="1495"/>
      <c r="D30" s="1495"/>
      <c r="E30" s="1495"/>
      <c r="F30" s="1495"/>
      <c r="G30" s="1495"/>
      <c r="H30" s="1495"/>
      <c r="I30" s="1495"/>
      <c r="J30" s="1495"/>
      <c r="L30" s="66" t="s">
        <v>6779</v>
      </c>
    </row>
    <row r="31" spans="1:12" s="62" customFormat="1" ht="18.75" customHeight="1" outlineLevel="2">
      <c r="A31" s="75" t="s">
        <v>11</v>
      </c>
      <c r="B31" s="75" t="s">
        <v>480</v>
      </c>
      <c r="C31" s="75" t="s">
        <v>6780</v>
      </c>
      <c r="D31" s="71" t="s">
        <v>6781</v>
      </c>
      <c r="E31" s="71" t="s">
        <v>6782</v>
      </c>
      <c r="F31" s="71" t="s">
        <v>6771</v>
      </c>
      <c r="G31" s="71" t="s">
        <v>6783</v>
      </c>
      <c r="H31" s="71" t="s">
        <v>6784</v>
      </c>
      <c r="I31" s="71" t="s">
        <v>6785</v>
      </c>
      <c r="J31" s="75" t="s">
        <v>6786</v>
      </c>
      <c r="L31" s="66" t="s">
        <v>6787</v>
      </c>
    </row>
    <row r="32" spans="1:12" s="62" customFormat="1" ht="16" hidden="1" customHeight="1" outlineLevel="2">
      <c r="A32" s="75">
        <v>1.1000000000000001</v>
      </c>
      <c r="B32" s="75" t="s">
        <v>504</v>
      </c>
      <c r="C32" s="75" t="s">
        <v>6788</v>
      </c>
      <c r="D32" s="92">
        <f>'05 成本测算明细'!O912</f>
        <v>0</v>
      </c>
      <c r="E32" s="93">
        <v>60.31</v>
      </c>
      <c r="F32" s="92">
        <f t="shared" ref="F32:F56" si="1">D32-E32</f>
        <v>-60.31</v>
      </c>
      <c r="G32" s="94"/>
      <c r="H32" s="94"/>
      <c r="I32" s="94"/>
      <c r="J32" s="82"/>
      <c r="L32" s="66" t="s">
        <v>2701</v>
      </c>
    </row>
    <row r="33" spans="1:12" s="62" customFormat="1" ht="16" hidden="1" customHeight="1" outlineLevel="2">
      <c r="A33" s="75">
        <v>1.2</v>
      </c>
      <c r="B33" s="75" t="s">
        <v>504</v>
      </c>
      <c r="C33" s="75" t="s">
        <v>6789</v>
      </c>
      <c r="D33" s="92">
        <f>'05 成本测算明细'!O918</f>
        <v>0</v>
      </c>
      <c r="E33" s="93">
        <v>212.59</v>
      </c>
      <c r="F33" s="92">
        <f t="shared" si="1"/>
        <v>-212.59</v>
      </c>
      <c r="G33" s="94"/>
      <c r="H33" s="94"/>
      <c r="I33" s="94"/>
      <c r="J33" s="82"/>
      <c r="L33" s="66" t="s">
        <v>2707</v>
      </c>
    </row>
    <row r="34" spans="1:12" s="62" customFormat="1" ht="16" hidden="1" customHeight="1" outlineLevel="2">
      <c r="A34" s="75">
        <v>1.3</v>
      </c>
      <c r="B34" s="75" t="s">
        <v>504</v>
      </c>
      <c r="C34" s="75" t="s">
        <v>6790</v>
      </c>
      <c r="D34" s="92">
        <f>'05 成本测算明细'!O929</f>
        <v>0</v>
      </c>
      <c r="E34" s="93">
        <v>515.9</v>
      </c>
      <c r="F34" s="92">
        <f t="shared" si="1"/>
        <v>-515.9</v>
      </c>
      <c r="G34" s="94"/>
      <c r="H34" s="94"/>
      <c r="I34" s="94"/>
      <c r="J34" s="82"/>
      <c r="L34" s="66" t="s">
        <v>2718</v>
      </c>
    </row>
    <row r="35" spans="1:12" s="62" customFormat="1" ht="16" hidden="1" customHeight="1" outlineLevel="2">
      <c r="A35" s="75">
        <v>1.4</v>
      </c>
      <c r="B35" s="75" t="s">
        <v>504</v>
      </c>
      <c r="C35" s="75" t="s">
        <v>6791</v>
      </c>
      <c r="D35" s="92">
        <f>'05 成本测算明细'!O946</f>
        <v>0</v>
      </c>
      <c r="E35" s="93">
        <v>65.489999999999995</v>
      </c>
      <c r="F35" s="92">
        <f t="shared" si="1"/>
        <v>-65.489999999999995</v>
      </c>
      <c r="G35" s="94"/>
      <c r="H35" s="94"/>
      <c r="I35" s="94"/>
      <c r="J35" s="82"/>
      <c r="L35" s="66" t="s">
        <v>2735</v>
      </c>
    </row>
    <row r="36" spans="1:12" s="62" customFormat="1" ht="16" hidden="1" customHeight="1" outlineLevel="2">
      <c r="A36" s="75">
        <v>1.5</v>
      </c>
      <c r="B36" s="75" t="s">
        <v>504</v>
      </c>
      <c r="C36" s="91" t="s">
        <v>799</v>
      </c>
      <c r="D36" s="92">
        <f>'05 成本测算明细'!O951</f>
        <v>0</v>
      </c>
      <c r="E36" s="93">
        <v>160.16999999999999</v>
      </c>
      <c r="F36" s="92">
        <f t="shared" si="1"/>
        <v>-160.16999999999999</v>
      </c>
      <c r="G36" s="94"/>
      <c r="H36" s="94"/>
      <c r="I36" s="94"/>
      <c r="J36" s="82"/>
      <c r="L36" s="66" t="s">
        <v>2740</v>
      </c>
    </row>
    <row r="37" spans="1:12" s="62" customFormat="1" ht="16" hidden="1" customHeight="1" outlineLevel="2">
      <c r="A37" s="75">
        <v>1.6</v>
      </c>
      <c r="B37" s="75" t="s">
        <v>504</v>
      </c>
      <c r="C37" s="91" t="s">
        <v>6792</v>
      </c>
      <c r="D37" s="92">
        <f>'05 成本测算明细'!O989</f>
        <v>0</v>
      </c>
      <c r="E37" s="93">
        <v>38.14</v>
      </c>
      <c r="F37" s="92">
        <f t="shared" si="1"/>
        <v>-38.14</v>
      </c>
      <c r="G37" s="94"/>
      <c r="H37" s="94"/>
      <c r="I37" s="94"/>
      <c r="J37" s="82"/>
      <c r="L37" s="66" t="s">
        <v>2778</v>
      </c>
    </row>
    <row r="38" spans="1:12" s="62" customFormat="1" ht="16" hidden="1" customHeight="1" outlineLevel="2">
      <c r="A38" s="75">
        <v>1.7</v>
      </c>
      <c r="B38" s="75" t="s">
        <v>504</v>
      </c>
      <c r="C38" s="75" t="s">
        <v>6793</v>
      </c>
      <c r="D38" s="92">
        <f>'05 成本测算明细'!O1000</f>
        <v>0</v>
      </c>
      <c r="E38" s="93">
        <v>56.65</v>
      </c>
      <c r="F38" s="92">
        <f t="shared" si="1"/>
        <v>-56.65</v>
      </c>
      <c r="G38" s="94"/>
      <c r="H38" s="94"/>
      <c r="I38" s="94"/>
      <c r="J38" s="82"/>
      <c r="L38" s="66" t="s">
        <v>2789</v>
      </c>
    </row>
    <row r="39" spans="1:12" s="62" customFormat="1" ht="18.75" customHeight="1" outlineLevel="2">
      <c r="A39" s="96">
        <v>1.8</v>
      </c>
      <c r="B39" s="96" t="s">
        <v>504</v>
      </c>
      <c r="C39" s="96" t="s">
        <v>649</v>
      </c>
      <c r="D39" s="89">
        <f>SUM(D32:D38)</f>
        <v>0</v>
      </c>
      <c r="E39" s="89">
        <f>SUM(E32:E38)</f>
        <v>1109.25</v>
      </c>
      <c r="F39" s="89">
        <f t="shared" si="1"/>
        <v>-1109.25</v>
      </c>
      <c r="G39" s="90">
        <f>SUM(G32:G38)</f>
        <v>0</v>
      </c>
      <c r="H39" s="90">
        <f>SUM(H32:H38)</f>
        <v>0</v>
      </c>
      <c r="I39" s="90">
        <f>SUM(I32:I38)</f>
        <v>0</v>
      </c>
      <c r="J39" s="104"/>
      <c r="L39" s="66" t="s">
        <v>6794</v>
      </c>
    </row>
    <row r="40" spans="1:12" s="62" customFormat="1" ht="18.75" customHeight="1" outlineLevel="2">
      <c r="A40" s="75">
        <v>2.1</v>
      </c>
      <c r="B40" s="75" t="s">
        <v>500</v>
      </c>
      <c r="C40" s="75" t="s">
        <v>6788</v>
      </c>
      <c r="D40" s="92">
        <f>'05 成本测算明细'!O719</f>
        <v>90.06</v>
      </c>
      <c r="E40" s="93">
        <v>48.57</v>
      </c>
      <c r="F40" s="92">
        <f t="shared" si="1"/>
        <v>41.49</v>
      </c>
      <c r="G40" s="94"/>
      <c r="H40" s="94"/>
      <c r="I40" s="94"/>
      <c r="J40" s="82"/>
      <c r="L40" s="66" t="s">
        <v>2503</v>
      </c>
    </row>
    <row r="41" spans="1:12" s="62" customFormat="1" ht="18.75" customHeight="1" outlineLevel="2">
      <c r="A41" s="75">
        <v>2.2000000000000002</v>
      </c>
      <c r="B41" s="75" t="s">
        <v>500</v>
      </c>
      <c r="C41" s="75" t="s">
        <v>6789</v>
      </c>
      <c r="D41" s="92">
        <f>'05 成本测算明细'!O725</f>
        <v>284.44</v>
      </c>
      <c r="E41" s="93">
        <v>203.35</v>
      </c>
      <c r="F41" s="92">
        <f t="shared" si="1"/>
        <v>81.09</v>
      </c>
      <c r="G41" s="94"/>
      <c r="H41" s="94"/>
      <c r="I41" s="94"/>
      <c r="J41" s="82"/>
      <c r="L41" s="66" t="s">
        <v>2509</v>
      </c>
    </row>
    <row r="42" spans="1:12" s="62" customFormat="1" ht="18.75" customHeight="1" outlineLevel="2">
      <c r="A42" s="75">
        <v>2.2999999999999998</v>
      </c>
      <c r="B42" s="75" t="s">
        <v>500</v>
      </c>
      <c r="C42" s="75" t="s">
        <v>6790</v>
      </c>
      <c r="D42" s="92">
        <f>'05 成本测算明细'!O736</f>
        <v>814.35</v>
      </c>
      <c r="E42" s="93">
        <v>512.80999999999995</v>
      </c>
      <c r="F42" s="92">
        <f t="shared" si="1"/>
        <v>301.54000000000008</v>
      </c>
      <c r="G42" s="94"/>
      <c r="H42" s="94"/>
      <c r="I42" s="94"/>
      <c r="J42" s="82"/>
      <c r="L42" s="66" t="s">
        <v>2520</v>
      </c>
    </row>
    <row r="43" spans="1:12" s="62" customFormat="1" ht="18.75" customHeight="1" outlineLevel="2">
      <c r="A43" s="75">
        <v>2.4</v>
      </c>
      <c r="B43" s="75" t="s">
        <v>500</v>
      </c>
      <c r="C43" s="75" t="s">
        <v>6791</v>
      </c>
      <c r="D43" s="92">
        <f>'05 成本测算明细'!O753</f>
        <v>47.82</v>
      </c>
      <c r="E43" s="93">
        <v>64.48</v>
      </c>
      <c r="F43" s="92">
        <f t="shared" si="1"/>
        <v>-16.660000000000004</v>
      </c>
      <c r="G43" s="94"/>
      <c r="H43" s="94"/>
      <c r="I43" s="94"/>
      <c r="J43" s="82"/>
      <c r="L43" s="66" t="s">
        <v>2537</v>
      </c>
    </row>
    <row r="44" spans="1:12" s="62" customFormat="1" ht="18.75" customHeight="1" outlineLevel="2">
      <c r="A44" s="75">
        <v>2.5</v>
      </c>
      <c r="B44" s="75" t="s">
        <v>500</v>
      </c>
      <c r="C44" s="91" t="s">
        <v>799</v>
      </c>
      <c r="D44" s="92">
        <f>'05 成本测算明细'!O758</f>
        <v>541.07000000000005</v>
      </c>
      <c r="E44" s="93">
        <v>171.33</v>
      </c>
      <c r="F44" s="92">
        <f t="shared" si="1"/>
        <v>369.74</v>
      </c>
      <c r="G44" s="94"/>
      <c r="H44" s="94"/>
      <c r="I44" s="94"/>
      <c r="J44" s="82"/>
      <c r="L44" s="66" t="s">
        <v>2546</v>
      </c>
    </row>
    <row r="45" spans="1:12" s="62" customFormat="1" ht="18.75" customHeight="1" outlineLevel="2">
      <c r="A45" s="75">
        <v>2.6</v>
      </c>
      <c r="B45" s="75" t="s">
        <v>500</v>
      </c>
      <c r="C45" s="91" t="s">
        <v>6792</v>
      </c>
      <c r="D45" s="92">
        <f>'05 成本测算明细'!O796</f>
        <v>31.23</v>
      </c>
      <c r="E45" s="93">
        <v>34.78</v>
      </c>
      <c r="F45" s="92">
        <f t="shared" si="1"/>
        <v>-3.5500000000000007</v>
      </c>
      <c r="G45" s="94"/>
      <c r="H45" s="94"/>
      <c r="I45" s="94"/>
      <c r="J45" s="82"/>
      <c r="L45" s="66" t="s">
        <v>2584</v>
      </c>
    </row>
    <row r="46" spans="1:12" s="62" customFormat="1" ht="18.75" customHeight="1" outlineLevel="2">
      <c r="A46" s="75">
        <v>2.7</v>
      </c>
      <c r="B46" s="75" t="s">
        <v>500</v>
      </c>
      <c r="C46" s="75" t="s">
        <v>6793</v>
      </c>
      <c r="D46" s="92">
        <f>'05 成本测算明细'!O807</f>
        <v>68.099999999999994</v>
      </c>
      <c r="E46" s="93">
        <v>80.38</v>
      </c>
      <c r="F46" s="92">
        <f t="shared" si="1"/>
        <v>-12.280000000000001</v>
      </c>
      <c r="G46" s="94"/>
      <c r="H46" s="94"/>
      <c r="I46" s="94"/>
      <c r="J46" s="82"/>
      <c r="L46" s="66" t="s">
        <v>2595</v>
      </c>
    </row>
    <row r="47" spans="1:12" s="62" customFormat="1" ht="18.75" customHeight="1" outlineLevel="2">
      <c r="A47" s="96">
        <v>2.8</v>
      </c>
      <c r="B47" s="96" t="s">
        <v>500</v>
      </c>
      <c r="C47" s="96" t="s">
        <v>649</v>
      </c>
      <c r="D47" s="89">
        <f>SUM(D40:D46)</f>
        <v>1877.0699999999997</v>
      </c>
      <c r="E47" s="89">
        <f>SUM(E40:E46)</f>
        <v>1115.6999999999998</v>
      </c>
      <c r="F47" s="89">
        <f t="shared" si="1"/>
        <v>761.36999999999989</v>
      </c>
      <c r="G47" s="90">
        <f>SUM(G40:G46)</f>
        <v>0</v>
      </c>
      <c r="H47" s="90">
        <f>SUM(H40:H46)</f>
        <v>0</v>
      </c>
      <c r="I47" s="90">
        <f>SUM(I40:I46)</f>
        <v>0</v>
      </c>
      <c r="J47" s="104"/>
      <c r="L47" s="66" t="s">
        <v>6795</v>
      </c>
    </row>
    <row r="48" spans="1:12" s="62" customFormat="1" ht="16" hidden="1" customHeight="1" outlineLevel="2">
      <c r="A48" s="75">
        <v>3.1</v>
      </c>
      <c r="B48" s="75" t="s">
        <v>6796</v>
      </c>
      <c r="C48" s="75" t="s">
        <v>6788</v>
      </c>
      <c r="D48" s="92">
        <f>'05 成本测算明细'!O526</f>
        <v>0</v>
      </c>
      <c r="E48" s="93">
        <v>43.83</v>
      </c>
      <c r="F48" s="92">
        <f t="shared" si="1"/>
        <v>-43.83</v>
      </c>
      <c r="G48" s="94"/>
      <c r="H48" s="94"/>
      <c r="I48" s="94"/>
      <c r="J48" s="82"/>
      <c r="L48" s="66" t="s">
        <v>2304</v>
      </c>
    </row>
    <row r="49" spans="1:12" s="62" customFormat="1" ht="16" hidden="1" customHeight="1" outlineLevel="2">
      <c r="A49" s="75">
        <v>3.2</v>
      </c>
      <c r="B49" s="75" t="s">
        <v>6796</v>
      </c>
      <c r="C49" s="75" t="s">
        <v>6789</v>
      </c>
      <c r="D49" s="92">
        <f>'05 成本测算明细'!O532</f>
        <v>0</v>
      </c>
      <c r="E49" s="93">
        <v>240.32</v>
      </c>
      <c r="F49" s="92">
        <f t="shared" si="1"/>
        <v>-240.32</v>
      </c>
      <c r="G49" s="94"/>
      <c r="H49" s="94"/>
      <c r="I49" s="94"/>
      <c r="J49" s="82"/>
      <c r="L49" s="66" t="s">
        <v>2310</v>
      </c>
    </row>
    <row r="50" spans="1:12" s="62" customFormat="1" ht="16" hidden="1" customHeight="1" outlineLevel="2">
      <c r="A50" s="75">
        <v>3.3</v>
      </c>
      <c r="B50" s="75" t="s">
        <v>6796</v>
      </c>
      <c r="C50" s="75" t="s">
        <v>6790</v>
      </c>
      <c r="D50" s="92">
        <f>'05 成本测算明细'!O543</f>
        <v>0</v>
      </c>
      <c r="E50" s="93">
        <v>491.15</v>
      </c>
      <c r="F50" s="92">
        <f t="shared" si="1"/>
        <v>-491.15</v>
      </c>
      <c r="G50" s="94"/>
      <c r="H50" s="94"/>
      <c r="I50" s="94"/>
      <c r="J50" s="82"/>
      <c r="L50" s="66" t="s">
        <v>2321</v>
      </c>
    </row>
    <row r="51" spans="1:12" s="62" customFormat="1" ht="16" hidden="1" customHeight="1" outlineLevel="2">
      <c r="A51" s="75">
        <v>3.4</v>
      </c>
      <c r="B51" s="75" t="s">
        <v>6796</v>
      </c>
      <c r="C51" s="75" t="s">
        <v>6791</v>
      </c>
      <c r="D51" s="92">
        <f>'05 成本测算明细'!O560</f>
        <v>0</v>
      </c>
      <c r="E51" s="93">
        <v>62.42</v>
      </c>
      <c r="F51" s="92">
        <f t="shared" si="1"/>
        <v>-62.42</v>
      </c>
      <c r="G51" s="94"/>
      <c r="H51" s="94"/>
      <c r="I51" s="94"/>
      <c r="J51" s="82"/>
      <c r="L51" s="66" t="s">
        <v>2338</v>
      </c>
    </row>
    <row r="52" spans="1:12" s="62" customFormat="1" ht="16" hidden="1" customHeight="1" outlineLevel="2">
      <c r="A52" s="75">
        <v>3.5</v>
      </c>
      <c r="B52" s="75" t="s">
        <v>6796</v>
      </c>
      <c r="C52" s="91" t="s">
        <v>799</v>
      </c>
      <c r="D52" s="92">
        <f>'05 成本测算明细'!O565</f>
        <v>0</v>
      </c>
      <c r="E52" s="93">
        <v>176.23</v>
      </c>
      <c r="F52" s="92">
        <f t="shared" si="1"/>
        <v>-176.23</v>
      </c>
      <c r="G52" s="94"/>
      <c r="H52" s="94"/>
      <c r="I52" s="94"/>
      <c r="J52" s="82"/>
      <c r="L52" s="66" t="s">
        <v>2344</v>
      </c>
    </row>
    <row r="53" spans="1:12" s="62" customFormat="1" ht="16" hidden="1" customHeight="1" outlineLevel="2">
      <c r="A53" s="75">
        <v>3.6</v>
      </c>
      <c r="B53" s="75" t="s">
        <v>6796</v>
      </c>
      <c r="C53" s="91" t="s">
        <v>6792</v>
      </c>
      <c r="D53" s="92">
        <f>'05 成本测算明细'!O603</f>
        <v>0</v>
      </c>
      <c r="E53" s="93">
        <v>43.46</v>
      </c>
      <c r="F53" s="92">
        <f t="shared" si="1"/>
        <v>-43.46</v>
      </c>
      <c r="G53" s="94"/>
      <c r="H53" s="94"/>
      <c r="I53" s="94"/>
      <c r="J53" s="82"/>
      <c r="L53" s="66" t="s">
        <v>2382</v>
      </c>
    </row>
    <row r="54" spans="1:12" s="62" customFormat="1" ht="16" hidden="1" customHeight="1" outlineLevel="2">
      <c r="A54" s="75">
        <v>3.7</v>
      </c>
      <c r="B54" s="75" t="s">
        <v>6796</v>
      </c>
      <c r="C54" s="75" t="s">
        <v>6793</v>
      </c>
      <c r="D54" s="92">
        <f>'05 成本测算明细'!O614</f>
        <v>0</v>
      </c>
      <c r="E54" s="93">
        <v>72.89</v>
      </c>
      <c r="F54" s="92">
        <f t="shared" si="1"/>
        <v>-72.89</v>
      </c>
      <c r="G54" s="94"/>
      <c r="H54" s="94"/>
      <c r="I54" s="94"/>
      <c r="J54" s="82"/>
      <c r="L54" s="66" t="s">
        <v>2393</v>
      </c>
    </row>
    <row r="55" spans="1:12" s="62" customFormat="1" ht="18.75" customHeight="1" outlineLevel="2">
      <c r="A55" s="96">
        <v>3.8</v>
      </c>
      <c r="B55" s="96" t="s">
        <v>6796</v>
      </c>
      <c r="C55" s="96" t="s">
        <v>649</v>
      </c>
      <c r="D55" s="89">
        <f>SUM(D48:D54)</f>
        <v>0</v>
      </c>
      <c r="E55" s="89">
        <f>SUM(E48:E54)</f>
        <v>1130.3</v>
      </c>
      <c r="F55" s="89">
        <f t="shared" si="1"/>
        <v>-1130.3</v>
      </c>
      <c r="G55" s="90">
        <f>SUM(G48:G54)</f>
        <v>0</v>
      </c>
      <c r="H55" s="90">
        <f>SUM(H48:H54)</f>
        <v>0</v>
      </c>
      <c r="I55" s="90">
        <f>SUM(I48:I54)</f>
        <v>0</v>
      </c>
      <c r="J55" s="104"/>
      <c r="L55" s="66" t="s">
        <v>6797</v>
      </c>
    </row>
    <row r="56" spans="1:12" s="62" customFormat="1" ht="18.75" customHeight="1" outlineLevel="2">
      <c r="A56" s="75">
        <v>4</v>
      </c>
      <c r="B56" s="79" t="s">
        <v>6798</v>
      </c>
      <c r="C56" s="75" t="s">
        <v>230</v>
      </c>
      <c r="D56" s="92">
        <f>'05 成本测算明细'!O4190</f>
        <v>1045</v>
      </c>
      <c r="E56" s="93"/>
      <c r="F56" s="92">
        <f t="shared" si="1"/>
        <v>1045</v>
      </c>
      <c r="G56" s="94"/>
      <c r="H56" s="94"/>
      <c r="I56" s="94"/>
      <c r="J56" s="82"/>
      <c r="L56" s="66" t="s">
        <v>6461</v>
      </c>
    </row>
    <row r="57" spans="1:12" s="63" customFormat="1" ht="18.75" customHeight="1">
      <c r="A57" s="98" t="s">
        <v>6799</v>
      </c>
      <c r="B57" s="1493" t="s">
        <v>6800</v>
      </c>
      <c r="C57" s="1493"/>
      <c r="D57" s="1493"/>
      <c r="E57" s="1493"/>
      <c r="F57" s="1493"/>
      <c r="G57" s="1493"/>
      <c r="H57" s="99"/>
      <c r="I57" s="99"/>
      <c r="J57" s="99"/>
      <c r="L57" s="66" t="s">
        <v>6801</v>
      </c>
    </row>
    <row r="58" spans="1:12" s="62" customFormat="1" ht="19.5" customHeight="1" outlineLevel="1">
      <c r="A58" s="100" t="s">
        <v>6802</v>
      </c>
      <c r="B58" s="1499" t="s">
        <v>6803</v>
      </c>
      <c r="C58" s="1500"/>
      <c r="D58" s="1501"/>
      <c r="E58" s="101" t="s">
        <v>6804</v>
      </c>
      <c r="F58" s="102">
        <f>SUM(F60:F69)</f>
        <v>134.7256763226199</v>
      </c>
      <c r="G58" s="1502" t="s">
        <v>6805</v>
      </c>
      <c r="H58" s="1502"/>
      <c r="I58" s="1502"/>
      <c r="J58" s="1502"/>
      <c r="L58" s="66" t="s">
        <v>6806</v>
      </c>
    </row>
    <row r="59" spans="1:12" s="62" customFormat="1" ht="31.5" customHeight="1" outlineLevel="2">
      <c r="A59" s="82" t="s">
        <v>11</v>
      </c>
      <c r="B59" s="82" t="s">
        <v>6807</v>
      </c>
      <c r="C59" s="75" t="s">
        <v>6808</v>
      </c>
      <c r="D59" s="71" t="s">
        <v>6781</v>
      </c>
      <c r="E59" s="704" t="s">
        <v>6781</v>
      </c>
      <c r="F59" s="71" t="s">
        <v>6809</v>
      </c>
      <c r="G59" s="1503"/>
      <c r="H59" s="1504"/>
      <c r="I59" s="1504"/>
      <c r="J59" s="1505"/>
      <c r="L59" s="66" t="s">
        <v>6810</v>
      </c>
    </row>
    <row r="60" spans="1:12" s="62" customFormat="1" ht="19.5" customHeight="1" outlineLevel="2">
      <c r="A60" s="82">
        <v>1.1000000000000001</v>
      </c>
      <c r="B60" s="82" t="s">
        <v>6784</v>
      </c>
      <c r="C60" s="75" t="s">
        <v>662</v>
      </c>
      <c r="D60" s="92">
        <f>'03 成本测算（输入）'!$D$14</f>
        <v>117.94887244174295</v>
      </c>
      <c r="E60" s="705">
        <v>115.544</v>
      </c>
      <c r="F60" s="92">
        <f>(D60-E60)*(E62+'05 成本测算明细'!K98)</f>
        <v>13.385255474772681</v>
      </c>
      <c r="G60" s="1506"/>
      <c r="H60" s="1506"/>
      <c r="I60" s="1506"/>
      <c r="J60" s="1506"/>
      <c r="L60" s="66" t="s">
        <v>6811</v>
      </c>
    </row>
    <row r="61" spans="1:12" s="62" customFormat="1" ht="19.5" customHeight="1" outlineLevel="2">
      <c r="A61" s="82">
        <v>1.2</v>
      </c>
      <c r="B61" s="82" t="s">
        <v>6784</v>
      </c>
      <c r="C61" s="75" t="s">
        <v>6812</v>
      </c>
      <c r="D61" s="92">
        <f>'03 成本测算（输入）'!D15</f>
        <v>1.2242690421581022</v>
      </c>
      <c r="E61" s="705">
        <v>1.03</v>
      </c>
      <c r="F61" s="92">
        <f>(D61-E61)*(E63+'05 成本测算明细'!K102)</f>
        <v>104.24088264119446</v>
      </c>
      <c r="G61" s="1506"/>
      <c r="H61" s="1506"/>
      <c r="I61" s="1506"/>
      <c r="J61" s="1506"/>
      <c r="L61" s="66" t="s">
        <v>6813</v>
      </c>
    </row>
    <row r="62" spans="1:12" s="62" customFormat="1" ht="19.5" customHeight="1" outlineLevel="2">
      <c r="A62" s="82">
        <v>2.1</v>
      </c>
      <c r="B62" s="82" t="s">
        <v>6814</v>
      </c>
      <c r="C62" s="75" t="s">
        <v>662</v>
      </c>
      <c r="D62" s="92">
        <f>'03 成本测算（输入）'!$D$11</f>
        <v>3.36</v>
      </c>
      <c r="E62" s="705">
        <v>3.85589</v>
      </c>
      <c r="F62" s="92">
        <f>(D62-E62)*'03 成本测算（输入）'!D14</f>
        <v>-58.489666355135931</v>
      </c>
      <c r="G62" s="1507"/>
      <c r="H62" s="1508"/>
      <c r="I62" s="1508"/>
      <c r="J62" s="1509"/>
      <c r="L62" s="66" t="s">
        <v>6815</v>
      </c>
    </row>
    <row r="63" spans="1:12" s="62" customFormat="1" ht="19.5" customHeight="1" outlineLevel="2">
      <c r="A63" s="82">
        <v>2.2000000000000002</v>
      </c>
      <c r="B63" s="82" t="s">
        <v>6814</v>
      </c>
      <c r="C63" s="75" t="s">
        <v>6812</v>
      </c>
      <c r="D63" s="92">
        <f>'03 成本测算（输入）'!$D$12</f>
        <v>367.07400000000001</v>
      </c>
      <c r="E63" s="705">
        <v>447.19</v>
      </c>
      <c r="F63" s="92">
        <f>(D63-E63)*'03 成本测算（输入）'!D15</f>
        <v>-98.083538581538491</v>
      </c>
      <c r="G63" s="1507"/>
      <c r="H63" s="1508"/>
      <c r="I63" s="1508"/>
      <c r="J63" s="1509"/>
      <c r="L63" s="66" t="s">
        <v>6816</v>
      </c>
    </row>
    <row r="64" spans="1:12" s="62" customFormat="1" ht="19.5" customHeight="1" outlineLevel="2">
      <c r="A64" s="82">
        <v>3.1</v>
      </c>
      <c r="B64" s="82" t="s">
        <v>6817</v>
      </c>
      <c r="C64" s="75" t="s">
        <v>6818</v>
      </c>
      <c r="D64" s="92">
        <f>'03 成本测算（输入）'!D16</f>
        <v>0</v>
      </c>
      <c r="E64" s="705">
        <v>0</v>
      </c>
      <c r="F64" s="92">
        <f>(D64-E64)</f>
        <v>0</v>
      </c>
      <c r="G64" s="1507"/>
      <c r="H64" s="1508"/>
      <c r="I64" s="1508"/>
      <c r="J64" s="1509"/>
      <c r="L64" s="66" t="s">
        <v>6819</v>
      </c>
    </row>
    <row r="65" spans="1:13" s="62" customFormat="1" ht="19.5" customHeight="1" outlineLevel="2">
      <c r="A65" s="82">
        <v>3.2</v>
      </c>
      <c r="B65" s="82" t="s">
        <v>6817</v>
      </c>
      <c r="C65" s="75" t="s">
        <v>704</v>
      </c>
      <c r="D65" s="92">
        <f>'05 成本测算明细'!$O$116</f>
        <v>18.63</v>
      </c>
      <c r="E65" s="705">
        <v>57.09</v>
      </c>
      <c r="F65" s="92">
        <f>D65-E65</f>
        <v>-38.460000000000008</v>
      </c>
      <c r="G65" s="1506"/>
      <c r="H65" s="1506"/>
      <c r="I65" s="1506"/>
      <c r="J65" s="1506"/>
      <c r="L65" s="66" t="s">
        <v>6820</v>
      </c>
    </row>
    <row r="66" spans="1:13" s="62" customFormat="1" ht="19.5" customHeight="1" outlineLevel="2">
      <c r="A66" s="82">
        <v>3.3</v>
      </c>
      <c r="B66" s="82" t="s">
        <v>6817</v>
      </c>
      <c r="C66" s="75" t="s">
        <v>6821</v>
      </c>
      <c r="D66" s="92">
        <f>'05 成本测算明细'!O151</f>
        <v>7.15</v>
      </c>
      <c r="E66" s="705">
        <v>0</v>
      </c>
      <c r="F66" s="92">
        <f>D66-E66</f>
        <v>7.15</v>
      </c>
      <c r="G66" s="1506"/>
      <c r="H66" s="1506"/>
      <c r="I66" s="1506"/>
      <c r="J66" s="1506"/>
      <c r="L66" s="66" t="s">
        <v>6822</v>
      </c>
    </row>
    <row r="67" spans="1:13" s="62" customFormat="1" ht="19.5" customHeight="1" outlineLevel="2">
      <c r="A67" s="82">
        <v>3.4</v>
      </c>
      <c r="B67" s="82" t="s">
        <v>6817</v>
      </c>
      <c r="C67" s="75" t="s">
        <v>6823</v>
      </c>
      <c r="D67" s="92">
        <f>'05 成本测算明细'!O241</f>
        <v>4.5599999999999996</v>
      </c>
      <c r="E67" s="705">
        <v>1.1100000000000001</v>
      </c>
      <c r="F67" s="92">
        <f>D67-E67</f>
        <v>3.4499999999999993</v>
      </c>
      <c r="G67" s="1506"/>
      <c r="H67" s="1506"/>
      <c r="I67" s="1506"/>
      <c r="J67" s="1506"/>
      <c r="L67" s="66" t="s">
        <v>6824</v>
      </c>
    </row>
    <row r="68" spans="1:13" s="62" customFormat="1" ht="19.5" customHeight="1" outlineLevel="2">
      <c r="A68" s="82">
        <v>3.5</v>
      </c>
      <c r="B68" s="82" t="s">
        <v>6817</v>
      </c>
      <c r="C68" s="75" t="s">
        <v>6825</v>
      </c>
      <c r="D68" s="92">
        <f>'05 成本测算明细'!O244</f>
        <v>0</v>
      </c>
      <c r="E68" s="705">
        <v>0</v>
      </c>
      <c r="F68" s="92">
        <f>D68-E68</f>
        <v>0</v>
      </c>
      <c r="G68" s="1506"/>
      <c r="H68" s="1506"/>
      <c r="I68" s="1506"/>
      <c r="J68" s="1506"/>
      <c r="L68" s="66" t="s">
        <v>6826</v>
      </c>
    </row>
    <row r="69" spans="1:13" s="62" customFormat="1" ht="0" hidden="1" customHeight="1" outlineLevel="2">
      <c r="A69" s="82">
        <v>3.6</v>
      </c>
      <c r="B69" s="82" t="s">
        <v>6817</v>
      </c>
      <c r="C69" s="75" t="s">
        <v>6827</v>
      </c>
      <c r="D69" s="92">
        <f>'03 成本测算（输入）'!$D$21</f>
        <v>216.5327431433272</v>
      </c>
      <c r="E69" s="92">
        <f>'03 成本测算（输入）'!H21</f>
        <v>15</v>
      </c>
      <c r="F69" s="92">
        <f>D69-E69</f>
        <v>201.5327431433272</v>
      </c>
      <c r="G69" s="1506"/>
      <c r="H69" s="1506"/>
      <c r="I69" s="1506"/>
      <c r="J69" s="1506"/>
      <c r="L69" s="66" t="s">
        <v>6828</v>
      </c>
    </row>
    <row r="70" spans="1:13" s="62" customFormat="1" ht="0" hidden="1" customHeight="1" outlineLevel="1">
      <c r="A70" s="100" t="s">
        <v>6829</v>
      </c>
      <c r="B70" s="1499" t="s">
        <v>6830</v>
      </c>
      <c r="C70" s="1500"/>
      <c r="D70" s="1501"/>
      <c r="E70" s="101" t="s">
        <v>6804</v>
      </c>
      <c r="F70" s="102">
        <f>SUM(F72:F78)</f>
        <v>-211.3095944348141</v>
      </c>
      <c r="G70" s="1502" t="s">
        <v>6805</v>
      </c>
      <c r="H70" s="1502"/>
      <c r="I70" s="1502"/>
      <c r="J70" s="1502"/>
      <c r="L70" s="66" t="s">
        <v>6831</v>
      </c>
    </row>
    <row r="71" spans="1:13" s="62" customFormat="1" ht="0" hidden="1" customHeight="1" outlineLevel="2">
      <c r="A71" s="82" t="s">
        <v>11</v>
      </c>
      <c r="B71" s="82" t="s">
        <v>6807</v>
      </c>
      <c r="C71" s="75" t="s">
        <v>6808</v>
      </c>
      <c r="D71" s="71" t="s">
        <v>6781</v>
      </c>
      <c r="E71" s="704" t="s">
        <v>6781</v>
      </c>
      <c r="F71" s="71" t="s">
        <v>6809</v>
      </c>
      <c r="G71" s="1503"/>
      <c r="H71" s="1504"/>
      <c r="I71" s="1504"/>
      <c r="J71" s="1505"/>
      <c r="L71" s="66" t="s">
        <v>6832</v>
      </c>
    </row>
    <row r="72" spans="1:13" s="62" customFormat="1" ht="0" hidden="1" customHeight="1" outlineLevel="2">
      <c r="A72" s="82">
        <v>1.1000000000000001</v>
      </c>
      <c r="B72" s="82" t="s">
        <v>6814</v>
      </c>
      <c r="C72" s="75" t="s">
        <v>662</v>
      </c>
      <c r="D72" s="92">
        <f>'03 成本测算（输入）'!$D$11</f>
        <v>3.36</v>
      </c>
      <c r="E72" s="705">
        <v>3.85589</v>
      </c>
      <c r="F72" s="92">
        <f>(D72-E72)*'05 成本测算明细'!$G$837</f>
        <v>0</v>
      </c>
      <c r="G72" s="1507"/>
      <c r="H72" s="1508"/>
      <c r="I72" s="1508"/>
      <c r="J72" s="1509"/>
      <c r="L72" s="66" t="s">
        <v>6833</v>
      </c>
    </row>
    <row r="73" spans="1:13" s="62" customFormat="1" ht="0" hidden="1" customHeight="1" outlineLevel="2">
      <c r="A73" s="82">
        <v>1.2</v>
      </c>
      <c r="B73" s="82" t="s">
        <v>6814</v>
      </c>
      <c r="C73" s="75" t="s">
        <v>6812</v>
      </c>
      <c r="D73" s="92">
        <f>'03 成本测算（输入）'!$D$12</f>
        <v>367.07400000000001</v>
      </c>
      <c r="E73" s="705">
        <v>447.19</v>
      </c>
      <c r="F73" s="92">
        <f>(D73-E73)*'05 成本测算明细'!$G$841</f>
        <v>0</v>
      </c>
      <c r="G73" s="1507"/>
      <c r="H73" s="1508"/>
      <c r="I73" s="1508"/>
      <c r="J73" s="1509"/>
      <c r="L73" s="66" t="s">
        <v>6834</v>
      </c>
    </row>
    <row r="74" spans="1:13" s="62" customFormat="1" ht="0" hidden="1" customHeight="1" outlineLevel="2">
      <c r="A74" s="82">
        <v>2.1</v>
      </c>
      <c r="B74" s="82" t="s">
        <v>6817</v>
      </c>
      <c r="C74" s="75" t="s">
        <v>723</v>
      </c>
      <c r="D74" s="92">
        <f>'03 成本测算（输入）'!D115</f>
        <v>0</v>
      </c>
      <c r="E74" s="705">
        <v>94.5</v>
      </c>
      <c r="F74" s="92">
        <f>(D74-E74)</f>
        <v>-94.5</v>
      </c>
      <c r="G74" s="1507"/>
      <c r="H74" s="1508"/>
      <c r="I74" s="1508"/>
      <c r="J74" s="1509"/>
      <c r="L74" s="66" t="s">
        <v>6835</v>
      </c>
      <c r="M74" s="128"/>
    </row>
    <row r="75" spans="1:13" s="62" customFormat="1" ht="0" hidden="1" customHeight="1" outlineLevel="2">
      <c r="A75" s="82">
        <v>2.2000000000000002</v>
      </c>
      <c r="B75" s="82" t="s">
        <v>6817</v>
      </c>
      <c r="C75" s="75" t="s">
        <v>6836</v>
      </c>
      <c r="D75" s="92">
        <f>'03 成本测算（输入）'!D118</f>
        <v>0</v>
      </c>
      <c r="E75" s="705">
        <v>0</v>
      </c>
      <c r="F75" s="92">
        <f>(D75-E75)</f>
        <v>0</v>
      </c>
      <c r="G75" s="1507"/>
      <c r="H75" s="1508"/>
      <c r="I75" s="1508"/>
      <c r="J75" s="1509"/>
      <c r="L75" s="66" t="s">
        <v>6837</v>
      </c>
    </row>
    <row r="76" spans="1:13" s="62" customFormat="1" ht="0" hidden="1" customHeight="1" outlineLevel="2">
      <c r="A76" s="82">
        <v>2.2999999999999998</v>
      </c>
      <c r="B76" s="82" t="s">
        <v>6817</v>
      </c>
      <c r="C76" s="75" t="s">
        <v>6838</v>
      </c>
      <c r="D76" s="92">
        <f>'05 成本测算明细'!$O$925</f>
        <v>0</v>
      </c>
      <c r="E76" s="705">
        <v>99.56</v>
      </c>
      <c r="F76" s="92">
        <f>D76-E76</f>
        <v>-99.56</v>
      </c>
      <c r="G76" s="1506"/>
      <c r="H76" s="1506"/>
      <c r="I76" s="1506"/>
      <c r="J76" s="1506"/>
      <c r="L76" s="66" t="s">
        <v>6839</v>
      </c>
    </row>
    <row r="77" spans="1:13" s="62" customFormat="1" ht="0" hidden="1" customHeight="1" outlineLevel="2">
      <c r="A77" s="82">
        <v>2.4</v>
      </c>
      <c r="B77" s="82" t="s">
        <v>6817</v>
      </c>
      <c r="C77" s="75" t="s">
        <v>735</v>
      </c>
      <c r="D77" s="92">
        <f>IFERROR('03 成本测算（输入）'!D119*'05 成本测算明细'!$D$1011/'05 成本测算明细'!$N$1011,0)</f>
        <v>0</v>
      </c>
      <c r="E77" s="705">
        <v>17.249594434814099</v>
      </c>
      <c r="F77" s="92">
        <f>D77-E77</f>
        <v>-17.249594434814099</v>
      </c>
      <c r="G77" s="1506"/>
      <c r="H77" s="1506"/>
      <c r="I77" s="1506"/>
      <c r="J77" s="1506"/>
      <c r="L77" s="66" t="s">
        <v>6840</v>
      </c>
    </row>
    <row r="78" spans="1:13" s="62" customFormat="1" ht="19.5" customHeight="1" outlineLevel="2">
      <c r="A78" s="82">
        <v>2.5</v>
      </c>
      <c r="B78" s="82" t="s">
        <v>6817</v>
      </c>
      <c r="C78" s="75" t="s">
        <v>6827</v>
      </c>
      <c r="D78" s="92">
        <f>'03 成本测算（输入）'!D120</f>
        <v>0</v>
      </c>
      <c r="E78" s="92">
        <f>'03 成本测算（输入）'!H120</f>
        <v>0</v>
      </c>
      <c r="F78" s="92">
        <f>D78-E78</f>
        <v>0</v>
      </c>
      <c r="G78" s="1506"/>
      <c r="H78" s="1506"/>
      <c r="I78" s="1506"/>
      <c r="J78" s="1506"/>
      <c r="L78" s="66" t="s">
        <v>6841</v>
      </c>
    </row>
    <row r="79" spans="1:13" s="62" customFormat="1" ht="19.5" customHeight="1" outlineLevel="1">
      <c r="A79" s="100" t="s">
        <v>6842</v>
      </c>
      <c r="B79" s="1499" t="s">
        <v>6843</v>
      </c>
      <c r="C79" s="1500"/>
      <c r="D79" s="1501"/>
      <c r="E79" s="101" t="s">
        <v>6804</v>
      </c>
      <c r="F79" s="102">
        <f>IFERROR(SUM(F81:F87),0)</f>
        <v>62.904464322456064</v>
      </c>
      <c r="G79" s="1502" t="s">
        <v>6805</v>
      </c>
      <c r="H79" s="1502"/>
      <c r="I79" s="1502"/>
      <c r="J79" s="1502"/>
      <c r="L79" s="66" t="s">
        <v>6844</v>
      </c>
    </row>
    <row r="80" spans="1:13" s="62" customFormat="1" ht="31.5" customHeight="1" outlineLevel="2">
      <c r="A80" s="82" t="s">
        <v>11</v>
      </c>
      <c r="B80" s="82" t="s">
        <v>6807</v>
      </c>
      <c r="C80" s="75" t="s">
        <v>6808</v>
      </c>
      <c r="D80" s="71" t="s">
        <v>6781</v>
      </c>
      <c r="E80" s="704" t="s">
        <v>6781</v>
      </c>
      <c r="F80" s="71" t="s">
        <v>6809</v>
      </c>
      <c r="G80" s="1503"/>
      <c r="H80" s="1504"/>
      <c r="I80" s="1504"/>
      <c r="J80" s="1505"/>
      <c r="L80" s="66" t="s">
        <v>6845</v>
      </c>
    </row>
    <row r="81" spans="1:12" s="62" customFormat="1" ht="19.5" customHeight="1" outlineLevel="2">
      <c r="A81" s="82">
        <v>1.1000000000000001</v>
      </c>
      <c r="B81" s="82" t="s">
        <v>6814</v>
      </c>
      <c r="C81" s="75" t="s">
        <v>662</v>
      </c>
      <c r="D81" s="92">
        <f>'03 成本测算（输入）'!$D$11</f>
        <v>3.36</v>
      </c>
      <c r="E81" s="705">
        <v>3.85589</v>
      </c>
      <c r="F81" s="92">
        <f>(D81-E81)*'05 成本测算明细'!$G$644</f>
        <v>-22.390928875113307</v>
      </c>
      <c r="G81" s="1507"/>
      <c r="H81" s="1508"/>
      <c r="I81" s="1508"/>
      <c r="J81" s="1509"/>
      <c r="L81" s="66" t="s">
        <v>6846</v>
      </c>
    </row>
    <row r="82" spans="1:12" s="62" customFormat="1" ht="19.5" customHeight="1" outlineLevel="2">
      <c r="A82" s="82">
        <v>1.2</v>
      </c>
      <c r="B82" s="82" t="s">
        <v>6814</v>
      </c>
      <c r="C82" s="75" t="s">
        <v>6812</v>
      </c>
      <c r="D82" s="92">
        <f>'03 成本测算（输入）'!$D$12</f>
        <v>367.07400000000001</v>
      </c>
      <c r="E82" s="705">
        <v>447.19</v>
      </c>
      <c r="F82" s="92">
        <f>(D82-E82)*'05 成本测算明细'!$G$648</f>
        <v>-32.809693190858859</v>
      </c>
      <c r="G82" s="1507"/>
      <c r="H82" s="1508"/>
      <c r="I82" s="1508"/>
      <c r="J82" s="1509"/>
      <c r="L82" s="66" t="s">
        <v>6847</v>
      </c>
    </row>
    <row r="83" spans="1:12" s="62" customFormat="1" ht="19.5" customHeight="1" outlineLevel="2">
      <c r="A83" s="82">
        <v>2.1</v>
      </c>
      <c r="B83" s="82" t="s">
        <v>6817</v>
      </c>
      <c r="C83" s="75" t="s">
        <v>723</v>
      </c>
      <c r="D83" s="92">
        <f>'03 成本测算（输入）'!$D$69</f>
        <v>152.91588843828026</v>
      </c>
      <c r="E83" s="705">
        <v>94.5</v>
      </c>
      <c r="F83" s="92">
        <f>(D83-E83)</f>
        <v>58.415888438280263</v>
      </c>
      <c r="G83" s="1507"/>
      <c r="H83" s="1508"/>
      <c r="I83" s="1508"/>
      <c r="J83" s="1509"/>
      <c r="L83" s="66" t="s">
        <v>6848</v>
      </c>
    </row>
    <row r="84" spans="1:12" s="62" customFormat="1" ht="19.5" customHeight="1" outlineLevel="2">
      <c r="A84" s="82">
        <v>2.2000000000000002</v>
      </c>
      <c r="B84" s="82" t="s">
        <v>6817</v>
      </c>
      <c r="C84" s="75" t="s">
        <v>6836</v>
      </c>
      <c r="D84" s="92">
        <f>'03 成本测算（输入）'!$D$72</f>
        <v>43.369452068376482</v>
      </c>
      <c r="E84" s="705">
        <v>0</v>
      </c>
      <c r="F84" s="92">
        <f>(D84-E84)</f>
        <v>43.369452068376482</v>
      </c>
      <c r="G84" s="1507"/>
      <c r="H84" s="1508"/>
      <c r="I84" s="1508"/>
      <c r="J84" s="1509"/>
      <c r="L84" s="66" t="s">
        <v>6849</v>
      </c>
    </row>
    <row r="85" spans="1:12" s="62" customFormat="1" ht="19.5" customHeight="1" outlineLevel="2">
      <c r="A85" s="82">
        <v>2.2999999999999998</v>
      </c>
      <c r="B85" s="82" t="s">
        <v>6817</v>
      </c>
      <c r="C85" s="75" t="s">
        <v>6838</v>
      </c>
      <c r="D85" s="92">
        <f>'05 成本测算明细'!$O$731</f>
        <v>85.08</v>
      </c>
      <c r="E85" s="705">
        <v>93.23</v>
      </c>
      <c r="F85" s="92">
        <f>D85-E85</f>
        <v>-8.1500000000000057</v>
      </c>
      <c r="G85" s="1506"/>
      <c r="H85" s="1506"/>
      <c r="I85" s="1506"/>
      <c r="J85" s="1506"/>
      <c r="L85" s="66" t="s">
        <v>6850</v>
      </c>
    </row>
    <row r="86" spans="1:12" s="62" customFormat="1" ht="19.5" customHeight="1" outlineLevel="2">
      <c r="A86" s="82">
        <v>2.4</v>
      </c>
      <c r="B86" s="82" t="s">
        <v>6817</v>
      </c>
      <c r="C86" s="75" t="s">
        <v>735</v>
      </c>
      <c r="D86" s="92">
        <f>IFERROR('03 成本测算（输入）'!$D$73*'05 成本测算明细'!$D$818/'05 成本测算明细'!$N$818,0)</f>
        <v>31.675118717514192</v>
      </c>
      <c r="E86" s="705">
        <v>19.2053728357427</v>
      </c>
      <c r="F86" s="92">
        <f>D86-E86</f>
        <v>12.469745881771491</v>
      </c>
      <c r="G86" s="1506"/>
      <c r="H86" s="1506"/>
      <c r="I86" s="1506"/>
      <c r="J86" s="1506"/>
      <c r="L86" s="66" t="s">
        <v>6851</v>
      </c>
    </row>
    <row r="87" spans="1:12" s="62" customFormat="1" ht="0" hidden="1" customHeight="1" outlineLevel="2">
      <c r="A87" s="82">
        <v>2.5</v>
      </c>
      <c r="B87" s="82" t="s">
        <v>6817</v>
      </c>
      <c r="C87" s="75" t="s">
        <v>6827</v>
      </c>
      <c r="D87" s="92">
        <f>'03 成本测算（输入）'!$D$74</f>
        <v>12</v>
      </c>
      <c r="E87" s="92">
        <f>'03 成本测算（输入）'!H74</f>
        <v>0</v>
      </c>
      <c r="F87" s="92">
        <f>D87-E87</f>
        <v>12</v>
      </c>
      <c r="G87" s="1506"/>
      <c r="H87" s="1506"/>
      <c r="I87" s="1506"/>
      <c r="J87" s="1506"/>
      <c r="L87" s="66" t="s">
        <v>6852</v>
      </c>
    </row>
    <row r="88" spans="1:12" s="62" customFormat="1" ht="0" hidden="1" customHeight="1" outlineLevel="1">
      <c r="A88" s="100" t="s">
        <v>6853</v>
      </c>
      <c r="B88" s="1499" t="s">
        <v>6854</v>
      </c>
      <c r="C88" s="1500"/>
      <c r="D88" s="1501"/>
      <c r="E88" s="101" t="s">
        <v>6804</v>
      </c>
      <c r="F88" s="102">
        <f>IFERROR(SUM(F90:F96),0)</f>
        <v>-244.2633529947251</v>
      </c>
      <c r="G88" s="1502" t="s">
        <v>6805</v>
      </c>
      <c r="H88" s="1502"/>
      <c r="I88" s="1502"/>
      <c r="J88" s="1502"/>
      <c r="L88" s="66" t="s">
        <v>6855</v>
      </c>
    </row>
    <row r="89" spans="1:12" s="62" customFormat="1" ht="0" hidden="1" customHeight="1" outlineLevel="2">
      <c r="A89" s="82" t="s">
        <v>11</v>
      </c>
      <c r="B89" s="82" t="s">
        <v>6807</v>
      </c>
      <c r="C89" s="75" t="s">
        <v>6808</v>
      </c>
      <c r="D89" s="71" t="s">
        <v>6781</v>
      </c>
      <c r="E89" s="704" t="s">
        <v>6781</v>
      </c>
      <c r="F89" s="71" t="s">
        <v>6809</v>
      </c>
      <c r="G89" s="1503"/>
      <c r="H89" s="1504"/>
      <c r="I89" s="1504"/>
      <c r="J89" s="1505"/>
      <c r="L89" s="66" t="s">
        <v>6856</v>
      </c>
    </row>
    <row r="90" spans="1:12" s="62" customFormat="1" ht="0" hidden="1" customHeight="1" outlineLevel="2">
      <c r="A90" s="82">
        <v>1.1000000000000001</v>
      </c>
      <c r="B90" s="82" t="s">
        <v>6814</v>
      </c>
      <c r="C90" s="75" t="s">
        <v>662</v>
      </c>
      <c r="D90" s="92">
        <f>'03 成本测算（输入）'!$D$11</f>
        <v>3.36</v>
      </c>
      <c r="E90" s="705">
        <v>3.85589</v>
      </c>
      <c r="F90" s="92">
        <f>(D90-E90)*'05 成本测算明细'!$G$451</f>
        <v>0</v>
      </c>
      <c r="L90" s="66" t="s">
        <v>6857</v>
      </c>
    </row>
    <row r="91" spans="1:12" s="62" customFormat="1" ht="0" hidden="1" customHeight="1" outlineLevel="2">
      <c r="A91" s="82">
        <v>1.2</v>
      </c>
      <c r="B91" s="82" t="s">
        <v>6814</v>
      </c>
      <c r="C91" s="75" t="s">
        <v>6812</v>
      </c>
      <c r="D91" s="92">
        <f>'03 成本测算（输入）'!$D$12</f>
        <v>367.07400000000001</v>
      </c>
      <c r="E91" s="705">
        <v>447.19</v>
      </c>
      <c r="F91" s="92">
        <f>(D91-E91)*'05 成本测算明细'!$G$455</f>
        <v>0</v>
      </c>
      <c r="G91" s="1507"/>
      <c r="H91" s="1508"/>
      <c r="I91" s="1508"/>
      <c r="J91" s="1509"/>
      <c r="L91" s="66" t="s">
        <v>6858</v>
      </c>
    </row>
    <row r="92" spans="1:12" s="62" customFormat="1" ht="0" hidden="1" customHeight="1" outlineLevel="2">
      <c r="A92" s="82">
        <v>2.1</v>
      </c>
      <c r="B92" s="82" t="s">
        <v>6817</v>
      </c>
      <c r="C92" s="75" t="s">
        <v>723</v>
      </c>
      <c r="D92" s="92">
        <f>'03 成本测算（输入）'!$D$23</f>
        <v>0</v>
      </c>
      <c r="E92" s="705">
        <v>94.5</v>
      </c>
      <c r="F92" s="92">
        <f>(D92-E92)</f>
        <v>-94.5</v>
      </c>
      <c r="G92" s="1507"/>
      <c r="H92" s="1508"/>
      <c r="I92" s="1508"/>
      <c r="J92" s="1509"/>
      <c r="L92" s="66" t="s">
        <v>6859</v>
      </c>
    </row>
    <row r="93" spans="1:12" s="62" customFormat="1" ht="0" hidden="1" customHeight="1" outlineLevel="2">
      <c r="A93" s="82">
        <v>2.2000000000000002</v>
      </c>
      <c r="B93" s="82" t="s">
        <v>6817</v>
      </c>
      <c r="C93" s="75" t="s">
        <v>6836</v>
      </c>
      <c r="D93" s="92">
        <f>'03 成本测算（输入）'!$D$26</f>
        <v>0</v>
      </c>
      <c r="E93" s="705">
        <v>0</v>
      </c>
      <c r="F93" s="92">
        <f>(D93-E93)</f>
        <v>0</v>
      </c>
      <c r="G93" s="1507"/>
      <c r="H93" s="1508"/>
      <c r="I93" s="1508"/>
      <c r="J93" s="1509"/>
      <c r="L93" s="66" t="s">
        <v>6860</v>
      </c>
    </row>
    <row r="94" spans="1:12" s="62" customFormat="1" ht="0" hidden="1" customHeight="1" outlineLevel="2">
      <c r="A94" s="82">
        <v>2.2999999999999998</v>
      </c>
      <c r="B94" s="82" t="s">
        <v>6817</v>
      </c>
      <c r="C94" s="75" t="s">
        <v>6838</v>
      </c>
      <c r="D94" s="92">
        <f>'05 成本测算明细'!$O$538</f>
        <v>0</v>
      </c>
      <c r="E94" s="705">
        <v>104.99</v>
      </c>
      <c r="F94" s="92">
        <f>D94-E94</f>
        <v>-104.99</v>
      </c>
      <c r="G94" s="1506"/>
      <c r="H94" s="1506"/>
      <c r="I94" s="1506"/>
      <c r="J94" s="1506"/>
      <c r="L94" s="66" t="s">
        <v>6861</v>
      </c>
    </row>
    <row r="95" spans="1:12" s="62" customFormat="1" ht="0" hidden="1" customHeight="1" outlineLevel="2">
      <c r="A95" s="82">
        <v>2.4</v>
      </c>
      <c r="B95" s="82" t="s">
        <v>6817</v>
      </c>
      <c r="C95" s="75" t="s">
        <v>735</v>
      </c>
      <c r="D95" s="92">
        <f>IFERROR('03 成本测算（输入）'!$D$27*'05 成本测算明细'!$D$625/'05 成本测算明细'!$N$625,0)</f>
        <v>0</v>
      </c>
      <c r="E95" s="705">
        <v>44.773352994725101</v>
      </c>
      <c r="F95" s="92">
        <f>D95-E95</f>
        <v>-44.773352994725101</v>
      </c>
      <c r="G95" s="1506"/>
      <c r="H95" s="1506"/>
      <c r="I95" s="1506"/>
      <c r="J95" s="1506"/>
      <c r="L95" s="66" t="s">
        <v>6862</v>
      </c>
    </row>
    <row r="96" spans="1:12" s="62" customFormat="1" ht="19.5" customHeight="1" outlineLevel="2">
      <c r="A96" s="82">
        <v>2.5</v>
      </c>
      <c r="B96" s="82" t="s">
        <v>6817</v>
      </c>
      <c r="C96" s="75" t="s">
        <v>6827</v>
      </c>
      <c r="D96" s="92">
        <f>'03 成本测算（输入）'!$D$28</f>
        <v>0</v>
      </c>
      <c r="E96" s="92">
        <f>'03 成本测算（输入）'!H28</f>
        <v>0</v>
      </c>
      <c r="F96" s="92">
        <f>D96-E96</f>
        <v>0</v>
      </c>
      <c r="G96" s="1506"/>
      <c r="H96" s="1506"/>
      <c r="I96" s="1506"/>
      <c r="J96" s="1506"/>
      <c r="L96" s="66" t="s">
        <v>6863</v>
      </c>
    </row>
    <row r="97" spans="1:17" s="64" customFormat="1" ht="23.25" customHeight="1">
      <c r="A97" s="67" t="s">
        <v>6864</v>
      </c>
      <c r="B97" s="67"/>
      <c r="C97" s="105" t="s">
        <v>6865</v>
      </c>
      <c r="D97" s="105"/>
      <c r="E97" s="105"/>
      <c r="F97" s="105"/>
      <c r="G97" s="105"/>
      <c r="H97" s="105"/>
      <c r="I97" s="105"/>
      <c r="J97" s="105"/>
      <c r="L97" s="66" t="s">
        <v>6866</v>
      </c>
    </row>
    <row r="98" spans="1:17" s="64" customFormat="1" ht="24" customHeight="1" outlineLevel="1">
      <c r="A98" s="106" t="s">
        <v>6867</v>
      </c>
      <c r="B98" s="107" t="s">
        <v>6868</v>
      </c>
      <c r="C98" s="63"/>
      <c r="D98" s="63"/>
      <c r="E98" s="63"/>
      <c r="F98" s="63"/>
      <c r="G98" s="63"/>
      <c r="H98" s="63"/>
      <c r="I98" s="63"/>
      <c r="J98" s="63"/>
      <c r="L98" s="66" t="s">
        <v>6869</v>
      </c>
    </row>
    <row r="99" spans="1:17" s="64" customFormat="1" ht="24" customHeight="1" outlineLevel="2">
      <c r="A99" s="106"/>
      <c r="B99" s="108" t="s">
        <v>6870</v>
      </c>
      <c r="C99" s="108" t="s">
        <v>6871</v>
      </c>
      <c r="D99" s="108" t="s">
        <v>6872</v>
      </c>
      <c r="E99" s="108" t="s">
        <v>6873</v>
      </c>
      <c r="F99" s="108" t="s">
        <v>6874</v>
      </c>
      <c r="G99" s="108" t="s">
        <v>6875</v>
      </c>
      <c r="H99" s="108" t="s">
        <v>6876</v>
      </c>
      <c r="I99" s="108" t="s">
        <v>6877</v>
      </c>
      <c r="J99" s="108" t="s">
        <v>6878</v>
      </c>
      <c r="L99" s="66" t="s">
        <v>6879</v>
      </c>
    </row>
    <row r="100" spans="1:17" s="64" customFormat="1" ht="24" customHeight="1" outlineLevel="2">
      <c r="A100" s="106"/>
      <c r="B100" s="160" t="s">
        <v>6880</v>
      </c>
      <c r="C100" s="110"/>
      <c r="D100" s="111"/>
      <c r="E100" s="111"/>
      <c r="F100" s="111"/>
      <c r="G100" s="111"/>
      <c r="H100" s="111"/>
      <c r="I100" s="111"/>
      <c r="J100" s="111"/>
      <c r="L100" s="66" t="s">
        <v>6881</v>
      </c>
    </row>
    <row r="101" spans="1:17" s="64" customFormat="1" ht="24" customHeight="1" outlineLevel="2">
      <c r="A101" s="106"/>
      <c r="B101" s="160" t="s">
        <v>6882</v>
      </c>
      <c r="C101" s="112">
        <f>'04 目标成本控制表'!F4</f>
        <v>74626.7546</v>
      </c>
      <c r="D101" s="113">
        <f>'04 目标成本控制表'!J4</f>
        <v>46191.064599999998</v>
      </c>
      <c r="E101" s="113">
        <f>'04 目标成本控制表'!C49</f>
        <v>53408.718574000006</v>
      </c>
      <c r="F101" s="113">
        <f>'04 目标成本控制表'!C48</f>
        <v>36116.349194000002</v>
      </c>
      <c r="G101" s="113">
        <f>'04 目标成本控制表'!E49</f>
        <v>7156.7789407795053</v>
      </c>
      <c r="H101" s="113">
        <f>'04 目标成本控制表'!E48</f>
        <v>4839.5979950600722</v>
      </c>
      <c r="I101" s="113">
        <f>'04 目标成本控制表'!I49</f>
        <v>11562.564975824353</v>
      </c>
      <c r="J101" s="113">
        <f>'04 目标成本控制表'!I48</f>
        <v>7818.903830590647</v>
      </c>
      <c r="L101" s="66" t="s">
        <v>6883</v>
      </c>
    </row>
    <row r="102" spans="1:17" ht="24" customHeight="1" outlineLevel="1">
      <c r="A102" s="106" t="s">
        <v>6884</v>
      </c>
      <c r="B102" s="107" t="s">
        <v>6885</v>
      </c>
      <c r="C102" s="63"/>
      <c r="D102" s="114"/>
      <c r="E102" s="114"/>
      <c r="G102" s="114"/>
      <c r="H102" s="114"/>
      <c r="I102" s="114"/>
      <c r="J102" s="114"/>
      <c r="K102" s="114"/>
      <c r="L102" s="66" t="s">
        <v>6886</v>
      </c>
    </row>
    <row r="103" spans="1:17" ht="24" customHeight="1" outlineLevel="2">
      <c r="A103" s="106"/>
      <c r="B103" s="115" t="s">
        <v>6887</v>
      </c>
      <c r="C103" s="115" t="s">
        <v>1310</v>
      </c>
      <c r="D103" s="115" t="s">
        <v>6888</v>
      </c>
      <c r="E103" s="115" t="s">
        <v>6889</v>
      </c>
      <c r="G103" s="114"/>
      <c r="H103" s="114"/>
      <c r="I103" s="114"/>
      <c r="J103" s="114"/>
      <c r="K103" s="114"/>
      <c r="L103" s="66" t="s">
        <v>6890</v>
      </c>
    </row>
    <row r="104" spans="1:17" ht="24" customHeight="1" outlineLevel="2">
      <c r="A104" s="106"/>
      <c r="B104" s="109" t="s">
        <v>6891</v>
      </c>
      <c r="C104" s="117">
        <f>'04 目标成本控制表'!C48</f>
        <v>36116.349194000002</v>
      </c>
      <c r="D104" s="117">
        <f>'04 目标成本控制表'!E48</f>
        <v>4839.5979950600722</v>
      </c>
      <c r="E104" s="117">
        <f>'04 目标成本控制表'!I48</f>
        <v>7818.903830590647</v>
      </c>
      <c r="G104" s="114"/>
      <c r="H104" s="114"/>
      <c r="I104" s="114"/>
      <c r="J104" s="114"/>
      <c r="K104" s="114"/>
      <c r="L104" s="66" t="s">
        <v>6892</v>
      </c>
    </row>
    <row r="105" spans="1:17" ht="24" customHeight="1" outlineLevel="2">
      <c r="A105" s="106"/>
      <c r="B105" s="109" t="s">
        <v>1351</v>
      </c>
      <c r="C105" s="116">
        <f>'04 目标成本控制表'!C34</f>
        <v>13857.319380000001</v>
      </c>
      <c r="D105" s="116">
        <f>'04 目标成本控制表'!E34</f>
        <v>3000.0000000000005</v>
      </c>
      <c r="E105" s="116">
        <f>'04 目标成本控制表'!I34</f>
        <v>3000.0000000000005</v>
      </c>
      <c r="G105" s="114"/>
      <c r="H105" s="114"/>
      <c r="I105" s="114"/>
      <c r="J105" s="114"/>
      <c r="K105" s="114"/>
      <c r="L105" s="66" t="s">
        <v>6893</v>
      </c>
    </row>
    <row r="106" spans="1:17" ht="24" customHeight="1" outlineLevel="2">
      <c r="A106" s="106"/>
      <c r="B106" s="109" t="s">
        <v>6894</v>
      </c>
      <c r="C106" s="116">
        <f>'04 目标成本控制表'!C46</f>
        <v>3207.05</v>
      </c>
      <c r="D106" s="116">
        <f>'04 目标成本控制表'!E46</f>
        <v>429.74533961577367</v>
      </c>
      <c r="E106" s="116">
        <f>'04 目标成本控制表'!I46</f>
        <v>694.30094927926825</v>
      </c>
      <c r="G106" s="114"/>
      <c r="H106" s="114"/>
      <c r="I106" s="114"/>
      <c r="J106" s="114"/>
      <c r="K106" s="114"/>
      <c r="L106" s="66" t="s">
        <v>6895</v>
      </c>
    </row>
    <row r="107" spans="1:17" ht="24" customHeight="1" outlineLevel="2">
      <c r="A107" s="106"/>
      <c r="B107" s="109" t="s">
        <v>231</v>
      </c>
      <c r="C107" s="116">
        <f>'04 目标成本控制表'!C45</f>
        <v>228</v>
      </c>
      <c r="D107" s="116">
        <f>'04 目标成本控制表'!E45</f>
        <v>30.552045472442398</v>
      </c>
      <c r="E107" s="116">
        <f>'04 目标成本控制表'!I45</f>
        <v>49.360195954435746</v>
      </c>
      <c r="G107" s="114"/>
      <c r="H107" s="114"/>
      <c r="I107" s="114"/>
      <c r="J107" s="114"/>
      <c r="K107" s="114"/>
      <c r="L107" s="66" t="s">
        <v>6896</v>
      </c>
    </row>
    <row r="108" spans="1:17" ht="24" customHeight="1" outlineLevel="2">
      <c r="A108" s="106"/>
      <c r="B108" s="109" t="s">
        <v>6897</v>
      </c>
      <c r="C108" s="116">
        <f>'04 目标成本控制表'!C47</f>
        <v>0</v>
      </c>
      <c r="D108" s="116">
        <f>'04 目标成本控制表'!E47</f>
        <v>0</v>
      </c>
      <c r="E108" s="116">
        <f>'04 目标成本控制表'!I47</f>
        <v>0</v>
      </c>
      <c r="G108" s="114"/>
      <c r="H108" s="114"/>
      <c r="I108" s="114"/>
      <c r="J108" s="114"/>
      <c r="K108" s="114"/>
      <c r="L108" s="66" t="s">
        <v>6898</v>
      </c>
    </row>
    <row r="109" spans="1:17" ht="24" customHeight="1" outlineLevel="2">
      <c r="A109" s="106"/>
      <c r="B109" s="109" t="s">
        <v>1370</v>
      </c>
      <c r="C109" s="117">
        <f>'04 目标成本控制表'!C49</f>
        <v>53408.718574000006</v>
      </c>
      <c r="D109" s="117">
        <f>'04 目标成本控制表'!E49</f>
        <v>7156.7789407795053</v>
      </c>
      <c r="E109" s="117">
        <f>'04 目标成本控制表'!I49</f>
        <v>11562.564975824353</v>
      </c>
      <c r="G109" s="114"/>
      <c r="H109" s="114"/>
      <c r="I109" s="114"/>
      <c r="J109" s="114"/>
      <c r="K109" s="114"/>
      <c r="L109" s="66" t="s">
        <v>6899</v>
      </c>
    </row>
    <row r="110" spans="1:17" s="64" customFormat="1" ht="24" customHeight="1" outlineLevel="1">
      <c r="A110" s="106" t="s">
        <v>6900</v>
      </c>
      <c r="B110" s="161" t="s">
        <v>6901</v>
      </c>
      <c r="C110" s="63"/>
      <c r="D110" s="63"/>
      <c r="E110" s="63"/>
      <c r="F110" s="63"/>
      <c r="G110" s="63"/>
      <c r="H110" s="63"/>
      <c r="I110" s="63"/>
      <c r="J110" s="63"/>
      <c r="L110" s="66" t="s">
        <v>6902</v>
      </c>
    </row>
    <row r="111" spans="1:17" s="129" customFormat="1" ht="24" customHeight="1" outlineLevel="2">
      <c r="A111" s="162"/>
      <c r="B111" s="108" t="s">
        <v>6870</v>
      </c>
      <c r="C111" s="108" t="s">
        <v>6871</v>
      </c>
      <c r="D111" s="108" t="s">
        <v>6872</v>
      </c>
      <c r="E111" s="108" t="s">
        <v>6873</v>
      </c>
      <c r="F111" s="108" t="s">
        <v>6874</v>
      </c>
      <c r="G111" s="108" t="s">
        <v>6875</v>
      </c>
      <c r="H111" s="108" t="s">
        <v>6876</v>
      </c>
      <c r="I111" s="108" t="s">
        <v>6877</v>
      </c>
      <c r="J111" s="108" t="s">
        <v>6878</v>
      </c>
      <c r="L111" s="66" t="s">
        <v>6903</v>
      </c>
    </row>
    <row r="112" spans="1:17" ht="24" customHeight="1" outlineLevel="2">
      <c r="A112" s="106"/>
      <c r="B112" s="109" t="s">
        <v>6880</v>
      </c>
      <c r="C112" s="117"/>
      <c r="D112" s="163"/>
      <c r="E112" s="163"/>
      <c r="F112" s="163"/>
      <c r="G112" s="163"/>
      <c r="H112" s="163"/>
      <c r="I112" s="163"/>
      <c r="J112" s="117"/>
      <c r="L112" s="66" t="s">
        <v>6904</v>
      </c>
      <c r="M112" s="129"/>
      <c r="N112" s="129"/>
      <c r="O112" s="129"/>
      <c r="P112" s="129"/>
      <c r="Q112" s="129"/>
    </row>
    <row r="113" spans="1:17" ht="24" customHeight="1" outlineLevel="2">
      <c r="A113" s="106"/>
      <c r="B113" s="109" t="s">
        <v>6882</v>
      </c>
      <c r="C113" s="164">
        <f t="shared" ref="C113:J113" si="2">C101</f>
        <v>74626.7546</v>
      </c>
      <c r="D113" s="164">
        <f t="shared" si="2"/>
        <v>46191.064599999998</v>
      </c>
      <c r="E113" s="164">
        <f t="shared" si="2"/>
        <v>53408.718574000006</v>
      </c>
      <c r="F113" s="164">
        <f t="shared" si="2"/>
        <v>36116.349194000002</v>
      </c>
      <c r="G113" s="164">
        <f t="shared" si="2"/>
        <v>7156.7789407795053</v>
      </c>
      <c r="H113" s="164">
        <f t="shared" si="2"/>
        <v>4839.5979950600722</v>
      </c>
      <c r="I113" s="164">
        <f t="shared" si="2"/>
        <v>11562.564975824353</v>
      </c>
      <c r="J113" s="164">
        <f t="shared" si="2"/>
        <v>7818.903830590647</v>
      </c>
      <c r="L113" s="66" t="s">
        <v>6905</v>
      </c>
      <c r="M113" s="129"/>
      <c r="N113" s="129"/>
      <c r="O113" s="129"/>
      <c r="P113" s="129"/>
      <c r="Q113" s="129"/>
    </row>
    <row r="114" spans="1:17" ht="24" customHeight="1" outlineLevel="2">
      <c r="A114" s="106"/>
      <c r="B114" s="109" t="s">
        <v>6906</v>
      </c>
      <c r="C114" s="165">
        <f t="shared" ref="C114:J114" si="3">C113-C112</f>
        <v>74626.7546</v>
      </c>
      <c r="D114" s="165">
        <f t="shared" si="3"/>
        <v>46191.064599999998</v>
      </c>
      <c r="E114" s="165">
        <f t="shared" si="3"/>
        <v>53408.718574000006</v>
      </c>
      <c r="F114" s="165">
        <f t="shared" si="3"/>
        <v>36116.349194000002</v>
      </c>
      <c r="G114" s="166">
        <f t="shared" si="3"/>
        <v>7156.7789407795053</v>
      </c>
      <c r="H114" s="166">
        <f t="shared" si="3"/>
        <v>4839.5979950600722</v>
      </c>
      <c r="I114" s="165">
        <f t="shared" si="3"/>
        <v>11562.564975824353</v>
      </c>
      <c r="J114" s="165">
        <f t="shared" si="3"/>
        <v>7818.903830590647</v>
      </c>
      <c r="L114" s="66" t="s">
        <v>6907</v>
      </c>
      <c r="M114" s="129"/>
      <c r="N114" s="129"/>
      <c r="O114" s="129"/>
      <c r="P114" s="129"/>
      <c r="Q114" s="129"/>
    </row>
    <row r="115" spans="1:17" ht="24" customHeight="1" outlineLevel="2">
      <c r="A115" s="106"/>
      <c r="B115" s="167" t="s">
        <v>6908</v>
      </c>
      <c r="C115" s="168"/>
      <c r="D115" s="168"/>
      <c r="E115" s="168"/>
      <c r="F115" s="168"/>
      <c r="G115" s="169"/>
      <c r="H115" s="169"/>
      <c r="I115" s="168"/>
      <c r="J115" s="168"/>
      <c r="L115" s="66" t="s">
        <v>6909</v>
      </c>
      <c r="M115" s="129"/>
      <c r="N115" s="129"/>
      <c r="O115" s="129"/>
      <c r="P115" s="129"/>
      <c r="Q115" s="129"/>
    </row>
    <row r="116" spans="1:17" ht="24" customHeight="1" outlineLevel="1">
      <c r="A116" s="106" t="s">
        <v>6910</v>
      </c>
      <c r="B116" s="107" t="s">
        <v>6911</v>
      </c>
      <c r="C116" s="63"/>
      <c r="D116" s="114"/>
      <c r="E116" s="114"/>
      <c r="F116" s="114"/>
      <c r="G116" s="114"/>
      <c r="I116" s="114"/>
      <c r="J116" s="114"/>
      <c r="K116" s="114"/>
      <c r="L116" s="66" t="s">
        <v>6912</v>
      </c>
      <c r="M116" s="129"/>
      <c r="N116" s="129"/>
      <c r="O116" s="129"/>
      <c r="P116" s="129"/>
      <c r="Q116" s="129"/>
    </row>
    <row r="117" spans="1:17" ht="24" customHeight="1" outlineLevel="2">
      <c r="A117" s="106"/>
      <c r="B117" s="115" t="s">
        <v>6748</v>
      </c>
      <c r="C117" s="115" t="s">
        <v>6913</v>
      </c>
      <c r="D117" s="115" t="s">
        <v>6914</v>
      </c>
      <c r="E117" s="115" t="s">
        <v>6915</v>
      </c>
      <c r="F117" s="115" t="s">
        <v>6876</v>
      </c>
      <c r="G117" s="115" t="s">
        <v>6878</v>
      </c>
      <c r="I117" s="118"/>
      <c r="J117" s="114"/>
      <c r="K117" s="114"/>
      <c r="L117" s="66" t="s">
        <v>6916</v>
      </c>
    </row>
    <row r="118" spans="1:17" ht="24" customHeight="1" outlineLevel="2">
      <c r="A118" s="106"/>
      <c r="B118" s="170" t="s">
        <v>6917</v>
      </c>
      <c r="C118" s="171">
        <f>'04 目标成本控制表'!F4</f>
        <v>74626.7546</v>
      </c>
      <c r="D118" s="171">
        <f>'04 目标成本控制表'!J4</f>
        <v>46191.064599999998</v>
      </c>
      <c r="E118" s="171">
        <f>'04 目标成本控制表'!C48</f>
        <v>36116.349194000002</v>
      </c>
      <c r="F118" s="171">
        <f>'04 目标成本控制表'!E48</f>
        <v>4839.5979950600722</v>
      </c>
      <c r="G118" s="171">
        <f>'04 目标成本控制表'!I48</f>
        <v>7818.903830590647</v>
      </c>
      <c r="I118" s="118"/>
      <c r="J118" s="114"/>
      <c r="K118" s="114"/>
      <c r="L118" s="66" t="s">
        <v>6918</v>
      </c>
    </row>
    <row r="119" spans="1:17" ht="0" hidden="1" customHeight="1" outlineLevel="2">
      <c r="A119" s="106"/>
      <c r="B119" s="170" t="s">
        <v>490</v>
      </c>
      <c r="C119" s="171">
        <f>'04 目标成本控制表'!D50</f>
        <v>0</v>
      </c>
      <c r="D119" s="171">
        <f>'04 目标成本控制表'!H50</f>
        <v>0</v>
      </c>
      <c r="E119" s="171">
        <f>'04 目标成本控制表'!C50</f>
        <v>0</v>
      </c>
      <c r="F119" s="171">
        <f>'04 目标成本控制表'!E50</f>
        <v>0</v>
      </c>
      <c r="G119" s="171">
        <f>'04 目标成本控制表'!I50</f>
        <v>0</v>
      </c>
      <c r="I119" s="120"/>
      <c r="J119" s="114"/>
      <c r="K119" s="114"/>
      <c r="L119" s="66" t="s">
        <v>6919</v>
      </c>
    </row>
    <row r="120" spans="1:17" ht="0" hidden="1" customHeight="1" outlineLevel="2">
      <c r="A120" s="106"/>
      <c r="B120" s="170" t="s">
        <v>496</v>
      </c>
      <c r="C120" s="171">
        <f>'04 目标成本控制表'!D51</f>
        <v>0</v>
      </c>
      <c r="D120" s="171">
        <f>'04 目标成本控制表'!H51</f>
        <v>0</v>
      </c>
      <c r="E120" s="171">
        <f>'04 目标成本控制表'!C51</f>
        <v>0</v>
      </c>
      <c r="F120" s="171">
        <f>'04 目标成本控制表'!E51</f>
        <v>0</v>
      </c>
      <c r="G120" s="171">
        <f>'04 目标成本控制表'!I51</f>
        <v>0</v>
      </c>
      <c r="I120" s="120"/>
      <c r="J120" s="114"/>
      <c r="K120" s="114"/>
      <c r="L120" s="66" t="s">
        <v>6920</v>
      </c>
    </row>
    <row r="121" spans="1:17" ht="24" customHeight="1" outlineLevel="2">
      <c r="A121" s="106"/>
      <c r="B121" s="170" t="s">
        <v>500</v>
      </c>
      <c r="C121" s="171">
        <f>'04 目标成本控制表'!D52</f>
        <v>73811.7546</v>
      </c>
      <c r="D121" s="171">
        <f>'04 目标成本控制表'!H52</f>
        <v>46191.064599999998</v>
      </c>
      <c r="E121" s="171">
        <f>'04 目标成本控制表'!C52</f>
        <v>35662.324105</v>
      </c>
      <c r="F121" s="171">
        <f>'04 目标成本控制表'!E52</f>
        <v>4831.5236913498329</v>
      </c>
      <c r="G121" s="171">
        <f>'04 目标成本控制表'!I52</f>
        <v>7720.6109912868305</v>
      </c>
      <c r="I121" s="120"/>
      <c r="J121" s="114"/>
      <c r="K121" s="114"/>
      <c r="L121" s="66" t="s">
        <v>6921</v>
      </c>
    </row>
    <row r="122" spans="1:17" ht="0" hidden="1" customHeight="1" outlineLevel="2">
      <c r="A122" s="106"/>
      <c r="B122" s="170" t="s">
        <v>504</v>
      </c>
      <c r="C122" s="171">
        <f>'04 目标成本控制表'!D53</f>
        <v>0</v>
      </c>
      <c r="D122" s="171">
        <f>'04 目标成本控制表'!H53</f>
        <v>0</v>
      </c>
      <c r="E122" s="171">
        <f>'04 目标成本控制表'!C53</f>
        <v>0</v>
      </c>
      <c r="F122" s="171">
        <f>'04 目标成本控制表'!E53</f>
        <v>0</v>
      </c>
      <c r="G122" s="171">
        <f>'04 目标成本控制表'!I53</f>
        <v>0</v>
      </c>
      <c r="I122" s="120"/>
      <c r="J122" s="114"/>
      <c r="K122" s="114"/>
      <c r="L122" s="66" t="s">
        <v>6922</v>
      </c>
    </row>
    <row r="123" spans="1:17" ht="0" hidden="1" customHeight="1" outlineLevel="2">
      <c r="A123" s="106"/>
      <c r="B123" s="170" t="s">
        <v>508</v>
      </c>
      <c r="C123" s="171">
        <f>'04 目标成本控制表'!D54</f>
        <v>0</v>
      </c>
      <c r="D123" s="171">
        <f>'04 目标成本控制表'!H54</f>
        <v>0</v>
      </c>
      <c r="E123" s="171">
        <f>'04 目标成本控制表'!C54</f>
        <v>0</v>
      </c>
      <c r="F123" s="171">
        <f>'04 目标成本控制表'!E54</f>
        <v>0</v>
      </c>
      <c r="G123" s="171">
        <f>'04 目标成本控制表'!I54</f>
        <v>0</v>
      </c>
      <c r="I123" s="120"/>
      <c r="J123" s="114"/>
      <c r="K123" s="114"/>
      <c r="L123" s="66" t="s">
        <v>6923</v>
      </c>
    </row>
    <row r="124" spans="1:17" ht="0" hidden="1" customHeight="1" outlineLevel="2">
      <c r="A124" s="106"/>
      <c r="B124" s="170" t="s">
        <v>512</v>
      </c>
      <c r="C124" s="171">
        <f>'04 目标成本控制表'!D55</f>
        <v>0</v>
      </c>
      <c r="D124" s="171">
        <f>'04 目标成本控制表'!H55</f>
        <v>0</v>
      </c>
      <c r="E124" s="171">
        <f>'04 目标成本控制表'!C55</f>
        <v>0</v>
      </c>
      <c r="F124" s="171">
        <f>'04 目标成本控制表'!E55</f>
        <v>0</v>
      </c>
      <c r="G124" s="171">
        <f>'04 目标成本控制表'!I55</f>
        <v>0</v>
      </c>
      <c r="I124" s="120"/>
      <c r="J124" s="114"/>
      <c r="K124" s="114"/>
      <c r="L124" s="66" t="s">
        <v>6924</v>
      </c>
    </row>
    <row r="125" spans="1:17" ht="0" hidden="1" customHeight="1" outlineLevel="2">
      <c r="A125" s="106"/>
      <c r="B125" s="170" t="s">
        <v>516</v>
      </c>
      <c r="C125" s="171">
        <f>'04 目标成本控制表'!D56</f>
        <v>0</v>
      </c>
      <c r="D125" s="171">
        <f>'04 目标成本控制表'!H56</f>
        <v>0</v>
      </c>
      <c r="E125" s="171">
        <f>'04 目标成本控制表'!C56</f>
        <v>0</v>
      </c>
      <c r="F125" s="171">
        <f>'04 目标成本控制表'!E56</f>
        <v>0</v>
      </c>
      <c r="G125" s="171">
        <f>'04 目标成本控制表'!I56</f>
        <v>0</v>
      </c>
      <c r="I125" s="120"/>
      <c r="J125" s="114"/>
      <c r="K125" s="114"/>
      <c r="L125" s="66" t="s">
        <v>6925</v>
      </c>
    </row>
    <row r="126" spans="1:17" ht="0" hidden="1" customHeight="1" outlineLevel="2">
      <c r="A126" s="106"/>
      <c r="B126" s="170" t="s">
        <v>520</v>
      </c>
      <c r="C126" s="171">
        <f>'04 目标成本控制表'!D57</f>
        <v>0</v>
      </c>
      <c r="D126" s="171">
        <f>'04 目标成本控制表'!H57</f>
        <v>0</v>
      </c>
      <c r="E126" s="171">
        <f>'04 目标成本控制表'!C57</f>
        <v>0</v>
      </c>
      <c r="F126" s="171">
        <f>'04 目标成本控制表'!E57</f>
        <v>0</v>
      </c>
      <c r="G126" s="171">
        <f>'04 目标成本控制表'!I57</f>
        <v>0</v>
      </c>
      <c r="I126" s="120"/>
      <c r="J126" s="114"/>
      <c r="K126" s="114"/>
      <c r="L126" s="66" t="s">
        <v>6926</v>
      </c>
    </row>
    <row r="127" spans="1:17" ht="0" hidden="1" customHeight="1" outlineLevel="2">
      <c r="A127" s="106"/>
      <c r="B127" s="170" t="s">
        <v>524</v>
      </c>
      <c r="C127" s="171">
        <f>'04 目标成本控制表'!D58</f>
        <v>0</v>
      </c>
      <c r="D127" s="171">
        <f>'04 目标成本控制表'!H58</f>
        <v>0</v>
      </c>
      <c r="E127" s="171">
        <f>'04 目标成本控制表'!C58</f>
        <v>0</v>
      </c>
      <c r="F127" s="171">
        <f>'04 目标成本控制表'!E58</f>
        <v>0</v>
      </c>
      <c r="G127" s="171">
        <f>'04 目标成本控制表'!I58</f>
        <v>0</v>
      </c>
      <c r="I127" s="120"/>
      <c r="J127" s="114"/>
      <c r="K127" s="114"/>
      <c r="L127" s="66" t="s">
        <v>6927</v>
      </c>
    </row>
    <row r="128" spans="1:17" ht="24" customHeight="1" outlineLevel="1">
      <c r="A128" s="106" t="s">
        <v>6928</v>
      </c>
      <c r="B128" s="107" t="s">
        <v>6929</v>
      </c>
      <c r="C128" s="121"/>
      <c r="D128" s="114"/>
      <c r="E128" s="114"/>
      <c r="F128" s="114"/>
      <c r="G128" s="114"/>
      <c r="I128" s="114"/>
      <c r="J128" s="114"/>
      <c r="K128" s="114"/>
      <c r="L128" s="66" t="s">
        <v>6930</v>
      </c>
    </row>
    <row r="129" spans="1:12" ht="34.5" customHeight="1" outlineLevel="2">
      <c r="A129" s="106"/>
      <c r="B129" s="122" t="s">
        <v>6748</v>
      </c>
      <c r="C129" s="122" t="s">
        <v>6931</v>
      </c>
      <c r="D129" s="122" t="s">
        <v>656</v>
      </c>
      <c r="E129" s="122" t="s">
        <v>6932</v>
      </c>
      <c r="F129" s="1515" t="s">
        <v>6772</v>
      </c>
      <c r="G129" s="1516"/>
      <c r="H129" s="1516"/>
      <c r="I129" s="1516"/>
      <c r="J129" s="114"/>
      <c r="K129" s="114"/>
      <c r="L129" s="66" t="s">
        <v>6933</v>
      </c>
    </row>
    <row r="130" spans="1:12" ht="0" hidden="1" customHeight="1" outlineLevel="2">
      <c r="A130" s="106"/>
      <c r="B130" s="172" t="s">
        <v>6934</v>
      </c>
      <c r="C130" s="127">
        <f>'04 目标成本控制表'!$E$53</f>
        <v>0</v>
      </c>
      <c r="D130" s="127">
        <f>'04 目标成本控制表'!W53</f>
        <v>3763.28902256741</v>
      </c>
      <c r="E130" s="127">
        <f>C130-D130</f>
        <v>-3763.28902256741</v>
      </c>
      <c r="F130" s="1517"/>
      <c r="G130" s="1518"/>
      <c r="H130" s="1518"/>
      <c r="I130" s="1519"/>
      <c r="J130" s="114"/>
      <c r="K130" s="114"/>
      <c r="L130" s="66" t="s">
        <v>6935</v>
      </c>
    </row>
    <row r="131" spans="1:12" ht="34.5" customHeight="1" outlineLevel="2">
      <c r="A131" s="106"/>
      <c r="B131" s="172" t="s">
        <v>500</v>
      </c>
      <c r="C131" s="127">
        <f>'04 目标成本控制表'!$E$52</f>
        <v>4831.5236913498329</v>
      </c>
      <c r="D131" s="127">
        <f>'04 目标成本控制表'!W52</f>
        <v>3839.6466543004699</v>
      </c>
      <c r="E131" s="127">
        <f>C131-D131</f>
        <v>991.87703704936303</v>
      </c>
      <c r="F131" s="1517"/>
      <c r="G131" s="1518"/>
      <c r="H131" s="1518"/>
      <c r="I131" s="1519"/>
      <c r="J131" s="114"/>
      <c r="K131" s="114"/>
      <c r="L131" s="66" t="s">
        <v>6936</v>
      </c>
    </row>
    <row r="132" spans="1:12" ht="0" hidden="1" customHeight="1" outlineLevel="2">
      <c r="A132" s="106"/>
      <c r="B132" s="170" t="s">
        <v>496</v>
      </c>
      <c r="C132" s="127">
        <f>'04 目标成本控制表'!$E$51</f>
        <v>0</v>
      </c>
      <c r="D132" s="127">
        <f>'04 目标成本控制表'!W51</f>
        <v>3788.2081439149902</v>
      </c>
      <c r="E132" s="127">
        <f>C132-D132</f>
        <v>-3788.2081439149902</v>
      </c>
      <c r="F132" s="1517"/>
      <c r="G132" s="1518"/>
      <c r="H132" s="1518"/>
      <c r="I132" s="1519"/>
      <c r="J132" s="114"/>
      <c r="K132" s="114"/>
      <c r="L132" s="66" t="s">
        <v>6937</v>
      </c>
    </row>
    <row r="133" spans="1:12" ht="24" customHeight="1" outlineLevel="1">
      <c r="A133" s="106" t="s">
        <v>6938</v>
      </c>
      <c r="B133" s="107" t="s">
        <v>6939</v>
      </c>
      <c r="C133" s="114"/>
      <c r="D133" s="114"/>
      <c r="E133" s="114"/>
      <c r="F133" s="114"/>
      <c r="G133" s="114"/>
      <c r="H133" s="114"/>
      <c r="I133" s="114"/>
      <c r="K133" s="114"/>
      <c r="L133" s="66" t="s">
        <v>6940</v>
      </c>
    </row>
    <row r="134" spans="1:12" ht="24" customHeight="1" outlineLevel="2">
      <c r="A134" s="106"/>
      <c r="B134" s="1510" t="s">
        <v>71</v>
      </c>
      <c r="C134" s="1510" t="s">
        <v>6941</v>
      </c>
      <c r="D134" s="1520" t="s">
        <v>6931</v>
      </c>
      <c r="E134" s="1521"/>
      <c r="F134" s="1510" t="s">
        <v>6942</v>
      </c>
      <c r="G134" s="1510" t="s">
        <v>6750</v>
      </c>
      <c r="H134" s="1515" t="s">
        <v>78</v>
      </c>
      <c r="I134" s="1516"/>
      <c r="K134" s="114"/>
      <c r="L134" s="66" t="s">
        <v>6943</v>
      </c>
    </row>
    <row r="135" spans="1:12" ht="24" customHeight="1" outlineLevel="2">
      <c r="A135" s="106"/>
      <c r="B135" s="1511"/>
      <c r="C135" s="1511"/>
      <c r="D135" s="123" t="s">
        <v>6944</v>
      </c>
      <c r="E135" s="130" t="s">
        <v>6945</v>
      </c>
      <c r="F135" s="1511"/>
      <c r="G135" s="1511"/>
      <c r="H135" s="1515"/>
      <c r="I135" s="1516"/>
      <c r="K135" s="114"/>
      <c r="L135" s="66" t="s">
        <v>6946</v>
      </c>
    </row>
    <row r="136" spans="1:12" ht="35.25" customHeight="1" outlineLevel="2">
      <c r="A136" s="106"/>
      <c r="B136" s="1512" t="s">
        <v>6947</v>
      </c>
      <c r="C136" s="137" t="s">
        <v>6948</v>
      </c>
      <c r="D136" s="173" t="s">
        <v>6949</v>
      </c>
      <c r="E136" s="138">
        <f>'04 目标成本控制表'!E8</f>
        <v>43.671674689173742</v>
      </c>
      <c r="F136" s="138">
        <f>'04 目标成本控制表'!X8</f>
        <v>47.146667726061096</v>
      </c>
      <c r="G136" s="138">
        <f>E136-F136</f>
        <v>-3.4749930368873549</v>
      </c>
      <c r="H136" s="1524"/>
      <c r="I136" s="1519"/>
      <c r="K136" s="114"/>
      <c r="L136" s="66" t="s">
        <v>6950</v>
      </c>
    </row>
    <row r="137" spans="1:12" ht="35.25" customHeight="1" outlineLevel="2">
      <c r="A137" s="106"/>
      <c r="B137" s="1513"/>
      <c r="C137" s="137" t="s">
        <v>6951</v>
      </c>
      <c r="D137" s="173" t="s">
        <v>6952</v>
      </c>
      <c r="E137" s="138">
        <f>'04 目标成本控制表'!E9</f>
        <v>214.34106582466873</v>
      </c>
      <c r="F137" s="138">
        <f>'04 目标成本控制表'!X9</f>
        <v>179.739262276766</v>
      </c>
      <c r="G137" s="138">
        <f>E137-F137</f>
        <v>34.601803547902733</v>
      </c>
      <c r="H137" s="1525"/>
      <c r="I137" s="1526"/>
      <c r="K137" s="114"/>
      <c r="L137" s="66" t="s">
        <v>6953</v>
      </c>
    </row>
    <row r="138" spans="1:12" ht="35.25" customHeight="1" outlineLevel="2">
      <c r="A138" s="106"/>
      <c r="B138" s="1513"/>
      <c r="C138" s="140" t="s">
        <v>6954</v>
      </c>
      <c r="D138" s="174" t="s">
        <v>6955</v>
      </c>
      <c r="E138" s="138">
        <f>'04 目标成本控制表'!E10</f>
        <v>336.39877956048758</v>
      </c>
      <c r="F138" s="141">
        <f>'04 目标成本控制表'!X10</f>
        <v>271.02141910319801</v>
      </c>
      <c r="G138" s="138">
        <f>E138-F138</f>
        <v>65.377360457289569</v>
      </c>
      <c r="H138" s="1524"/>
      <c r="I138" s="1519"/>
      <c r="K138" s="114"/>
      <c r="L138" s="66" t="s">
        <v>6956</v>
      </c>
    </row>
    <row r="139" spans="1:12" ht="35.25" customHeight="1" outlineLevel="2">
      <c r="A139" s="106"/>
      <c r="B139" s="1514"/>
      <c r="C139" s="137" t="s">
        <v>67</v>
      </c>
      <c r="D139" s="173" t="s">
        <v>6949</v>
      </c>
      <c r="E139" s="138">
        <f>'04 目标成本控制表'!E32</f>
        <v>423.74252758942839</v>
      </c>
      <c r="F139" s="138">
        <f>'04 目标成本控制表'!X32</f>
        <v>571.84657913772298</v>
      </c>
      <c r="G139" s="138">
        <f>E139-F139</f>
        <v>-148.10405154829459</v>
      </c>
      <c r="H139" s="1524"/>
      <c r="I139" s="1519"/>
      <c r="K139" s="114"/>
      <c r="L139" s="66" t="s">
        <v>6957</v>
      </c>
    </row>
    <row r="140" spans="1:12" ht="24" customHeight="1" outlineLevel="1">
      <c r="A140" s="106" t="s">
        <v>6958</v>
      </c>
      <c r="B140" s="107" t="s">
        <v>6959</v>
      </c>
      <c r="C140" s="114"/>
      <c r="D140" s="114"/>
      <c r="E140" s="114"/>
      <c r="F140" s="114"/>
      <c r="G140" s="114"/>
      <c r="H140" s="114"/>
      <c r="I140" s="114"/>
      <c r="K140" s="114"/>
      <c r="L140" s="66" t="s">
        <v>6960</v>
      </c>
    </row>
    <row r="141" spans="1:12" ht="24" customHeight="1" outlineLevel="2">
      <c r="A141" s="106"/>
      <c r="B141" s="1510" t="s">
        <v>6748</v>
      </c>
      <c r="C141" s="1510" t="s">
        <v>6941</v>
      </c>
      <c r="D141" s="122" t="s">
        <v>1616</v>
      </c>
      <c r="E141" s="122" t="s">
        <v>1627</v>
      </c>
      <c r="F141" s="122" t="s">
        <v>6961</v>
      </c>
      <c r="G141" s="122" t="s">
        <v>6962</v>
      </c>
      <c r="H141" s="122" t="s">
        <v>6963</v>
      </c>
      <c r="I141" s="122" t="s">
        <v>6750</v>
      </c>
      <c r="K141" s="114"/>
      <c r="L141" s="66" t="s">
        <v>6964</v>
      </c>
    </row>
    <row r="142" spans="1:12" ht="24" customHeight="1" outlineLevel="2">
      <c r="A142" s="106"/>
      <c r="B142" s="1511"/>
      <c r="C142" s="1511"/>
      <c r="D142" s="124" t="s">
        <v>6965</v>
      </c>
      <c r="E142" s="124" t="s">
        <v>6966</v>
      </c>
      <c r="F142" s="124" t="s">
        <v>6967</v>
      </c>
      <c r="G142" s="124" t="s">
        <v>6968</v>
      </c>
      <c r="H142" s="124" t="s">
        <v>6969</v>
      </c>
      <c r="I142" s="124" t="s">
        <v>6970</v>
      </c>
      <c r="K142" s="114"/>
      <c r="L142" s="66" t="s">
        <v>6971</v>
      </c>
    </row>
    <row r="143" spans="1:12" ht="24" customHeight="1" outlineLevel="2">
      <c r="A143" s="106"/>
      <c r="B143" s="1512" t="s">
        <v>6972</v>
      </c>
      <c r="C143" s="137" t="s">
        <v>6931</v>
      </c>
      <c r="D143" s="175">
        <f>D60</f>
        <v>117.94887244174295</v>
      </c>
      <c r="E143" s="175">
        <f>D61</f>
        <v>1.2242690421581022</v>
      </c>
      <c r="F143" s="175">
        <f>D62</f>
        <v>3.36</v>
      </c>
      <c r="G143" s="175">
        <f>D63</f>
        <v>367.07400000000001</v>
      </c>
      <c r="H143" s="138"/>
      <c r="I143" s="1522">
        <f>F58</f>
        <v>134.7256763226199</v>
      </c>
      <c r="K143" s="114"/>
      <c r="L143" s="66" t="s">
        <v>6973</v>
      </c>
    </row>
    <row r="144" spans="1:12" ht="24" customHeight="1" outlineLevel="2">
      <c r="A144" s="106"/>
      <c r="B144" s="1514"/>
      <c r="C144" s="176" t="s">
        <v>6974</v>
      </c>
      <c r="D144" s="177">
        <f>'03 成本测算（输入）'!H14</f>
        <v>115.544</v>
      </c>
      <c r="E144" s="178">
        <f>'03 成本测算（输入）'!H15</f>
        <v>1.03</v>
      </c>
      <c r="F144" s="178">
        <f>'03 成本测算（输入）'!H11</f>
        <v>0</v>
      </c>
      <c r="G144" s="177">
        <f>'03 成本测算（输入）'!H12</f>
        <v>0</v>
      </c>
      <c r="H144" s="179"/>
      <c r="I144" s="1523"/>
      <c r="K144" s="114"/>
      <c r="L144" s="66" t="s">
        <v>6975</v>
      </c>
    </row>
    <row r="145" spans="1:12" ht="0" hidden="1" customHeight="1" outlineLevel="2">
      <c r="A145" s="106"/>
      <c r="B145" s="1512" t="s">
        <v>496</v>
      </c>
      <c r="C145" s="137" t="s">
        <v>6931</v>
      </c>
      <c r="D145" s="175">
        <f>'05 成本测算明细'!$G$451</f>
        <v>0</v>
      </c>
      <c r="E145" s="175">
        <f>'05 成本测算明细'!$G$455</f>
        <v>0</v>
      </c>
      <c r="F145" s="175">
        <f>D90</f>
        <v>3.36</v>
      </c>
      <c r="G145" s="175">
        <f>D91</f>
        <v>367.07400000000001</v>
      </c>
      <c r="H145" s="138">
        <f>D92</f>
        <v>0</v>
      </c>
      <c r="I145" s="1522">
        <f>F88</f>
        <v>-244.2633529947251</v>
      </c>
      <c r="K145" s="114"/>
      <c r="L145" s="66" t="s">
        <v>6976</v>
      </c>
    </row>
    <row r="146" spans="1:12" ht="0" hidden="1" customHeight="1" outlineLevel="2">
      <c r="A146" s="106"/>
      <c r="B146" s="1514"/>
      <c r="C146" s="176" t="s">
        <v>6974</v>
      </c>
      <c r="D146" s="177">
        <f>'05 成本测算明细'!$G$451</f>
        <v>0</v>
      </c>
      <c r="E146" s="178">
        <f>'05 成本测算明细'!$G$455</f>
        <v>0</v>
      </c>
      <c r="F146" s="178">
        <f>F144</f>
        <v>0</v>
      </c>
      <c r="G146" s="177">
        <f>G144</f>
        <v>0</v>
      </c>
      <c r="H146" s="180">
        <f>E92</f>
        <v>94.5</v>
      </c>
      <c r="I146" s="1523"/>
      <c r="K146" s="114"/>
      <c r="L146" s="66" t="s">
        <v>6977</v>
      </c>
    </row>
    <row r="147" spans="1:12" ht="24" customHeight="1" outlineLevel="2">
      <c r="A147" s="106"/>
      <c r="B147" s="1512" t="s">
        <v>500</v>
      </c>
      <c r="C147" s="137" t="s">
        <v>6931</v>
      </c>
      <c r="D147" s="175">
        <f>'05 成本测算明细'!$G$644</f>
        <v>45.153015537948534</v>
      </c>
      <c r="E147" s="175">
        <f>'05 成本测算明细'!$G$648</f>
        <v>0.40952735022790537</v>
      </c>
      <c r="F147" s="175">
        <f>D81</f>
        <v>3.36</v>
      </c>
      <c r="G147" s="175">
        <f>D82</f>
        <v>367.07400000000001</v>
      </c>
      <c r="H147" s="138">
        <f>D83</f>
        <v>152.91588843828026</v>
      </c>
      <c r="I147" s="1522">
        <f>F79</f>
        <v>62.904464322456064</v>
      </c>
      <c r="K147" s="114"/>
      <c r="L147" s="66" t="s">
        <v>6978</v>
      </c>
    </row>
    <row r="148" spans="1:12" s="64" customFormat="1" ht="24" customHeight="1" outlineLevel="2">
      <c r="A148" s="106"/>
      <c r="B148" s="1514"/>
      <c r="C148" s="176" t="s">
        <v>6974</v>
      </c>
      <c r="D148" s="177">
        <f>'05 成本测算明细'!$G$644</f>
        <v>45.153015537948534</v>
      </c>
      <c r="E148" s="178">
        <f>'05 成本测算明细'!$G$648</f>
        <v>0.40952735022790537</v>
      </c>
      <c r="F148" s="178">
        <f>F144</f>
        <v>0</v>
      </c>
      <c r="G148" s="177">
        <f>G144</f>
        <v>0</v>
      </c>
      <c r="H148" s="180">
        <f>E83</f>
        <v>94.5</v>
      </c>
      <c r="I148" s="1523"/>
      <c r="K148" s="114"/>
      <c r="L148" s="66" t="s">
        <v>6979</v>
      </c>
    </row>
    <row r="149" spans="1:12" s="64" customFormat="1" ht="0" hidden="1" customHeight="1" outlineLevel="2">
      <c r="A149" s="106"/>
      <c r="B149" s="1512" t="s">
        <v>504</v>
      </c>
      <c r="C149" s="137" t="s">
        <v>6931</v>
      </c>
      <c r="D149" s="175">
        <f>'05 成本测算明细'!$G$837</f>
        <v>0</v>
      </c>
      <c r="E149" s="175">
        <f>'05 成本测算明细'!$G$841</f>
        <v>0</v>
      </c>
      <c r="F149" s="175">
        <f>D72</f>
        <v>3.36</v>
      </c>
      <c r="G149" s="175">
        <f>D73</f>
        <v>367.07400000000001</v>
      </c>
      <c r="H149" s="138">
        <f>D74</f>
        <v>0</v>
      </c>
      <c r="I149" s="1522">
        <f>F70</f>
        <v>-211.3095944348141</v>
      </c>
      <c r="K149" s="114"/>
      <c r="L149" s="66" t="s">
        <v>6980</v>
      </c>
    </row>
    <row r="150" spans="1:12" s="64" customFormat="1" ht="0" hidden="1" customHeight="1" outlineLevel="2">
      <c r="A150" s="106"/>
      <c r="B150" s="1514"/>
      <c r="C150" s="176" t="s">
        <v>6974</v>
      </c>
      <c r="D150" s="177">
        <f>'05 成本测算明细'!$G$837</f>
        <v>0</v>
      </c>
      <c r="E150" s="178">
        <f>'05 成本测算明细'!$G$841</f>
        <v>0</v>
      </c>
      <c r="F150" s="178">
        <f>F144</f>
        <v>0</v>
      </c>
      <c r="G150" s="177">
        <f>G144</f>
        <v>0</v>
      </c>
      <c r="H150" s="180">
        <f>E74</f>
        <v>94.5</v>
      </c>
      <c r="I150" s="1523"/>
      <c r="K150" s="63"/>
      <c r="L150" s="66" t="s">
        <v>6981</v>
      </c>
    </row>
    <row r="151" spans="1:12" ht="24" customHeight="1" outlineLevel="1">
      <c r="A151" s="106" t="s">
        <v>6982</v>
      </c>
      <c r="B151" s="107" t="s">
        <v>6983</v>
      </c>
      <c r="D151" s="114"/>
      <c r="E151" s="114"/>
      <c r="F151" s="114"/>
      <c r="G151" s="114"/>
      <c r="H151" s="114"/>
      <c r="I151" s="114"/>
      <c r="J151" s="114"/>
      <c r="K151" s="114"/>
    </row>
  </sheetData>
  <sheetProtection sheet="1" objects="1" formatCells="0" formatColumns="0" formatRows="0" insertColumns="0" insertHyperlinks="0" deleteColumns="0" sort="0" autoFilter="0" pivotTables="0"/>
  <mergeCells count="98">
    <mergeCell ref="I147:I148"/>
    <mergeCell ref="I149:I150"/>
    <mergeCell ref="H134:I135"/>
    <mergeCell ref="C141:C142"/>
    <mergeCell ref="F134:F135"/>
    <mergeCell ref="G134:G135"/>
    <mergeCell ref="I143:I144"/>
    <mergeCell ref="I145:I146"/>
    <mergeCell ref="H136:I136"/>
    <mergeCell ref="H137:I137"/>
    <mergeCell ref="H138:I138"/>
    <mergeCell ref="H139:I139"/>
    <mergeCell ref="B141:B142"/>
    <mergeCell ref="B143:B144"/>
    <mergeCell ref="B145:B146"/>
    <mergeCell ref="B147:B148"/>
    <mergeCell ref="B149:B150"/>
    <mergeCell ref="B134:B135"/>
    <mergeCell ref="B136:B139"/>
    <mergeCell ref="C134:C135"/>
    <mergeCell ref="F129:I129"/>
    <mergeCell ref="F130:I130"/>
    <mergeCell ref="F131:I131"/>
    <mergeCell ref="F132:I132"/>
    <mergeCell ref="D134:E134"/>
    <mergeCell ref="G92:J92"/>
    <mergeCell ref="G93:J93"/>
    <mergeCell ref="G94:J94"/>
    <mergeCell ref="G95:J95"/>
    <mergeCell ref="G96:J96"/>
    <mergeCell ref="G87:J87"/>
    <mergeCell ref="B88:D88"/>
    <mergeCell ref="G88:J88"/>
    <mergeCell ref="G89:J89"/>
    <mergeCell ref="G91:J91"/>
    <mergeCell ref="G82:J82"/>
    <mergeCell ref="G83:J83"/>
    <mergeCell ref="G84:J84"/>
    <mergeCell ref="G85:J85"/>
    <mergeCell ref="G86:J86"/>
    <mergeCell ref="G78:J78"/>
    <mergeCell ref="B79:D79"/>
    <mergeCell ref="G79:J79"/>
    <mergeCell ref="G80:J80"/>
    <mergeCell ref="G81:J81"/>
    <mergeCell ref="G73:J73"/>
    <mergeCell ref="G74:J74"/>
    <mergeCell ref="G75:J75"/>
    <mergeCell ref="G76:J76"/>
    <mergeCell ref="G77:J77"/>
    <mergeCell ref="G69:J69"/>
    <mergeCell ref="B70:D70"/>
    <mergeCell ref="G70:J70"/>
    <mergeCell ref="G71:J71"/>
    <mergeCell ref="G72:J72"/>
    <mergeCell ref="G64:J64"/>
    <mergeCell ref="G65:J65"/>
    <mergeCell ref="G66:J66"/>
    <mergeCell ref="G67:J67"/>
    <mergeCell ref="G68:J68"/>
    <mergeCell ref="G59:J59"/>
    <mergeCell ref="G60:J60"/>
    <mergeCell ref="G61:J61"/>
    <mergeCell ref="G62:J62"/>
    <mergeCell ref="G63:J63"/>
    <mergeCell ref="F29:G29"/>
    <mergeCell ref="B30:J30"/>
    <mergeCell ref="B57:G57"/>
    <mergeCell ref="B58:D58"/>
    <mergeCell ref="G58:J58"/>
    <mergeCell ref="B13:G13"/>
    <mergeCell ref="B25:G25"/>
    <mergeCell ref="F26:G26"/>
    <mergeCell ref="F27:G27"/>
    <mergeCell ref="F28:G28"/>
    <mergeCell ref="C10:D10"/>
    <mergeCell ref="E10:F10"/>
    <mergeCell ref="C11:D11"/>
    <mergeCell ref="E11:F11"/>
    <mergeCell ref="C12:D12"/>
    <mergeCell ref="E12:F12"/>
    <mergeCell ref="C7:D7"/>
    <mergeCell ref="E7:F7"/>
    <mergeCell ref="C8:D8"/>
    <mergeCell ref="E8:F8"/>
    <mergeCell ref="C9:D9"/>
    <mergeCell ref="E9:F9"/>
    <mergeCell ref="C4:D4"/>
    <mergeCell ref="E4:F4"/>
    <mergeCell ref="C5:D5"/>
    <mergeCell ref="E5:F5"/>
    <mergeCell ref="C6:D6"/>
    <mergeCell ref="E6:F6"/>
    <mergeCell ref="B1:G1"/>
    <mergeCell ref="C2:D2"/>
    <mergeCell ref="E2:F2"/>
    <mergeCell ref="C3:D3"/>
    <mergeCell ref="E3:F3"/>
  </mergeCells>
  <phoneticPr fontId="84" type="noConversion"/>
  <pageMargins left="0.75" right="0.75" top="1" bottom="1" header="0.5" footer="0.5"/>
  <pageSetup orientation="landscape"/>
  <headerFooter>
    <oddHeader>&amp;L&amp;C&amp;R</oddHeader>
    <oddFooter>&amp;L&amp;C&amp;R</oddFooter>
    <evenHeader>&amp;L&amp;C&amp;R</evenHeader>
    <evenFooter>&amp;L&amp;C&amp;R</even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449A-568A-824D-B0C1-D7B6803D3D0F}">
  <dimension ref="A1:P24"/>
  <sheetViews>
    <sheetView topLeftCell="E1" zoomScale="135" workbookViewId="0">
      <selection activeCell="J4" sqref="J4:P4"/>
    </sheetView>
  </sheetViews>
  <sheetFormatPr baseColWidth="10" defaultColWidth="9" defaultRowHeight="13"/>
  <cols>
    <col min="1" max="1" width="20.1640625" style="709" customWidth="1"/>
    <col min="2" max="8" width="16" style="709" customWidth="1"/>
    <col min="9" max="9" width="22.5" style="709" customWidth="1"/>
    <col min="10" max="12" width="9" style="709"/>
    <col min="13" max="13" width="10.6640625" style="709" bestFit="1" customWidth="1"/>
    <col min="14" max="16384" width="9" style="709"/>
  </cols>
  <sheetData>
    <row r="1" spans="1:16" s="706" customFormat="1" ht="17" customHeight="1">
      <c r="A1" s="1527" t="s">
        <v>7348</v>
      </c>
      <c r="B1" s="1528"/>
      <c r="C1" s="1528"/>
      <c r="D1" s="1528"/>
      <c r="E1" s="1528"/>
      <c r="F1" s="1528"/>
      <c r="G1" s="1528"/>
      <c r="H1" s="1528"/>
      <c r="I1" s="1528"/>
      <c r="J1" s="1528"/>
      <c r="K1" s="1528"/>
      <c r="L1" s="1528"/>
      <c r="M1" s="1528"/>
      <c r="N1" s="1528"/>
      <c r="O1" s="1528"/>
      <c r="P1" s="1528"/>
    </row>
    <row r="2" spans="1:16">
      <c r="A2" s="1529" t="s">
        <v>7349</v>
      </c>
      <c r="B2" s="1530" t="s">
        <v>7081</v>
      </c>
      <c r="C2" s="707" t="s">
        <v>7350</v>
      </c>
      <c r="D2" s="708" t="s">
        <v>7351</v>
      </c>
      <c r="E2" s="707" t="s">
        <v>7352</v>
      </c>
      <c r="F2" s="1529" t="s">
        <v>7353</v>
      </c>
      <c r="G2" s="708" t="s">
        <v>7354</v>
      </c>
      <c r="H2" s="707" t="s">
        <v>7355</v>
      </c>
      <c r="I2" s="707" t="s">
        <v>7356</v>
      </c>
      <c r="J2" s="707" t="s">
        <v>7357</v>
      </c>
      <c r="K2" s="1529" t="s">
        <v>7358</v>
      </c>
      <c r="L2" s="707" t="s">
        <v>7359</v>
      </c>
      <c r="M2" s="708" t="s">
        <v>7360</v>
      </c>
      <c r="N2" s="707" t="s">
        <v>7361</v>
      </c>
      <c r="O2" s="707" t="s">
        <v>7362</v>
      </c>
      <c r="P2" s="1530" t="s">
        <v>7363</v>
      </c>
    </row>
    <row r="3" spans="1:16">
      <c r="A3" s="1529"/>
      <c r="B3" s="1530"/>
      <c r="C3" s="707" t="s">
        <v>7364</v>
      </c>
      <c r="D3" s="708" t="s">
        <v>7365</v>
      </c>
      <c r="E3" s="707" t="s">
        <v>253</v>
      </c>
      <c r="F3" s="1529"/>
      <c r="G3" s="708" t="s">
        <v>7366</v>
      </c>
      <c r="H3" s="707" t="s">
        <v>7367</v>
      </c>
      <c r="I3" s="707" t="s">
        <v>7368</v>
      </c>
      <c r="J3" s="707" t="s">
        <v>7369</v>
      </c>
      <c r="K3" s="1529"/>
      <c r="L3" s="707" t="s">
        <v>7369</v>
      </c>
      <c r="M3" s="708" t="s">
        <v>7369</v>
      </c>
      <c r="N3" s="707" t="s">
        <v>7370</v>
      </c>
      <c r="O3" s="707" t="s">
        <v>7371</v>
      </c>
      <c r="P3" s="1530"/>
    </row>
    <row r="4" spans="1:16">
      <c r="A4" s="710" t="s">
        <v>7372</v>
      </c>
      <c r="B4" s="710" t="s">
        <v>8088</v>
      </c>
      <c r="C4" s="711">
        <f>'02 项目基础信息（输入）'!I69</f>
        <v>74626.7546</v>
      </c>
      <c r="D4" s="711">
        <f>'02 项目基础信息（输入）'!K5</f>
        <v>46561.064599999998</v>
      </c>
      <c r="E4" s="710" t="s">
        <v>8089</v>
      </c>
      <c r="F4" s="710" t="s">
        <v>8090</v>
      </c>
      <c r="G4" s="710" t="s">
        <v>8091</v>
      </c>
      <c r="H4" s="733">
        <v>5.28</v>
      </c>
      <c r="I4" s="710">
        <v>26800</v>
      </c>
      <c r="J4" s="713">
        <f>'04 目标成本控制表'!I49</f>
        <v>11562.564975824353</v>
      </c>
      <c r="K4" s="714">
        <v>0.17</v>
      </c>
      <c r="L4" s="713">
        <v>3000</v>
      </c>
      <c r="M4" s="713">
        <v>1045</v>
      </c>
      <c r="N4" s="713">
        <f>'04 目标成本控制表'!C46</f>
        <v>3207.05</v>
      </c>
      <c r="O4" s="710" t="s">
        <v>19</v>
      </c>
      <c r="P4" s="710" t="s">
        <v>8090</v>
      </c>
    </row>
    <row r="5" spans="1:16">
      <c r="A5" s="715"/>
      <c r="B5" s="715"/>
      <c r="C5" s="716"/>
      <c r="D5" s="716"/>
      <c r="E5" s="715"/>
      <c r="F5" s="715"/>
      <c r="G5" s="715"/>
      <c r="H5" s="717"/>
      <c r="I5" s="715"/>
      <c r="J5" s="718"/>
      <c r="K5" s="719"/>
      <c r="L5" s="718"/>
      <c r="M5" s="715"/>
      <c r="N5" s="718"/>
      <c r="O5" s="715"/>
      <c r="P5" s="715"/>
    </row>
    <row r="6" spans="1:16" s="706" customFormat="1" ht="16">
      <c r="A6" s="1531" t="s">
        <v>7373</v>
      </c>
      <c r="B6" s="1531"/>
      <c r="C6" s="1531"/>
      <c r="D6" s="1531"/>
      <c r="E6" s="1531"/>
      <c r="F6" s="1531"/>
      <c r="G6" s="1531"/>
      <c r="H6" s="1531"/>
      <c r="I6" s="1531"/>
    </row>
    <row r="7" spans="1:16" s="706" customFormat="1" ht="28">
      <c r="A7" s="720" t="s">
        <v>6913</v>
      </c>
      <c r="B7" s="720" t="s">
        <v>6914</v>
      </c>
      <c r="C7" s="720" t="s">
        <v>7374</v>
      </c>
      <c r="D7" s="720" t="s">
        <v>7375</v>
      </c>
      <c r="E7" s="720" t="s">
        <v>7068</v>
      </c>
      <c r="F7" s="720" t="s">
        <v>7376</v>
      </c>
      <c r="G7" s="720" t="s">
        <v>7377</v>
      </c>
      <c r="H7" s="720" t="s">
        <v>7378</v>
      </c>
      <c r="I7" s="720" t="s">
        <v>7379</v>
      </c>
    </row>
    <row r="8" spans="1:16" s="706" customFormat="1" ht="14">
      <c r="A8" s="721">
        <f>C4</f>
        <v>74626.7546</v>
      </c>
      <c r="B8" s="721">
        <f>'02 项目基础信息（输入）'!K11</f>
        <v>46191.064599999998</v>
      </c>
      <c r="C8" s="722">
        <f>'04 目标成本控制表'!C49</f>
        <v>53408.718574000006</v>
      </c>
      <c r="D8" s="722">
        <f>'04 目标成本控制表'!C48</f>
        <v>36116.349194000002</v>
      </c>
      <c r="E8" s="723">
        <f>C8/A8*10000</f>
        <v>7156.7789407795044</v>
      </c>
      <c r="F8" s="723">
        <f>D8/A8*10000</f>
        <v>4839.5979950600722</v>
      </c>
      <c r="G8" s="723">
        <f>C8/B8*10000</f>
        <v>11562.564975824353</v>
      </c>
      <c r="H8" s="723">
        <f>D8/B8*10000</f>
        <v>7818.903830590647</v>
      </c>
      <c r="I8" s="724" t="s">
        <v>8092</v>
      </c>
    </row>
    <row r="9" spans="1:16" s="706" customFormat="1" ht="28">
      <c r="A9" s="720" t="s">
        <v>6748</v>
      </c>
      <c r="B9" s="720" t="s">
        <v>7355</v>
      </c>
      <c r="C9" s="720" t="s">
        <v>448</v>
      </c>
      <c r="D9" s="720" t="s">
        <v>7380</v>
      </c>
      <c r="E9" s="720" t="s">
        <v>7381</v>
      </c>
      <c r="F9" s="1535" t="s">
        <v>78</v>
      </c>
      <c r="G9" s="1536"/>
      <c r="H9" s="1536"/>
      <c r="I9" s="1537"/>
    </row>
    <row r="10" spans="1:16" s="706" customFormat="1" ht="14">
      <c r="A10" s="726" t="s">
        <v>7034</v>
      </c>
      <c r="B10" s="712" t="s">
        <v>8095</v>
      </c>
      <c r="C10" s="727">
        <f>'02 项目基础信息（输入）'!C32</f>
        <v>21931.919999999998</v>
      </c>
      <c r="D10" s="728">
        <f>C10/$A$8</f>
        <v>0.29388816541138985</v>
      </c>
      <c r="E10" s="729" t="s">
        <v>43</v>
      </c>
      <c r="F10" s="1538" t="s">
        <v>8096</v>
      </c>
      <c r="G10" s="1539"/>
      <c r="H10" s="1539"/>
      <c r="I10" s="1540"/>
    </row>
    <row r="11" spans="1:16" s="706" customFormat="1" ht="18" customHeight="1">
      <c r="A11" s="726" t="s">
        <v>8093</v>
      </c>
      <c r="B11" s="712" t="s">
        <v>8094</v>
      </c>
      <c r="C11" s="727">
        <f>B8</f>
        <v>46191.064599999998</v>
      </c>
      <c r="D11" s="728">
        <f>C11/A8</f>
        <v>0.61896118687707202</v>
      </c>
      <c r="E11" s="712">
        <v>3000</v>
      </c>
      <c r="F11" s="1538" t="s">
        <v>8097</v>
      </c>
      <c r="G11" s="1539"/>
      <c r="H11" s="1539"/>
      <c r="I11" s="1540"/>
    </row>
    <row r="12" spans="1:16" s="706" customFormat="1" ht="14">
      <c r="A12" s="726" t="s">
        <v>7383</v>
      </c>
      <c r="B12" s="712" t="s">
        <v>82</v>
      </c>
      <c r="C12" s="727">
        <f>'02 项目基础信息（输入）'!C66</f>
        <v>815</v>
      </c>
      <c r="D12" s="728">
        <f t="shared" ref="D12" si="0">C12/$A$8</f>
        <v>1.0921016254403752E-2</v>
      </c>
      <c r="E12" s="712" t="s">
        <v>43</v>
      </c>
      <c r="F12" s="1538" t="s">
        <v>8098</v>
      </c>
      <c r="G12" s="1539"/>
      <c r="H12" s="1539"/>
      <c r="I12" s="1540"/>
    </row>
    <row r="13" spans="1:16" s="706" customFormat="1" ht="16">
      <c r="A13" s="1531" t="s">
        <v>7384</v>
      </c>
      <c r="B13" s="1531"/>
      <c r="C13" s="1531"/>
      <c r="D13" s="1531"/>
      <c r="E13" s="1531"/>
      <c r="F13" s="1531"/>
      <c r="G13" s="1531"/>
      <c r="H13" s="1531"/>
      <c r="I13" s="1531"/>
    </row>
    <row r="14" spans="1:16" ht="14">
      <c r="A14" s="726" t="s">
        <v>7385</v>
      </c>
      <c r="B14" s="730" t="s">
        <v>6710</v>
      </c>
      <c r="C14" s="730" t="s">
        <v>7386</v>
      </c>
      <c r="D14" s="730" t="s">
        <v>6725</v>
      </c>
      <c r="E14" s="730" t="s">
        <v>18</v>
      </c>
      <c r="F14" s="730" t="s">
        <v>7387</v>
      </c>
      <c r="G14" s="730" t="s">
        <v>1282</v>
      </c>
      <c r="H14" s="730" t="s">
        <v>7388</v>
      </c>
      <c r="I14" s="730" t="s">
        <v>7389</v>
      </c>
    </row>
    <row r="15" spans="1:16" ht="28">
      <c r="A15" s="725" t="s">
        <v>7390</v>
      </c>
      <c r="B15" s="731" t="s">
        <v>7391</v>
      </c>
      <c r="C15" s="731" t="s">
        <v>7392</v>
      </c>
      <c r="D15" s="731" t="s">
        <v>7393</v>
      </c>
      <c r="E15" s="731" t="s">
        <v>7394</v>
      </c>
      <c r="F15" s="731" t="s">
        <v>7395</v>
      </c>
      <c r="G15" s="731" t="s">
        <v>7396</v>
      </c>
      <c r="H15" s="730" t="s">
        <v>7397</v>
      </c>
      <c r="I15" s="730" t="s">
        <v>7397</v>
      </c>
    </row>
    <row r="16" spans="1:16" ht="14">
      <c r="A16" s="725" t="s">
        <v>7398</v>
      </c>
      <c r="B16" s="732">
        <f>B8/A8</f>
        <v>0.61896118687707202</v>
      </c>
      <c r="C16" s="732">
        <f>C10/A8</f>
        <v>0.29388816541138985</v>
      </c>
      <c r="D16" s="732">
        <f>(总指标!E18-总指标!E21)/总指标!E40</f>
        <v>40.461532338308452</v>
      </c>
      <c r="E16" s="732">
        <f>总指标!E40/总指标!L26</f>
        <v>1.675</v>
      </c>
      <c r="F16" s="732">
        <v>1</v>
      </c>
      <c r="G16" s="732">
        <f>总指标!E55/总指标!E4</f>
        <v>0.81168269093943124</v>
      </c>
      <c r="H16" s="733">
        <v>1</v>
      </c>
      <c r="I16" s="733">
        <v>1</v>
      </c>
    </row>
    <row r="17" spans="1:9" ht="14">
      <c r="A17" s="725" t="s">
        <v>7399</v>
      </c>
      <c r="B17" s="732">
        <v>0.64</v>
      </c>
      <c r="C17" s="732">
        <v>0.36</v>
      </c>
      <c r="D17" s="732">
        <v>39.42</v>
      </c>
      <c r="E17" s="732">
        <v>1.22</v>
      </c>
      <c r="F17" s="732">
        <v>1</v>
      </c>
      <c r="G17" s="732">
        <v>0.8</v>
      </c>
      <c r="H17" s="733">
        <v>1</v>
      </c>
      <c r="I17" s="733">
        <v>1</v>
      </c>
    </row>
    <row r="18" spans="1:9" ht="14">
      <c r="A18" s="725" t="s">
        <v>7095</v>
      </c>
      <c r="B18" s="1532" t="s">
        <v>8099</v>
      </c>
      <c r="C18" s="1533"/>
      <c r="D18" s="1533"/>
      <c r="E18" s="1533"/>
      <c r="F18" s="1533"/>
      <c r="G18" s="1533"/>
      <c r="H18" s="1533"/>
      <c r="I18" s="1534"/>
    </row>
    <row r="19" spans="1:9">
      <c r="B19" s="734"/>
      <c r="C19" s="734"/>
      <c r="D19" s="734"/>
      <c r="E19" s="734"/>
      <c r="F19" s="734"/>
      <c r="G19" s="734"/>
      <c r="H19" s="734"/>
      <c r="I19" s="734"/>
    </row>
    <row r="20" spans="1:9" ht="28" customHeight="1"/>
    <row r="21" spans="1:9" ht="28" customHeight="1"/>
    <row r="22" spans="1:9" ht="28" customHeight="1"/>
    <row r="23" spans="1:9" ht="28" customHeight="1"/>
    <row r="24" spans="1:9" ht="28" customHeight="1"/>
  </sheetData>
  <mergeCells count="13">
    <mergeCell ref="A13:I13"/>
    <mergeCell ref="B18:I18"/>
    <mergeCell ref="A6:I6"/>
    <mergeCell ref="F9:I9"/>
    <mergeCell ref="F10:I10"/>
    <mergeCell ref="F11:I11"/>
    <mergeCell ref="F12:I12"/>
    <mergeCell ref="A1:P1"/>
    <mergeCell ref="A2:A3"/>
    <mergeCell ref="B2:B3"/>
    <mergeCell ref="F2:F3"/>
    <mergeCell ref="K2:K3"/>
    <mergeCell ref="P2:P3"/>
  </mergeCells>
  <phoneticPr fontId="84" type="noConversion"/>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3C2AA-3128-5D4F-B5A6-A60AE8756D60}">
  <sheetPr>
    <tabColor rgb="FF1F4A7E"/>
  </sheetPr>
  <dimension ref="A1:AH93"/>
  <sheetViews>
    <sheetView view="pageBreakPreview" topLeftCell="C1" zoomScale="125" zoomScaleNormal="78" workbookViewId="0">
      <selection activeCell="O16" sqref="O16"/>
    </sheetView>
  </sheetViews>
  <sheetFormatPr baseColWidth="10" defaultColWidth="9.6640625" defaultRowHeight="13" customHeight="1"/>
  <cols>
    <col min="1" max="1" width="14" style="741" customWidth="1"/>
    <col min="2" max="2" width="8.83203125" style="741" customWidth="1"/>
    <col min="3" max="3" width="27.83203125" style="741" customWidth="1"/>
    <col min="4" max="4" width="6.33203125" style="741" customWidth="1"/>
    <col min="5" max="5" width="15.6640625" style="947" customWidth="1"/>
    <col min="6" max="6" width="19.6640625" style="737" customWidth="1"/>
    <col min="7" max="7" width="14.5" style="736" customWidth="1"/>
    <col min="8" max="8" width="10.5" style="820" bestFit="1" customWidth="1"/>
    <col min="9" max="9" width="13.6640625" style="738" customWidth="1"/>
    <col min="10" max="10" width="12.33203125" style="738" customWidth="1"/>
    <col min="11" max="11" width="11.83203125" style="738" customWidth="1"/>
    <col min="12" max="12" width="11.1640625" style="738" customWidth="1"/>
    <col min="13" max="13" width="11.6640625" style="738" customWidth="1"/>
    <col min="14" max="14" width="13.1640625" style="738" bestFit="1" customWidth="1"/>
    <col min="15" max="15" width="13.5" style="738" bestFit="1" customWidth="1"/>
    <col min="16" max="16" width="13.1640625" style="738" bestFit="1" customWidth="1"/>
    <col min="17" max="17" width="13.33203125" style="738" customWidth="1"/>
    <col min="18" max="18" width="17.5" style="738" bestFit="1" customWidth="1"/>
    <col min="19" max="19" width="11.83203125" style="738" customWidth="1"/>
    <col min="20" max="20" width="9.6640625" style="1030"/>
    <col min="21" max="25" width="9.6640625" style="738"/>
    <col min="26" max="26" width="25" style="1030" customWidth="1"/>
    <col min="27" max="27" width="13.5" style="738" customWidth="1"/>
    <col min="28" max="28" width="10.5" style="1030" bestFit="1" customWidth="1"/>
    <col min="29" max="16384" width="9.6640625" style="1030"/>
  </cols>
  <sheetData>
    <row r="1" spans="1:27" ht="13" customHeight="1" thickBot="1">
      <c r="B1" s="946" t="s">
        <v>6884</v>
      </c>
      <c r="G1" s="735"/>
      <c r="H1" s="736"/>
      <c r="I1" s="737"/>
      <c r="J1" s="737"/>
      <c r="K1" s="737"/>
      <c r="L1" s="737"/>
      <c r="M1" s="737"/>
      <c r="N1" s="737"/>
      <c r="O1" s="737"/>
      <c r="AA1" s="739"/>
    </row>
    <row r="2" spans="1:27" ht="13" customHeight="1" thickBot="1">
      <c r="B2" s="1578" t="str">
        <f>"地块经济技术指标"</f>
        <v>地块经济技术指标</v>
      </c>
      <c r="C2" s="1579"/>
      <c r="D2" s="1579"/>
      <c r="E2" s="1579"/>
      <c r="F2" s="1579"/>
      <c r="G2" s="740"/>
      <c r="H2" s="736"/>
      <c r="I2" s="741"/>
      <c r="J2" s="1580" t="s">
        <v>7573</v>
      </c>
      <c r="K2" s="1581"/>
      <c r="L2" s="1030"/>
      <c r="M2" s="1030"/>
      <c r="N2" s="1030"/>
      <c r="T2" s="738"/>
      <c r="AA2" s="739"/>
    </row>
    <row r="3" spans="1:27" ht="13" customHeight="1" thickBot="1">
      <c r="B3" s="742" t="s">
        <v>11</v>
      </c>
      <c r="C3" s="743" t="s">
        <v>7400</v>
      </c>
      <c r="D3" s="744" t="s">
        <v>74</v>
      </c>
      <c r="E3" s="745" t="s">
        <v>7401</v>
      </c>
      <c r="F3" s="746" t="s">
        <v>78</v>
      </c>
      <c r="G3" s="1031" t="s">
        <v>7574</v>
      </c>
      <c r="H3" s="948">
        <v>1.6</v>
      </c>
      <c r="I3" s="741"/>
      <c r="J3" s="747" t="s">
        <v>7402</v>
      </c>
      <c r="K3" s="949">
        <v>370</v>
      </c>
      <c r="L3" s="1032">
        <f>(E26+E23)*0.7%</f>
        <v>368.86384219999997</v>
      </c>
      <c r="M3" s="1033">
        <f>K3-L3</f>
        <v>1.136157800000035</v>
      </c>
      <c r="N3" s="1030">
        <f>E18*0.4%</f>
        <v>87.727679999999992</v>
      </c>
      <c r="T3" s="738"/>
      <c r="AA3" s="748"/>
    </row>
    <row r="4" spans="1:27" ht="13" customHeight="1">
      <c r="A4" s="749"/>
      <c r="B4" s="750">
        <v>1</v>
      </c>
      <c r="C4" s="751" t="s">
        <v>347</v>
      </c>
      <c r="D4" s="752" t="s">
        <v>7575</v>
      </c>
      <c r="E4" s="753">
        <f>E5</f>
        <v>28812.54</v>
      </c>
      <c r="F4" s="754">
        <f>E4/666.67</f>
        <v>43.218593907030467</v>
      </c>
      <c r="G4" s="1582" t="s">
        <v>7576</v>
      </c>
      <c r="H4" s="1583"/>
      <c r="I4" s="741"/>
      <c r="J4" s="747"/>
      <c r="K4" s="949"/>
      <c r="L4" s="1033"/>
      <c r="M4" s="1034"/>
      <c r="N4" s="1030"/>
      <c r="T4" s="950"/>
      <c r="U4" s="950"/>
      <c r="AA4" s="739"/>
    </row>
    <row r="5" spans="1:27" ht="13" customHeight="1" thickBot="1">
      <c r="A5" s="749"/>
      <c r="B5" s="755">
        <v>1.1000000000000001</v>
      </c>
      <c r="C5" s="951" t="s">
        <v>7403</v>
      </c>
      <c r="D5" s="951" t="s">
        <v>7575</v>
      </c>
      <c r="E5" s="952">
        <v>28812.54</v>
      </c>
      <c r="F5" s="953">
        <f>E5/666.67</f>
        <v>43.218593907030467</v>
      </c>
      <c r="G5" s="1584">
        <f>E5*H3</f>
        <v>46100.064000000006</v>
      </c>
      <c r="H5" s="1585"/>
      <c r="I5" s="741"/>
      <c r="J5" s="747"/>
      <c r="K5" s="949"/>
      <c r="L5" s="1033"/>
      <c r="M5" s="1034"/>
      <c r="N5" s="1030"/>
      <c r="T5" s="950"/>
      <c r="U5" s="950"/>
      <c r="AA5" s="739"/>
    </row>
    <row r="6" spans="1:27" ht="13" customHeight="1">
      <c r="A6" s="749"/>
      <c r="B6" s="750">
        <v>2</v>
      </c>
      <c r="C6" s="954" t="s">
        <v>7577</v>
      </c>
      <c r="D6" s="955" t="s">
        <v>7575</v>
      </c>
      <c r="E6" s="766">
        <f>SUM(E7:E13)</f>
        <v>46191.064599999998</v>
      </c>
      <c r="F6" s="956" t="s">
        <v>7404</v>
      </c>
      <c r="G6" s="1586"/>
      <c r="H6" s="1587"/>
      <c r="I6" s="749"/>
      <c r="J6" s="747"/>
      <c r="K6" s="949"/>
      <c r="L6" s="1030"/>
      <c r="M6" s="1218"/>
      <c r="N6" s="1030"/>
      <c r="T6" s="950"/>
      <c r="U6" s="950"/>
      <c r="AA6" s="739"/>
    </row>
    <row r="7" spans="1:27" ht="13" customHeight="1" thickBot="1">
      <c r="A7" s="1591" t="s">
        <v>7578</v>
      </c>
      <c r="B7" s="756">
        <v>2.1</v>
      </c>
      <c r="C7" s="1213" t="s">
        <v>7579</v>
      </c>
      <c r="D7" s="1213" t="s">
        <v>7575</v>
      </c>
      <c r="E7" s="1214">
        <f>N24</f>
        <v>28600</v>
      </c>
      <c r="F7" s="958">
        <f t="shared" ref="F7:F9" si="0">E7/$E$6</f>
        <v>0.6191673703056414</v>
      </c>
      <c r="G7" s="959">
        <f>P24</f>
        <v>3146</v>
      </c>
      <c r="H7" s="1601">
        <f>SUM(G7:G17)</f>
        <v>5425.9</v>
      </c>
      <c r="I7" s="1219">
        <f>E7/$E$26</f>
        <v>0.61424712355052125</v>
      </c>
      <c r="J7" s="757" t="s">
        <v>7580</v>
      </c>
      <c r="K7" s="960">
        <f>SUM(K3:K6)</f>
        <v>370</v>
      </c>
      <c r="L7" s="1030"/>
      <c r="M7" s="1030"/>
      <c r="N7" s="1030"/>
      <c r="T7" s="738"/>
      <c r="AA7" s="758"/>
    </row>
    <row r="8" spans="1:27" ht="13" customHeight="1" thickBot="1">
      <c r="A8" s="1592"/>
      <c r="B8" s="756">
        <v>2.2000000000000002</v>
      </c>
      <c r="C8" s="1213" t="s">
        <v>7581</v>
      </c>
      <c r="D8" s="1213" t="s">
        <v>7575</v>
      </c>
      <c r="E8" s="1214"/>
      <c r="F8" s="958">
        <f t="shared" si="0"/>
        <v>0</v>
      </c>
      <c r="G8" s="959"/>
      <c r="H8" s="1601"/>
      <c r="I8" s="1220"/>
      <c r="J8" s="759"/>
      <c r="K8" s="961"/>
      <c r="L8" s="1030"/>
      <c r="M8" s="1030"/>
      <c r="N8" s="1030"/>
      <c r="T8" s="738"/>
      <c r="AA8" s="739"/>
    </row>
    <row r="9" spans="1:27" ht="13" customHeight="1">
      <c r="A9" s="1591" t="s">
        <v>7582</v>
      </c>
      <c r="B9" s="756">
        <v>2.2999999999999998</v>
      </c>
      <c r="C9" s="1213" t="s">
        <v>7583</v>
      </c>
      <c r="D9" s="1213" t="s">
        <v>7575</v>
      </c>
      <c r="E9" s="1214"/>
      <c r="F9" s="958">
        <f t="shared" si="0"/>
        <v>0</v>
      </c>
      <c r="G9" s="962"/>
      <c r="H9" s="1601"/>
      <c r="I9" s="741"/>
      <c r="J9" s="760" t="s">
        <v>7584</v>
      </c>
      <c r="K9" s="963">
        <v>50</v>
      </c>
      <c r="L9" s="1030"/>
      <c r="M9" s="1030"/>
      <c r="N9" s="1030"/>
      <c r="T9" s="738"/>
      <c r="AA9" s="739"/>
    </row>
    <row r="10" spans="1:27" ht="13" customHeight="1">
      <c r="A10" s="1593"/>
      <c r="B10" s="756">
        <v>2.4</v>
      </c>
      <c r="C10" s="1213" t="s">
        <v>7583</v>
      </c>
      <c r="D10" s="1213" t="s">
        <v>7575</v>
      </c>
      <c r="E10" s="1214"/>
      <c r="F10" s="958">
        <f>E10/$E$6</f>
        <v>0</v>
      </c>
      <c r="G10" s="959"/>
      <c r="H10" s="1601"/>
      <c r="I10" s="1219"/>
      <c r="J10" s="747" t="s">
        <v>7405</v>
      </c>
      <c r="K10" s="949">
        <v>25</v>
      </c>
      <c r="L10" s="1030"/>
      <c r="M10" s="1030"/>
      <c r="N10" s="1030"/>
      <c r="T10" s="738"/>
      <c r="AA10" s="739"/>
    </row>
    <row r="11" spans="1:27" ht="13" customHeight="1">
      <c r="A11" s="1593"/>
      <c r="B11" s="756">
        <v>2.5</v>
      </c>
      <c r="C11" s="1213" t="s">
        <v>7583</v>
      </c>
      <c r="D11" s="1213" t="s">
        <v>7575</v>
      </c>
      <c r="E11" s="1214"/>
      <c r="F11" s="958">
        <f t="shared" ref="F11:F13" si="1">E11/$E$6</f>
        <v>0</v>
      </c>
      <c r="G11" s="959"/>
      <c r="H11" s="1601"/>
      <c r="I11" s="1219">
        <f>E11/$E$26</f>
        <v>0</v>
      </c>
      <c r="J11" s="747" t="s">
        <v>7585</v>
      </c>
      <c r="K11" s="949">
        <v>50</v>
      </c>
      <c r="L11" s="1030"/>
      <c r="M11" s="1030"/>
      <c r="N11" s="1030"/>
      <c r="T11" s="738"/>
      <c r="AA11" s="739"/>
    </row>
    <row r="12" spans="1:27" ht="13" customHeight="1">
      <c r="A12" s="1592"/>
      <c r="B12" s="756">
        <v>2.6</v>
      </c>
      <c r="C12" s="1213" t="s">
        <v>8055</v>
      </c>
      <c r="D12" s="1213" t="s">
        <v>7575</v>
      </c>
      <c r="E12" s="1214">
        <f>N25</f>
        <v>17591.064600000002</v>
      </c>
      <c r="F12" s="958">
        <f t="shared" si="1"/>
        <v>0.38083262969435872</v>
      </c>
      <c r="G12" s="959">
        <f>P25</f>
        <v>1934.9</v>
      </c>
      <c r="H12" s="1601"/>
      <c r="I12" s="1219">
        <f>E12/$E$26</f>
        <v>0.37780632275319587</v>
      </c>
      <c r="J12" s="747" t="s">
        <v>7406</v>
      </c>
      <c r="K12" s="949">
        <v>320</v>
      </c>
      <c r="L12" s="1030"/>
      <c r="M12" s="1030"/>
      <c r="N12" s="1030"/>
      <c r="T12" s="738"/>
      <c r="AA12" s="739"/>
    </row>
    <row r="13" spans="1:27" ht="13" customHeight="1">
      <c r="A13" s="1602" t="s">
        <v>7586</v>
      </c>
      <c r="B13" s="756">
        <v>2.7</v>
      </c>
      <c r="C13" s="1213" t="s">
        <v>7587</v>
      </c>
      <c r="D13" s="1213" t="s">
        <v>7575</v>
      </c>
      <c r="E13" s="1214"/>
      <c r="F13" s="958">
        <f t="shared" si="1"/>
        <v>0</v>
      </c>
      <c r="G13" s="959"/>
      <c r="H13" s="1601"/>
      <c r="I13" s="1219"/>
      <c r="J13" s="747"/>
      <c r="K13" s="949"/>
      <c r="L13" s="1030"/>
      <c r="M13" s="1030"/>
      <c r="N13" s="1030"/>
      <c r="T13" s="738"/>
      <c r="AA13" s="739"/>
    </row>
    <row r="14" spans="1:27" ht="13" customHeight="1" thickBot="1">
      <c r="A14" s="1602"/>
      <c r="B14" s="761">
        <v>2.8</v>
      </c>
      <c r="C14" s="1213"/>
      <c r="D14" s="964" t="s">
        <v>7575</v>
      </c>
      <c r="E14" s="965"/>
      <c r="F14" s="966"/>
      <c r="G14" s="957"/>
      <c r="H14" s="1601"/>
      <c r="I14" s="762"/>
      <c r="J14" s="747" t="s">
        <v>8056</v>
      </c>
      <c r="K14" s="949">
        <v>1370</v>
      </c>
      <c r="L14" s="1030" t="s">
        <v>8067</v>
      </c>
      <c r="M14" s="1030">
        <v>700</v>
      </c>
      <c r="N14" s="1030">
        <v>6000</v>
      </c>
      <c r="O14" s="738">
        <f>M14*N14</f>
        <v>4200000</v>
      </c>
      <c r="T14" s="738"/>
      <c r="AA14" s="739"/>
    </row>
    <row r="15" spans="1:27" ht="13" customHeight="1">
      <c r="A15" s="749"/>
      <c r="B15" s="750">
        <v>3</v>
      </c>
      <c r="C15" s="954" t="s">
        <v>7407</v>
      </c>
      <c r="D15" s="955" t="s">
        <v>7575</v>
      </c>
      <c r="E15" s="766">
        <f>SUM(E16:E17)</f>
        <v>370</v>
      </c>
      <c r="F15" s="956" t="s">
        <v>7408</v>
      </c>
      <c r="G15" s="957"/>
      <c r="H15" s="1601"/>
      <c r="I15" s="1219">
        <f>E16/E26</f>
        <v>7.9465536962829673E-3</v>
      </c>
      <c r="J15" s="747" t="s">
        <v>7588</v>
      </c>
      <c r="K15" s="949">
        <v>4318.7700000000004</v>
      </c>
      <c r="L15" s="1030" t="s">
        <v>8068</v>
      </c>
      <c r="M15" s="1033">
        <f>K15-M14</f>
        <v>3618.7700000000004</v>
      </c>
      <c r="N15" s="1030">
        <v>2000</v>
      </c>
      <c r="O15" s="738">
        <f>M15*N15</f>
        <v>7237540.0000000009</v>
      </c>
      <c r="P15" s="769"/>
      <c r="T15" s="738"/>
      <c r="AA15" s="739"/>
    </row>
    <row r="16" spans="1:27" ht="13" customHeight="1" thickBot="1">
      <c r="B16" s="756">
        <v>3.1</v>
      </c>
      <c r="C16" s="1213" t="s">
        <v>7589</v>
      </c>
      <c r="D16" s="1213" t="s">
        <v>7575</v>
      </c>
      <c r="E16" s="1214">
        <f>K7</f>
        <v>370</v>
      </c>
      <c r="F16" s="967">
        <f>E16/E25</f>
        <v>4.9580073792998627E-3</v>
      </c>
      <c r="G16" s="959">
        <f>P27</f>
        <v>345</v>
      </c>
      <c r="H16" s="1601"/>
      <c r="I16" s="763"/>
      <c r="J16" s="757" t="s">
        <v>7590</v>
      </c>
      <c r="K16" s="960">
        <f>SUM(K9:K15)</f>
        <v>6133.77</v>
      </c>
      <c r="L16" s="1030"/>
      <c r="M16" s="1033"/>
      <c r="N16" s="1221"/>
      <c r="O16" s="738">
        <f>SUM(O14:O15)/K15</f>
        <v>2648.3327428874422</v>
      </c>
      <c r="T16" s="738"/>
      <c r="AA16" s="739"/>
    </row>
    <row r="17" spans="1:27" ht="13" customHeight="1" thickBot="1">
      <c r="B17" s="755">
        <v>3.2</v>
      </c>
      <c r="C17" s="964" t="s">
        <v>7409</v>
      </c>
      <c r="D17" s="964" t="s">
        <v>7575</v>
      </c>
      <c r="E17" s="770">
        <v>0</v>
      </c>
      <c r="F17" s="967">
        <f>E17/E25</f>
        <v>0</v>
      </c>
      <c r="G17" s="968"/>
      <c r="H17" s="1601"/>
      <c r="I17" s="969"/>
      <c r="J17" s="1030"/>
      <c r="K17" s="1030"/>
      <c r="L17" s="1030"/>
      <c r="M17" s="1033"/>
      <c r="N17" s="1221"/>
      <c r="P17" s="769"/>
      <c r="T17" s="738"/>
      <c r="AA17" s="739"/>
    </row>
    <row r="18" spans="1:27" ht="13" customHeight="1">
      <c r="B18" s="750">
        <v>4</v>
      </c>
      <c r="C18" s="954" t="s">
        <v>92</v>
      </c>
      <c r="D18" s="955" t="s">
        <v>7575</v>
      </c>
      <c r="E18" s="766">
        <f>SUM(E19:E22)</f>
        <v>21931.919999999998</v>
      </c>
      <c r="F18" s="970">
        <f>SUM(F19:F21)</f>
        <v>502.5</v>
      </c>
      <c r="G18" s="1576" t="s">
        <v>7935</v>
      </c>
      <c r="H18" s="1577"/>
      <c r="I18" s="969"/>
      <c r="J18" s="1030"/>
      <c r="K18" s="1030"/>
      <c r="L18" s="1030"/>
      <c r="M18" s="1033"/>
      <c r="N18" s="1030"/>
      <c r="T18" s="738"/>
      <c r="AA18" s="739"/>
    </row>
    <row r="19" spans="1:27" ht="13" customHeight="1">
      <c r="B19" s="756">
        <v>4.0999999999999996</v>
      </c>
      <c r="C19" s="1213" t="s">
        <v>7410</v>
      </c>
      <c r="D19" s="1213" t="s">
        <v>7575</v>
      </c>
      <c r="E19" s="1214">
        <v>1776.54</v>
      </c>
      <c r="F19" s="971">
        <f>E47</f>
        <v>41</v>
      </c>
      <c r="G19" s="1574">
        <f>E6*0.04/1.04</f>
        <v>1776.5794076923075</v>
      </c>
      <c r="H19" s="1575"/>
      <c r="I19" s="1222"/>
      <c r="J19" s="1033"/>
      <c r="K19" s="1030"/>
      <c r="L19" s="1033"/>
      <c r="M19" s="1030"/>
      <c r="N19" s="1030"/>
      <c r="T19" s="738"/>
      <c r="AA19" s="739"/>
    </row>
    <row r="20" spans="1:27" ht="13" customHeight="1">
      <c r="B20" s="756">
        <v>4.2</v>
      </c>
      <c r="C20" s="1213" t="s">
        <v>7411</v>
      </c>
      <c r="D20" s="1213" t="s">
        <v>7575</v>
      </c>
      <c r="E20" s="1214">
        <f>21931.92-E19-E21</f>
        <v>18555.379999999997</v>
      </c>
      <c r="F20" s="971">
        <f>E50</f>
        <v>461.5</v>
      </c>
      <c r="G20" s="1576" t="s">
        <v>7936</v>
      </c>
      <c r="H20" s="1577"/>
      <c r="I20" s="768"/>
      <c r="J20" s="1030"/>
      <c r="K20" s="1030"/>
      <c r="L20" s="1030"/>
      <c r="M20" s="1030"/>
      <c r="N20" s="1030"/>
      <c r="T20" s="738"/>
      <c r="AA20" s="739"/>
    </row>
    <row r="21" spans="1:27" ht="13" customHeight="1" thickBot="1">
      <c r="B21" s="756">
        <v>4.3</v>
      </c>
      <c r="C21" s="1213" t="s">
        <v>7591</v>
      </c>
      <c r="D21" s="1213" t="s">
        <v>7575</v>
      </c>
      <c r="E21" s="1214">
        <v>1600</v>
      </c>
      <c r="F21" s="971"/>
      <c r="G21" s="1574">
        <f>E19-G19</f>
        <v>-3.9407692307577236E-2</v>
      </c>
      <c r="H21" s="1575"/>
      <c r="I21" s="781"/>
      <c r="J21" s="973"/>
      <c r="K21" s="974"/>
      <c r="L21" s="974"/>
      <c r="M21" s="749"/>
      <c r="N21" s="749"/>
      <c r="O21" s="741"/>
      <c r="V21" s="769"/>
      <c r="AA21" s="739"/>
    </row>
    <row r="22" spans="1:27" ht="13" customHeight="1" thickBot="1">
      <c r="B22" s="761">
        <v>4.4000000000000004</v>
      </c>
      <c r="C22" s="964" t="s">
        <v>7592</v>
      </c>
      <c r="D22" s="964" t="s">
        <v>7575</v>
      </c>
      <c r="E22" s="770"/>
      <c r="F22" s="975"/>
      <c r="G22" s="1576" t="s">
        <v>7937</v>
      </c>
      <c r="H22" s="1577"/>
      <c r="I22" s="1594" t="s">
        <v>7593</v>
      </c>
      <c r="J22" s="1595"/>
      <c r="K22" s="1595"/>
      <c r="L22" s="1595"/>
      <c r="M22" s="1595"/>
      <c r="N22" s="1595"/>
      <c r="O22" s="1595"/>
      <c r="P22" s="1595"/>
      <c r="Q22" s="1595"/>
      <c r="R22" s="1596"/>
      <c r="S22" s="1030"/>
      <c r="T22" s="738"/>
      <c r="Y22" s="1030"/>
      <c r="Z22" s="739"/>
      <c r="AA22" s="1030"/>
    </row>
    <row r="23" spans="1:27" ht="13" customHeight="1" thickBot="1">
      <c r="A23" s="749"/>
      <c r="B23" s="771">
        <v>5</v>
      </c>
      <c r="C23" s="772" t="s">
        <v>8057</v>
      </c>
      <c r="D23" s="773" t="s">
        <v>7575</v>
      </c>
      <c r="E23" s="976">
        <f>K16</f>
        <v>6133.77</v>
      </c>
      <c r="F23" s="774"/>
      <c r="G23" s="1574">
        <f>E25*0.08/1.08</f>
        <v>5527.9077481481481</v>
      </c>
      <c r="H23" s="1575"/>
      <c r="I23" s="786" t="s">
        <v>8010</v>
      </c>
      <c r="J23" s="787" t="s">
        <v>7418</v>
      </c>
      <c r="K23" s="787" t="s">
        <v>7419</v>
      </c>
      <c r="L23" s="787" t="s">
        <v>309</v>
      </c>
      <c r="M23" s="787" t="s">
        <v>7420</v>
      </c>
      <c r="N23" s="787" t="s">
        <v>216</v>
      </c>
      <c r="O23" s="787" t="s">
        <v>7421</v>
      </c>
      <c r="P23" s="787" t="s">
        <v>7594</v>
      </c>
      <c r="Q23" s="787" t="s">
        <v>7595</v>
      </c>
      <c r="R23" s="788" t="s">
        <v>7596</v>
      </c>
      <c r="S23" s="1030"/>
      <c r="T23" s="738"/>
      <c r="Y23" s="1030"/>
      <c r="Z23" s="739"/>
      <c r="AA23" s="1030"/>
    </row>
    <row r="24" spans="1:27" ht="13" customHeight="1" thickBot="1">
      <c r="A24" s="749"/>
      <c r="B24" s="776">
        <v>6</v>
      </c>
      <c r="C24" s="777" t="s">
        <v>7597</v>
      </c>
      <c r="D24" s="778" t="s">
        <v>7575</v>
      </c>
      <c r="E24" s="779">
        <f>E6+E13+E14</f>
        <v>46191.064599999998</v>
      </c>
      <c r="F24" s="780"/>
      <c r="G24" s="775"/>
      <c r="H24" s="775"/>
      <c r="I24" s="977" t="s">
        <v>8011</v>
      </c>
      <c r="J24" s="1216">
        <v>143</v>
      </c>
      <c r="K24" s="978" t="s">
        <v>7598</v>
      </c>
      <c r="L24" s="979">
        <v>200</v>
      </c>
      <c r="M24" s="980">
        <f>L24/$L$26</f>
        <v>0.66666666666666663</v>
      </c>
      <c r="N24" s="981">
        <f>ROUND(J24*L24,2)</f>
        <v>28600</v>
      </c>
      <c r="O24" s="980">
        <f>N24/$N$26</f>
        <v>0.6191673703056414</v>
      </c>
      <c r="P24" s="981">
        <v>3146</v>
      </c>
      <c r="Q24" s="982">
        <f>L24*1</f>
        <v>200</v>
      </c>
      <c r="R24" s="1223">
        <f>N24/$E$26</f>
        <v>0.61424712355052125</v>
      </c>
      <c r="S24" s="1030"/>
      <c r="T24" s="738"/>
      <c r="Y24" s="1030"/>
      <c r="Z24" s="739"/>
      <c r="AA24" s="1030"/>
    </row>
    <row r="25" spans="1:27" ht="13" customHeight="1" thickBot="1">
      <c r="A25" s="749"/>
      <c r="B25" s="776">
        <v>7</v>
      </c>
      <c r="C25" s="777" t="s">
        <v>256</v>
      </c>
      <c r="D25" s="778" t="s">
        <v>7575</v>
      </c>
      <c r="E25" s="779">
        <f>E6+E15+E18+E23</f>
        <v>74626.7546</v>
      </c>
      <c r="F25" s="780" t="s">
        <v>7412</v>
      </c>
      <c r="G25" s="1597" t="s">
        <v>7599</v>
      </c>
      <c r="H25" s="1598"/>
      <c r="I25" s="977" t="s">
        <v>8011</v>
      </c>
      <c r="J25" s="1216">
        <v>176</v>
      </c>
      <c r="K25" s="978" t="s">
        <v>7600</v>
      </c>
      <c r="L25" s="979">
        <v>100</v>
      </c>
      <c r="M25" s="980">
        <f>L25/$L$26</f>
        <v>0.33333333333333331</v>
      </c>
      <c r="N25" s="981">
        <f>ROUND(J25*L25,2)-8.9354</f>
        <v>17591.064600000002</v>
      </c>
      <c r="O25" s="980">
        <f>N25/$N$26</f>
        <v>0.38083262969435872</v>
      </c>
      <c r="P25" s="981">
        <v>1934.9</v>
      </c>
      <c r="Q25" s="982">
        <f>L25*1.2</f>
        <v>120</v>
      </c>
      <c r="R25" s="1223">
        <f t="shared" ref="R25" si="2">N25/$E$26</f>
        <v>0.37780632275319587</v>
      </c>
      <c r="S25" s="1030"/>
      <c r="T25" s="789"/>
      <c r="Y25" s="1030"/>
      <c r="Z25" s="739"/>
      <c r="AA25" s="1030"/>
    </row>
    <row r="26" spans="1:27" ht="13" customHeight="1" thickBot="1">
      <c r="A26" s="749"/>
      <c r="B26" s="776">
        <v>8</v>
      </c>
      <c r="C26" s="777" t="s">
        <v>7413</v>
      </c>
      <c r="D26" s="778" t="s">
        <v>7575</v>
      </c>
      <c r="E26" s="779">
        <f>E6+E15</f>
        <v>46561.064599999998</v>
      </c>
      <c r="F26" s="780" t="s">
        <v>7414</v>
      </c>
      <c r="G26" s="1599">
        <f>E26-G5-H27</f>
        <v>-7.9012352216523141E-12</v>
      </c>
      <c r="H26" s="1600"/>
      <c r="I26" s="983"/>
      <c r="J26" s="984"/>
      <c r="K26" s="984"/>
      <c r="L26" s="985">
        <f t="shared" ref="L26:R26" si="3">SUM(L24:L25)</f>
        <v>300</v>
      </c>
      <c r="M26" s="986">
        <f t="shared" si="3"/>
        <v>1</v>
      </c>
      <c r="N26" s="987">
        <f t="shared" si="3"/>
        <v>46191.064599999998</v>
      </c>
      <c r="O26" s="988">
        <f t="shared" si="3"/>
        <v>1</v>
      </c>
      <c r="P26" s="987">
        <f t="shared" si="3"/>
        <v>5080.8999999999996</v>
      </c>
      <c r="Q26" s="989">
        <f>SUM(Q24:Q25)</f>
        <v>320</v>
      </c>
      <c r="R26" s="1224">
        <f t="shared" si="3"/>
        <v>0.99205344630371717</v>
      </c>
      <c r="S26" s="1030"/>
      <c r="T26" s="738"/>
      <c r="Y26" s="1030"/>
      <c r="Z26" s="739"/>
      <c r="AA26" s="1030"/>
    </row>
    <row r="27" spans="1:27" ht="13" customHeight="1" thickBot="1">
      <c r="A27" s="749"/>
      <c r="B27" s="776">
        <v>9</v>
      </c>
      <c r="C27" s="777" t="s">
        <v>297</v>
      </c>
      <c r="D27" s="778" t="s">
        <v>7415</v>
      </c>
      <c r="E27" s="779">
        <f>E26/E4</f>
        <v>1.6159999986117155</v>
      </c>
      <c r="F27" s="780" t="s">
        <v>7416</v>
      </c>
      <c r="G27" s="736" t="s">
        <v>7938</v>
      </c>
      <c r="H27" s="1217">
        <f>ROUND(G5*1%,4)</f>
        <v>461.00060000000002</v>
      </c>
      <c r="O27" s="738" t="s">
        <v>7428</v>
      </c>
      <c r="P27" s="994">
        <v>345</v>
      </c>
      <c r="Q27" s="1344">
        <f>Q26/L26</f>
        <v>1.0666666666666667</v>
      </c>
      <c r="R27" s="1225">
        <f>E13/E26</f>
        <v>0</v>
      </c>
      <c r="S27" s="1030"/>
      <c r="T27" s="738"/>
      <c r="Y27" s="1030"/>
      <c r="Z27" s="739"/>
      <c r="AA27" s="1030"/>
    </row>
    <row r="28" spans="1:27" ht="13" customHeight="1">
      <c r="A28" s="764"/>
      <c r="B28" s="990"/>
      <c r="C28" s="990"/>
      <c r="D28" s="991"/>
      <c r="E28" s="992"/>
      <c r="F28" s="993"/>
      <c r="H28" s="736"/>
      <c r="I28" s="996"/>
      <c r="J28" s="996"/>
      <c r="K28" s="996"/>
      <c r="L28" s="996"/>
      <c r="M28" s="996"/>
      <c r="N28" s="1227"/>
      <c r="O28" s="738" t="s">
        <v>1363</v>
      </c>
      <c r="P28" s="994"/>
      <c r="Q28" s="1228"/>
      <c r="R28" s="1221">
        <f>E16/E26</f>
        <v>7.9465536962829673E-3</v>
      </c>
      <c r="S28" s="1030"/>
      <c r="T28" s="738"/>
      <c r="Y28" s="1030"/>
      <c r="Z28" s="739"/>
      <c r="AA28" s="1030"/>
    </row>
    <row r="29" spans="1:27" ht="13" customHeight="1">
      <c r="A29" s="782" t="s">
        <v>7417</v>
      </c>
      <c r="B29" s="1603" t="s">
        <v>7601</v>
      </c>
      <c r="C29" s="782" t="s">
        <v>6428</v>
      </c>
      <c r="D29" s="782" t="s">
        <v>7602</v>
      </c>
      <c r="E29" s="798">
        <f>E6</f>
        <v>46191.064599999998</v>
      </c>
      <c r="F29" s="784">
        <f>E29/$E$26</f>
        <v>0.99205344630371706</v>
      </c>
      <c r="G29" s="1226"/>
      <c r="H29" s="995"/>
      <c r="I29" s="996"/>
      <c r="J29" s="996"/>
      <c r="K29" s="996"/>
      <c r="L29" s="996"/>
      <c r="M29" s="999"/>
      <c r="N29" s="996"/>
      <c r="O29" s="738" t="s">
        <v>7431</v>
      </c>
      <c r="P29" s="994">
        <f>SUM(P26:P28)</f>
        <v>5425.9</v>
      </c>
      <c r="Q29" s="1229"/>
      <c r="R29" s="1230">
        <f>R26+R28</f>
        <v>1.0000000000000002</v>
      </c>
      <c r="S29" s="1030"/>
      <c r="T29" s="738"/>
      <c r="Y29" s="1030"/>
      <c r="Z29" s="739"/>
      <c r="AA29" s="1030"/>
    </row>
    <row r="30" spans="1:27" ht="13" customHeight="1">
      <c r="A30" s="764"/>
      <c r="B30" s="1603"/>
      <c r="C30" s="782" t="s">
        <v>7422</v>
      </c>
      <c r="D30" s="782" t="s">
        <v>7602</v>
      </c>
      <c r="E30" s="798">
        <f>E13</f>
        <v>0</v>
      </c>
      <c r="F30" s="784">
        <f>E30/$E$26</f>
        <v>0</v>
      </c>
      <c r="G30" s="997"/>
      <c r="H30" s="998"/>
      <c r="I30" s="794"/>
      <c r="J30" s="1000"/>
      <c r="K30" s="794"/>
      <c r="L30" s="1229"/>
      <c r="M30" s="794"/>
      <c r="N30" s="794"/>
      <c r="O30" s="1227"/>
      <c r="P30" s="794"/>
      <c r="Q30" s="794"/>
      <c r="S30" s="804"/>
      <c r="AA30" s="739"/>
    </row>
    <row r="31" spans="1:27" ht="13" customHeight="1">
      <c r="A31" s="790"/>
      <c r="B31" s="1603"/>
      <c r="C31" s="782" t="s">
        <v>7603</v>
      </c>
      <c r="D31" s="782" t="s">
        <v>7602</v>
      </c>
      <c r="E31" s="798">
        <f>E16</f>
        <v>370</v>
      </c>
      <c r="F31" s="784">
        <f>E31/$E$26</f>
        <v>7.9465536962829673E-3</v>
      </c>
      <c r="G31" s="997"/>
      <c r="H31" s="998"/>
      <c r="M31" s="789"/>
      <c r="O31" s="789"/>
      <c r="P31" s="1231"/>
      <c r="AA31" s="739"/>
    </row>
    <row r="32" spans="1:27" ht="13" customHeight="1">
      <c r="A32" s="1001"/>
      <c r="B32" s="1588" t="s">
        <v>7604</v>
      </c>
      <c r="C32" s="782" t="s">
        <v>260</v>
      </c>
      <c r="D32" s="782" t="s">
        <v>310</v>
      </c>
      <c r="E32" s="798">
        <f>L26</f>
        <v>300</v>
      </c>
      <c r="F32" s="785"/>
      <c r="G32" s="1002"/>
      <c r="H32" s="1003"/>
      <c r="T32" s="1035"/>
      <c r="AA32" s="739"/>
    </row>
    <row r="33" spans="1:27" ht="13" customHeight="1" thickBot="1">
      <c r="A33" s="1004"/>
      <c r="B33" s="1588"/>
      <c r="C33" s="782" t="s">
        <v>7586</v>
      </c>
      <c r="D33" s="782" t="s">
        <v>310</v>
      </c>
      <c r="E33" s="798"/>
      <c r="F33" s="791"/>
      <c r="G33" s="792"/>
      <c r="H33" s="792"/>
      <c r="I33" s="794"/>
      <c r="J33" s="794"/>
      <c r="K33" s="794"/>
      <c r="L33" s="794"/>
      <c r="M33" s="794"/>
      <c r="N33" s="794"/>
      <c r="O33" s="794"/>
      <c r="P33" s="1007"/>
      <c r="T33" s="1035"/>
      <c r="AA33" s="739"/>
    </row>
    <row r="34" spans="1:27" ht="13" customHeight="1">
      <c r="A34" s="1005"/>
      <c r="B34" s="1588"/>
      <c r="C34" s="793" t="s">
        <v>7423</v>
      </c>
      <c r="D34" s="782" t="s">
        <v>310</v>
      </c>
      <c r="E34" s="1006">
        <f>E32</f>
        <v>300</v>
      </c>
      <c r="F34" s="791"/>
      <c r="G34" s="972"/>
      <c r="H34" s="794"/>
      <c r="I34" s="794"/>
      <c r="J34" s="794"/>
      <c r="N34" s="794"/>
      <c r="O34" s="1565" t="s">
        <v>6941</v>
      </c>
      <c r="P34" s="1566"/>
      <c r="Q34" s="1566"/>
      <c r="R34" s="1567"/>
      <c r="S34" s="1239" t="s">
        <v>216</v>
      </c>
      <c r="T34" s="1288" t="s">
        <v>74</v>
      </c>
      <c r="V34" s="1568" t="s">
        <v>8012</v>
      </c>
      <c r="W34" s="1569"/>
      <c r="X34" s="1569"/>
      <c r="Y34" s="1569"/>
      <c r="Z34" s="1570"/>
      <c r="AA34" s="739"/>
    </row>
    <row r="35" spans="1:27" ht="13" customHeight="1">
      <c r="A35" s="1001"/>
      <c r="B35" s="1588" t="s">
        <v>7605</v>
      </c>
      <c r="C35" s="782" t="s">
        <v>7606</v>
      </c>
      <c r="D35" s="782" t="s">
        <v>400</v>
      </c>
      <c r="E35" s="1008">
        <f>ROUNDUP(MAX(E6/100*1.2,E32/1.2),0)*90%</f>
        <v>499.5</v>
      </c>
      <c r="F35" s="1009" t="s">
        <v>7607</v>
      </c>
      <c r="G35" s="796"/>
      <c r="H35" s="1003"/>
      <c r="I35" s="794"/>
      <c r="J35" s="794"/>
      <c r="N35" s="794"/>
      <c r="O35" s="1571" t="s">
        <v>7939</v>
      </c>
      <c r="P35" s="1572"/>
      <c r="Q35" s="1572"/>
      <c r="R35" s="1573"/>
      <c r="S35" s="1289">
        <f>E5</f>
        <v>28812.54</v>
      </c>
      <c r="T35" s="1290" t="s">
        <v>93</v>
      </c>
      <c r="V35" s="1568" t="s">
        <v>8013</v>
      </c>
      <c r="W35" s="1569"/>
      <c r="X35" s="1570"/>
      <c r="Y35" s="1291" t="s">
        <v>8014</v>
      </c>
      <c r="Z35" s="1291" t="s">
        <v>78</v>
      </c>
      <c r="AA35" s="739"/>
    </row>
    <row r="36" spans="1:27" ht="13" customHeight="1">
      <c r="A36" s="1001"/>
      <c r="B36" s="1588"/>
      <c r="C36" s="782" t="s">
        <v>7608</v>
      </c>
      <c r="D36" s="782" t="s">
        <v>400</v>
      </c>
      <c r="E36" s="1008">
        <f>ROUNDUP((E30)/100*0.6,0)</f>
        <v>0</v>
      </c>
      <c r="F36" s="1009" t="s">
        <v>7609</v>
      </c>
      <c r="G36" s="1002"/>
      <c r="H36" s="1003"/>
      <c r="I36" s="794"/>
      <c r="J36" s="794"/>
      <c r="N36" s="794"/>
      <c r="O36" s="1546" t="s">
        <v>330</v>
      </c>
      <c r="P36" s="1544"/>
      <c r="Q36" s="1544"/>
      <c r="R36" s="1545"/>
      <c r="S36" s="1292">
        <f>S40</f>
        <v>46191</v>
      </c>
      <c r="T36" s="1293" t="s">
        <v>93</v>
      </c>
      <c r="V36" s="1554" t="s">
        <v>8015</v>
      </c>
      <c r="W36" s="1555"/>
      <c r="X36" s="1556"/>
      <c r="Y36" s="1294">
        <f>S40</f>
        <v>46191</v>
      </c>
      <c r="Z36" s="1295"/>
      <c r="AA36" s="739"/>
    </row>
    <row r="37" spans="1:27" ht="15" customHeight="1">
      <c r="A37" s="1001"/>
      <c r="B37" s="1588"/>
      <c r="C37" s="782" t="s">
        <v>7610</v>
      </c>
      <c r="D37" s="782" t="s">
        <v>400</v>
      </c>
      <c r="E37" s="1008">
        <f>ROUNDUP(E31/100*0.8,0)</f>
        <v>3</v>
      </c>
      <c r="F37" s="1009" t="s">
        <v>7611</v>
      </c>
      <c r="G37" s="1002"/>
      <c r="H37" s="1003"/>
      <c r="I37" s="794"/>
      <c r="J37" s="794"/>
      <c r="N37" s="794"/>
      <c r="O37" s="1562" t="s">
        <v>256</v>
      </c>
      <c r="P37" s="1589"/>
      <c r="Q37" s="1589"/>
      <c r="R37" s="1590"/>
      <c r="S37" s="1296">
        <f>S38+S51</f>
        <v>73257</v>
      </c>
      <c r="T37" s="1297" t="s">
        <v>93</v>
      </c>
      <c r="V37" s="1554" t="s">
        <v>7407</v>
      </c>
      <c r="W37" s="1555"/>
      <c r="X37" s="1556"/>
      <c r="Y37" s="1294">
        <f>S42+S46</f>
        <v>815</v>
      </c>
      <c r="Z37" s="1298" t="s">
        <v>8016</v>
      </c>
      <c r="AA37" s="739"/>
    </row>
    <row r="38" spans="1:27" ht="15.5" customHeight="1">
      <c r="A38" s="1004"/>
      <c r="B38" s="795"/>
      <c r="C38" s="782" t="s">
        <v>7424</v>
      </c>
      <c r="D38" s="782" t="s">
        <v>400</v>
      </c>
      <c r="E38" s="1008">
        <v>20</v>
      </c>
      <c r="F38" s="1009" t="s">
        <v>7612</v>
      </c>
      <c r="G38" s="775">
        <f>E39*4%</f>
        <v>20.900000000000002</v>
      </c>
      <c r="H38" s="1003"/>
      <c r="I38" s="794"/>
      <c r="J38" s="794"/>
      <c r="N38" s="794"/>
      <c r="O38" s="1562" t="s">
        <v>7940</v>
      </c>
      <c r="P38" s="1589"/>
      <c r="Q38" s="1589"/>
      <c r="R38" s="1590"/>
      <c r="S38" s="1296">
        <f>S39+S44</f>
        <v>51325</v>
      </c>
      <c r="T38" s="1297" t="s">
        <v>93</v>
      </c>
      <c r="V38" s="1554" t="s">
        <v>8017</v>
      </c>
      <c r="W38" s="1555"/>
      <c r="X38" s="1556"/>
      <c r="Y38" s="1294">
        <f>S60</f>
        <v>300</v>
      </c>
      <c r="Z38" s="1295"/>
      <c r="AA38" s="739"/>
    </row>
    <row r="39" spans="1:27" ht="13.25" customHeight="1">
      <c r="A39" s="1005"/>
      <c r="B39" s="795"/>
      <c r="C39" s="793" t="s">
        <v>7425</v>
      </c>
      <c r="D39" s="793" t="s">
        <v>400</v>
      </c>
      <c r="E39" s="1006">
        <f>E35+E36+E37+E38</f>
        <v>522.5</v>
      </c>
      <c r="F39" s="797"/>
      <c r="G39" s="1232">
        <f>E38/E39</f>
        <v>3.8277511961722487E-2</v>
      </c>
      <c r="H39" s="797"/>
      <c r="I39" s="794"/>
      <c r="J39" s="794"/>
      <c r="N39" s="794"/>
      <c r="O39" s="1551" t="s">
        <v>7941</v>
      </c>
      <c r="P39" s="1543" t="s">
        <v>7942</v>
      </c>
      <c r="Q39" s="1544"/>
      <c r="R39" s="1545"/>
      <c r="S39" s="1292">
        <f>S40+S42</f>
        <v>46561</v>
      </c>
      <c r="T39" s="1293" t="s">
        <v>93</v>
      </c>
      <c r="V39" s="1299" t="s">
        <v>8018</v>
      </c>
      <c r="W39" s="1554" t="s">
        <v>8019</v>
      </c>
      <c r="X39" s="1556"/>
      <c r="Y39" s="1294">
        <f>E35</f>
        <v>499.5</v>
      </c>
      <c r="Z39" s="1298" t="s">
        <v>8020</v>
      </c>
      <c r="AA39" s="739"/>
    </row>
    <row r="40" spans="1:27" ht="13.25" customHeight="1">
      <c r="A40" s="783"/>
      <c r="B40" s="782"/>
      <c r="C40" s="793" t="s">
        <v>405</v>
      </c>
      <c r="D40" s="782" t="s">
        <v>400</v>
      </c>
      <c r="E40" s="1006">
        <f>E39-E38</f>
        <v>502.5</v>
      </c>
      <c r="F40" s="799" t="s">
        <v>7426</v>
      </c>
      <c r="G40" s="1010">
        <f>(E39-E40)/E39</f>
        <v>3.8277511961722487E-2</v>
      </c>
      <c r="H40" s="1011"/>
      <c r="I40" s="794"/>
      <c r="J40" s="794"/>
      <c r="N40" s="794"/>
      <c r="O40" s="1552"/>
      <c r="P40" s="1557" t="s">
        <v>7941</v>
      </c>
      <c r="Q40" s="1543" t="s">
        <v>260</v>
      </c>
      <c r="R40" s="1545"/>
      <c r="S40" s="1292">
        <f>SUM(S41:S41)</f>
        <v>46191</v>
      </c>
      <c r="T40" s="1293" t="s">
        <v>93</v>
      </c>
      <c r="V40" s="1300"/>
      <c r="W40" s="1554" t="s">
        <v>8021</v>
      </c>
      <c r="X40" s="1556"/>
      <c r="Y40" s="1294">
        <f>E37</f>
        <v>3</v>
      </c>
      <c r="Z40" s="1301" t="s">
        <v>8022</v>
      </c>
      <c r="AA40" s="739"/>
    </row>
    <row r="41" spans="1:27" ht="13.25" customHeight="1">
      <c r="A41" s="783"/>
      <c r="B41" s="1030"/>
      <c r="C41" s="782" t="s">
        <v>7427</v>
      </c>
      <c r="D41" s="782" t="s">
        <v>400</v>
      </c>
      <c r="E41" s="798">
        <f>E40-E42</f>
        <v>502.5</v>
      </c>
      <c r="F41" s="797"/>
      <c r="G41" s="800"/>
      <c r="H41" s="1003"/>
      <c r="I41" s="794"/>
      <c r="J41" s="794"/>
      <c r="N41" s="794"/>
      <c r="O41" s="1552"/>
      <c r="P41" s="1558"/>
      <c r="Q41" s="1233" t="s">
        <v>7941</v>
      </c>
      <c r="R41" s="1234" t="s">
        <v>7943</v>
      </c>
      <c r="S41" s="1292">
        <f>ROUND(E6,0)</f>
        <v>46191</v>
      </c>
      <c r="T41" s="1293" t="s">
        <v>93</v>
      </c>
      <c r="V41" s="1302"/>
      <c r="W41" s="1554" t="s">
        <v>7424</v>
      </c>
      <c r="X41" s="1556"/>
      <c r="Y41" s="1294">
        <f>E38</f>
        <v>20</v>
      </c>
      <c r="Z41" s="1303" t="s">
        <v>8023</v>
      </c>
      <c r="AA41" s="739"/>
    </row>
    <row r="42" spans="1:27" ht="13.25" customHeight="1">
      <c r="A42" s="1012"/>
      <c r="B42" s="782"/>
      <c r="C42" s="801" t="s">
        <v>7429</v>
      </c>
      <c r="D42" s="782" t="s">
        <v>400</v>
      </c>
      <c r="E42" s="798">
        <v>0</v>
      </c>
      <c r="F42" s="791">
        <f>E18/E41</f>
        <v>43.645611940298501</v>
      </c>
      <c r="G42" s="800"/>
      <c r="H42" s="1003"/>
      <c r="I42" s="794"/>
      <c r="J42" s="794"/>
      <c r="N42" s="794"/>
      <c r="O42" s="1552"/>
      <c r="P42" s="1558"/>
      <c r="Q42" s="1543" t="s">
        <v>7944</v>
      </c>
      <c r="R42" s="1545"/>
      <c r="S42" s="1304">
        <f>SUM(S43:S43)</f>
        <v>370</v>
      </c>
      <c r="T42" s="1293" t="s">
        <v>93</v>
      </c>
      <c r="V42" s="1554" t="s">
        <v>7425</v>
      </c>
      <c r="W42" s="1555"/>
      <c r="X42" s="1556"/>
      <c r="Y42" s="1294">
        <f>SUM(Y39:Y41)</f>
        <v>522.5</v>
      </c>
      <c r="Z42" s="1303"/>
      <c r="AA42" s="1305">
        <f>Y42/Y38</f>
        <v>1.7416666666666667</v>
      </c>
    </row>
    <row r="43" spans="1:27" ht="13.25" customHeight="1">
      <c r="A43" s="764"/>
      <c r="B43" s="782"/>
      <c r="C43" s="793" t="s">
        <v>7430</v>
      </c>
      <c r="D43" s="782" t="s">
        <v>7602</v>
      </c>
      <c r="E43" s="1013">
        <f>E44+E45</f>
        <v>1776.54</v>
      </c>
      <c r="F43" s="791"/>
      <c r="G43" s="797"/>
      <c r="H43" s="1014"/>
      <c r="I43" s="794"/>
      <c r="J43" s="794"/>
      <c r="N43" s="794"/>
      <c r="O43" s="1552"/>
      <c r="P43" s="1559"/>
      <c r="Q43" s="1233" t="s">
        <v>7941</v>
      </c>
      <c r="R43" s="1234" t="s">
        <v>7402</v>
      </c>
      <c r="S43" s="1304">
        <f>ROUND(K3,0)</f>
        <v>370</v>
      </c>
      <c r="T43" s="1293" t="s">
        <v>93</v>
      </c>
      <c r="V43" s="1604" t="s">
        <v>7941</v>
      </c>
      <c r="W43" s="1554" t="s">
        <v>8024</v>
      </c>
      <c r="X43" s="1556"/>
      <c r="Y43" s="1294">
        <f>Y44+Y45</f>
        <v>502.5</v>
      </c>
      <c r="Z43" s="1295"/>
      <c r="AA43" s="739"/>
    </row>
    <row r="44" spans="1:27" ht="13.25" customHeight="1">
      <c r="A44" s="764"/>
      <c r="B44" s="782"/>
      <c r="C44" s="801" t="s">
        <v>7432</v>
      </c>
      <c r="D44" s="782" t="s">
        <v>7602</v>
      </c>
      <c r="E44" s="812">
        <f>E19</f>
        <v>1776.54</v>
      </c>
      <c r="F44" s="791"/>
      <c r="G44" s="803"/>
      <c r="H44" s="1015"/>
      <c r="I44" s="794"/>
      <c r="J44" s="794"/>
      <c r="N44" s="794"/>
      <c r="O44" s="1552"/>
      <c r="P44" s="1607" t="s">
        <v>7945</v>
      </c>
      <c r="Q44" s="1607"/>
      <c r="R44" s="1607"/>
      <c r="S44" s="1304">
        <f>S45+S46</f>
        <v>4764</v>
      </c>
      <c r="T44" s="1293" t="s">
        <v>93</v>
      </c>
      <c r="V44" s="1605"/>
      <c r="W44" s="1604" t="s">
        <v>7941</v>
      </c>
      <c r="X44" s="1306" t="s">
        <v>8025</v>
      </c>
      <c r="Y44" s="1307">
        <f>E47</f>
        <v>41</v>
      </c>
      <c r="Z44" s="1303" t="s">
        <v>8026</v>
      </c>
      <c r="AA44" s="739"/>
    </row>
    <row r="45" spans="1:27" ht="13.25" customHeight="1">
      <c r="A45" s="764"/>
      <c r="B45" s="782"/>
      <c r="C45" s="801" t="s">
        <v>7433</v>
      </c>
      <c r="D45" s="782" t="s">
        <v>7602</v>
      </c>
      <c r="E45" s="812"/>
      <c r="F45" s="803"/>
      <c r="G45" s="805"/>
      <c r="H45" s="1016"/>
      <c r="I45" s="816"/>
      <c r="J45" s="794"/>
      <c r="N45" s="794"/>
      <c r="O45" s="1552"/>
      <c r="P45" s="1608" t="s">
        <v>7941</v>
      </c>
      <c r="Q45" s="1236" t="s">
        <v>7946</v>
      </c>
      <c r="R45" s="1237" t="s">
        <v>53</v>
      </c>
      <c r="S45" s="1308">
        <f>ROUND(K15,0)</f>
        <v>4319</v>
      </c>
      <c r="T45" s="1293" t="s">
        <v>93</v>
      </c>
      <c r="V45" s="1605"/>
      <c r="W45" s="1606"/>
      <c r="X45" s="1306" t="s">
        <v>7953</v>
      </c>
      <c r="Y45" s="1307">
        <f>E50</f>
        <v>461.5</v>
      </c>
      <c r="Z45" s="1303"/>
      <c r="AA45" s="739"/>
    </row>
    <row r="46" spans="1:27" ht="13.25" customHeight="1">
      <c r="A46" s="764"/>
      <c r="B46" s="782"/>
      <c r="C46" s="793" t="s">
        <v>7434</v>
      </c>
      <c r="D46" s="782" t="s">
        <v>400</v>
      </c>
      <c r="E46" s="1013">
        <f>E47+E48</f>
        <v>41</v>
      </c>
      <c r="F46" s="803"/>
      <c r="G46" s="1017"/>
      <c r="H46" s="1018"/>
      <c r="O46" s="1552"/>
      <c r="P46" s="1609"/>
      <c r="Q46" s="1611" t="s">
        <v>7947</v>
      </c>
      <c r="R46" s="1612"/>
      <c r="S46" s="1304">
        <f>SUM(S47:S50)</f>
        <v>445</v>
      </c>
      <c r="T46" s="1293" t="s">
        <v>93</v>
      </c>
      <c r="V46" s="1606"/>
      <c r="W46" s="1554" t="s">
        <v>38</v>
      </c>
      <c r="X46" s="1556"/>
      <c r="Y46" s="1294">
        <f>Y42-Y43</f>
        <v>20</v>
      </c>
      <c r="Z46" s="1303"/>
      <c r="AA46" s="739"/>
    </row>
    <row r="47" spans="1:27" ht="13.25" customHeight="1">
      <c r="A47" s="790"/>
      <c r="B47" s="806"/>
      <c r="C47" s="801" t="s">
        <v>7435</v>
      </c>
      <c r="D47" s="782" t="s">
        <v>400</v>
      </c>
      <c r="E47" s="812">
        <v>41</v>
      </c>
      <c r="F47" s="807">
        <f>E19/40</f>
        <v>44.413499999999999</v>
      </c>
      <c r="G47" s="1019"/>
      <c r="H47" s="1020"/>
      <c r="O47" s="1552"/>
      <c r="P47" s="1609"/>
      <c r="Q47" s="1608" t="s">
        <v>7946</v>
      </c>
      <c r="R47" s="1235" t="str">
        <f>J9</f>
        <v>消防控制室</v>
      </c>
      <c r="S47" s="1308">
        <f>ROUND(K9,0)</f>
        <v>50</v>
      </c>
      <c r="T47" s="1293" t="s">
        <v>93</v>
      </c>
      <c r="V47" s="1554" t="s">
        <v>8027</v>
      </c>
      <c r="W47" s="1555"/>
      <c r="X47" s="1556"/>
      <c r="Y47" s="1560">
        <f>Y45/Y38</f>
        <v>1.5383333333333333</v>
      </c>
      <c r="Z47" s="1561"/>
      <c r="AA47" s="739"/>
    </row>
    <row r="48" spans="1:27" ht="13.25" customHeight="1">
      <c r="A48" s="790"/>
      <c r="B48" s="806"/>
      <c r="C48" s="801" t="s">
        <v>7436</v>
      </c>
      <c r="D48" s="782" t="s">
        <v>400</v>
      </c>
      <c r="E48" s="812">
        <f>ROUNDUP(E45/37,0)</f>
        <v>0</v>
      </c>
      <c r="F48" s="808"/>
      <c r="G48" s="1019"/>
      <c r="H48" s="1020"/>
      <c r="O48" s="1552"/>
      <c r="P48" s="1609"/>
      <c r="Q48" s="1609"/>
      <c r="R48" s="1235" t="str">
        <f>J10</f>
        <v>门卫</v>
      </c>
      <c r="S48" s="1308">
        <f>ROUND(K10,0)</f>
        <v>25</v>
      </c>
      <c r="T48" s="1293" t="s">
        <v>93</v>
      </c>
      <c r="AA48" s="1309">
        <f>Y45-161</f>
        <v>300.5</v>
      </c>
    </row>
    <row r="49" spans="1:34" ht="13.25" customHeight="1">
      <c r="A49" s="790"/>
      <c r="B49" s="782"/>
      <c r="C49" s="793" t="s">
        <v>7437</v>
      </c>
      <c r="D49" s="782" t="s">
        <v>400</v>
      </c>
      <c r="E49" s="1013">
        <f>E50+E51+E52</f>
        <v>461.5</v>
      </c>
      <c r="F49" s="809">
        <f>F50+F51+F52</f>
        <v>18187.909999999996</v>
      </c>
      <c r="G49" s="1019"/>
      <c r="H49" s="1020"/>
      <c r="O49" s="1552"/>
      <c r="P49" s="1609"/>
      <c r="Q49" s="1609"/>
      <c r="R49" s="1235" t="str">
        <f>J11</f>
        <v>垃圾房</v>
      </c>
      <c r="S49" s="1308">
        <f>ROUND(K11,0)</f>
        <v>50</v>
      </c>
      <c r="T49" s="1293" t="s">
        <v>93</v>
      </c>
      <c r="AD49" s="738"/>
    </row>
    <row r="50" spans="1:34" ht="13.25" customHeight="1">
      <c r="A50" s="790"/>
      <c r="B50" s="782"/>
      <c r="C50" s="782" t="s">
        <v>7438</v>
      </c>
      <c r="D50" s="782" t="s">
        <v>400</v>
      </c>
      <c r="E50" s="812">
        <f>E41-E47</f>
        <v>461.5</v>
      </c>
      <c r="F50" s="809">
        <v>18187.909999999996</v>
      </c>
      <c r="G50" s="1021">
        <f>E20/E50</f>
        <v>40.206673889490787</v>
      </c>
      <c r="H50" s="1022"/>
      <c r="O50" s="1553"/>
      <c r="P50" s="1610"/>
      <c r="Q50" s="1610"/>
      <c r="R50" s="1235" t="str">
        <f>J12</f>
        <v>配电房</v>
      </c>
      <c r="S50" s="1308">
        <f>ROUND(K12,0)</f>
        <v>320</v>
      </c>
      <c r="T50" s="1293" t="s">
        <v>93</v>
      </c>
      <c r="Z50" s="738"/>
      <c r="AD50" s="738"/>
    </row>
    <row r="51" spans="1:34" ht="13.25" customHeight="1">
      <c r="A51" s="790"/>
      <c r="B51" s="793"/>
      <c r="C51" s="801" t="s">
        <v>7439</v>
      </c>
      <c r="D51" s="782" t="s">
        <v>400</v>
      </c>
      <c r="E51" s="812">
        <f>E42-E48</f>
        <v>0</v>
      </c>
      <c r="F51" s="809">
        <f>E51*37</f>
        <v>0</v>
      </c>
      <c r="G51" s="1023"/>
      <c r="H51" s="1024"/>
      <c r="O51" s="1562" t="s">
        <v>7948</v>
      </c>
      <c r="P51" s="1563"/>
      <c r="Q51" s="1563"/>
      <c r="R51" s="1564"/>
      <c r="S51" s="1296">
        <f>SUM(S52:S54)</f>
        <v>21932</v>
      </c>
      <c r="T51" s="1293" t="s">
        <v>93</v>
      </c>
      <c r="Z51" s="738"/>
      <c r="AB51" s="738"/>
      <c r="AC51" s="738"/>
      <c r="AD51" s="738"/>
    </row>
    <row r="52" spans="1:34" ht="13.25" customHeight="1">
      <c r="A52" s="790"/>
      <c r="B52" s="793"/>
      <c r="C52" s="785" t="s">
        <v>7440</v>
      </c>
      <c r="D52" s="782" t="s">
        <v>400</v>
      </c>
      <c r="E52" s="812">
        <f>E33*2</f>
        <v>0</v>
      </c>
      <c r="F52" s="810"/>
      <c r="G52" s="1025"/>
      <c r="H52" s="1026"/>
      <c r="O52" s="1541" t="s">
        <v>7941</v>
      </c>
      <c r="P52" s="1543" t="s">
        <v>7410</v>
      </c>
      <c r="Q52" s="1544"/>
      <c r="R52" s="1545"/>
      <c r="S52" s="1292">
        <f>ROUND(E19,0)</f>
        <v>1777</v>
      </c>
      <c r="T52" s="1293" t="s">
        <v>93</v>
      </c>
      <c r="Z52" s="738"/>
      <c r="AB52" s="738"/>
      <c r="AC52" s="738"/>
      <c r="AD52" s="738"/>
      <c r="AE52" s="738"/>
      <c r="AF52" s="738"/>
      <c r="AG52" s="738"/>
    </row>
    <row r="53" spans="1:34" ht="13.25" customHeight="1">
      <c r="A53" s="811"/>
      <c r="B53" s="782"/>
      <c r="C53" s="793" t="s">
        <v>7441</v>
      </c>
      <c r="D53" s="782"/>
      <c r="E53" s="812">
        <f>ROUNDUP(E26/50000,0)*180</f>
        <v>180</v>
      </c>
      <c r="F53" s="785" t="s">
        <v>7613</v>
      </c>
      <c r="G53" s="1025"/>
      <c r="H53" s="1026"/>
      <c r="O53" s="1547"/>
      <c r="P53" s="1543" t="s">
        <v>7411</v>
      </c>
      <c r="Q53" s="1544"/>
      <c r="R53" s="1545"/>
      <c r="S53" s="1292">
        <f>ROUND(E20,0)</f>
        <v>18555</v>
      </c>
      <c r="T53" s="1293" t="s">
        <v>93</v>
      </c>
      <c r="Z53" s="738"/>
      <c r="AB53" s="738"/>
      <c r="AC53" s="738"/>
      <c r="AD53" s="738"/>
      <c r="AE53" s="738"/>
      <c r="AF53" s="738"/>
      <c r="AG53" s="738"/>
    </row>
    <row r="54" spans="1:34" ht="13.25" customHeight="1">
      <c r="A54" s="811"/>
      <c r="B54" s="782"/>
      <c r="C54" s="782" t="s">
        <v>7442</v>
      </c>
      <c r="D54" s="782"/>
      <c r="E54" s="1027">
        <f>H7</f>
        <v>5425.9</v>
      </c>
      <c r="F54" s="785"/>
      <c r="G54" s="997"/>
      <c r="H54" s="998"/>
      <c r="O54" s="1542"/>
      <c r="P54" s="1543" t="str">
        <f>C21</f>
        <v>地下会所+地下庭院</v>
      </c>
      <c r="Q54" s="1544"/>
      <c r="R54" s="1545"/>
      <c r="S54" s="1292">
        <f>ROUND(E21,0)</f>
        <v>1600</v>
      </c>
      <c r="T54" s="1293" t="s">
        <v>93</v>
      </c>
      <c r="Z54" s="738"/>
      <c r="AB54" s="738"/>
      <c r="AC54" s="738"/>
      <c r="AD54" s="738"/>
      <c r="AE54" s="738"/>
      <c r="AF54" s="738"/>
      <c r="AG54" s="738"/>
      <c r="AH54" s="738"/>
    </row>
    <row r="55" spans="1:34" ht="13.25" customHeight="1">
      <c r="A55" s="811"/>
      <c r="B55" s="782"/>
      <c r="C55" s="782" t="s">
        <v>7443</v>
      </c>
      <c r="D55" s="782"/>
      <c r="E55" s="812">
        <f>E5-E54</f>
        <v>23386.639999999999</v>
      </c>
      <c r="F55" s="785"/>
      <c r="G55" s="796"/>
      <c r="H55" s="1028"/>
      <c r="O55" s="1546" t="s">
        <v>7949</v>
      </c>
      <c r="P55" s="1544"/>
      <c r="Q55" s="1544"/>
      <c r="R55" s="1545"/>
      <c r="S55" s="1292">
        <f>SUM(S56:S57)</f>
        <v>5426</v>
      </c>
      <c r="T55" s="1293" t="s">
        <v>93</v>
      </c>
      <c r="Z55" s="738"/>
      <c r="AB55" s="738"/>
      <c r="AC55" s="738"/>
      <c r="AD55" s="738"/>
      <c r="AE55" s="738"/>
      <c r="AF55" s="738"/>
      <c r="AG55" s="738"/>
      <c r="AH55" s="738"/>
    </row>
    <row r="56" spans="1:34" ht="13" customHeight="1">
      <c r="B56" s="782"/>
      <c r="C56" s="785"/>
      <c r="D56" s="782"/>
      <c r="E56" s="812"/>
      <c r="F56" s="785"/>
      <c r="G56" s="796"/>
      <c r="H56" s="1028"/>
      <c r="O56" s="1541" t="s">
        <v>7941</v>
      </c>
      <c r="P56" s="1543" t="s">
        <v>7950</v>
      </c>
      <c r="Q56" s="1544"/>
      <c r="R56" s="1545"/>
      <c r="S56" s="1292">
        <f>ROUND(P26,0)</f>
        <v>5081</v>
      </c>
      <c r="T56" s="1293" t="s">
        <v>93</v>
      </c>
      <c r="Z56" s="738"/>
      <c r="AB56" s="738"/>
      <c r="AC56" s="738"/>
      <c r="AD56" s="738"/>
      <c r="AE56" s="738"/>
      <c r="AF56" s="738"/>
      <c r="AG56" s="738"/>
      <c r="AH56" s="738"/>
    </row>
    <row r="57" spans="1:34" ht="13" customHeight="1">
      <c r="B57" s="767"/>
      <c r="C57" s="813"/>
      <c r="D57" s="813"/>
      <c r="E57" s="813"/>
      <c r="F57" s="796"/>
      <c r="G57" s="796"/>
      <c r="H57" s="1028"/>
      <c r="O57" s="1542"/>
      <c r="P57" s="1543" t="s">
        <v>48</v>
      </c>
      <c r="Q57" s="1544"/>
      <c r="R57" s="1545"/>
      <c r="S57" s="1292">
        <f>ROUND(P27,0)</f>
        <v>345</v>
      </c>
      <c r="T57" s="1293" t="s">
        <v>93</v>
      </c>
      <c r="Z57" s="738"/>
      <c r="AB57" s="738"/>
      <c r="AC57" s="738"/>
      <c r="AE57" s="738"/>
      <c r="AF57" s="738"/>
      <c r="AG57" s="738"/>
      <c r="AH57" s="738"/>
    </row>
    <row r="58" spans="1:34" ht="13" customHeight="1">
      <c r="B58" s="767"/>
      <c r="C58" s="813"/>
      <c r="D58" s="813"/>
      <c r="E58" s="813"/>
      <c r="F58" s="796"/>
      <c r="G58" s="815"/>
      <c r="H58" s="1029"/>
      <c r="O58" s="1546" t="s">
        <v>7951</v>
      </c>
      <c r="P58" s="1544"/>
      <c r="Q58" s="1544"/>
      <c r="R58" s="1545"/>
      <c r="S58" s="1310">
        <f>S55/S35*100</f>
        <v>18.832077977158555</v>
      </c>
      <c r="T58" s="1293" t="s">
        <v>8028</v>
      </c>
      <c r="AB58" s="738"/>
      <c r="AC58" s="738"/>
      <c r="AE58" s="738"/>
      <c r="AF58" s="738"/>
      <c r="AG58" s="738"/>
      <c r="AH58" s="738"/>
    </row>
    <row r="59" spans="1:34" ht="13" customHeight="1">
      <c r="B59" s="814"/>
      <c r="C59" s="813"/>
      <c r="D59" s="813"/>
      <c r="E59" s="813"/>
      <c r="F59" s="815"/>
      <c r="G59" s="815"/>
      <c r="H59" s="1029"/>
      <c r="O59" s="1546" t="s">
        <v>297</v>
      </c>
      <c r="P59" s="1544"/>
      <c r="Q59" s="1544"/>
      <c r="R59" s="1545"/>
      <c r="S59" s="1311">
        <f>S39/S35</f>
        <v>1.6159977565323986</v>
      </c>
      <c r="T59" s="1293" t="s">
        <v>7382</v>
      </c>
      <c r="AE59" s="738"/>
      <c r="AF59" s="738"/>
      <c r="AG59" s="738"/>
      <c r="AH59" s="738"/>
    </row>
    <row r="60" spans="1:34" ht="13" customHeight="1">
      <c r="B60" s="814"/>
      <c r="C60" s="813"/>
      <c r="D60" s="813"/>
      <c r="E60" s="813"/>
      <c r="F60" s="815"/>
      <c r="G60" s="815"/>
      <c r="H60" s="1029"/>
      <c r="O60" s="1546" t="s">
        <v>309</v>
      </c>
      <c r="P60" s="1544"/>
      <c r="Q60" s="1544"/>
      <c r="R60" s="1545"/>
      <c r="S60" s="1292">
        <f>E32</f>
        <v>300</v>
      </c>
      <c r="T60" s="1293" t="s">
        <v>310</v>
      </c>
      <c r="AH60" s="738"/>
    </row>
    <row r="61" spans="1:34" ht="12.5" customHeight="1">
      <c r="B61" s="814"/>
      <c r="C61" s="814"/>
      <c r="D61" s="814"/>
      <c r="E61" s="817"/>
      <c r="F61" s="815"/>
      <c r="G61" s="796"/>
      <c r="H61" s="1028"/>
      <c r="O61" s="1546" t="s">
        <v>7952</v>
      </c>
      <c r="P61" s="1544"/>
      <c r="Q61" s="1544"/>
      <c r="R61" s="1545"/>
      <c r="S61" s="1292">
        <f>E39</f>
        <v>522.5</v>
      </c>
      <c r="T61" s="1293" t="s">
        <v>8029</v>
      </c>
      <c r="AH61" s="738"/>
    </row>
    <row r="62" spans="1:34" ht="13" customHeight="1">
      <c r="B62" s="767"/>
      <c r="C62" s="767"/>
      <c r="D62" s="767"/>
      <c r="E62" s="818"/>
      <c r="F62" s="796"/>
      <c r="G62" s="796"/>
      <c r="H62" s="1028"/>
      <c r="O62" s="1541" t="s">
        <v>7941</v>
      </c>
      <c r="P62" s="1543" t="s">
        <v>52</v>
      </c>
      <c r="Q62" s="1544"/>
      <c r="R62" s="1545"/>
      <c r="S62" s="1292">
        <f>S61-S63</f>
        <v>20</v>
      </c>
      <c r="T62" s="1293" t="s">
        <v>8029</v>
      </c>
    </row>
    <row r="63" spans="1:34" ht="13" customHeight="1">
      <c r="B63" s="767"/>
      <c r="C63" s="767"/>
      <c r="D63" s="767"/>
      <c r="E63" s="818"/>
      <c r="F63" s="796"/>
      <c r="G63" s="796"/>
      <c r="H63" s="1028"/>
      <c r="O63" s="1547"/>
      <c r="P63" s="1543" t="s">
        <v>50</v>
      </c>
      <c r="Q63" s="1544"/>
      <c r="R63" s="1545"/>
      <c r="S63" s="1292">
        <f>E41</f>
        <v>502.5</v>
      </c>
      <c r="T63" s="1293" t="s">
        <v>8029</v>
      </c>
    </row>
    <row r="64" spans="1:34" ht="13" customHeight="1" thickBot="1">
      <c r="B64" s="790"/>
      <c r="C64" s="790"/>
      <c r="D64" s="790"/>
      <c r="E64" s="819"/>
      <c r="F64" s="802"/>
      <c r="G64" s="796"/>
      <c r="H64" s="1028"/>
      <c r="O64" s="1548"/>
      <c r="P64" s="1238" t="s">
        <v>7941</v>
      </c>
      <c r="Q64" s="1549" t="s">
        <v>7953</v>
      </c>
      <c r="R64" s="1550"/>
      <c r="S64" s="1312">
        <f>E50</f>
        <v>461.5</v>
      </c>
      <c r="T64" s="1313" t="s">
        <v>8029</v>
      </c>
    </row>
    <row r="65" spans="2:27" ht="13" customHeight="1">
      <c r="B65" s="790"/>
      <c r="C65" s="790"/>
      <c r="D65" s="790"/>
      <c r="E65" s="819"/>
      <c r="F65" s="802"/>
      <c r="G65" s="796"/>
      <c r="H65" s="1028"/>
      <c r="O65" s="820"/>
      <c r="P65" s="820"/>
      <c r="Q65" s="820"/>
      <c r="R65" s="820"/>
      <c r="S65" s="820"/>
      <c r="T65" s="1314"/>
    </row>
    <row r="66" spans="2:27" ht="13" customHeight="1">
      <c r="B66" s="790"/>
      <c r="C66" s="790"/>
      <c r="D66" s="790"/>
      <c r="E66" s="819"/>
      <c r="F66" s="802"/>
      <c r="G66" s="796"/>
      <c r="T66" s="738"/>
      <c r="Y66" s="1030"/>
      <c r="Z66" s="738"/>
      <c r="AA66" s="1030"/>
    </row>
    <row r="67" spans="2:27" ht="12.5" customHeight="1">
      <c r="B67" s="790"/>
      <c r="C67" s="790"/>
      <c r="D67" s="790"/>
      <c r="E67" s="819"/>
      <c r="F67" s="802"/>
      <c r="G67" s="796"/>
      <c r="R67" s="789"/>
    </row>
    <row r="68" spans="2:27" ht="12.5" customHeight="1">
      <c r="B68" s="790"/>
      <c r="C68" s="790"/>
      <c r="D68" s="790"/>
      <c r="E68" s="819"/>
      <c r="F68" s="802"/>
      <c r="G68" s="796"/>
    </row>
    <row r="69" spans="2:27" ht="12.5" customHeight="1">
      <c r="B69" s="790"/>
      <c r="C69" s="790"/>
      <c r="D69" s="790"/>
      <c r="E69" s="819"/>
      <c r="F69" s="802"/>
      <c r="G69" s="796"/>
    </row>
    <row r="70" spans="2:27" ht="12.5" customHeight="1">
      <c r="B70" s="790"/>
      <c r="C70" s="790"/>
      <c r="D70" s="790"/>
      <c r="E70" s="819"/>
      <c r="F70" s="802"/>
      <c r="G70" s="796"/>
    </row>
    <row r="71" spans="2:27" ht="13" customHeight="1">
      <c r="B71" s="790"/>
      <c r="C71" s="790"/>
      <c r="D71" s="790"/>
      <c r="E71" s="819"/>
      <c r="F71" s="802"/>
      <c r="G71" s="796"/>
    </row>
    <row r="72" spans="2:27" ht="12.5" customHeight="1">
      <c r="B72" s="790"/>
      <c r="C72" s="790"/>
      <c r="D72" s="790"/>
      <c r="E72" s="819"/>
      <c r="F72" s="802"/>
      <c r="G72" s="796"/>
    </row>
    <row r="73" spans="2:27" ht="13" customHeight="1">
      <c r="B73" s="790"/>
      <c r="C73" s="790"/>
      <c r="D73" s="790"/>
      <c r="E73" s="819"/>
      <c r="F73" s="802"/>
      <c r="G73" s="796"/>
    </row>
    <row r="74" spans="2:27" ht="13" customHeight="1">
      <c r="B74" s="790"/>
      <c r="C74" s="790"/>
      <c r="D74" s="790"/>
      <c r="E74" s="819"/>
      <c r="F74" s="802"/>
      <c r="G74" s="796"/>
    </row>
    <row r="75" spans="2:27" ht="13" customHeight="1">
      <c r="B75" s="790"/>
      <c r="C75" s="790"/>
      <c r="D75" s="790"/>
      <c r="E75" s="819"/>
      <c r="F75" s="802"/>
      <c r="G75" s="796"/>
    </row>
    <row r="76" spans="2:27" ht="13" customHeight="1">
      <c r="B76" s="790"/>
      <c r="C76" s="790"/>
      <c r="D76" s="790"/>
      <c r="E76" s="819"/>
      <c r="F76" s="802"/>
      <c r="G76" s="796"/>
    </row>
    <row r="77" spans="2:27" ht="13" customHeight="1">
      <c r="B77" s="790"/>
      <c r="C77" s="790"/>
      <c r="D77" s="790"/>
      <c r="E77" s="819"/>
      <c r="F77" s="802"/>
      <c r="G77" s="796"/>
    </row>
    <row r="78" spans="2:27" ht="13" customHeight="1">
      <c r="B78" s="790"/>
      <c r="C78" s="790"/>
      <c r="D78" s="790"/>
      <c r="E78" s="819"/>
      <c r="F78" s="802"/>
      <c r="G78" s="796"/>
    </row>
    <row r="79" spans="2:27" ht="13" customHeight="1">
      <c r="B79" s="790"/>
      <c r="C79" s="790"/>
      <c r="D79" s="790"/>
      <c r="E79" s="819"/>
      <c r="F79" s="802"/>
      <c r="G79" s="796"/>
    </row>
    <row r="80" spans="2:27" ht="13" customHeight="1">
      <c r="B80" s="790"/>
      <c r="C80" s="790"/>
      <c r="D80" s="790"/>
      <c r="E80" s="819"/>
      <c r="F80" s="802"/>
      <c r="G80" s="796"/>
    </row>
    <row r="81" spans="2:7" ht="13" customHeight="1">
      <c r="B81" s="790"/>
      <c r="C81" s="790"/>
      <c r="D81" s="790"/>
      <c r="E81" s="819"/>
      <c r="F81" s="802"/>
      <c r="G81" s="796"/>
    </row>
    <row r="82" spans="2:7" ht="13" customHeight="1">
      <c r="B82" s="790"/>
      <c r="C82" s="790"/>
      <c r="D82" s="790"/>
      <c r="E82" s="819"/>
      <c r="F82" s="802"/>
      <c r="G82" s="796"/>
    </row>
    <row r="83" spans="2:7" ht="13" customHeight="1">
      <c r="B83" s="790"/>
      <c r="C83" s="790"/>
      <c r="D83" s="790"/>
      <c r="E83" s="819"/>
      <c r="F83" s="802"/>
      <c r="G83" s="796"/>
    </row>
    <row r="84" spans="2:7" ht="13" customHeight="1">
      <c r="B84" s="790"/>
      <c r="C84" s="790"/>
      <c r="D84" s="790"/>
      <c r="E84" s="819"/>
      <c r="F84" s="802"/>
      <c r="G84" s="796"/>
    </row>
    <row r="85" spans="2:7" ht="13" customHeight="1">
      <c r="B85" s="790"/>
      <c r="C85" s="790"/>
      <c r="D85" s="790"/>
      <c r="E85" s="819"/>
      <c r="F85" s="802"/>
      <c r="G85" s="796"/>
    </row>
    <row r="86" spans="2:7" ht="13" customHeight="1">
      <c r="B86" s="790"/>
      <c r="C86" s="790"/>
      <c r="D86" s="790"/>
      <c r="E86" s="819"/>
      <c r="F86" s="802"/>
      <c r="G86" s="796"/>
    </row>
    <row r="87" spans="2:7" ht="13" customHeight="1">
      <c r="B87" s="790"/>
      <c r="C87" s="790"/>
      <c r="D87" s="790"/>
      <c r="E87" s="819"/>
      <c r="F87" s="802"/>
      <c r="G87" s="796"/>
    </row>
    <row r="88" spans="2:7" ht="13" customHeight="1">
      <c r="B88" s="790"/>
      <c r="C88" s="790"/>
      <c r="D88" s="790"/>
      <c r="E88" s="819"/>
      <c r="F88" s="802"/>
      <c r="G88" s="796"/>
    </row>
    <row r="89" spans="2:7" ht="13" customHeight="1">
      <c r="B89" s="790"/>
      <c r="C89" s="790"/>
      <c r="D89" s="790"/>
      <c r="E89" s="819"/>
      <c r="F89" s="802"/>
      <c r="G89" s="796"/>
    </row>
    <row r="90" spans="2:7" ht="13" customHeight="1">
      <c r="B90" s="790"/>
      <c r="C90" s="790"/>
      <c r="D90" s="790"/>
      <c r="E90" s="819"/>
      <c r="F90" s="802"/>
      <c r="G90" s="796"/>
    </row>
    <row r="91" spans="2:7" ht="13" customHeight="1">
      <c r="B91" s="790"/>
      <c r="C91" s="790"/>
      <c r="D91" s="790"/>
      <c r="E91" s="819"/>
      <c r="F91" s="802"/>
      <c r="G91" s="796"/>
    </row>
    <row r="92" spans="2:7" ht="13" customHeight="1">
      <c r="B92" s="790"/>
      <c r="C92" s="790"/>
      <c r="D92" s="790"/>
      <c r="E92" s="819"/>
      <c r="F92" s="802"/>
      <c r="G92" s="796"/>
    </row>
    <row r="93" spans="2:7" ht="13" customHeight="1">
      <c r="B93" s="790"/>
      <c r="C93" s="790"/>
      <c r="D93" s="790"/>
      <c r="E93" s="819"/>
      <c r="F93" s="802"/>
    </row>
  </sheetData>
  <mergeCells count="67">
    <mergeCell ref="O55:R55"/>
    <mergeCell ref="V37:X37"/>
    <mergeCell ref="V38:X38"/>
    <mergeCell ref="W39:X39"/>
    <mergeCell ref="W40:X40"/>
    <mergeCell ref="W41:X41"/>
    <mergeCell ref="Q42:R42"/>
    <mergeCell ref="W43:X43"/>
    <mergeCell ref="V42:X42"/>
    <mergeCell ref="V43:V46"/>
    <mergeCell ref="P44:R44"/>
    <mergeCell ref="W44:W45"/>
    <mergeCell ref="P45:P50"/>
    <mergeCell ref="Q46:R46"/>
    <mergeCell ref="W46:X46"/>
    <mergeCell ref="Q47:Q50"/>
    <mergeCell ref="B35:B37"/>
    <mergeCell ref="O36:R36"/>
    <mergeCell ref="O37:R37"/>
    <mergeCell ref="O38:R38"/>
    <mergeCell ref="A7:A8"/>
    <mergeCell ref="A9:A12"/>
    <mergeCell ref="I22:R22"/>
    <mergeCell ref="B32:B34"/>
    <mergeCell ref="G18:H18"/>
    <mergeCell ref="G19:H19"/>
    <mergeCell ref="G25:H25"/>
    <mergeCell ref="G26:H26"/>
    <mergeCell ref="H7:H17"/>
    <mergeCell ref="A13:A14"/>
    <mergeCell ref="B29:B31"/>
    <mergeCell ref="G20:H20"/>
    <mergeCell ref="G21:H21"/>
    <mergeCell ref="G22:H22"/>
    <mergeCell ref="G23:H23"/>
    <mergeCell ref="B2:F2"/>
    <mergeCell ref="J2:K2"/>
    <mergeCell ref="G4:H4"/>
    <mergeCell ref="G5:H5"/>
    <mergeCell ref="G6:H6"/>
    <mergeCell ref="O34:R34"/>
    <mergeCell ref="V34:Z34"/>
    <mergeCell ref="O35:R35"/>
    <mergeCell ref="V35:X35"/>
    <mergeCell ref="V36:X36"/>
    <mergeCell ref="V47:X47"/>
    <mergeCell ref="P40:P43"/>
    <mergeCell ref="Q40:R40"/>
    <mergeCell ref="Y47:Z47"/>
    <mergeCell ref="O51:R51"/>
    <mergeCell ref="O52:O54"/>
    <mergeCell ref="P52:R52"/>
    <mergeCell ref="P53:R53"/>
    <mergeCell ref="P54:R54"/>
    <mergeCell ref="O39:O50"/>
    <mergeCell ref="P39:R39"/>
    <mergeCell ref="O56:O57"/>
    <mergeCell ref="P57:R57"/>
    <mergeCell ref="O58:R58"/>
    <mergeCell ref="O59:R59"/>
    <mergeCell ref="O62:O64"/>
    <mergeCell ref="P62:R62"/>
    <mergeCell ref="P63:R63"/>
    <mergeCell ref="Q64:R64"/>
    <mergeCell ref="P56:R56"/>
    <mergeCell ref="O60:R60"/>
    <mergeCell ref="O61:R61"/>
  </mergeCells>
  <phoneticPr fontId="84" type="noConversion"/>
  <pageMargins left="0.7" right="0.7" top="0.75" bottom="0.75" header="0.3" footer="0.3"/>
  <pageSetup paperSize="9" scale="38" orientation="portrait" horizontalDpi="1200" verticalDpi="1200" r:id="rId1"/>
  <colBreaks count="3" manualBreakCount="3">
    <brk id="5" max="99" man="1"/>
    <brk id="25" max="1048575" man="1"/>
    <brk id="2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2C0F-1158-AA4A-91EC-13CD3BE3702F}">
  <sheetPr>
    <tabColor theme="3"/>
  </sheetPr>
  <dimension ref="A1:O49"/>
  <sheetViews>
    <sheetView topLeftCell="E1" zoomScale="144" workbookViewId="0">
      <selection activeCell="O15" sqref="O15"/>
    </sheetView>
  </sheetViews>
  <sheetFormatPr baseColWidth="10" defaultRowHeight="13"/>
  <cols>
    <col min="1" max="1" width="10.83203125" style="1109"/>
    <col min="2" max="2" width="25.33203125" style="1109" customWidth="1"/>
    <col min="3" max="3" width="10.83203125" style="1109"/>
    <col min="4" max="4" width="18.6640625" style="1109" bestFit="1" customWidth="1"/>
    <col min="5" max="5" width="13.6640625" style="1109" customWidth="1"/>
    <col min="6" max="7" width="10.83203125" style="1109"/>
    <col min="8" max="8" width="20.6640625" style="1109" customWidth="1"/>
    <col min="9" max="16384" width="10.83203125" style="1109"/>
  </cols>
  <sheetData>
    <row r="1" spans="1:15" ht="16">
      <c r="A1" s="1613" t="s">
        <v>7879</v>
      </c>
      <c r="B1" s="1613"/>
      <c r="C1" s="1613"/>
      <c r="D1" s="1613"/>
      <c r="E1" s="1613"/>
      <c r="F1" s="1613"/>
      <c r="G1" s="1613"/>
      <c r="I1" s="1629" t="s">
        <v>8046</v>
      </c>
      <c r="J1" s="1613"/>
      <c r="K1" s="1613"/>
      <c r="L1" s="1613"/>
      <c r="M1" s="1613"/>
      <c r="N1" s="1613"/>
      <c r="O1" s="1613"/>
    </row>
    <row r="2" spans="1:15" ht="16">
      <c r="A2" s="1613" t="s">
        <v>7880</v>
      </c>
      <c r="B2" s="1613" t="s">
        <v>7447</v>
      </c>
      <c r="C2" s="1613" t="s">
        <v>6972</v>
      </c>
      <c r="D2" s="1613"/>
      <c r="E2" s="1613"/>
      <c r="F2" s="1613"/>
      <c r="G2" s="1178" t="s">
        <v>7492</v>
      </c>
      <c r="H2" s="1179" t="s">
        <v>7881</v>
      </c>
      <c r="I2" s="1613" t="s">
        <v>7880</v>
      </c>
      <c r="J2" s="1613" t="s">
        <v>7447</v>
      </c>
      <c r="K2" s="1613" t="s">
        <v>6972</v>
      </c>
      <c r="L2" s="1613"/>
      <c r="M2" s="1613"/>
      <c r="N2" s="1613"/>
      <c r="O2" s="1178" t="s">
        <v>7492</v>
      </c>
    </row>
    <row r="3" spans="1:15">
      <c r="A3" s="1613"/>
      <c r="B3" s="1613"/>
      <c r="C3" s="1178" t="s">
        <v>7882</v>
      </c>
      <c r="D3" s="1178" t="s">
        <v>7883</v>
      </c>
      <c r="E3" s="1178" t="s">
        <v>7884</v>
      </c>
      <c r="F3" s="1178" t="s">
        <v>7885</v>
      </c>
      <c r="G3" s="1178"/>
      <c r="H3" s="1180">
        <v>0.254</v>
      </c>
      <c r="I3" s="1613"/>
      <c r="J3" s="1613"/>
      <c r="K3" s="1178" t="s">
        <v>7882</v>
      </c>
      <c r="L3" s="1178" t="s">
        <v>7883</v>
      </c>
      <c r="M3" s="1178" t="s">
        <v>7884</v>
      </c>
      <c r="N3" s="1178" t="s">
        <v>7885</v>
      </c>
      <c r="O3" s="1178"/>
    </row>
    <row r="4" spans="1:15">
      <c r="A4" s="1613" t="s">
        <v>216</v>
      </c>
      <c r="B4" s="1613"/>
      <c r="C4" s="1178">
        <v>1550</v>
      </c>
      <c r="D4" s="1178">
        <v>7862</v>
      </c>
      <c r="E4" s="1178">
        <f>506</f>
        <v>506</v>
      </c>
      <c r="F4" s="1178">
        <v>2794</v>
      </c>
      <c r="G4" s="1181">
        <f>SUM(C4:F4)</f>
        <v>12712</v>
      </c>
      <c r="I4" s="1613" t="s">
        <v>216</v>
      </c>
      <c r="J4" s="1613"/>
      <c r="K4" s="1178">
        <f>总指标!E54</f>
        <v>5425.9</v>
      </c>
      <c r="L4" s="1178">
        <f>总指标!E18-总指标!E19-总指标!E54</f>
        <v>14729.479999999998</v>
      </c>
      <c r="M4" s="1178">
        <f>总指标!E19</f>
        <v>1776.54</v>
      </c>
      <c r="N4" s="1178">
        <v>0</v>
      </c>
      <c r="O4" s="1181">
        <f>SUM(K4:N4)</f>
        <v>21931.919999999998</v>
      </c>
    </row>
    <row r="5" spans="1:15" ht="16">
      <c r="A5" s="1613" t="s">
        <v>7886</v>
      </c>
      <c r="B5" s="1613"/>
      <c r="C5" s="1178">
        <f>150-3</f>
        <v>147</v>
      </c>
      <c r="D5" s="1178">
        <f>105-3</f>
        <v>102</v>
      </c>
      <c r="E5" s="1178">
        <f>180-3</f>
        <v>177</v>
      </c>
      <c r="F5" s="1178">
        <f>140-3</f>
        <v>137</v>
      </c>
      <c r="G5" s="1181"/>
      <c r="H5" s="1179" t="s">
        <v>7887</v>
      </c>
      <c r="I5" s="1613" t="s">
        <v>7886</v>
      </c>
      <c r="J5" s="1613"/>
      <c r="K5" s="1178">
        <f>150-3</f>
        <v>147</v>
      </c>
      <c r="L5" s="1178">
        <f>105-3</f>
        <v>102</v>
      </c>
      <c r="M5" s="1178">
        <f>180-3</f>
        <v>177</v>
      </c>
      <c r="N5" s="1178">
        <f>140-3</f>
        <v>137</v>
      </c>
      <c r="O5" s="1181"/>
    </row>
    <row r="6" spans="1:15">
      <c r="A6" s="1613" t="s">
        <v>7888</v>
      </c>
      <c r="B6" s="1613"/>
      <c r="C6" s="1178">
        <f>160</f>
        <v>160</v>
      </c>
      <c r="D6" s="1178">
        <v>120</v>
      </c>
      <c r="E6" s="1178">
        <v>190</v>
      </c>
      <c r="F6" s="1178">
        <v>160</v>
      </c>
      <c r="G6" s="1181"/>
      <c r="H6" s="1180">
        <f>'03 成本测算（输入）'!D17</f>
        <v>8.1002484050644002E-2</v>
      </c>
      <c r="I6" s="1613" t="s">
        <v>7888</v>
      </c>
      <c r="J6" s="1613"/>
      <c r="K6" s="1178">
        <f>160</f>
        <v>160</v>
      </c>
      <c r="L6" s="1178">
        <v>120</v>
      </c>
      <c r="M6" s="1178">
        <v>190</v>
      </c>
      <c r="N6" s="1178">
        <v>160</v>
      </c>
      <c r="O6" s="1181"/>
    </row>
    <row r="7" spans="1:15">
      <c r="A7" s="1613" t="s">
        <v>662</v>
      </c>
      <c r="B7" s="1178" t="s">
        <v>7889</v>
      </c>
      <c r="C7" s="1182">
        <f>58.24+16.83-3</f>
        <v>72.069999999999993</v>
      </c>
      <c r="D7" s="1182">
        <f>356.35</f>
        <v>356.35</v>
      </c>
      <c r="E7" s="1624">
        <f>134.3+8.54+40.62+24.38+7.5-5</f>
        <v>210.34</v>
      </c>
      <c r="F7" s="1625"/>
      <c r="G7" s="1178"/>
      <c r="I7" s="1613" t="s">
        <v>662</v>
      </c>
      <c r="J7" s="1178" t="s">
        <v>7889</v>
      </c>
      <c r="K7" s="1182"/>
      <c r="L7" s="1182"/>
      <c r="M7" s="1624"/>
      <c r="N7" s="1625"/>
      <c r="O7" s="1178"/>
    </row>
    <row r="8" spans="1:15">
      <c r="A8" s="1613"/>
      <c r="B8" s="1178" t="s">
        <v>7890</v>
      </c>
      <c r="C8" s="1183">
        <f>7.3+11.2+15.7+20.74+21.9+26.4</f>
        <v>103.24000000000001</v>
      </c>
      <c r="D8" s="1183">
        <f>33.14+52.2</f>
        <v>85.34</v>
      </c>
      <c r="E8" s="1614">
        <f>30.9+25.4+90.7+23.96</f>
        <v>170.96</v>
      </c>
      <c r="F8" s="1615"/>
      <c r="G8" s="1178"/>
      <c r="I8" s="1613"/>
      <c r="J8" s="1178" t="s">
        <v>7890</v>
      </c>
      <c r="K8" s="1183"/>
      <c r="L8" s="1183"/>
      <c r="M8" s="1614"/>
      <c r="N8" s="1615"/>
      <c r="O8" s="1178"/>
    </row>
    <row r="9" spans="1:15">
      <c r="A9" s="1613"/>
      <c r="B9" s="1178" t="s">
        <v>7891</v>
      </c>
      <c r="C9" s="1184">
        <f>1.05+1.66+3.64+5.02+5.6+5.83</f>
        <v>22.799999999999997</v>
      </c>
      <c r="D9" s="1184">
        <v>135.34</v>
      </c>
      <c r="E9" s="1626">
        <f>76.63+2.99</f>
        <v>79.61999999999999</v>
      </c>
      <c r="F9" s="1626"/>
      <c r="G9" s="1178"/>
      <c r="I9" s="1613"/>
      <c r="J9" s="1178" t="s">
        <v>7891</v>
      </c>
      <c r="K9" s="1184"/>
      <c r="L9" s="1184"/>
      <c r="M9" s="1626"/>
      <c r="N9" s="1626"/>
      <c r="O9" s="1178"/>
    </row>
    <row r="10" spans="1:15">
      <c r="A10" s="1613"/>
      <c r="B10" s="1178" t="s">
        <v>7892</v>
      </c>
      <c r="C10" s="1184">
        <f>2.4+2.23+3.34+4.99+4.56+5.3</f>
        <v>22.82</v>
      </c>
      <c r="D10" s="1184">
        <f>218+0.8+6.58+3.43</f>
        <v>228.81000000000003</v>
      </c>
      <c r="E10" s="1626">
        <v>103.25</v>
      </c>
      <c r="F10" s="1626"/>
      <c r="G10" s="1178"/>
      <c r="I10" s="1613"/>
      <c r="J10" s="1178" t="s">
        <v>7892</v>
      </c>
      <c r="K10" s="1184"/>
      <c r="L10" s="1184"/>
      <c r="M10" s="1626"/>
      <c r="N10" s="1626"/>
      <c r="O10" s="1178"/>
    </row>
    <row r="11" spans="1:15">
      <c r="A11" s="1613"/>
      <c r="B11" s="1178"/>
      <c r="C11" s="1183"/>
      <c r="D11" s="1183"/>
      <c r="E11" s="1183"/>
      <c r="F11" s="1183"/>
      <c r="G11" s="1178"/>
      <c r="I11" s="1613"/>
      <c r="J11" s="1178"/>
      <c r="K11" s="1183"/>
      <c r="L11" s="1183"/>
      <c r="M11" s="1183"/>
      <c r="N11" s="1183"/>
      <c r="O11" s="1178"/>
    </row>
    <row r="12" spans="1:15">
      <c r="A12" s="1613"/>
      <c r="B12" s="1178"/>
      <c r="C12" s="1183"/>
      <c r="D12" s="1183"/>
      <c r="E12" s="1183"/>
      <c r="F12" s="1183"/>
      <c r="G12" s="1178"/>
      <c r="I12" s="1613"/>
      <c r="J12" s="1178"/>
      <c r="K12" s="1183"/>
      <c r="L12" s="1183"/>
      <c r="M12" s="1183"/>
      <c r="N12" s="1183"/>
      <c r="O12" s="1178"/>
    </row>
    <row r="13" spans="1:15" ht="16">
      <c r="A13" s="1613"/>
      <c r="B13" s="1178"/>
      <c r="C13" s="1183"/>
      <c r="D13" s="1183"/>
      <c r="E13" s="1183"/>
      <c r="F13" s="1183"/>
      <c r="G13" s="1178"/>
      <c r="H13" s="1179"/>
      <c r="I13" s="1613"/>
      <c r="J13" s="1178"/>
      <c r="K13" s="1183"/>
      <c r="L13" s="1183"/>
      <c r="M13" s="1183"/>
      <c r="N13" s="1183"/>
      <c r="O13" s="1178"/>
    </row>
    <row r="14" spans="1:15">
      <c r="A14" s="1613"/>
      <c r="B14" s="1178" t="s">
        <v>649</v>
      </c>
      <c r="C14" s="1183">
        <f>SUM(C7:C13)</f>
        <v>220.93</v>
      </c>
      <c r="D14" s="1183">
        <f>SUM(D7:D13)</f>
        <v>805.84000000000015</v>
      </c>
      <c r="E14" s="1614">
        <f>SUM(E7:F13)</f>
        <v>564.17000000000007</v>
      </c>
      <c r="F14" s="1615"/>
      <c r="G14" s="1178"/>
      <c r="I14" s="1613"/>
      <c r="J14" s="1178" t="s">
        <v>649</v>
      </c>
      <c r="K14" s="1183">
        <f>K15*K4</f>
        <v>773383.2819354838</v>
      </c>
      <c r="L14" s="1183">
        <f>L15*L4</f>
        <v>1509743.5974561179</v>
      </c>
      <c r="M14" s="1614">
        <f>M15*M4</f>
        <v>303718.35509090917</v>
      </c>
      <c r="N14" s="1615"/>
      <c r="O14" s="1178"/>
    </row>
    <row r="15" spans="1:15">
      <c r="A15" s="1613"/>
      <c r="B15" s="1185" t="s">
        <v>7893</v>
      </c>
      <c r="C15" s="1186">
        <f>C14*1000/C4</f>
        <v>142.53548387096774</v>
      </c>
      <c r="D15" s="1186">
        <f>D14*1000/D4</f>
        <v>102.4980920885271</v>
      </c>
      <c r="E15" s="1627">
        <f>E14*1000/(E4+F4)</f>
        <v>170.9606060606061</v>
      </c>
      <c r="F15" s="1628"/>
      <c r="G15" s="1189">
        <f>SUM(C14:F14)/SUM(C4:F4)*1000</f>
        <v>125.15261170547518</v>
      </c>
      <c r="I15" s="1613"/>
      <c r="J15" s="1185" t="s">
        <v>7893</v>
      </c>
      <c r="K15" s="1186">
        <f>C15</f>
        <v>142.53548387096774</v>
      </c>
      <c r="L15" s="1186">
        <f>D15</f>
        <v>102.4980920885271</v>
      </c>
      <c r="M15" s="1627">
        <f>E15</f>
        <v>170.9606060606061</v>
      </c>
      <c r="N15" s="1628"/>
      <c r="O15" s="1189">
        <f>SUM(K14:N14)/SUM(K4:N4)</f>
        <v>117.94887244174295</v>
      </c>
    </row>
    <row r="19" spans="1:15" ht="16">
      <c r="A19" s="1613" t="s">
        <v>7894</v>
      </c>
      <c r="B19" s="1613"/>
      <c r="C19" s="1613"/>
      <c r="D19" s="1613"/>
      <c r="E19" s="1613"/>
      <c r="F19" s="1613"/>
      <c r="G19" s="1613"/>
      <c r="I19" s="1629" t="s">
        <v>8047</v>
      </c>
      <c r="J19" s="1613"/>
      <c r="K19" s="1613"/>
      <c r="L19" s="1613"/>
      <c r="M19" s="1613"/>
      <c r="N19" s="1613"/>
      <c r="O19" s="1613"/>
    </row>
    <row r="20" spans="1:15" ht="16">
      <c r="A20" s="1613" t="s">
        <v>7880</v>
      </c>
      <c r="B20" s="1613" t="s">
        <v>7447</v>
      </c>
      <c r="C20" s="1613" t="s">
        <v>6972</v>
      </c>
      <c r="D20" s="1613"/>
      <c r="E20" s="1613"/>
      <c r="F20" s="1613"/>
      <c r="G20" s="1178" t="s">
        <v>7492</v>
      </c>
      <c r="H20" s="1179" t="s">
        <v>7881</v>
      </c>
      <c r="I20" s="1613" t="s">
        <v>7880</v>
      </c>
      <c r="J20" s="1613" t="s">
        <v>7447</v>
      </c>
      <c r="K20" s="1613" t="s">
        <v>6972</v>
      </c>
      <c r="L20" s="1613"/>
      <c r="M20" s="1613"/>
      <c r="N20" s="1613"/>
      <c r="O20" s="1178" t="s">
        <v>7492</v>
      </c>
    </row>
    <row r="21" spans="1:15">
      <c r="A21" s="1613"/>
      <c r="B21" s="1613"/>
      <c r="C21" s="1178" t="s">
        <v>7882</v>
      </c>
      <c r="D21" s="1178" t="s">
        <v>7883</v>
      </c>
      <c r="E21" s="1178" t="s">
        <v>7884</v>
      </c>
      <c r="F21" s="1178" t="s">
        <v>7885</v>
      </c>
      <c r="G21" s="1178"/>
      <c r="H21" s="1180">
        <v>0.254</v>
      </c>
      <c r="I21" s="1613"/>
      <c r="J21" s="1613"/>
      <c r="K21" s="1178" t="s">
        <v>7882</v>
      </c>
      <c r="L21" s="1178" t="s">
        <v>7883</v>
      </c>
      <c r="M21" s="1178" t="s">
        <v>7884</v>
      </c>
      <c r="N21" s="1178" t="s">
        <v>7885</v>
      </c>
      <c r="O21" s="1178"/>
    </row>
    <row r="22" spans="1:15">
      <c r="A22" s="1613" t="s">
        <v>216</v>
      </c>
      <c r="B22" s="1613"/>
      <c r="C22" s="1178">
        <v>1550</v>
      </c>
      <c r="D22" s="1178">
        <v>7862</v>
      </c>
      <c r="E22" s="1178">
        <f>506</f>
        <v>506</v>
      </c>
      <c r="F22" s="1178">
        <v>2794</v>
      </c>
      <c r="G22" s="1181">
        <f>SUM(C22:F22)</f>
        <v>12712</v>
      </c>
      <c r="I22" s="1613" t="s">
        <v>216</v>
      </c>
      <c r="J22" s="1613"/>
      <c r="K22" s="1178">
        <v>5558.7740000000003</v>
      </c>
      <c r="L22" s="1178">
        <v>16081.223692307693</v>
      </c>
      <c r="M22" s="1178">
        <v>1760.0023076923076</v>
      </c>
      <c r="N22" s="1178">
        <v>0</v>
      </c>
      <c r="O22" s="1181">
        <f>SUM(K22:N22)</f>
        <v>23400</v>
      </c>
    </row>
    <row r="23" spans="1:15" ht="16">
      <c r="A23" s="1613" t="s">
        <v>7886</v>
      </c>
      <c r="B23" s="1613"/>
      <c r="C23" s="1178">
        <v>1.37</v>
      </c>
      <c r="D23" s="1178">
        <v>1</v>
      </c>
      <c r="E23" s="1178">
        <v>1.67</v>
      </c>
      <c r="F23" s="1178">
        <v>1.2</v>
      </c>
      <c r="G23" s="1181"/>
      <c r="H23" s="1179" t="s">
        <v>7887</v>
      </c>
      <c r="I23" s="1613" t="s">
        <v>7886</v>
      </c>
      <c r="J23" s="1613"/>
      <c r="K23" s="1178">
        <v>1.37</v>
      </c>
      <c r="L23" s="1178">
        <v>1</v>
      </c>
      <c r="M23" s="1178">
        <v>1.67</v>
      </c>
      <c r="N23" s="1178">
        <v>1.2</v>
      </c>
      <c r="O23" s="1181"/>
    </row>
    <row r="24" spans="1:15">
      <c r="A24" s="1613" t="s">
        <v>7888</v>
      </c>
      <c r="B24" s="1613"/>
      <c r="C24" s="1178">
        <v>1.47</v>
      </c>
      <c r="D24" s="1178">
        <v>1.05</v>
      </c>
      <c r="E24" s="1178">
        <v>1.77</v>
      </c>
      <c r="F24" s="1178">
        <v>1.28</v>
      </c>
      <c r="G24" s="1181"/>
      <c r="H24" s="1180">
        <f>H6</f>
        <v>8.1002484050644002E-2</v>
      </c>
      <c r="I24" s="1613" t="s">
        <v>7888</v>
      </c>
      <c r="J24" s="1613"/>
      <c r="K24" s="1178">
        <v>1.47</v>
      </c>
      <c r="L24" s="1178">
        <v>1.05</v>
      </c>
      <c r="M24" s="1178">
        <v>1.77</v>
      </c>
      <c r="N24" s="1178">
        <v>1.28</v>
      </c>
      <c r="O24" s="1181"/>
    </row>
    <row r="25" spans="1:15" ht="15">
      <c r="A25" s="1613" t="s">
        <v>662</v>
      </c>
      <c r="B25" s="1187" t="s">
        <v>7895</v>
      </c>
      <c r="C25" s="1183"/>
      <c r="D25" s="1183"/>
      <c r="E25" s="1614"/>
      <c r="F25" s="1615"/>
      <c r="G25" s="1178"/>
      <c r="I25" s="1613" t="s">
        <v>662</v>
      </c>
      <c r="J25" s="1187" t="s">
        <v>7895</v>
      </c>
      <c r="K25" s="1183"/>
      <c r="L25" s="1183"/>
      <c r="M25" s="1614"/>
      <c r="N25" s="1615"/>
      <c r="O25" s="1178"/>
    </row>
    <row r="26" spans="1:15">
      <c r="A26" s="1613"/>
      <c r="B26" s="1178" t="s">
        <v>7889</v>
      </c>
      <c r="C26" s="1183">
        <v>1905.15</v>
      </c>
      <c r="D26" s="1183">
        <v>4567</v>
      </c>
      <c r="E26" s="1614">
        <v>2020.16</v>
      </c>
      <c r="F26" s="1615"/>
      <c r="G26" s="1178"/>
      <c r="I26" s="1613"/>
      <c r="J26" s="1178" t="s">
        <v>7889</v>
      </c>
      <c r="K26" s="1183"/>
      <c r="L26" s="1183"/>
      <c r="M26" s="1614"/>
      <c r="N26" s="1615"/>
      <c r="O26" s="1178"/>
    </row>
    <row r="27" spans="1:15">
      <c r="A27" s="1613"/>
      <c r="B27" s="1178" t="s">
        <v>7890</v>
      </c>
      <c r="C27" s="1183">
        <v>562.13</v>
      </c>
      <c r="D27" s="1183">
        <v>608.52</v>
      </c>
      <c r="E27" s="1614">
        <v>852.41</v>
      </c>
      <c r="F27" s="1615"/>
      <c r="G27" s="1178"/>
      <c r="I27" s="1613"/>
      <c r="J27" s="1178" t="s">
        <v>7890</v>
      </c>
      <c r="K27" s="1183"/>
      <c r="L27" s="1183"/>
      <c r="M27" s="1614"/>
      <c r="N27" s="1615"/>
      <c r="O27" s="1178"/>
    </row>
    <row r="28" spans="1:15">
      <c r="A28" s="1613"/>
      <c r="B28" s="1178" t="s">
        <v>7891</v>
      </c>
      <c r="C28" s="1616">
        <v>327.07</v>
      </c>
      <c r="D28" s="1183">
        <v>2831.75</v>
      </c>
      <c r="E28" s="1618">
        <v>1133.0899999999999</v>
      </c>
      <c r="F28" s="1619"/>
      <c r="G28" s="1178"/>
      <c r="I28" s="1613"/>
      <c r="J28" s="1178" t="s">
        <v>7891</v>
      </c>
      <c r="K28" s="1616"/>
      <c r="L28" s="1183"/>
      <c r="M28" s="1618"/>
      <c r="N28" s="1619"/>
      <c r="O28" s="1178"/>
    </row>
    <row r="29" spans="1:15">
      <c r="A29" s="1613"/>
      <c r="B29" s="1178" t="s">
        <v>7892</v>
      </c>
      <c r="C29" s="1617"/>
      <c r="D29" s="1183"/>
      <c r="E29" s="1620"/>
      <c r="F29" s="1621"/>
      <c r="G29" s="1178"/>
      <c r="I29" s="1613"/>
      <c r="J29" s="1178" t="s">
        <v>7892</v>
      </c>
      <c r="K29" s="1617"/>
      <c r="L29" s="1183"/>
      <c r="M29" s="1620"/>
      <c r="N29" s="1621"/>
      <c r="O29" s="1178"/>
    </row>
    <row r="30" spans="1:15" ht="16">
      <c r="A30" s="1613"/>
      <c r="B30" s="1178" t="s">
        <v>48</v>
      </c>
      <c r="C30" s="1183">
        <v>24.81</v>
      </c>
      <c r="D30" s="1183">
        <v>11.15</v>
      </c>
      <c r="E30" s="1614"/>
      <c r="F30" s="1615"/>
      <c r="G30" s="1178"/>
      <c r="H30" s="1179"/>
      <c r="I30" s="1613"/>
      <c r="J30" s="1178" t="s">
        <v>48</v>
      </c>
      <c r="K30" s="1183"/>
      <c r="L30" s="1183"/>
      <c r="M30" s="1614"/>
      <c r="N30" s="1615"/>
      <c r="O30" s="1178"/>
    </row>
    <row r="31" spans="1:15">
      <c r="A31" s="1613"/>
      <c r="B31" s="1178" t="s">
        <v>649</v>
      </c>
      <c r="C31" s="1178">
        <f>SUM(C25:C30)</f>
        <v>2819.1600000000003</v>
      </c>
      <c r="D31" s="1178">
        <f>SUM(D25:D30)</f>
        <v>8018.42</v>
      </c>
      <c r="E31" s="1622">
        <f>SUM(E25:E30)</f>
        <v>4005.66</v>
      </c>
      <c r="F31" s="1623"/>
      <c r="G31" s="1178"/>
      <c r="I31" s="1613"/>
      <c r="J31" s="1178" t="s">
        <v>649</v>
      </c>
      <c r="K31" s="1183">
        <f>K32*K22</f>
        <v>10110.36987731613</v>
      </c>
      <c r="L31" s="1183">
        <f>L32*L22</f>
        <v>16401.170908022621</v>
      </c>
      <c r="M31" s="1614">
        <f>M32*M22</f>
        <v>2136.3548011608391</v>
      </c>
      <c r="N31" s="1615"/>
      <c r="O31" s="1178"/>
    </row>
    <row r="32" spans="1:15">
      <c r="A32" s="1185" t="s">
        <v>7896</v>
      </c>
      <c r="B32" s="1185"/>
      <c r="C32" s="1188">
        <f>C31/C22</f>
        <v>1.8188129032258067</v>
      </c>
      <c r="D32" s="1188">
        <f>D31/D22</f>
        <v>1.0198957008394811</v>
      </c>
      <c r="E32" s="1631">
        <f>E31/(E22+F22)</f>
        <v>1.2138363636363636</v>
      </c>
      <c r="F32" s="1631"/>
      <c r="G32" s="1189">
        <f>SUM(C31:F31)/SUM(C22:F22)</f>
        <v>1.1676557583385776</v>
      </c>
      <c r="I32" s="1185" t="s">
        <v>7896</v>
      </c>
      <c r="J32" s="1185"/>
      <c r="K32" s="1188">
        <f>C32</f>
        <v>1.8188129032258067</v>
      </c>
      <c r="L32" s="1188">
        <f>D32</f>
        <v>1.0198957008394811</v>
      </c>
      <c r="M32" s="1631">
        <f>E32</f>
        <v>1.2138363636363636</v>
      </c>
      <c r="N32" s="1631"/>
      <c r="O32" s="1189">
        <f>SUM(K31:N31)/SUM(K22:N22)</f>
        <v>1.2242690421581022</v>
      </c>
    </row>
    <row r="36" spans="1:5" ht="16">
      <c r="A36" s="1316" t="s">
        <v>8034</v>
      </c>
      <c r="B36" s="1317"/>
      <c r="C36" s="1317"/>
      <c r="D36" s="1317"/>
      <c r="E36" s="1317"/>
    </row>
    <row r="37" spans="1:5" ht="16">
      <c r="A37" s="1317"/>
      <c r="B37" s="1319"/>
      <c r="C37" s="1331" t="s">
        <v>8040</v>
      </c>
      <c r="D37" s="1332" t="s">
        <v>8036</v>
      </c>
      <c r="E37" s="1332" t="s">
        <v>8037</v>
      </c>
    </row>
    <row r="38" spans="1:5" ht="16">
      <c r="A38" s="1317"/>
      <c r="B38" s="1320" t="s">
        <v>8035</v>
      </c>
      <c r="C38" s="1321">
        <f>'02 项目基础信息（输入）'!C43</f>
        <v>51879.834600000002</v>
      </c>
      <c r="D38" s="1318">
        <v>43</v>
      </c>
      <c r="E38" s="1318">
        <v>0.39</v>
      </c>
    </row>
    <row r="39" spans="1:5" ht="16">
      <c r="A39" s="1317"/>
      <c r="B39" s="1320" t="s">
        <v>8039</v>
      </c>
      <c r="C39" s="1321"/>
      <c r="D39" s="1318">
        <f>C38*D38</f>
        <v>2230832.8878000001</v>
      </c>
      <c r="E39" s="1318">
        <f>C38*E38</f>
        <v>20233.135494000002</v>
      </c>
    </row>
    <row r="40" spans="1:5" ht="16">
      <c r="A40" s="1317"/>
      <c r="B40" s="1320" t="s">
        <v>8041</v>
      </c>
      <c r="C40" s="1321">
        <f>总指标!P26-总指标!K14</f>
        <v>3710.8999999999996</v>
      </c>
      <c r="D40" s="1318"/>
      <c r="E40" s="1318"/>
    </row>
    <row r="41" spans="1:5" ht="34">
      <c r="A41" s="1317"/>
      <c r="B41" s="1323" t="s">
        <v>8042</v>
      </c>
      <c r="C41" s="1324"/>
      <c r="D41" s="1325">
        <f>C40*D38*0.7</f>
        <v>111698.08999999998</v>
      </c>
      <c r="E41" s="1325">
        <f>C40*E38*0.7</f>
        <v>1013.0756999999999</v>
      </c>
    </row>
    <row r="42" spans="1:5" ht="17" customHeight="1">
      <c r="A42" s="1317"/>
      <c r="B42" s="1630" t="s">
        <v>8038</v>
      </c>
      <c r="C42" s="1630"/>
      <c r="D42" s="1322" cm="1">
        <f t="array" ref="D42">SUM(D39:D41/C38)</f>
        <v>45.153015537948534</v>
      </c>
      <c r="E42" s="1322">
        <f>SUM(E39:E41)/C38</f>
        <v>0.40952735022790537</v>
      </c>
    </row>
    <row r="44" spans="1:5">
      <c r="D44" s="1357">
        <f>D42-D38</f>
        <v>2.1530155379485336</v>
      </c>
      <c r="E44" s="1357">
        <f>E42-E38</f>
        <v>1.952735022790536E-2</v>
      </c>
    </row>
    <row r="45" spans="1:5">
      <c r="D45" s="1109">
        <f>'05 成本测算明细'!K644+'05 成本测算明细'!K645</f>
        <v>5.6021999999999998</v>
      </c>
      <c r="E45" s="1109">
        <f>'05 成本测算明细'!K648+'05 成本测算明细'!K649</f>
        <v>481.59399999999999</v>
      </c>
    </row>
    <row r="47" spans="1:5">
      <c r="D47" s="1109">
        <f>D45*D41</f>
        <v>625755.0397979999</v>
      </c>
      <c r="E47" s="1109">
        <f>E45*E41</f>
        <v>487891.1786657999</v>
      </c>
    </row>
    <row r="49" spans="4:4">
      <c r="D49" s="1109">
        <f>'05 成本测算明细'!M657*10000</f>
        <v>1956146.5000000002</v>
      </c>
    </row>
  </sheetData>
  <mergeCells count="61">
    <mergeCell ref="B42:C42"/>
    <mergeCell ref="M32:N32"/>
    <mergeCell ref="I25:I31"/>
    <mergeCell ref="M25:N25"/>
    <mergeCell ref="M26:N26"/>
    <mergeCell ref="M27:N27"/>
    <mergeCell ref="K28:K29"/>
    <mergeCell ref="M28:N29"/>
    <mergeCell ref="M30:N30"/>
    <mergeCell ref="M31:N31"/>
    <mergeCell ref="E32:F32"/>
    <mergeCell ref="I24:J24"/>
    <mergeCell ref="M8:N8"/>
    <mergeCell ref="M9:N9"/>
    <mergeCell ref="M10:N10"/>
    <mergeCell ref="M14:N14"/>
    <mergeCell ref="M15:N15"/>
    <mergeCell ref="I19:O19"/>
    <mergeCell ref="I20:I21"/>
    <mergeCell ref="J20:J21"/>
    <mergeCell ref="K20:N20"/>
    <mergeCell ref="I22:J22"/>
    <mergeCell ref="I23:J23"/>
    <mergeCell ref="I1:O1"/>
    <mergeCell ref="I2:I3"/>
    <mergeCell ref="J2:J3"/>
    <mergeCell ref="K2:N2"/>
    <mergeCell ref="I4:J4"/>
    <mergeCell ref="I5:J5"/>
    <mergeCell ref="I6:J6"/>
    <mergeCell ref="I7:I15"/>
    <mergeCell ref="M7:N7"/>
    <mergeCell ref="A19:G19"/>
    <mergeCell ref="A6:B6"/>
    <mergeCell ref="A7:A15"/>
    <mergeCell ref="E7:F7"/>
    <mergeCell ref="E8:F8"/>
    <mergeCell ref="E9:F9"/>
    <mergeCell ref="E10:F10"/>
    <mergeCell ref="E14:F14"/>
    <mergeCell ref="E15:F15"/>
    <mergeCell ref="A5:B5"/>
    <mergeCell ref="A20:A21"/>
    <mergeCell ref="B20:B21"/>
    <mergeCell ref="C20:F20"/>
    <mergeCell ref="A22:B22"/>
    <mergeCell ref="A23:B23"/>
    <mergeCell ref="A24:B24"/>
    <mergeCell ref="A25:A31"/>
    <mergeCell ref="E25:F25"/>
    <mergeCell ref="E26:F26"/>
    <mergeCell ref="E27:F27"/>
    <mergeCell ref="C28:C29"/>
    <mergeCell ref="E28:F29"/>
    <mergeCell ref="E30:F30"/>
    <mergeCell ref="E31:F31"/>
    <mergeCell ref="A1:G1"/>
    <mergeCell ref="A2:A3"/>
    <mergeCell ref="B2:B3"/>
    <mergeCell ref="C2:F2"/>
    <mergeCell ref="A4:B4"/>
  </mergeCells>
  <phoneticPr fontId="84" type="noConversion"/>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CE46B-0BA5-C449-A392-58E0114F7A34}">
  <sheetPr>
    <tabColor theme="3"/>
  </sheetPr>
  <dimension ref="A1:AB55"/>
  <sheetViews>
    <sheetView topLeftCell="C4" zoomScale="135" workbookViewId="0">
      <selection activeCell="H49" sqref="H49"/>
    </sheetView>
  </sheetViews>
  <sheetFormatPr baseColWidth="10" defaultColWidth="9.83203125" defaultRowHeight="14"/>
  <cols>
    <col min="1" max="1" width="13" style="1133" customWidth="1"/>
    <col min="2" max="2" width="9.83203125" style="1133"/>
    <col min="3" max="3" width="31.6640625" style="1133" customWidth="1"/>
    <col min="4" max="5" width="15.83203125" style="1139" customWidth="1"/>
    <col min="6" max="6" width="26.5" style="1139" customWidth="1"/>
    <col min="7" max="7" width="13.1640625" style="1133" customWidth="1"/>
    <col min="8" max="8" width="14.5" style="1133" customWidth="1"/>
    <col min="9" max="9" width="14.1640625" style="1133" customWidth="1"/>
    <col min="10" max="10" width="16.6640625" style="1133" customWidth="1"/>
    <col min="11" max="11" width="10.5" style="1133" customWidth="1"/>
    <col min="12" max="12" width="10" style="1133" bestFit="1" customWidth="1"/>
    <col min="13" max="13" width="11.5" style="1139" customWidth="1"/>
    <col min="14" max="14" width="12.1640625" style="1133" customWidth="1"/>
    <col min="15" max="15" width="14" style="1133" customWidth="1"/>
    <col min="16" max="16" width="12.5" style="1133" bestFit="1" customWidth="1"/>
    <col min="17" max="18" width="11.6640625" style="1133" bestFit="1" customWidth="1"/>
    <col min="19" max="19" width="14" style="1133" customWidth="1"/>
    <col min="20" max="20" width="11.6640625" style="1133" bestFit="1" customWidth="1"/>
    <col min="21" max="21" width="11" style="1133" bestFit="1" customWidth="1"/>
    <col min="22" max="22" width="16.5" style="1133" bestFit="1" customWidth="1"/>
    <col min="23" max="23" width="14.6640625" style="1133" bestFit="1" customWidth="1"/>
    <col min="24" max="24" width="15.83203125" style="1133" bestFit="1" customWidth="1"/>
    <col min="25" max="25" width="14.83203125" style="1133" customWidth="1"/>
    <col min="26" max="26" width="11.1640625" style="1133" customWidth="1"/>
    <col min="27" max="16384" width="9.83203125" style="1133"/>
  </cols>
  <sheetData>
    <row r="1" spans="1:8">
      <c r="A1" s="1658" t="s">
        <v>7771</v>
      </c>
      <c r="B1" s="1659"/>
      <c r="C1" s="1659"/>
      <c r="D1" s="1659"/>
      <c r="E1" s="1659"/>
      <c r="F1" s="1659"/>
      <c r="G1" s="1659"/>
      <c r="H1" s="1660"/>
    </row>
    <row r="2" spans="1:8">
      <c r="A2" s="1661" t="s">
        <v>7772</v>
      </c>
      <c r="B2" s="1662"/>
      <c r="C2" s="1662"/>
      <c r="D2" s="1134" t="s">
        <v>7773</v>
      </c>
      <c r="E2" s="1134" t="s">
        <v>7774</v>
      </c>
      <c r="F2" s="1134" t="s">
        <v>7775</v>
      </c>
      <c r="G2" s="1134" t="s">
        <v>7776</v>
      </c>
      <c r="H2" s="1135" t="s">
        <v>7777</v>
      </c>
    </row>
    <row r="3" spans="1:8">
      <c r="A3" s="1646" t="s">
        <v>7778</v>
      </c>
      <c r="B3" s="1652" t="s">
        <v>7779</v>
      </c>
      <c r="C3" s="1652"/>
      <c r="D3" s="1136"/>
      <c r="E3" s="1136"/>
      <c r="F3" s="1136"/>
      <c r="G3" s="1663"/>
      <c r="H3" s="1664"/>
    </row>
    <row r="4" spans="1:8">
      <c r="A4" s="1646"/>
      <c r="B4" s="1652" t="s">
        <v>7780</v>
      </c>
      <c r="C4" s="1652"/>
      <c r="D4" s="1136"/>
      <c r="E4" s="1136"/>
      <c r="F4" s="1136"/>
      <c r="G4" s="1663"/>
      <c r="H4" s="1664"/>
    </row>
    <row r="5" spans="1:8">
      <c r="A5" s="1646"/>
      <c r="B5" s="1652" t="s">
        <v>7781</v>
      </c>
      <c r="C5" s="1652"/>
      <c r="D5" s="1136"/>
      <c r="E5" s="1136"/>
      <c r="F5" s="1136"/>
      <c r="G5" s="1663"/>
      <c r="H5" s="1664"/>
    </row>
    <row r="6" spans="1:8">
      <c r="A6" s="1646"/>
      <c r="B6" s="1652" t="s">
        <v>7782</v>
      </c>
      <c r="C6" s="1652"/>
      <c r="D6" s="1136" t="s">
        <v>7783</v>
      </c>
      <c r="E6" s="1136">
        <v>184.54</v>
      </c>
      <c r="F6" s="1136"/>
      <c r="G6" s="1663"/>
      <c r="H6" s="1664"/>
    </row>
    <row r="7" spans="1:8">
      <c r="A7" s="1646"/>
      <c r="B7" s="1652" t="s">
        <v>7784</v>
      </c>
      <c r="C7" s="1652"/>
      <c r="D7" s="1136"/>
      <c r="E7" s="1136"/>
      <c r="F7" s="1136"/>
      <c r="G7" s="1663"/>
      <c r="H7" s="1664"/>
    </row>
    <row r="8" spans="1:8">
      <c r="A8" s="1646"/>
      <c r="B8" s="1652" t="s">
        <v>7785</v>
      </c>
      <c r="C8" s="1652"/>
      <c r="D8" s="1136" t="s">
        <v>7783</v>
      </c>
      <c r="E8" s="1136"/>
      <c r="F8" s="1136"/>
      <c r="G8" s="1663"/>
      <c r="H8" s="1664"/>
    </row>
    <row r="9" spans="1:8">
      <c r="A9" s="1646"/>
      <c r="B9" s="1652" t="s">
        <v>7786</v>
      </c>
      <c r="C9" s="1652"/>
      <c r="D9" s="1136"/>
      <c r="E9" s="1136"/>
      <c r="F9" s="1136"/>
      <c r="G9" s="1663"/>
      <c r="H9" s="1664"/>
    </row>
    <row r="10" spans="1:8">
      <c r="A10" s="1646"/>
      <c r="B10" s="1652" t="s">
        <v>7787</v>
      </c>
      <c r="C10" s="1652"/>
      <c r="D10" s="1136"/>
      <c r="E10" s="1136"/>
      <c r="F10" s="1136"/>
      <c r="G10" s="1663"/>
      <c r="H10" s="1664"/>
    </row>
    <row r="11" spans="1:8">
      <c r="A11" s="1646"/>
      <c r="B11" s="1652" t="s">
        <v>7788</v>
      </c>
      <c r="C11" s="1652"/>
      <c r="D11" s="1136"/>
      <c r="E11" s="1136"/>
      <c r="F11" s="1136"/>
      <c r="G11" s="1663"/>
      <c r="H11" s="1664"/>
    </row>
    <row r="12" spans="1:8">
      <c r="A12" s="1646"/>
      <c r="B12" s="1652" t="s">
        <v>7789</v>
      </c>
      <c r="C12" s="1652"/>
      <c r="D12" s="1136"/>
      <c r="E12" s="1136"/>
      <c r="F12" s="1136"/>
      <c r="G12" s="1663"/>
      <c r="H12" s="1664"/>
    </row>
    <row r="13" spans="1:8">
      <c r="A13" s="1646"/>
      <c r="B13" s="1652" t="s">
        <v>7790</v>
      </c>
      <c r="C13" s="1652"/>
      <c r="D13" s="1136"/>
      <c r="E13" s="1136"/>
      <c r="F13" s="1136"/>
      <c r="G13" s="1663"/>
      <c r="H13" s="1664"/>
    </row>
    <row r="14" spans="1:8">
      <c r="A14" s="1646"/>
      <c r="B14" s="1652" t="s">
        <v>7791</v>
      </c>
      <c r="C14" s="1652"/>
      <c r="D14" s="1136"/>
      <c r="E14" s="1136"/>
      <c r="F14" s="1136"/>
      <c r="G14" s="1663"/>
      <c r="H14" s="1664"/>
    </row>
    <row r="15" spans="1:8">
      <c r="A15" s="1646"/>
      <c r="B15" s="1652" t="s">
        <v>7792</v>
      </c>
      <c r="C15" s="1652"/>
      <c r="D15" s="1136"/>
      <c r="E15" s="1136"/>
      <c r="F15" s="1136"/>
      <c r="G15" s="1663"/>
      <c r="H15" s="1664"/>
    </row>
    <row r="16" spans="1:8" ht="15">
      <c r="A16" s="1646"/>
      <c r="B16" s="1652" t="s">
        <v>7793</v>
      </c>
      <c r="C16" s="1652"/>
      <c r="D16" s="1137"/>
      <c r="E16" s="1137" t="s">
        <v>7794</v>
      </c>
      <c r="F16" s="1138" t="s">
        <v>7795</v>
      </c>
      <c r="G16" s="1663"/>
      <c r="H16" s="1664"/>
    </row>
    <row r="17" spans="1:17">
      <c r="A17" s="1648" t="s">
        <v>7796</v>
      </c>
      <c r="B17" s="1652" t="s">
        <v>7797</v>
      </c>
      <c r="C17" s="1652"/>
      <c r="G17" s="1657"/>
      <c r="H17" s="1656"/>
      <c r="Q17" s="1140"/>
    </row>
    <row r="18" spans="1:17">
      <c r="A18" s="1648"/>
      <c r="B18" s="1652" t="s">
        <v>7798</v>
      </c>
      <c r="C18" s="1652"/>
      <c r="G18" s="1657"/>
      <c r="H18" s="1656"/>
    </row>
    <row r="19" spans="1:17">
      <c r="A19" s="1648"/>
      <c r="B19" s="1652" t="s">
        <v>7799</v>
      </c>
      <c r="C19" s="1652"/>
      <c r="G19" s="1657"/>
      <c r="H19" s="1656"/>
    </row>
    <row r="20" spans="1:17">
      <c r="A20" s="1648"/>
      <c r="B20" s="1652" t="s">
        <v>7800</v>
      </c>
      <c r="C20" s="1652"/>
      <c r="G20" s="1657"/>
      <c r="H20" s="1656"/>
    </row>
    <row r="21" spans="1:17" ht="15">
      <c r="A21" s="1648"/>
      <c r="B21" s="1652" t="s">
        <v>7801</v>
      </c>
      <c r="C21" s="1652"/>
      <c r="D21" s="1137"/>
      <c r="E21" s="1137" t="s">
        <v>7802</v>
      </c>
      <c r="F21" s="1138" t="s">
        <v>7803</v>
      </c>
      <c r="G21" s="1657"/>
      <c r="H21" s="1656"/>
    </row>
    <row r="22" spans="1:17">
      <c r="A22" s="1648" t="s">
        <v>7804</v>
      </c>
      <c r="B22" s="1649" t="s">
        <v>7805</v>
      </c>
      <c r="C22" s="1649"/>
      <c r="D22" s="1137"/>
      <c r="E22" s="1137"/>
      <c r="F22" s="1141"/>
      <c r="G22" s="1654"/>
      <c r="H22" s="1655"/>
      <c r="I22" s="1142"/>
      <c r="J22" s="1142"/>
      <c r="Q22" s="1143"/>
    </row>
    <row r="23" spans="1:17">
      <c r="A23" s="1648"/>
      <c r="B23" s="1649" t="s">
        <v>7806</v>
      </c>
      <c r="C23" s="1649"/>
      <c r="D23" s="1141"/>
      <c r="E23" s="1141"/>
      <c r="F23" s="1141"/>
      <c r="G23" s="1654"/>
      <c r="H23" s="1655"/>
      <c r="I23" s="1144"/>
      <c r="J23" s="1144"/>
    </row>
    <row r="24" spans="1:17">
      <c r="A24" s="1648"/>
      <c r="B24" s="1649" t="s">
        <v>7807</v>
      </c>
      <c r="C24" s="1649"/>
      <c r="D24" s="1141"/>
      <c r="E24" s="1141"/>
      <c r="F24" s="1141"/>
      <c r="G24" s="1654"/>
      <c r="H24" s="1655"/>
      <c r="I24" s="1144"/>
      <c r="J24" s="1144"/>
    </row>
    <row r="25" spans="1:17">
      <c r="A25" s="1648"/>
      <c r="B25" s="1649" t="s">
        <v>7808</v>
      </c>
      <c r="C25" s="1649"/>
      <c r="D25" s="1141"/>
      <c r="E25" s="1141"/>
      <c r="F25" s="1141"/>
      <c r="G25" s="1654"/>
      <c r="H25" s="1655"/>
      <c r="I25" s="1144"/>
      <c r="J25" s="1144"/>
    </row>
    <row r="26" spans="1:17">
      <c r="A26" s="1648"/>
      <c r="B26" s="1649" t="s">
        <v>7809</v>
      </c>
      <c r="C26" s="1649"/>
      <c r="D26" s="1141"/>
      <c r="E26" s="1141"/>
      <c r="F26" s="1141"/>
      <c r="G26" s="1654"/>
      <c r="H26" s="1655"/>
      <c r="I26" s="1144"/>
      <c r="J26" s="1144"/>
    </row>
    <row r="27" spans="1:17">
      <c r="A27" s="1648"/>
      <c r="C27" s="1145" t="s">
        <v>7810</v>
      </c>
      <c r="D27" s="1141"/>
      <c r="E27" s="1141"/>
      <c r="F27" s="1141"/>
      <c r="G27" s="1654"/>
      <c r="H27" s="1655"/>
      <c r="I27" s="1144"/>
      <c r="J27" s="1144"/>
    </row>
    <row r="28" spans="1:17" ht="15">
      <c r="A28" s="1648"/>
      <c r="B28" s="1652" t="s">
        <v>7811</v>
      </c>
      <c r="C28" s="1652"/>
      <c r="D28" s="1137"/>
      <c r="E28" s="1137" t="s">
        <v>7812</v>
      </c>
      <c r="F28" s="1138" t="s">
        <v>7813</v>
      </c>
      <c r="G28" s="1654"/>
      <c r="H28" s="1655"/>
      <c r="I28" s="1144"/>
      <c r="J28" s="1144"/>
    </row>
    <row r="29" spans="1:17" ht="30">
      <c r="A29" s="1646" t="s">
        <v>7814</v>
      </c>
      <c r="B29" s="1647" t="s">
        <v>7815</v>
      </c>
      <c r="C29" s="1146" t="s">
        <v>7816</v>
      </c>
      <c r="D29" s="1147" t="s">
        <v>7783</v>
      </c>
      <c r="E29" s="1148"/>
      <c r="F29" s="1137"/>
      <c r="G29" s="1148">
        <v>0.01</v>
      </c>
      <c r="H29" s="1650" t="s">
        <v>7817</v>
      </c>
      <c r="I29" s="1145"/>
    </row>
    <row r="30" spans="1:17">
      <c r="A30" s="1646"/>
      <c r="B30" s="1647"/>
      <c r="C30" s="1149" t="s">
        <v>7818</v>
      </c>
      <c r="D30" s="1147" t="s">
        <v>7783</v>
      </c>
      <c r="E30" s="1147"/>
      <c r="F30" s="1141"/>
      <c r="G30" s="1147">
        <v>5.0000000000000001E-3</v>
      </c>
      <c r="H30" s="1650"/>
      <c r="I30" s="1144"/>
    </row>
    <row r="31" spans="1:17">
      <c r="A31" s="1646"/>
      <c r="B31" s="1647"/>
      <c r="C31" s="1149" t="s">
        <v>7819</v>
      </c>
      <c r="D31" s="1147"/>
      <c r="E31" s="1147"/>
      <c r="F31" s="1141"/>
      <c r="G31" s="1147">
        <v>5.0000000000000001E-3</v>
      </c>
      <c r="H31" s="1650"/>
      <c r="I31" s="1144"/>
    </row>
    <row r="32" spans="1:17">
      <c r="A32" s="1646"/>
      <c r="B32" s="1647" t="s">
        <v>7820</v>
      </c>
      <c r="C32" s="1149" t="s">
        <v>7821</v>
      </c>
      <c r="D32" s="1147" t="s">
        <v>7783</v>
      </c>
      <c r="E32" s="1147"/>
      <c r="F32" s="1150"/>
      <c r="G32" s="1147">
        <v>5.0000000000000001E-3</v>
      </c>
      <c r="H32" s="1650"/>
      <c r="I32" s="1144"/>
    </row>
    <row r="33" spans="1:28">
      <c r="A33" s="1646"/>
      <c r="B33" s="1647"/>
      <c r="C33" s="1149" t="s">
        <v>7822</v>
      </c>
      <c r="D33" s="1148"/>
      <c r="E33" s="1148"/>
      <c r="F33" s="1141"/>
      <c r="G33" s="1148">
        <v>0.01</v>
      </c>
      <c r="H33" s="1650"/>
      <c r="I33" s="1144"/>
    </row>
    <row r="34" spans="1:28">
      <c r="A34" s="1646"/>
      <c r="B34" s="1652" t="s">
        <v>7823</v>
      </c>
      <c r="C34" s="1652"/>
      <c r="D34" s="1147"/>
      <c r="E34" s="1147"/>
      <c r="F34" s="1141"/>
      <c r="G34" s="1147">
        <v>5.0000000000000001E-3</v>
      </c>
      <c r="H34" s="1650"/>
      <c r="I34" s="1144"/>
    </row>
    <row r="35" spans="1:28">
      <c r="A35" s="1646"/>
      <c r="B35" s="1652" t="s">
        <v>7824</v>
      </c>
      <c r="C35" s="1652"/>
      <c r="D35" s="1147"/>
      <c r="E35" s="1147"/>
      <c r="F35" s="1141"/>
      <c r="G35" s="1147">
        <v>5.0000000000000001E-3</v>
      </c>
      <c r="H35" s="1650"/>
      <c r="I35" s="1144"/>
    </row>
    <row r="36" spans="1:28">
      <c r="A36" s="1646"/>
      <c r="B36" s="1652" t="s">
        <v>7825</v>
      </c>
      <c r="C36" s="1652"/>
      <c r="D36" s="1147" t="s">
        <v>7783</v>
      </c>
      <c r="E36" s="1148"/>
      <c r="F36" s="1141"/>
      <c r="G36" s="1148">
        <v>0.01</v>
      </c>
      <c r="H36" s="1650"/>
    </row>
    <row r="37" spans="1:28">
      <c r="A37" s="1646"/>
      <c r="B37" s="1653" t="s">
        <v>7826</v>
      </c>
      <c r="C37" s="1149" t="s">
        <v>7827</v>
      </c>
      <c r="D37" s="1147" t="s">
        <v>7783</v>
      </c>
      <c r="E37" s="1147"/>
      <c r="F37" s="1141"/>
      <c r="G37" s="1147">
        <v>5.0000000000000001E-3</v>
      </c>
      <c r="H37" s="1650"/>
    </row>
    <row r="38" spans="1:28">
      <c r="A38" s="1646"/>
      <c r="B38" s="1653"/>
      <c r="C38" s="1149" t="s">
        <v>7828</v>
      </c>
      <c r="D38" s="1147"/>
      <c r="E38" s="1147"/>
      <c r="F38" s="1141"/>
      <c r="G38" s="1147">
        <v>5.0000000000000001E-3</v>
      </c>
      <c r="H38" s="1650"/>
    </row>
    <row r="39" spans="1:28" ht="15" thickBot="1">
      <c r="A39" s="1646"/>
      <c r="B39" s="1653"/>
      <c r="C39" s="1149" t="s">
        <v>7829</v>
      </c>
      <c r="D39" s="1147"/>
      <c r="E39" s="1147"/>
      <c r="F39" s="1141"/>
      <c r="G39" s="1147">
        <v>5.0000000000000001E-3</v>
      </c>
      <c r="H39" s="1651"/>
    </row>
    <row r="40" spans="1:28" ht="15" thickBot="1">
      <c r="A40" s="1635" t="s">
        <v>7830</v>
      </c>
      <c r="B40" s="1636"/>
      <c r="C40" s="1636"/>
      <c r="D40" s="1636"/>
      <c r="E40" s="1636"/>
      <c r="F40" s="1636"/>
      <c r="G40" s="1636"/>
      <c r="H40" s="1151"/>
    </row>
    <row r="41" spans="1:28">
      <c r="A41" s="1152"/>
      <c r="B41" s="1152"/>
      <c r="C41" s="1152"/>
      <c r="D41" s="1153"/>
      <c r="E41" s="1153"/>
      <c r="F41" s="1153"/>
      <c r="G41" s="1152"/>
      <c r="H41" s="1152"/>
      <c r="I41" s="1637" t="s">
        <v>7831</v>
      </c>
      <c r="J41" s="1637"/>
      <c r="K41" s="1637"/>
      <c r="L41" s="1637"/>
      <c r="M41" s="1637"/>
      <c r="N41" s="1638" t="s">
        <v>7831</v>
      </c>
      <c r="O41" s="1638"/>
      <c r="P41" s="1638"/>
      <c r="Q41" s="1638"/>
      <c r="R41" s="1638"/>
      <c r="S41" s="1639" t="s">
        <v>7831</v>
      </c>
      <c r="T41" s="1639"/>
      <c r="U41" s="1639"/>
      <c r="V41" s="1639"/>
      <c r="W41" s="1639"/>
      <c r="X41" s="1640" t="s">
        <v>7831</v>
      </c>
      <c r="Y41" s="1640"/>
      <c r="Z41" s="1640"/>
      <c r="AA41" s="1640"/>
      <c r="AB41" s="1640"/>
    </row>
    <row r="42" spans="1:28" s="1161" customFormat="1" ht="30">
      <c r="A42" s="1154" t="s">
        <v>6941</v>
      </c>
      <c r="B42" s="1154" t="s">
        <v>480</v>
      </c>
      <c r="C42" s="1155" t="s">
        <v>7832</v>
      </c>
      <c r="D42" s="1156" t="s">
        <v>7833</v>
      </c>
      <c r="E42" s="1156" t="s">
        <v>7834</v>
      </c>
      <c r="F42" s="1156" t="s">
        <v>7835</v>
      </c>
      <c r="G42" s="1156" t="s">
        <v>7836</v>
      </c>
      <c r="H42" s="1156" t="s">
        <v>7837</v>
      </c>
      <c r="I42" s="1157" t="s">
        <v>7838</v>
      </c>
      <c r="J42" s="1157" t="s">
        <v>7839</v>
      </c>
      <c r="K42" s="1157" t="s">
        <v>7840</v>
      </c>
      <c r="L42" s="1157" t="s">
        <v>7841</v>
      </c>
      <c r="M42" s="1157" t="s">
        <v>7842</v>
      </c>
      <c r="N42" s="1158" t="s">
        <v>7843</v>
      </c>
      <c r="O42" s="1158" t="s">
        <v>7844</v>
      </c>
      <c r="P42" s="1158" t="s">
        <v>7845</v>
      </c>
      <c r="Q42" s="1158" t="s">
        <v>7846</v>
      </c>
      <c r="R42" s="1158" t="s">
        <v>7847</v>
      </c>
      <c r="S42" s="1159" t="s">
        <v>7848</v>
      </c>
      <c r="T42" s="1159" t="s">
        <v>7849</v>
      </c>
      <c r="U42" s="1159" t="s">
        <v>7850</v>
      </c>
      <c r="V42" s="1159" t="s">
        <v>7851</v>
      </c>
      <c r="W42" s="1159" t="s">
        <v>7852</v>
      </c>
      <c r="X42" s="1160" t="s">
        <v>7853</v>
      </c>
      <c r="Y42" s="1160" t="s">
        <v>7854</v>
      </c>
      <c r="Z42" s="1160" t="s">
        <v>7855</v>
      </c>
      <c r="AA42" s="1160" t="s">
        <v>7856</v>
      </c>
      <c r="AB42" s="1160" t="s">
        <v>7857</v>
      </c>
    </row>
    <row r="43" spans="1:28" s="1161" customFormat="1">
      <c r="A43" s="1641" t="s">
        <v>7858</v>
      </c>
      <c r="B43" s="1644" t="s">
        <v>500</v>
      </c>
      <c r="C43" s="1162" t="s">
        <v>7859</v>
      </c>
      <c r="D43" s="1163">
        <f>5206*3</f>
        <v>15618</v>
      </c>
      <c r="E43" s="1163">
        <f>F43+X43</f>
        <v>3875.8744064012803</v>
      </c>
      <c r="F43" s="1163">
        <f t="shared" ref="F43:F44" si="0">G43+Y43</f>
        <v>3442.4844064012805</v>
      </c>
      <c r="G43" s="1164">
        <f>M43+R43+W43+AB43</f>
        <v>142.91588843828026</v>
      </c>
      <c r="H43" s="1164"/>
      <c r="I43" s="1163">
        <v>603.65</v>
      </c>
      <c r="J43" s="1165">
        <v>3060</v>
      </c>
      <c r="K43" s="1166">
        <f>M50</f>
        <v>1156.9712153846153</v>
      </c>
      <c r="L43" s="1163">
        <f>J43-K43</f>
        <v>1903.0287846153847</v>
      </c>
      <c r="M43" s="1163">
        <f>L43*I43/$D43</f>
        <v>73.55380495793807</v>
      </c>
      <c r="N43" s="1163">
        <v>0</v>
      </c>
      <c r="O43" s="1165">
        <v>3100</v>
      </c>
      <c r="P43" s="1166">
        <f>R50</f>
        <v>1187.5704000000001</v>
      </c>
      <c r="Q43" s="1163">
        <f>O43-P43</f>
        <v>1912.4295999999999</v>
      </c>
      <c r="R43" s="1163">
        <f>Q43*N43/$D43</f>
        <v>0</v>
      </c>
      <c r="S43" s="1163">
        <v>1269.6400000000001</v>
      </c>
      <c r="T43" s="1165">
        <v>1000</v>
      </c>
      <c r="U43" s="1166">
        <v>830</v>
      </c>
      <c r="V43" s="1163">
        <f>T43-U43</f>
        <v>170</v>
      </c>
      <c r="W43" s="1163">
        <f>V43*S43/$D43</f>
        <v>13.819874503777694</v>
      </c>
      <c r="X43" s="1163">
        <v>433.39</v>
      </c>
      <c r="Y43" s="1165">
        <v>3299.568517963</v>
      </c>
      <c r="Z43" s="1166">
        <f>0.24*580+Z51*AA51+Z52*AA52</f>
        <v>1298.0036</v>
      </c>
      <c r="AA43" s="1163">
        <f>Y43-Z43</f>
        <v>2001.564917963</v>
      </c>
      <c r="AB43" s="1163">
        <f>AA43*X43/$D43</f>
        <v>55.54220897656451</v>
      </c>
    </row>
    <row r="44" spans="1:28" s="1161" customFormat="1">
      <c r="A44" s="1642"/>
      <c r="B44" s="1644"/>
      <c r="C44" s="1162" t="s">
        <v>7860</v>
      </c>
      <c r="D44" s="1163">
        <v>7108</v>
      </c>
      <c r="E44" s="1163">
        <f>F44+X44</f>
        <v>3299.568517963</v>
      </c>
      <c r="F44" s="1163">
        <f t="shared" si="0"/>
        <v>3299.568517963</v>
      </c>
      <c r="G44" s="1164"/>
      <c r="H44" s="1164">
        <f>M44+R44+W44+AB44</f>
        <v>42.596697807194495</v>
      </c>
      <c r="I44" s="1163">
        <v>107.28</v>
      </c>
      <c r="J44" s="1165">
        <v>3060</v>
      </c>
      <c r="K44" s="1166">
        <f>M50</f>
        <v>1156.9712153846153</v>
      </c>
      <c r="L44" s="1163">
        <f>J44-K44</f>
        <v>1903.0287846153847</v>
      </c>
      <c r="M44" s="1163">
        <f>L44*I44/$D44</f>
        <v>28.722133935500629</v>
      </c>
      <c r="N44" s="1163">
        <v>0</v>
      </c>
      <c r="O44" s="1165">
        <v>3100</v>
      </c>
      <c r="P44" s="1166">
        <f>R50</f>
        <v>1187.5704000000001</v>
      </c>
      <c r="Q44" s="1163">
        <f>O44-P44</f>
        <v>1912.4295999999999</v>
      </c>
      <c r="R44" s="1163">
        <f>Q44*N44/$D44</f>
        <v>0</v>
      </c>
      <c r="S44" s="1163">
        <v>580.12</v>
      </c>
      <c r="T44" s="1165">
        <v>1000</v>
      </c>
      <c r="U44" s="1166">
        <v>830</v>
      </c>
      <c r="V44" s="1163">
        <f>T44-U44</f>
        <v>170</v>
      </c>
      <c r="W44" s="1163">
        <f>V44*S44/$D44</f>
        <v>13.874563871693866</v>
      </c>
      <c r="X44" s="1163">
        <v>0</v>
      </c>
      <c r="Y44" s="1165">
        <v>3299.568517963</v>
      </c>
      <c r="Z44" s="1166">
        <f>0.24*580+Z51*AA51+Z52*AA52</f>
        <v>1298.0036</v>
      </c>
      <c r="AA44" s="1163">
        <f>Y44-Z44</f>
        <v>2001.564917963</v>
      </c>
      <c r="AB44" s="1163">
        <f>AA44*X44/$D44</f>
        <v>0</v>
      </c>
    </row>
    <row r="45" spans="1:28" s="1161" customFormat="1">
      <c r="A45" s="1643"/>
      <c r="B45" s="1644"/>
      <c r="C45" s="1162" t="s">
        <v>649</v>
      </c>
      <c r="D45" s="1163">
        <f>SUM(D43:D43)</f>
        <v>15618</v>
      </c>
      <c r="E45" s="1163">
        <f>SUM(E43:E43)</f>
        <v>3875.8744064012803</v>
      </c>
      <c r="F45" s="1163">
        <f>SUM(F43:F43)</f>
        <v>3442.4844064012805</v>
      </c>
      <c r="G45" s="1164">
        <f>G43</f>
        <v>142.91588843828026</v>
      </c>
      <c r="H45" s="1164">
        <f>H44</f>
        <v>42.596697807194495</v>
      </c>
      <c r="I45" s="1163"/>
      <c r="J45" s="1163"/>
      <c r="K45" s="1163"/>
      <c r="L45" s="1163"/>
      <c r="M45" s="1163"/>
      <c r="N45" s="1163"/>
      <c r="O45" s="1163"/>
      <c r="P45" s="1163"/>
      <c r="Q45" s="1163"/>
      <c r="R45" s="1163"/>
      <c r="S45" s="1163"/>
      <c r="T45" s="1163"/>
      <c r="U45" s="1163"/>
      <c r="V45" s="1163"/>
      <c r="W45" s="1163"/>
      <c r="X45" s="1163"/>
      <c r="Y45" s="1163"/>
      <c r="Z45" s="1163"/>
      <c r="AA45" s="1163"/>
      <c r="AB45" s="1163"/>
    </row>
    <row r="46" spans="1:28">
      <c r="C46" s="1167"/>
      <c r="D46" s="1168"/>
      <c r="E46" s="1168"/>
      <c r="F46" s="1168" t="s">
        <v>7861</v>
      </c>
      <c r="G46" s="1164">
        <v>10</v>
      </c>
      <c r="H46" s="1164"/>
      <c r="P46" s="1169"/>
    </row>
    <row r="47" spans="1:28">
      <c r="G47" s="1139"/>
      <c r="H47" s="1139"/>
      <c r="I47" s="1139"/>
      <c r="K47" s="1169"/>
      <c r="P47" s="1169"/>
      <c r="Z47" s="1169"/>
    </row>
    <row r="48" spans="1:28" ht="33" customHeight="1">
      <c r="A48" s="1167" t="s">
        <v>7862</v>
      </c>
      <c r="B48" s="1645" t="s">
        <v>7863</v>
      </c>
      <c r="C48" s="1645"/>
      <c r="D48" s="1645"/>
      <c r="E48" s="1645"/>
      <c r="F48" s="1645"/>
      <c r="G48" s="1170">
        <f>G45*0.4+H45*0.6+G46</f>
        <v>92.724374059628801</v>
      </c>
      <c r="H48" s="1167"/>
      <c r="I48" s="1171"/>
      <c r="K48" s="1169"/>
      <c r="N48" s="1171"/>
      <c r="P48" s="1169"/>
      <c r="S48" s="1171"/>
      <c r="U48" s="1169"/>
      <c r="X48" s="1171"/>
      <c r="Z48" s="1169"/>
    </row>
    <row r="49" spans="1:28" ht="20" customHeight="1">
      <c r="A49" s="1167" t="s">
        <v>7864</v>
      </c>
      <c r="B49" s="1645" t="s">
        <v>7931</v>
      </c>
      <c r="C49" s="1645"/>
      <c r="D49" s="1645"/>
      <c r="E49" s="1645"/>
      <c r="F49" s="1645"/>
      <c r="G49" s="1170">
        <f>G45+G46</f>
        <v>152.91588843828026</v>
      </c>
      <c r="H49" s="1168" t="s">
        <v>7865</v>
      </c>
      <c r="I49" s="1171"/>
      <c r="K49" s="1169"/>
      <c r="N49" s="1171"/>
      <c r="P49" s="1169"/>
      <c r="S49" s="1171"/>
      <c r="U49" s="1169"/>
      <c r="X49" s="1171"/>
      <c r="Z49" s="1169"/>
    </row>
    <row r="50" spans="1:28" ht="15">
      <c r="I50" s="1632" t="s">
        <v>7866</v>
      </c>
      <c r="J50" s="1172"/>
      <c r="K50" s="1173" t="s">
        <v>7867</v>
      </c>
      <c r="L50" s="1172" t="s">
        <v>7868</v>
      </c>
      <c r="M50" s="1173">
        <f>SUM(M51:M53)</f>
        <v>1156.9712153846153</v>
      </c>
      <c r="N50" s="1632" t="s">
        <v>7869</v>
      </c>
      <c r="O50" s="1172"/>
      <c r="P50" s="1173"/>
      <c r="Q50" s="1172" t="s">
        <v>7868</v>
      </c>
      <c r="R50" s="1173">
        <f>SUM(R51:R53)</f>
        <v>1187.5704000000001</v>
      </c>
      <c r="S50" s="1632" t="s">
        <v>7870</v>
      </c>
      <c r="T50" s="1172"/>
      <c r="U50" s="1173" t="s">
        <v>7868</v>
      </c>
      <c r="V50" s="1172" t="s">
        <v>7871</v>
      </c>
      <c r="W50" s="1172"/>
      <c r="X50" s="1632" t="s">
        <v>7872</v>
      </c>
      <c r="Y50" s="1172"/>
      <c r="Z50" s="1173"/>
      <c r="AA50" s="1172" t="s">
        <v>7868</v>
      </c>
      <c r="AB50" s="1173">
        <f>SUM(AB51:AB53)</f>
        <v>1298.0036</v>
      </c>
    </row>
    <row r="51" spans="1:28" ht="15">
      <c r="G51" s="1171"/>
      <c r="I51" s="1633"/>
      <c r="J51" s="1172" t="s">
        <v>7873</v>
      </c>
      <c r="K51" s="1173">
        <v>80.33</v>
      </c>
      <c r="L51" s="1173">
        <v>6.02</v>
      </c>
      <c r="M51" s="1173">
        <f>K51*L51</f>
        <v>483.58659999999998</v>
      </c>
      <c r="N51" s="1633"/>
      <c r="O51" s="1172" t="s">
        <v>7873</v>
      </c>
      <c r="P51" s="1173">
        <v>72.52</v>
      </c>
      <c r="Q51" s="1172">
        <v>6.02</v>
      </c>
      <c r="R51" s="1173">
        <f>P51*Q51</f>
        <v>436.57039999999995</v>
      </c>
      <c r="S51" s="1633"/>
      <c r="T51" s="1172" t="s">
        <v>7874</v>
      </c>
      <c r="U51" s="1173">
        <v>830</v>
      </c>
      <c r="V51" s="1172" t="s">
        <v>7875</v>
      </c>
      <c r="W51" s="1172"/>
      <c r="X51" s="1633"/>
      <c r="Y51" s="1172" t="s">
        <v>7873</v>
      </c>
      <c r="Z51" s="1173">
        <v>86.18</v>
      </c>
      <c r="AA51" s="1172">
        <v>6.02</v>
      </c>
      <c r="AB51" s="1173">
        <f>Z51*AA51</f>
        <v>518.80359999999996</v>
      </c>
    </row>
    <row r="52" spans="1:28" ht="15">
      <c r="G52" s="1174"/>
      <c r="I52" s="1633"/>
      <c r="J52" s="1172" t="s">
        <v>7876</v>
      </c>
      <c r="K52" s="1173">
        <f>1/0.13</f>
        <v>7.6923076923076916</v>
      </c>
      <c r="L52" s="1173">
        <v>80</v>
      </c>
      <c r="M52" s="1173">
        <f t="shared" ref="M52:M53" si="1">K52*L52</f>
        <v>615.38461538461536</v>
      </c>
      <c r="N52" s="1633"/>
      <c r="O52" s="1172" t="s">
        <v>7876</v>
      </c>
      <c r="P52" s="1173">
        <v>8.3000000000000007</v>
      </c>
      <c r="Q52" s="1172">
        <v>80</v>
      </c>
      <c r="R52" s="1173">
        <f t="shared" ref="R52:R53" si="2">P52*Q52</f>
        <v>664</v>
      </c>
      <c r="S52" s="1633"/>
      <c r="T52" s="1172" t="s">
        <v>7877</v>
      </c>
      <c r="U52" s="1173">
        <v>1000</v>
      </c>
      <c r="V52" s="1172" t="s">
        <v>7875</v>
      </c>
      <c r="W52" s="1172"/>
      <c r="X52" s="1633"/>
      <c r="Y52" s="1172" t="s">
        <v>7876</v>
      </c>
      <c r="Z52" s="1173">
        <f>2/(0.25*1*1)</f>
        <v>8</v>
      </c>
      <c r="AA52" s="1172">
        <v>80</v>
      </c>
      <c r="AB52" s="1173">
        <f t="shared" ref="AB52:AB53" si="3">Z52*AA52</f>
        <v>640</v>
      </c>
    </row>
    <row r="53" spans="1:28" ht="15">
      <c r="G53" s="1174"/>
      <c r="I53" s="1634"/>
      <c r="J53" s="1172" t="s">
        <v>7878</v>
      </c>
      <c r="K53" s="1175">
        <v>0.1</v>
      </c>
      <c r="L53" s="1176">
        <v>580</v>
      </c>
      <c r="M53" s="1173">
        <f t="shared" si="1"/>
        <v>58</v>
      </c>
      <c r="N53" s="1634"/>
      <c r="O53" s="1172" t="s">
        <v>7878</v>
      </c>
      <c r="P53" s="1175">
        <v>0.15</v>
      </c>
      <c r="Q53" s="1176">
        <v>580</v>
      </c>
      <c r="R53" s="1173">
        <f t="shared" si="2"/>
        <v>87</v>
      </c>
      <c r="S53" s="1634"/>
      <c r="T53" s="1176"/>
      <c r="U53" s="1176"/>
      <c r="V53" s="1176"/>
      <c r="W53" s="1176"/>
      <c r="X53" s="1634"/>
      <c r="Y53" s="1172" t="s">
        <v>7878</v>
      </c>
      <c r="Z53" s="1175">
        <v>0.24</v>
      </c>
      <c r="AA53" s="1176">
        <v>580</v>
      </c>
      <c r="AB53" s="1173">
        <f t="shared" si="3"/>
        <v>139.19999999999999</v>
      </c>
    </row>
    <row r="54" spans="1:28" ht="15">
      <c r="G54" s="1174"/>
      <c r="Z54" s="1169"/>
    </row>
    <row r="55" spans="1:28" ht="15">
      <c r="G55" s="1174"/>
      <c r="I55" s="1177"/>
    </row>
  </sheetData>
  <mergeCells count="57">
    <mergeCell ref="A1:H1"/>
    <mergeCell ref="A2:C2"/>
    <mergeCell ref="A3:A16"/>
    <mergeCell ref="B3:C3"/>
    <mergeCell ref="G3:G16"/>
    <mergeCell ref="H3:H16"/>
    <mergeCell ref="B4:C4"/>
    <mergeCell ref="B5:C5"/>
    <mergeCell ref="B6:C6"/>
    <mergeCell ref="B7:C7"/>
    <mergeCell ref="B28:C28"/>
    <mergeCell ref="A17:A21"/>
    <mergeCell ref="B17:C17"/>
    <mergeCell ref="G17:G21"/>
    <mergeCell ref="B8:C8"/>
    <mergeCell ref="B9:C9"/>
    <mergeCell ref="B10:C10"/>
    <mergeCell ref="B11:C11"/>
    <mergeCell ref="B12:C12"/>
    <mergeCell ref="B13:C13"/>
    <mergeCell ref="B14:C14"/>
    <mergeCell ref="B15:C15"/>
    <mergeCell ref="B16:C16"/>
    <mergeCell ref="H17:H21"/>
    <mergeCell ref="B18:C18"/>
    <mergeCell ref="B19:C19"/>
    <mergeCell ref="B20:C20"/>
    <mergeCell ref="B21:C21"/>
    <mergeCell ref="A29:A39"/>
    <mergeCell ref="B29:B31"/>
    <mergeCell ref="A22:A28"/>
    <mergeCell ref="B22:C22"/>
    <mergeCell ref="H29:H39"/>
    <mergeCell ref="B32:B33"/>
    <mergeCell ref="B34:C34"/>
    <mergeCell ref="B35:C35"/>
    <mergeCell ref="B36:C36"/>
    <mergeCell ref="B37:B39"/>
    <mergeCell ref="G22:G28"/>
    <mergeCell ref="H22:H28"/>
    <mergeCell ref="B23:C23"/>
    <mergeCell ref="B24:C24"/>
    <mergeCell ref="B25:C25"/>
    <mergeCell ref="B26:C26"/>
    <mergeCell ref="X50:X53"/>
    <mergeCell ref="A40:G40"/>
    <mergeCell ref="I41:M41"/>
    <mergeCell ref="N41:R41"/>
    <mergeCell ref="S41:W41"/>
    <mergeCell ref="X41:AB41"/>
    <mergeCell ref="A43:A45"/>
    <mergeCell ref="B43:B45"/>
    <mergeCell ref="B48:F48"/>
    <mergeCell ref="B49:F49"/>
    <mergeCell ref="I50:I53"/>
    <mergeCell ref="N50:N53"/>
    <mergeCell ref="S50:S53"/>
  </mergeCells>
  <phoneticPr fontId="84" type="noConversion"/>
  <pageMargins left="0.7" right="0.7" top="0.75" bottom="0.75" header="0.3" footer="0.3"/>
  <pageSetup paperSize="9"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DAA4-503D-4148-A568-64F124AB08B0}">
  <sheetPr>
    <tabColor theme="3"/>
  </sheetPr>
  <dimension ref="A1:F22"/>
  <sheetViews>
    <sheetView zoomScale="133" workbookViewId="0">
      <selection activeCell="I47" sqref="I47"/>
    </sheetView>
  </sheetViews>
  <sheetFormatPr baseColWidth="10" defaultRowHeight="13"/>
  <cols>
    <col min="1" max="1" width="16.1640625" customWidth="1"/>
    <col min="2" max="2" width="69.1640625" customWidth="1"/>
    <col min="3" max="3" width="22.33203125" customWidth="1"/>
    <col min="4" max="4" width="13" customWidth="1"/>
    <col min="5" max="5" width="17.1640625" customWidth="1"/>
    <col min="6" max="6" width="29.5" customWidth="1"/>
    <col min="7" max="244" width="8.83203125" customWidth="1"/>
    <col min="245" max="245" width="9.33203125" customWidth="1"/>
    <col min="246" max="246" width="13.33203125" customWidth="1"/>
    <col min="247" max="247" width="15.6640625" customWidth="1"/>
    <col min="248" max="248" width="18.6640625" customWidth="1"/>
    <col min="249" max="249" width="8.5" customWidth="1"/>
    <col min="250" max="250" width="3.6640625" customWidth="1"/>
    <col min="251" max="251" width="20" customWidth="1"/>
    <col min="252" max="252" width="12.1640625" customWidth="1"/>
    <col min="253" max="254" width="8.83203125" customWidth="1"/>
    <col min="255" max="255" width="42.6640625" customWidth="1"/>
    <col min="256" max="258" width="8.83203125" customWidth="1"/>
    <col min="259" max="259" width="20.5" customWidth="1"/>
    <col min="260" max="260" width="22.83203125" customWidth="1"/>
    <col min="261" max="500" width="8.83203125" customWidth="1"/>
    <col min="501" max="501" width="9.33203125" customWidth="1"/>
    <col min="502" max="502" width="13.33203125" customWidth="1"/>
    <col min="503" max="503" width="15.6640625" customWidth="1"/>
    <col min="504" max="504" width="18.6640625" customWidth="1"/>
    <col min="505" max="505" width="8.5" customWidth="1"/>
    <col min="506" max="506" width="3.6640625" customWidth="1"/>
    <col min="507" max="507" width="20" customWidth="1"/>
    <col min="508" max="508" width="12.1640625" customWidth="1"/>
    <col min="509" max="510" width="8.83203125" customWidth="1"/>
    <col min="511" max="511" width="42.6640625" customWidth="1"/>
    <col min="512" max="514" width="8.83203125" customWidth="1"/>
    <col min="515" max="515" width="20.5" customWidth="1"/>
    <col min="516" max="516" width="22.83203125" customWidth="1"/>
    <col min="517" max="756" width="8.83203125" customWidth="1"/>
    <col min="757" max="757" width="9.33203125" customWidth="1"/>
    <col min="758" max="758" width="13.33203125" customWidth="1"/>
    <col min="759" max="759" width="15.6640625" customWidth="1"/>
    <col min="760" max="760" width="18.6640625" customWidth="1"/>
    <col min="761" max="761" width="8.5" customWidth="1"/>
    <col min="762" max="762" width="3.6640625" customWidth="1"/>
    <col min="763" max="763" width="20" customWidth="1"/>
    <col min="764" max="764" width="12.1640625" customWidth="1"/>
    <col min="765" max="766" width="8.83203125" customWidth="1"/>
    <col min="767" max="767" width="42.6640625" customWidth="1"/>
    <col min="768" max="770" width="8.83203125" customWidth="1"/>
    <col min="771" max="771" width="20.5" customWidth="1"/>
    <col min="772" max="772" width="22.83203125" customWidth="1"/>
    <col min="773" max="1012" width="8.83203125" customWidth="1"/>
    <col min="1013" max="1013" width="9.33203125" customWidth="1"/>
    <col min="1014" max="1014" width="13.33203125" customWidth="1"/>
    <col min="1015" max="1015" width="15.6640625" customWidth="1"/>
    <col min="1016" max="1016" width="18.6640625" customWidth="1"/>
    <col min="1017" max="1017" width="8.5" customWidth="1"/>
    <col min="1018" max="1018" width="3.6640625" customWidth="1"/>
    <col min="1019" max="1019" width="20" customWidth="1"/>
    <col min="1020" max="1020" width="12.1640625" customWidth="1"/>
    <col min="1021" max="1022" width="8.83203125" customWidth="1"/>
    <col min="1023" max="1023" width="42.6640625" customWidth="1"/>
    <col min="1024" max="1026" width="8.83203125" customWidth="1"/>
    <col min="1027" max="1027" width="20.5" customWidth="1"/>
    <col min="1028" max="1028" width="22.83203125" customWidth="1"/>
    <col min="1029" max="1268" width="8.83203125" customWidth="1"/>
    <col min="1269" max="1269" width="9.33203125" customWidth="1"/>
    <col min="1270" max="1270" width="13.33203125" customWidth="1"/>
    <col min="1271" max="1271" width="15.6640625" customWidth="1"/>
    <col min="1272" max="1272" width="18.6640625" customWidth="1"/>
    <col min="1273" max="1273" width="8.5" customWidth="1"/>
    <col min="1274" max="1274" width="3.6640625" customWidth="1"/>
    <col min="1275" max="1275" width="20" customWidth="1"/>
    <col min="1276" max="1276" width="12.1640625" customWidth="1"/>
    <col min="1277" max="1278" width="8.83203125" customWidth="1"/>
    <col min="1279" max="1279" width="42.6640625" customWidth="1"/>
    <col min="1280" max="1282" width="8.83203125" customWidth="1"/>
    <col min="1283" max="1283" width="20.5" customWidth="1"/>
    <col min="1284" max="1284" width="22.83203125" customWidth="1"/>
    <col min="1285" max="1524" width="8.83203125" customWidth="1"/>
    <col min="1525" max="1525" width="9.33203125" customWidth="1"/>
    <col min="1526" max="1526" width="13.33203125" customWidth="1"/>
    <col min="1527" max="1527" width="15.6640625" customWidth="1"/>
    <col min="1528" max="1528" width="18.6640625" customWidth="1"/>
    <col min="1529" max="1529" width="8.5" customWidth="1"/>
    <col min="1530" max="1530" width="3.6640625" customWidth="1"/>
    <col min="1531" max="1531" width="20" customWidth="1"/>
    <col min="1532" max="1532" width="12.1640625" customWidth="1"/>
    <col min="1533" max="1534" width="8.83203125" customWidth="1"/>
    <col min="1535" max="1535" width="42.6640625" customWidth="1"/>
    <col min="1536" max="1538" width="8.83203125" customWidth="1"/>
    <col min="1539" max="1539" width="20.5" customWidth="1"/>
    <col min="1540" max="1540" width="22.83203125" customWidth="1"/>
    <col min="1541" max="1780" width="8.83203125" customWidth="1"/>
    <col min="1781" max="1781" width="9.33203125" customWidth="1"/>
    <col min="1782" max="1782" width="13.33203125" customWidth="1"/>
    <col min="1783" max="1783" width="15.6640625" customWidth="1"/>
    <col min="1784" max="1784" width="18.6640625" customWidth="1"/>
    <col min="1785" max="1785" width="8.5" customWidth="1"/>
    <col min="1786" max="1786" width="3.6640625" customWidth="1"/>
    <col min="1787" max="1787" width="20" customWidth="1"/>
    <col min="1788" max="1788" width="12.1640625" customWidth="1"/>
    <col min="1789" max="1790" width="8.83203125" customWidth="1"/>
    <col min="1791" max="1791" width="42.6640625" customWidth="1"/>
    <col min="1792" max="1794" width="8.83203125" customWidth="1"/>
    <col min="1795" max="1795" width="20.5" customWidth="1"/>
    <col min="1796" max="1796" width="22.83203125" customWidth="1"/>
    <col min="1797" max="2036" width="8.83203125" customWidth="1"/>
    <col min="2037" max="2037" width="9.33203125" customWidth="1"/>
    <col min="2038" max="2038" width="13.33203125" customWidth="1"/>
    <col min="2039" max="2039" width="15.6640625" customWidth="1"/>
    <col min="2040" max="2040" width="18.6640625" customWidth="1"/>
    <col min="2041" max="2041" width="8.5" customWidth="1"/>
    <col min="2042" max="2042" width="3.6640625" customWidth="1"/>
    <col min="2043" max="2043" width="20" customWidth="1"/>
    <col min="2044" max="2044" width="12.1640625" customWidth="1"/>
    <col min="2045" max="2046" width="8.83203125" customWidth="1"/>
    <col min="2047" max="2047" width="42.6640625" customWidth="1"/>
    <col min="2048" max="2050" width="8.83203125" customWidth="1"/>
    <col min="2051" max="2051" width="20.5" customWidth="1"/>
    <col min="2052" max="2052" width="22.83203125" customWidth="1"/>
    <col min="2053" max="2292" width="8.83203125" customWidth="1"/>
    <col min="2293" max="2293" width="9.33203125" customWidth="1"/>
    <col min="2294" max="2294" width="13.33203125" customWidth="1"/>
    <col min="2295" max="2295" width="15.6640625" customWidth="1"/>
    <col min="2296" max="2296" width="18.6640625" customWidth="1"/>
    <col min="2297" max="2297" width="8.5" customWidth="1"/>
    <col min="2298" max="2298" width="3.6640625" customWidth="1"/>
    <col min="2299" max="2299" width="20" customWidth="1"/>
    <col min="2300" max="2300" width="12.1640625" customWidth="1"/>
    <col min="2301" max="2302" width="8.83203125" customWidth="1"/>
    <col min="2303" max="2303" width="42.6640625" customWidth="1"/>
    <col min="2304" max="2306" width="8.83203125" customWidth="1"/>
    <col min="2307" max="2307" width="20.5" customWidth="1"/>
    <col min="2308" max="2308" width="22.83203125" customWidth="1"/>
    <col min="2309" max="2548" width="8.83203125" customWidth="1"/>
    <col min="2549" max="2549" width="9.33203125" customWidth="1"/>
    <col min="2550" max="2550" width="13.33203125" customWidth="1"/>
    <col min="2551" max="2551" width="15.6640625" customWidth="1"/>
    <col min="2552" max="2552" width="18.6640625" customWidth="1"/>
    <col min="2553" max="2553" width="8.5" customWidth="1"/>
    <col min="2554" max="2554" width="3.6640625" customWidth="1"/>
    <col min="2555" max="2555" width="20" customWidth="1"/>
    <col min="2556" max="2556" width="12.1640625" customWidth="1"/>
    <col min="2557" max="2558" width="8.83203125" customWidth="1"/>
    <col min="2559" max="2559" width="42.6640625" customWidth="1"/>
    <col min="2560" max="2562" width="8.83203125" customWidth="1"/>
    <col min="2563" max="2563" width="20.5" customWidth="1"/>
    <col min="2564" max="2564" width="22.83203125" customWidth="1"/>
    <col min="2565" max="2804" width="8.83203125" customWidth="1"/>
    <col min="2805" max="2805" width="9.33203125" customWidth="1"/>
    <col min="2806" max="2806" width="13.33203125" customWidth="1"/>
    <col min="2807" max="2807" width="15.6640625" customWidth="1"/>
    <col min="2808" max="2808" width="18.6640625" customWidth="1"/>
    <col min="2809" max="2809" width="8.5" customWidth="1"/>
    <col min="2810" max="2810" width="3.6640625" customWidth="1"/>
    <col min="2811" max="2811" width="20" customWidth="1"/>
    <col min="2812" max="2812" width="12.1640625" customWidth="1"/>
    <col min="2813" max="2814" width="8.83203125" customWidth="1"/>
    <col min="2815" max="2815" width="42.6640625" customWidth="1"/>
    <col min="2816" max="2818" width="8.83203125" customWidth="1"/>
    <col min="2819" max="2819" width="20.5" customWidth="1"/>
    <col min="2820" max="2820" width="22.83203125" customWidth="1"/>
    <col min="2821" max="3060" width="8.83203125" customWidth="1"/>
    <col min="3061" max="3061" width="9.33203125" customWidth="1"/>
    <col min="3062" max="3062" width="13.33203125" customWidth="1"/>
    <col min="3063" max="3063" width="15.6640625" customWidth="1"/>
    <col min="3064" max="3064" width="18.6640625" customWidth="1"/>
    <col min="3065" max="3065" width="8.5" customWidth="1"/>
    <col min="3066" max="3066" width="3.6640625" customWidth="1"/>
    <col min="3067" max="3067" width="20" customWidth="1"/>
    <col min="3068" max="3068" width="12.1640625" customWidth="1"/>
    <col min="3069" max="3070" width="8.83203125" customWidth="1"/>
    <col min="3071" max="3071" width="42.6640625" customWidth="1"/>
    <col min="3072" max="3074" width="8.83203125" customWidth="1"/>
    <col min="3075" max="3075" width="20.5" customWidth="1"/>
    <col min="3076" max="3076" width="22.83203125" customWidth="1"/>
    <col min="3077" max="3316" width="8.83203125" customWidth="1"/>
    <col min="3317" max="3317" width="9.33203125" customWidth="1"/>
    <col min="3318" max="3318" width="13.33203125" customWidth="1"/>
    <col min="3319" max="3319" width="15.6640625" customWidth="1"/>
    <col min="3320" max="3320" width="18.6640625" customWidth="1"/>
    <col min="3321" max="3321" width="8.5" customWidth="1"/>
    <col min="3322" max="3322" width="3.6640625" customWidth="1"/>
    <col min="3323" max="3323" width="20" customWidth="1"/>
    <col min="3324" max="3324" width="12.1640625" customWidth="1"/>
    <col min="3325" max="3326" width="8.83203125" customWidth="1"/>
    <col min="3327" max="3327" width="42.6640625" customWidth="1"/>
    <col min="3328" max="3330" width="8.83203125" customWidth="1"/>
    <col min="3331" max="3331" width="20.5" customWidth="1"/>
    <col min="3332" max="3332" width="22.83203125" customWidth="1"/>
    <col min="3333" max="3572" width="8.83203125" customWidth="1"/>
    <col min="3573" max="3573" width="9.33203125" customWidth="1"/>
    <col min="3574" max="3574" width="13.33203125" customWidth="1"/>
    <col min="3575" max="3575" width="15.6640625" customWidth="1"/>
    <col min="3576" max="3576" width="18.6640625" customWidth="1"/>
    <col min="3577" max="3577" width="8.5" customWidth="1"/>
    <col min="3578" max="3578" width="3.6640625" customWidth="1"/>
    <col min="3579" max="3579" width="20" customWidth="1"/>
    <col min="3580" max="3580" width="12.1640625" customWidth="1"/>
    <col min="3581" max="3582" width="8.83203125" customWidth="1"/>
    <col min="3583" max="3583" width="42.6640625" customWidth="1"/>
    <col min="3584" max="3586" width="8.83203125" customWidth="1"/>
    <col min="3587" max="3587" width="20.5" customWidth="1"/>
    <col min="3588" max="3588" width="22.83203125" customWidth="1"/>
    <col min="3589" max="3828" width="8.83203125" customWidth="1"/>
    <col min="3829" max="3829" width="9.33203125" customWidth="1"/>
    <col min="3830" max="3830" width="13.33203125" customWidth="1"/>
    <col min="3831" max="3831" width="15.6640625" customWidth="1"/>
    <col min="3832" max="3832" width="18.6640625" customWidth="1"/>
    <col min="3833" max="3833" width="8.5" customWidth="1"/>
    <col min="3834" max="3834" width="3.6640625" customWidth="1"/>
    <col min="3835" max="3835" width="20" customWidth="1"/>
    <col min="3836" max="3836" width="12.1640625" customWidth="1"/>
    <col min="3837" max="3838" width="8.83203125" customWidth="1"/>
    <col min="3839" max="3839" width="42.6640625" customWidth="1"/>
    <col min="3840" max="3842" width="8.83203125" customWidth="1"/>
    <col min="3843" max="3843" width="20.5" customWidth="1"/>
    <col min="3844" max="3844" width="22.83203125" customWidth="1"/>
    <col min="3845" max="4084" width="8.83203125" customWidth="1"/>
    <col min="4085" max="4085" width="9.33203125" customWidth="1"/>
    <col min="4086" max="4086" width="13.33203125" customWidth="1"/>
    <col min="4087" max="4087" width="15.6640625" customWidth="1"/>
    <col min="4088" max="4088" width="18.6640625" customWidth="1"/>
    <col min="4089" max="4089" width="8.5" customWidth="1"/>
    <col min="4090" max="4090" width="3.6640625" customWidth="1"/>
    <col min="4091" max="4091" width="20" customWidth="1"/>
    <col min="4092" max="4092" width="12.1640625" customWidth="1"/>
    <col min="4093" max="4094" width="8.83203125" customWidth="1"/>
    <col min="4095" max="4095" width="42.6640625" customWidth="1"/>
    <col min="4096" max="4098" width="8.83203125" customWidth="1"/>
    <col min="4099" max="4099" width="20.5" customWidth="1"/>
    <col min="4100" max="4100" width="22.83203125" customWidth="1"/>
    <col min="4101" max="4340" width="8.83203125" customWidth="1"/>
    <col min="4341" max="4341" width="9.33203125" customWidth="1"/>
    <col min="4342" max="4342" width="13.33203125" customWidth="1"/>
    <col min="4343" max="4343" width="15.6640625" customWidth="1"/>
    <col min="4344" max="4344" width="18.6640625" customWidth="1"/>
    <col min="4345" max="4345" width="8.5" customWidth="1"/>
    <col min="4346" max="4346" width="3.6640625" customWidth="1"/>
    <col min="4347" max="4347" width="20" customWidth="1"/>
    <col min="4348" max="4348" width="12.1640625" customWidth="1"/>
    <col min="4349" max="4350" width="8.83203125" customWidth="1"/>
    <col min="4351" max="4351" width="42.6640625" customWidth="1"/>
    <col min="4352" max="4354" width="8.83203125" customWidth="1"/>
    <col min="4355" max="4355" width="20.5" customWidth="1"/>
    <col min="4356" max="4356" width="22.83203125" customWidth="1"/>
    <col min="4357" max="4596" width="8.83203125" customWidth="1"/>
    <col min="4597" max="4597" width="9.33203125" customWidth="1"/>
    <col min="4598" max="4598" width="13.33203125" customWidth="1"/>
    <col min="4599" max="4599" width="15.6640625" customWidth="1"/>
    <col min="4600" max="4600" width="18.6640625" customWidth="1"/>
    <col min="4601" max="4601" width="8.5" customWidth="1"/>
    <col min="4602" max="4602" width="3.6640625" customWidth="1"/>
    <col min="4603" max="4603" width="20" customWidth="1"/>
    <col min="4604" max="4604" width="12.1640625" customWidth="1"/>
    <col min="4605" max="4606" width="8.83203125" customWidth="1"/>
    <col min="4607" max="4607" width="42.6640625" customWidth="1"/>
    <col min="4608" max="4610" width="8.83203125" customWidth="1"/>
    <col min="4611" max="4611" width="20.5" customWidth="1"/>
    <col min="4612" max="4612" width="22.83203125" customWidth="1"/>
    <col min="4613" max="4852" width="8.83203125" customWidth="1"/>
    <col min="4853" max="4853" width="9.33203125" customWidth="1"/>
    <col min="4854" max="4854" width="13.33203125" customWidth="1"/>
    <col min="4855" max="4855" width="15.6640625" customWidth="1"/>
    <col min="4856" max="4856" width="18.6640625" customWidth="1"/>
    <col min="4857" max="4857" width="8.5" customWidth="1"/>
    <col min="4858" max="4858" width="3.6640625" customWidth="1"/>
    <col min="4859" max="4859" width="20" customWidth="1"/>
    <col min="4860" max="4860" width="12.1640625" customWidth="1"/>
    <col min="4861" max="4862" width="8.83203125" customWidth="1"/>
    <col min="4863" max="4863" width="42.6640625" customWidth="1"/>
    <col min="4864" max="4866" width="8.83203125" customWidth="1"/>
    <col min="4867" max="4867" width="20.5" customWidth="1"/>
    <col min="4868" max="4868" width="22.83203125" customWidth="1"/>
    <col min="4869" max="5108" width="8.83203125" customWidth="1"/>
    <col min="5109" max="5109" width="9.33203125" customWidth="1"/>
    <col min="5110" max="5110" width="13.33203125" customWidth="1"/>
    <col min="5111" max="5111" width="15.6640625" customWidth="1"/>
    <col min="5112" max="5112" width="18.6640625" customWidth="1"/>
    <col min="5113" max="5113" width="8.5" customWidth="1"/>
    <col min="5114" max="5114" width="3.6640625" customWidth="1"/>
    <col min="5115" max="5115" width="20" customWidth="1"/>
    <col min="5116" max="5116" width="12.1640625" customWidth="1"/>
    <col min="5117" max="5118" width="8.83203125" customWidth="1"/>
    <col min="5119" max="5119" width="42.6640625" customWidth="1"/>
    <col min="5120" max="5122" width="8.83203125" customWidth="1"/>
    <col min="5123" max="5123" width="20.5" customWidth="1"/>
    <col min="5124" max="5124" width="22.83203125" customWidth="1"/>
    <col min="5125" max="5364" width="8.83203125" customWidth="1"/>
    <col min="5365" max="5365" width="9.33203125" customWidth="1"/>
    <col min="5366" max="5366" width="13.33203125" customWidth="1"/>
    <col min="5367" max="5367" width="15.6640625" customWidth="1"/>
    <col min="5368" max="5368" width="18.6640625" customWidth="1"/>
    <col min="5369" max="5369" width="8.5" customWidth="1"/>
    <col min="5370" max="5370" width="3.6640625" customWidth="1"/>
    <col min="5371" max="5371" width="20" customWidth="1"/>
    <col min="5372" max="5372" width="12.1640625" customWidth="1"/>
    <col min="5373" max="5374" width="8.83203125" customWidth="1"/>
    <col min="5375" max="5375" width="42.6640625" customWidth="1"/>
    <col min="5376" max="5378" width="8.83203125" customWidth="1"/>
    <col min="5379" max="5379" width="20.5" customWidth="1"/>
    <col min="5380" max="5380" width="22.83203125" customWidth="1"/>
    <col min="5381" max="5620" width="8.83203125" customWidth="1"/>
    <col min="5621" max="5621" width="9.33203125" customWidth="1"/>
    <col min="5622" max="5622" width="13.33203125" customWidth="1"/>
    <col min="5623" max="5623" width="15.6640625" customWidth="1"/>
    <col min="5624" max="5624" width="18.6640625" customWidth="1"/>
    <col min="5625" max="5625" width="8.5" customWidth="1"/>
    <col min="5626" max="5626" width="3.6640625" customWidth="1"/>
    <col min="5627" max="5627" width="20" customWidth="1"/>
    <col min="5628" max="5628" width="12.1640625" customWidth="1"/>
    <col min="5629" max="5630" width="8.83203125" customWidth="1"/>
    <col min="5631" max="5631" width="42.6640625" customWidth="1"/>
    <col min="5632" max="5634" width="8.83203125" customWidth="1"/>
    <col min="5635" max="5635" width="20.5" customWidth="1"/>
    <col min="5636" max="5636" width="22.83203125" customWidth="1"/>
    <col min="5637" max="5876" width="8.83203125" customWidth="1"/>
    <col min="5877" max="5877" width="9.33203125" customWidth="1"/>
    <col min="5878" max="5878" width="13.33203125" customWidth="1"/>
    <col min="5879" max="5879" width="15.6640625" customWidth="1"/>
    <col min="5880" max="5880" width="18.6640625" customWidth="1"/>
    <col min="5881" max="5881" width="8.5" customWidth="1"/>
    <col min="5882" max="5882" width="3.6640625" customWidth="1"/>
    <col min="5883" max="5883" width="20" customWidth="1"/>
    <col min="5884" max="5884" width="12.1640625" customWidth="1"/>
    <col min="5885" max="5886" width="8.83203125" customWidth="1"/>
    <col min="5887" max="5887" width="42.6640625" customWidth="1"/>
    <col min="5888" max="5890" width="8.83203125" customWidth="1"/>
    <col min="5891" max="5891" width="20.5" customWidth="1"/>
    <col min="5892" max="5892" width="22.83203125" customWidth="1"/>
    <col min="5893" max="6132" width="8.83203125" customWidth="1"/>
    <col min="6133" max="6133" width="9.33203125" customWidth="1"/>
    <col min="6134" max="6134" width="13.33203125" customWidth="1"/>
    <col min="6135" max="6135" width="15.6640625" customWidth="1"/>
    <col min="6136" max="6136" width="18.6640625" customWidth="1"/>
    <col min="6137" max="6137" width="8.5" customWidth="1"/>
    <col min="6138" max="6138" width="3.6640625" customWidth="1"/>
    <col min="6139" max="6139" width="20" customWidth="1"/>
    <col min="6140" max="6140" width="12.1640625" customWidth="1"/>
    <col min="6141" max="6142" width="8.83203125" customWidth="1"/>
    <col min="6143" max="6143" width="42.6640625" customWidth="1"/>
    <col min="6144" max="6146" width="8.83203125" customWidth="1"/>
    <col min="6147" max="6147" width="20.5" customWidth="1"/>
    <col min="6148" max="6148" width="22.83203125" customWidth="1"/>
    <col min="6149" max="6388" width="8.83203125" customWidth="1"/>
    <col min="6389" max="6389" width="9.33203125" customWidth="1"/>
    <col min="6390" max="6390" width="13.33203125" customWidth="1"/>
    <col min="6391" max="6391" width="15.6640625" customWidth="1"/>
    <col min="6392" max="6392" width="18.6640625" customWidth="1"/>
    <col min="6393" max="6393" width="8.5" customWidth="1"/>
    <col min="6394" max="6394" width="3.6640625" customWidth="1"/>
    <col min="6395" max="6395" width="20" customWidth="1"/>
    <col min="6396" max="6396" width="12.1640625" customWidth="1"/>
    <col min="6397" max="6398" width="8.83203125" customWidth="1"/>
    <col min="6399" max="6399" width="42.6640625" customWidth="1"/>
    <col min="6400" max="6402" width="8.83203125" customWidth="1"/>
    <col min="6403" max="6403" width="20.5" customWidth="1"/>
    <col min="6404" max="6404" width="22.83203125" customWidth="1"/>
    <col min="6405" max="6644" width="8.83203125" customWidth="1"/>
    <col min="6645" max="6645" width="9.33203125" customWidth="1"/>
    <col min="6646" max="6646" width="13.33203125" customWidth="1"/>
    <col min="6647" max="6647" width="15.6640625" customWidth="1"/>
    <col min="6648" max="6648" width="18.6640625" customWidth="1"/>
    <col min="6649" max="6649" width="8.5" customWidth="1"/>
    <col min="6650" max="6650" width="3.6640625" customWidth="1"/>
    <col min="6651" max="6651" width="20" customWidth="1"/>
    <col min="6652" max="6652" width="12.1640625" customWidth="1"/>
    <col min="6653" max="6654" width="8.83203125" customWidth="1"/>
    <col min="6655" max="6655" width="42.6640625" customWidth="1"/>
    <col min="6656" max="6658" width="8.83203125" customWidth="1"/>
    <col min="6659" max="6659" width="20.5" customWidth="1"/>
    <col min="6660" max="6660" width="22.83203125" customWidth="1"/>
    <col min="6661" max="6900" width="8.83203125" customWidth="1"/>
    <col min="6901" max="6901" width="9.33203125" customWidth="1"/>
    <col min="6902" max="6902" width="13.33203125" customWidth="1"/>
    <col min="6903" max="6903" width="15.6640625" customWidth="1"/>
    <col min="6904" max="6904" width="18.6640625" customWidth="1"/>
    <col min="6905" max="6905" width="8.5" customWidth="1"/>
    <col min="6906" max="6906" width="3.6640625" customWidth="1"/>
    <col min="6907" max="6907" width="20" customWidth="1"/>
    <col min="6908" max="6908" width="12.1640625" customWidth="1"/>
    <col min="6909" max="6910" width="8.83203125" customWidth="1"/>
    <col min="6911" max="6911" width="42.6640625" customWidth="1"/>
    <col min="6912" max="6914" width="8.83203125" customWidth="1"/>
    <col min="6915" max="6915" width="20.5" customWidth="1"/>
    <col min="6916" max="6916" width="22.83203125" customWidth="1"/>
    <col min="6917" max="7156" width="8.83203125" customWidth="1"/>
    <col min="7157" max="7157" width="9.33203125" customWidth="1"/>
    <col min="7158" max="7158" width="13.33203125" customWidth="1"/>
    <col min="7159" max="7159" width="15.6640625" customWidth="1"/>
    <col min="7160" max="7160" width="18.6640625" customWidth="1"/>
    <col min="7161" max="7161" width="8.5" customWidth="1"/>
    <col min="7162" max="7162" width="3.6640625" customWidth="1"/>
    <col min="7163" max="7163" width="20" customWidth="1"/>
    <col min="7164" max="7164" width="12.1640625" customWidth="1"/>
    <col min="7165" max="7166" width="8.83203125" customWidth="1"/>
    <col min="7167" max="7167" width="42.6640625" customWidth="1"/>
    <col min="7168" max="7170" width="8.83203125" customWidth="1"/>
    <col min="7171" max="7171" width="20.5" customWidth="1"/>
    <col min="7172" max="7172" width="22.83203125" customWidth="1"/>
    <col min="7173" max="7412" width="8.83203125" customWidth="1"/>
    <col min="7413" max="7413" width="9.33203125" customWidth="1"/>
    <col min="7414" max="7414" width="13.33203125" customWidth="1"/>
    <col min="7415" max="7415" width="15.6640625" customWidth="1"/>
    <col min="7416" max="7416" width="18.6640625" customWidth="1"/>
    <col min="7417" max="7417" width="8.5" customWidth="1"/>
    <col min="7418" max="7418" width="3.6640625" customWidth="1"/>
    <col min="7419" max="7419" width="20" customWidth="1"/>
    <col min="7420" max="7420" width="12.1640625" customWidth="1"/>
    <col min="7421" max="7422" width="8.83203125" customWidth="1"/>
    <col min="7423" max="7423" width="42.6640625" customWidth="1"/>
    <col min="7424" max="7426" width="8.83203125" customWidth="1"/>
    <col min="7427" max="7427" width="20.5" customWidth="1"/>
    <col min="7428" max="7428" width="22.83203125" customWidth="1"/>
    <col min="7429" max="7668" width="8.83203125" customWidth="1"/>
    <col min="7669" max="7669" width="9.33203125" customWidth="1"/>
    <col min="7670" max="7670" width="13.33203125" customWidth="1"/>
    <col min="7671" max="7671" width="15.6640625" customWidth="1"/>
    <col min="7672" max="7672" width="18.6640625" customWidth="1"/>
    <col min="7673" max="7673" width="8.5" customWidth="1"/>
    <col min="7674" max="7674" width="3.6640625" customWidth="1"/>
    <col min="7675" max="7675" width="20" customWidth="1"/>
    <col min="7676" max="7676" width="12.1640625" customWidth="1"/>
    <col min="7677" max="7678" width="8.83203125" customWidth="1"/>
    <col min="7679" max="7679" width="42.6640625" customWidth="1"/>
    <col min="7680" max="7682" width="8.83203125" customWidth="1"/>
    <col min="7683" max="7683" width="20.5" customWidth="1"/>
    <col min="7684" max="7684" width="22.83203125" customWidth="1"/>
    <col min="7685" max="7924" width="8.83203125" customWidth="1"/>
    <col min="7925" max="7925" width="9.33203125" customWidth="1"/>
    <col min="7926" max="7926" width="13.33203125" customWidth="1"/>
    <col min="7927" max="7927" width="15.6640625" customWidth="1"/>
    <col min="7928" max="7928" width="18.6640625" customWidth="1"/>
    <col min="7929" max="7929" width="8.5" customWidth="1"/>
    <col min="7930" max="7930" width="3.6640625" customWidth="1"/>
    <col min="7931" max="7931" width="20" customWidth="1"/>
    <col min="7932" max="7932" width="12.1640625" customWidth="1"/>
    <col min="7933" max="7934" width="8.83203125" customWidth="1"/>
    <col min="7935" max="7935" width="42.6640625" customWidth="1"/>
    <col min="7936" max="7938" width="8.83203125" customWidth="1"/>
    <col min="7939" max="7939" width="20.5" customWidth="1"/>
    <col min="7940" max="7940" width="22.83203125" customWidth="1"/>
    <col min="7941" max="8180" width="8.83203125" customWidth="1"/>
    <col min="8181" max="8181" width="9.33203125" customWidth="1"/>
    <col min="8182" max="8182" width="13.33203125" customWidth="1"/>
    <col min="8183" max="8183" width="15.6640625" customWidth="1"/>
    <col min="8184" max="8184" width="18.6640625" customWidth="1"/>
    <col min="8185" max="8185" width="8.5" customWidth="1"/>
    <col min="8186" max="8186" width="3.6640625" customWidth="1"/>
    <col min="8187" max="8187" width="20" customWidth="1"/>
    <col min="8188" max="8188" width="12.1640625" customWidth="1"/>
    <col min="8189" max="8190" width="8.83203125" customWidth="1"/>
    <col min="8191" max="8191" width="42.6640625" customWidth="1"/>
    <col min="8192" max="8194" width="8.83203125" customWidth="1"/>
    <col min="8195" max="8195" width="20.5" customWidth="1"/>
    <col min="8196" max="8196" width="22.83203125" customWidth="1"/>
    <col min="8197" max="8436" width="8.83203125" customWidth="1"/>
    <col min="8437" max="8437" width="9.33203125" customWidth="1"/>
    <col min="8438" max="8438" width="13.33203125" customWidth="1"/>
    <col min="8439" max="8439" width="15.6640625" customWidth="1"/>
    <col min="8440" max="8440" width="18.6640625" customWidth="1"/>
    <col min="8441" max="8441" width="8.5" customWidth="1"/>
    <col min="8442" max="8442" width="3.6640625" customWidth="1"/>
    <col min="8443" max="8443" width="20" customWidth="1"/>
    <col min="8444" max="8444" width="12.1640625" customWidth="1"/>
    <col min="8445" max="8446" width="8.83203125" customWidth="1"/>
    <col min="8447" max="8447" width="42.6640625" customWidth="1"/>
    <col min="8448" max="8450" width="8.83203125" customWidth="1"/>
    <col min="8451" max="8451" width="20.5" customWidth="1"/>
    <col min="8452" max="8452" width="22.83203125" customWidth="1"/>
    <col min="8453" max="8692" width="8.83203125" customWidth="1"/>
    <col min="8693" max="8693" width="9.33203125" customWidth="1"/>
    <col min="8694" max="8694" width="13.33203125" customWidth="1"/>
    <col min="8695" max="8695" width="15.6640625" customWidth="1"/>
    <col min="8696" max="8696" width="18.6640625" customWidth="1"/>
    <col min="8697" max="8697" width="8.5" customWidth="1"/>
    <col min="8698" max="8698" width="3.6640625" customWidth="1"/>
    <col min="8699" max="8699" width="20" customWidth="1"/>
    <col min="8700" max="8700" width="12.1640625" customWidth="1"/>
    <col min="8701" max="8702" width="8.83203125" customWidth="1"/>
    <col min="8703" max="8703" width="42.6640625" customWidth="1"/>
    <col min="8704" max="8706" width="8.83203125" customWidth="1"/>
    <col min="8707" max="8707" width="20.5" customWidth="1"/>
    <col min="8708" max="8708" width="22.83203125" customWidth="1"/>
    <col min="8709" max="8948" width="8.83203125" customWidth="1"/>
    <col min="8949" max="8949" width="9.33203125" customWidth="1"/>
    <col min="8950" max="8950" width="13.33203125" customWidth="1"/>
    <col min="8951" max="8951" width="15.6640625" customWidth="1"/>
    <col min="8952" max="8952" width="18.6640625" customWidth="1"/>
    <col min="8953" max="8953" width="8.5" customWidth="1"/>
    <col min="8954" max="8954" width="3.6640625" customWidth="1"/>
    <col min="8955" max="8955" width="20" customWidth="1"/>
    <col min="8956" max="8956" width="12.1640625" customWidth="1"/>
    <col min="8957" max="8958" width="8.83203125" customWidth="1"/>
    <col min="8959" max="8959" width="42.6640625" customWidth="1"/>
    <col min="8960" max="8962" width="8.83203125" customWidth="1"/>
    <col min="8963" max="8963" width="20.5" customWidth="1"/>
    <col min="8964" max="8964" width="22.83203125" customWidth="1"/>
    <col min="8965" max="9204" width="8.83203125" customWidth="1"/>
    <col min="9205" max="9205" width="9.33203125" customWidth="1"/>
    <col min="9206" max="9206" width="13.33203125" customWidth="1"/>
    <col min="9207" max="9207" width="15.6640625" customWidth="1"/>
    <col min="9208" max="9208" width="18.6640625" customWidth="1"/>
    <col min="9209" max="9209" width="8.5" customWidth="1"/>
    <col min="9210" max="9210" width="3.6640625" customWidth="1"/>
    <col min="9211" max="9211" width="20" customWidth="1"/>
    <col min="9212" max="9212" width="12.1640625" customWidth="1"/>
    <col min="9213" max="9214" width="8.83203125" customWidth="1"/>
    <col min="9215" max="9215" width="42.6640625" customWidth="1"/>
    <col min="9216" max="9218" width="8.83203125" customWidth="1"/>
    <col min="9219" max="9219" width="20.5" customWidth="1"/>
    <col min="9220" max="9220" width="22.83203125" customWidth="1"/>
    <col min="9221" max="9460" width="8.83203125" customWidth="1"/>
    <col min="9461" max="9461" width="9.33203125" customWidth="1"/>
    <col min="9462" max="9462" width="13.33203125" customWidth="1"/>
    <col min="9463" max="9463" width="15.6640625" customWidth="1"/>
    <col min="9464" max="9464" width="18.6640625" customWidth="1"/>
    <col min="9465" max="9465" width="8.5" customWidth="1"/>
    <col min="9466" max="9466" width="3.6640625" customWidth="1"/>
    <col min="9467" max="9467" width="20" customWidth="1"/>
    <col min="9468" max="9468" width="12.1640625" customWidth="1"/>
    <col min="9469" max="9470" width="8.83203125" customWidth="1"/>
    <col min="9471" max="9471" width="42.6640625" customWidth="1"/>
    <col min="9472" max="9474" width="8.83203125" customWidth="1"/>
    <col min="9475" max="9475" width="20.5" customWidth="1"/>
    <col min="9476" max="9476" width="22.83203125" customWidth="1"/>
    <col min="9477" max="9716" width="8.83203125" customWidth="1"/>
    <col min="9717" max="9717" width="9.33203125" customWidth="1"/>
    <col min="9718" max="9718" width="13.33203125" customWidth="1"/>
    <col min="9719" max="9719" width="15.6640625" customWidth="1"/>
    <col min="9720" max="9720" width="18.6640625" customWidth="1"/>
    <col min="9721" max="9721" width="8.5" customWidth="1"/>
    <col min="9722" max="9722" width="3.6640625" customWidth="1"/>
    <col min="9723" max="9723" width="20" customWidth="1"/>
    <col min="9724" max="9724" width="12.1640625" customWidth="1"/>
    <col min="9725" max="9726" width="8.83203125" customWidth="1"/>
    <col min="9727" max="9727" width="42.6640625" customWidth="1"/>
    <col min="9728" max="9730" width="8.83203125" customWidth="1"/>
    <col min="9731" max="9731" width="20.5" customWidth="1"/>
    <col min="9732" max="9732" width="22.83203125" customWidth="1"/>
    <col min="9733" max="9972" width="8.83203125" customWidth="1"/>
    <col min="9973" max="9973" width="9.33203125" customWidth="1"/>
    <col min="9974" max="9974" width="13.33203125" customWidth="1"/>
    <col min="9975" max="9975" width="15.6640625" customWidth="1"/>
    <col min="9976" max="9976" width="18.6640625" customWidth="1"/>
    <col min="9977" max="9977" width="8.5" customWidth="1"/>
    <col min="9978" max="9978" width="3.6640625" customWidth="1"/>
    <col min="9979" max="9979" width="20" customWidth="1"/>
    <col min="9980" max="9980" width="12.1640625" customWidth="1"/>
    <col min="9981" max="9982" width="8.83203125" customWidth="1"/>
    <col min="9983" max="9983" width="42.6640625" customWidth="1"/>
    <col min="9984" max="9986" width="8.83203125" customWidth="1"/>
    <col min="9987" max="9987" width="20.5" customWidth="1"/>
    <col min="9988" max="9988" width="22.83203125" customWidth="1"/>
    <col min="9989" max="10228" width="8.83203125" customWidth="1"/>
    <col min="10229" max="10229" width="9.33203125" customWidth="1"/>
    <col min="10230" max="10230" width="13.33203125" customWidth="1"/>
    <col min="10231" max="10231" width="15.6640625" customWidth="1"/>
    <col min="10232" max="10232" width="18.6640625" customWidth="1"/>
    <col min="10233" max="10233" width="8.5" customWidth="1"/>
    <col min="10234" max="10234" width="3.6640625" customWidth="1"/>
    <col min="10235" max="10235" width="20" customWidth="1"/>
    <col min="10236" max="10236" width="12.1640625" customWidth="1"/>
    <col min="10237" max="10238" width="8.83203125" customWidth="1"/>
    <col min="10239" max="10239" width="42.6640625" customWidth="1"/>
    <col min="10240" max="10242" width="8.83203125" customWidth="1"/>
    <col min="10243" max="10243" width="20.5" customWidth="1"/>
    <col min="10244" max="10244" width="22.83203125" customWidth="1"/>
    <col min="10245" max="10484" width="8.83203125" customWidth="1"/>
    <col min="10485" max="10485" width="9.33203125" customWidth="1"/>
    <col min="10486" max="10486" width="13.33203125" customWidth="1"/>
    <col min="10487" max="10487" width="15.6640625" customWidth="1"/>
    <col min="10488" max="10488" width="18.6640625" customWidth="1"/>
    <col min="10489" max="10489" width="8.5" customWidth="1"/>
    <col min="10490" max="10490" width="3.6640625" customWidth="1"/>
    <col min="10491" max="10491" width="20" customWidth="1"/>
    <col min="10492" max="10492" width="12.1640625" customWidth="1"/>
    <col min="10493" max="10494" width="8.83203125" customWidth="1"/>
    <col min="10495" max="10495" width="42.6640625" customWidth="1"/>
    <col min="10496" max="10498" width="8.83203125" customWidth="1"/>
    <col min="10499" max="10499" width="20.5" customWidth="1"/>
    <col min="10500" max="10500" width="22.83203125" customWidth="1"/>
    <col min="10501" max="10740" width="8.83203125" customWidth="1"/>
    <col min="10741" max="10741" width="9.33203125" customWidth="1"/>
    <col min="10742" max="10742" width="13.33203125" customWidth="1"/>
    <col min="10743" max="10743" width="15.6640625" customWidth="1"/>
    <col min="10744" max="10744" width="18.6640625" customWidth="1"/>
    <col min="10745" max="10745" width="8.5" customWidth="1"/>
    <col min="10746" max="10746" width="3.6640625" customWidth="1"/>
    <col min="10747" max="10747" width="20" customWidth="1"/>
    <col min="10748" max="10748" width="12.1640625" customWidth="1"/>
    <col min="10749" max="10750" width="8.83203125" customWidth="1"/>
    <col min="10751" max="10751" width="42.6640625" customWidth="1"/>
    <col min="10752" max="10754" width="8.83203125" customWidth="1"/>
    <col min="10755" max="10755" width="20.5" customWidth="1"/>
    <col min="10756" max="10756" width="22.83203125" customWidth="1"/>
    <col min="10757" max="10996" width="8.83203125" customWidth="1"/>
    <col min="10997" max="10997" width="9.33203125" customWidth="1"/>
    <col min="10998" max="10998" width="13.33203125" customWidth="1"/>
    <col min="10999" max="10999" width="15.6640625" customWidth="1"/>
    <col min="11000" max="11000" width="18.6640625" customWidth="1"/>
    <col min="11001" max="11001" width="8.5" customWidth="1"/>
    <col min="11002" max="11002" width="3.6640625" customWidth="1"/>
    <col min="11003" max="11003" width="20" customWidth="1"/>
    <col min="11004" max="11004" width="12.1640625" customWidth="1"/>
    <col min="11005" max="11006" width="8.83203125" customWidth="1"/>
    <col min="11007" max="11007" width="42.6640625" customWidth="1"/>
    <col min="11008" max="11010" width="8.83203125" customWidth="1"/>
    <col min="11011" max="11011" width="20.5" customWidth="1"/>
    <col min="11012" max="11012" width="22.83203125" customWidth="1"/>
    <col min="11013" max="11252" width="8.83203125" customWidth="1"/>
    <col min="11253" max="11253" width="9.33203125" customWidth="1"/>
    <col min="11254" max="11254" width="13.33203125" customWidth="1"/>
    <col min="11255" max="11255" width="15.6640625" customWidth="1"/>
    <col min="11256" max="11256" width="18.6640625" customWidth="1"/>
    <col min="11257" max="11257" width="8.5" customWidth="1"/>
    <col min="11258" max="11258" width="3.6640625" customWidth="1"/>
    <col min="11259" max="11259" width="20" customWidth="1"/>
    <col min="11260" max="11260" width="12.1640625" customWidth="1"/>
    <col min="11261" max="11262" width="8.83203125" customWidth="1"/>
    <col min="11263" max="11263" width="42.6640625" customWidth="1"/>
    <col min="11264" max="11266" width="8.83203125" customWidth="1"/>
    <col min="11267" max="11267" width="20.5" customWidth="1"/>
    <col min="11268" max="11268" width="22.83203125" customWidth="1"/>
    <col min="11269" max="11508" width="8.83203125" customWidth="1"/>
    <col min="11509" max="11509" width="9.33203125" customWidth="1"/>
    <col min="11510" max="11510" width="13.33203125" customWidth="1"/>
    <col min="11511" max="11511" width="15.6640625" customWidth="1"/>
    <col min="11512" max="11512" width="18.6640625" customWidth="1"/>
    <col min="11513" max="11513" width="8.5" customWidth="1"/>
    <col min="11514" max="11514" width="3.6640625" customWidth="1"/>
    <col min="11515" max="11515" width="20" customWidth="1"/>
    <col min="11516" max="11516" width="12.1640625" customWidth="1"/>
    <col min="11517" max="11518" width="8.83203125" customWidth="1"/>
    <col min="11519" max="11519" width="42.6640625" customWidth="1"/>
    <col min="11520" max="11522" width="8.83203125" customWidth="1"/>
    <col min="11523" max="11523" width="20.5" customWidth="1"/>
    <col min="11524" max="11524" width="22.83203125" customWidth="1"/>
    <col min="11525" max="11764" width="8.83203125" customWidth="1"/>
    <col min="11765" max="11765" width="9.33203125" customWidth="1"/>
    <col min="11766" max="11766" width="13.33203125" customWidth="1"/>
    <col min="11767" max="11767" width="15.6640625" customWidth="1"/>
    <col min="11768" max="11768" width="18.6640625" customWidth="1"/>
    <col min="11769" max="11769" width="8.5" customWidth="1"/>
    <col min="11770" max="11770" width="3.6640625" customWidth="1"/>
    <col min="11771" max="11771" width="20" customWidth="1"/>
    <col min="11772" max="11772" width="12.1640625" customWidth="1"/>
    <col min="11773" max="11774" width="8.83203125" customWidth="1"/>
    <col min="11775" max="11775" width="42.6640625" customWidth="1"/>
    <col min="11776" max="11778" width="8.83203125" customWidth="1"/>
    <col min="11779" max="11779" width="20.5" customWidth="1"/>
    <col min="11780" max="11780" width="22.83203125" customWidth="1"/>
    <col min="11781" max="12020" width="8.83203125" customWidth="1"/>
    <col min="12021" max="12021" width="9.33203125" customWidth="1"/>
    <col min="12022" max="12022" width="13.33203125" customWidth="1"/>
    <col min="12023" max="12023" width="15.6640625" customWidth="1"/>
    <col min="12024" max="12024" width="18.6640625" customWidth="1"/>
    <col min="12025" max="12025" width="8.5" customWidth="1"/>
    <col min="12026" max="12026" width="3.6640625" customWidth="1"/>
    <col min="12027" max="12027" width="20" customWidth="1"/>
    <col min="12028" max="12028" width="12.1640625" customWidth="1"/>
    <col min="12029" max="12030" width="8.83203125" customWidth="1"/>
    <col min="12031" max="12031" width="42.6640625" customWidth="1"/>
    <col min="12032" max="12034" width="8.83203125" customWidth="1"/>
    <col min="12035" max="12035" width="20.5" customWidth="1"/>
    <col min="12036" max="12036" width="22.83203125" customWidth="1"/>
    <col min="12037" max="12276" width="8.83203125" customWidth="1"/>
    <col min="12277" max="12277" width="9.33203125" customWidth="1"/>
    <col min="12278" max="12278" width="13.33203125" customWidth="1"/>
    <col min="12279" max="12279" width="15.6640625" customWidth="1"/>
    <col min="12280" max="12280" width="18.6640625" customWidth="1"/>
    <col min="12281" max="12281" width="8.5" customWidth="1"/>
    <col min="12282" max="12282" width="3.6640625" customWidth="1"/>
    <col min="12283" max="12283" width="20" customWidth="1"/>
    <col min="12284" max="12284" width="12.1640625" customWidth="1"/>
    <col min="12285" max="12286" width="8.83203125" customWidth="1"/>
    <col min="12287" max="12287" width="42.6640625" customWidth="1"/>
    <col min="12288" max="12290" width="8.83203125" customWidth="1"/>
    <col min="12291" max="12291" width="20.5" customWidth="1"/>
    <col min="12292" max="12292" width="22.83203125" customWidth="1"/>
    <col min="12293" max="12532" width="8.83203125" customWidth="1"/>
    <col min="12533" max="12533" width="9.33203125" customWidth="1"/>
    <col min="12534" max="12534" width="13.33203125" customWidth="1"/>
    <col min="12535" max="12535" width="15.6640625" customWidth="1"/>
    <col min="12536" max="12536" width="18.6640625" customWidth="1"/>
    <col min="12537" max="12537" width="8.5" customWidth="1"/>
    <col min="12538" max="12538" width="3.6640625" customWidth="1"/>
    <col min="12539" max="12539" width="20" customWidth="1"/>
    <col min="12540" max="12540" width="12.1640625" customWidth="1"/>
    <col min="12541" max="12542" width="8.83203125" customWidth="1"/>
    <col min="12543" max="12543" width="42.6640625" customWidth="1"/>
    <col min="12544" max="12546" width="8.83203125" customWidth="1"/>
    <col min="12547" max="12547" width="20.5" customWidth="1"/>
    <col min="12548" max="12548" width="22.83203125" customWidth="1"/>
    <col min="12549" max="12788" width="8.83203125" customWidth="1"/>
    <col min="12789" max="12789" width="9.33203125" customWidth="1"/>
    <col min="12790" max="12790" width="13.33203125" customWidth="1"/>
    <col min="12791" max="12791" width="15.6640625" customWidth="1"/>
    <col min="12792" max="12792" width="18.6640625" customWidth="1"/>
    <col min="12793" max="12793" width="8.5" customWidth="1"/>
    <col min="12794" max="12794" width="3.6640625" customWidth="1"/>
    <col min="12795" max="12795" width="20" customWidth="1"/>
    <col min="12796" max="12796" width="12.1640625" customWidth="1"/>
    <col min="12797" max="12798" width="8.83203125" customWidth="1"/>
    <col min="12799" max="12799" width="42.6640625" customWidth="1"/>
    <col min="12800" max="12802" width="8.83203125" customWidth="1"/>
    <col min="12803" max="12803" width="20.5" customWidth="1"/>
    <col min="12804" max="12804" width="22.83203125" customWidth="1"/>
    <col min="12805" max="13044" width="8.83203125" customWidth="1"/>
    <col min="13045" max="13045" width="9.33203125" customWidth="1"/>
    <col min="13046" max="13046" width="13.33203125" customWidth="1"/>
    <col min="13047" max="13047" width="15.6640625" customWidth="1"/>
    <col min="13048" max="13048" width="18.6640625" customWidth="1"/>
    <col min="13049" max="13049" width="8.5" customWidth="1"/>
    <col min="13050" max="13050" width="3.6640625" customWidth="1"/>
    <col min="13051" max="13051" width="20" customWidth="1"/>
    <col min="13052" max="13052" width="12.1640625" customWidth="1"/>
    <col min="13053" max="13054" width="8.83203125" customWidth="1"/>
    <col min="13055" max="13055" width="42.6640625" customWidth="1"/>
    <col min="13056" max="13058" width="8.83203125" customWidth="1"/>
    <col min="13059" max="13059" width="20.5" customWidth="1"/>
    <col min="13060" max="13060" width="22.83203125" customWidth="1"/>
    <col min="13061" max="13300" width="8.83203125" customWidth="1"/>
    <col min="13301" max="13301" width="9.33203125" customWidth="1"/>
    <col min="13302" max="13302" width="13.33203125" customWidth="1"/>
    <col min="13303" max="13303" width="15.6640625" customWidth="1"/>
    <col min="13304" max="13304" width="18.6640625" customWidth="1"/>
    <col min="13305" max="13305" width="8.5" customWidth="1"/>
    <col min="13306" max="13306" width="3.6640625" customWidth="1"/>
    <col min="13307" max="13307" width="20" customWidth="1"/>
    <col min="13308" max="13308" width="12.1640625" customWidth="1"/>
    <col min="13309" max="13310" width="8.83203125" customWidth="1"/>
    <col min="13311" max="13311" width="42.6640625" customWidth="1"/>
    <col min="13312" max="13314" width="8.83203125" customWidth="1"/>
    <col min="13315" max="13315" width="20.5" customWidth="1"/>
    <col min="13316" max="13316" width="22.83203125" customWidth="1"/>
    <col min="13317" max="13556" width="8.83203125" customWidth="1"/>
    <col min="13557" max="13557" width="9.33203125" customWidth="1"/>
    <col min="13558" max="13558" width="13.33203125" customWidth="1"/>
    <col min="13559" max="13559" width="15.6640625" customWidth="1"/>
    <col min="13560" max="13560" width="18.6640625" customWidth="1"/>
    <col min="13561" max="13561" width="8.5" customWidth="1"/>
    <col min="13562" max="13562" width="3.6640625" customWidth="1"/>
    <col min="13563" max="13563" width="20" customWidth="1"/>
    <col min="13564" max="13564" width="12.1640625" customWidth="1"/>
    <col min="13565" max="13566" width="8.83203125" customWidth="1"/>
    <col min="13567" max="13567" width="42.6640625" customWidth="1"/>
    <col min="13568" max="13570" width="8.83203125" customWidth="1"/>
    <col min="13571" max="13571" width="20.5" customWidth="1"/>
    <col min="13572" max="13572" width="22.83203125" customWidth="1"/>
    <col min="13573" max="13812" width="8.83203125" customWidth="1"/>
    <col min="13813" max="13813" width="9.33203125" customWidth="1"/>
    <col min="13814" max="13814" width="13.33203125" customWidth="1"/>
    <col min="13815" max="13815" width="15.6640625" customWidth="1"/>
    <col min="13816" max="13816" width="18.6640625" customWidth="1"/>
    <col min="13817" max="13817" width="8.5" customWidth="1"/>
    <col min="13818" max="13818" width="3.6640625" customWidth="1"/>
    <col min="13819" max="13819" width="20" customWidth="1"/>
    <col min="13820" max="13820" width="12.1640625" customWidth="1"/>
    <col min="13821" max="13822" width="8.83203125" customWidth="1"/>
    <col min="13823" max="13823" width="42.6640625" customWidth="1"/>
    <col min="13824" max="13826" width="8.83203125" customWidth="1"/>
    <col min="13827" max="13827" width="20.5" customWidth="1"/>
    <col min="13828" max="13828" width="22.83203125" customWidth="1"/>
    <col min="13829" max="14068" width="8.83203125" customWidth="1"/>
    <col min="14069" max="14069" width="9.33203125" customWidth="1"/>
    <col min="14070" max="14070" width="13.33203125" customWidth="1"/>
    <col min="14071" max="14071" width="15.6640625" customWidth="1"/>
    <col min="14072" max="14072" width="18.6640625" customWidth="1"/>
    <col min="14073" max="14073" width="8.5" customWidth="1"/>
    <col min="14074" max="14074" width="3.6640625" customWidth="1"/>
    <col min="14075" max="14075" width="20" customWidth="1"/>
    <col min="14076" max="14076" width="12.1640625" customWidth="1"/>
    <col min="14077" max="14078" width="8.83203125" customWidth="1"/>
    <col min="14079" max="14079" width="42.6640625" customWidth="1"/>
    <col min="14080" max="14082" width="8.83203125" customWidth="1"/>
    <col min="14083" max="14083" width="20.5" customWidth="1"/>
    <col min="14084" max="14084" width="22.83203125" customWidth="1"/>
    <col min="14085" max="14324" width="8.83203125" customWidth="1"/>
    <col min="14325" max="14325" width="9.33203125" customWidth="1"/>
    <col min="14326" max="14326" width="13.33203125" customWidth="1"/>
    <col min="14327" max="14327" width="15.6640625" customWidth="1"/>
    <col min="14328" max="14328" width="18.6640625" customWidth="1"/>
    <col min="14329" max="14329" width="8.5" customWidth="1"/>
    <col min="14330" max="14330" width="3.6640625" customWidth="1"/>
    <col min="14331" max="14331" width="20" customWidth="1"/>
    <col min="14332" max="14332" width="12.1640625" customWidth="1"/>
    <col min="14333" max="14334" width="8.83203125" customWidth="1"/>
    <col min="14335" max="14335" width="42.6640625" customWidth="1"/>
    <col min="14336" max="14338" width="8.83203125" customWidth="1"/>
    <col min="14339" max="14339" width="20.5" customWidth="1"/>
    <col min="14340" max="14340" width="22.83203125" customWidth="1"/>
    <col min="14341" max="14580" width="8.83203125" customWidth="1"/>
    <col min="14581" max="14581" width="9.33203125" customWidth="1"/>
    <col min="14582" max="14582" width="13.33203125" customWidth="1"/>
    <col min="14583" max="14583" width="15.6640625" customWidth="1"/>
    <col min="14584" max="14584" width="18.6640625" customWidth="1"/>
    <col min="14585" max="14585" width="8.5" customWidth="1"/>
    <col min="14586" max="14586" width="3.6640625" customWidth="1"/>
    <col min="14587" max="14587" width="20" customWidth="1"/>
    <col min="14588" max="14588" width="12.1640625" customWidth="1"/>
    <col min="14589" max="14590" width="8.83203125" customWidth="1"/>
    <col min="14591" max="14591" width="42.6640625" customWidth="1"/>
    <col min="14592" max="14594" width="8.83203125" customWidth="1"/>
    <col min="14595" max="14595" width="20.5" customWidth="1"/>
    <col min="14596" max="14596" width="22.83203125" customWidth="1"/>
    <col min="14597" max="14836" width="8.83203125" customWidth="1"/>
    <col min="14837" max="14837" width="9.33203125" customWidth="1"/>
    <col min="14838" max="14838" width="13.33203125" customWidth="1"/>
    <col min="14839" max="14839" width="15.6640625" customWidth="1"/>
    <col min="14840" max="14840" width="18.6640625" customWidth="1"/>
    <col min="14841" max="14841" width="8.5" customWidth="1"/>
    <col min="14842" max="14842" width="3.6640625" customWidth="1"/>
    <col min="14843" max="14843" width="20" customWidth="1"/>
    <col min="14844" max="14844" width="12.1640625" customWidth="1"/>
    <col min="14845" max="14846" width="8.83203125" customWidth="1"/>
    <col min="14847" max="14847" width="42.6640625" customWidth="1"/>
    <col min="14848" max="14850" width="8.83203125" customWidth="1"/>
    <col min="14851" max="14851" width="20.5" customWidth="1"/>
    <col min="14852" max="14852" width="22.83203125" customWidth="1"/>
    <col min="14853" max="15092" width="8.83203125" customWidth="1"/>
    <col min="15093" max="15093" width="9.33203125" customWidth="1"/>
    <col min="15094" max="15094" width="13.33203125" customWidth="1"/>
    <col min="15095" max="15095" width="15.6640625" customWidth="1"/>
    <col min="15096" max="15096" width="18.6640625" customWidth="1"/>
    <col min="15097" max="15097" width="8.5" customWidth="1"/>
    <col min="15098" max="15098" width="3.6640625" customWidth="1"/>
    <col min="15099" max="15099" width="20" customWidth="1"/>
    <col min="15100" max="15100" width="12.1640625" customWidth="1"/>
    <col min="15101" max="15102" width="8.83203125" customWidth="1"/>
    <col min="15103" max="15103" width="42.6640625" customWidth="1"/>
    <col min="15104" max="15106" width="8.83203125" customWidth="1"/>
    <col min="15107" max="15107" width="20.5" customWidth="1"/>
    <col min="15108" max="15108" width="22.83203125" customWidth="1"/>
    <col min="15109" max="15348" width="8.83203125" customWidth="1"/>
    <col min="15349" max="15349" width="9.33203125" customWidth="1"/>
    <col min="15350" max="15350" width="13.33203125" customWidth="1"/>
    <col min="15351" max="15351" width="15.6640625" customWidth="1"/>
    <col min="15352" max="15352" width="18.6640625" customWidth="1"/>
    <col min="15353" max="15353" width="8.5" customWidth="1"/>
    <col min="15354" max="15354" width="3.6640625" customWidth="1"/>
    <col min="15355" max="15355" width="20" customWidth="1"/>
    <col min="15356" max="15356" width="12.1640625" customWidth="1"/>
    <col min="15357" max="15358" width="8.83203125" customWidth="1"/>
    <col min="15359" max="15359" width="42.6640625" customWidth="1"/>
    <col min="15360" max="15362" width="8.83203125" customWidth="1"/>
    <col min="15363" max="15363" width="20.5" customWidth="1"/>
    <col min="15364" max="15364" width="22.83203125" customWidth="1"/>
    <col min="15365" max="15604" width="8.83203125" customWidth="1"/>
    <col min="15605" max="15605" width="9.33203125" customWidth="1"/>
    <col min="15606" max="15606" width="13.33203125" customWidth="1"/>
    <col min="15607" max="15607" width="15.6640625" customWidth="1"/>
    <col min="15608" max="15608" width="18.6640625" customWidth="1"/>
    <col min="15609" max="15609" width="8.5" customWidth="1"/>
    <col min="15610" max="15610" width="3.6640625" customWidth="1"/>
    <col min="15611" max="15611" width="20" customWidth="1"/>
    <col min="15612" max="15612" width="12.1640625" customWidth="1"/>
    <col min="15613" max="15614" width="8.83203125" customWidth="1"/>
    <col min="15615" max="15615" width="42.6640625" customWidth="1"/>
    <col min="15616" max="15618" width="8.83203125" customWidth="1"/>
    <col min="15619" max="15619" width="20.5" customWidth="1"/>
    <col min="15620" max="15620" width="22.83203125" customWidth="1"/>
    <col min="15621" max="15860" width="8.83203125" customWidth="1"/>
    <col min="15861" max="15861" width="9.33203125" customWidth="1"/>
    <col min="15862" max="15862" width="13.33203125" customWidth="1"/>
    <col min="15863" max="15863" width="15.6640625" customWidth="1"/>
    <col min="15864" max="15864" width="18.6640625" customWidth="1"/>
    <col min="15865" max="15865" width="8.5" customWidth="1"/>
    <col min="15866" max="15866" width="3.6640625" customWidth="1"/>
    <col min="15867" max="15867" width="20" customWidth="1"/>
    <col min="15868" max="15868" width="12.1640625" customWidth="1"/>
    <col min="15869" max="15870" width="8.83203125" customWidth="1"/>
    <col min="15871" max="15871" width="42.6640625" customWidth="1"/>
    <col min="15872" max="15874" width="8.83203125" customWidth="1"/>
    <col min="15875" max="15875" width="20.5" customWidth="1"/>
    <col min="15876" max="15876" width="22.83203125" customWidth="1"/>
    <col min="15877" max="16116" width="8.83203125" customWidth="1"/>
    <col min="16117" max="16117" width="9.33203125" customWidth="1"/>
    <col min="16118" max="16118" width="13.33203125" customWidth="1"/>
    <col min="16119" max="16119" width="15.6640625" customWidth="1"/>
    <col min="16120" max="16120" width="18.6640625" customWidth="1"/>
    <col min="16121" max="16121" width="8.5" customWidth="1"/>
    <col min="16122" max="16122" width="3.6640625" customWidth="1"/>
    <col min="16123" max="16123" width="20" customWidth="1"/>
    <col min="16124" max="16124" width="12.1640625" customWidth="1"/>
    <col min="16125" max="16126" width="8.83203125" customWidth="1"/>
    <col min="16127" max="16127" width="42.6640625" customWidth="1"/>
    <col min="16128" max="16130" width="8.83203125" customWidth="1"/>
    <col min="16131" max="16131" width="20.5" customWidth="1"/>
    <col min="16132" max="16132" width="22.83203125" customWidth="1"/>
    <col min="16133" max="16384" width="8.83203125" customWidth="1"/>
  </cols>
  <sheetData>
    <row r="1" spans="1:6" ht="47" customHeight="1">
      <c r="A1" s="1211" t="s">
        <v>11</v>
      </c>
      <c r="B1" s="1211" t="s">
        <v>7904</v>
      </c>
      <c r="C1" s="1211" t="s">
        <v>7905</v>
      </c>
      <c r="D1" s="1211" t="s">
        <v>7920</v>
      </c>
      <c r="E1" s="1211" t="s">
        <v>7921</v>
      </c>
      <c r="F1" s="1211" t="s">
        <v>7926</v>
      </c>
    </row>
    <row r="2" spans="1:6" ht="15">
      <c r="A2" s="1666" t="s">
        <v>7927</v>
      </c>
      <c r="B2" s="1200" t="s">
        <v>7906</v>
      </c>
      <c r="C2" s="1201">
        <v>351553.35</v>
      </c>
      <c r="D2" s="1201">
        <v>57541</v>
      </c>
      <c r="E2" s="1202">
        <f>C2/D2</f>
        <v>6.109614883300603</v>
      </c>
      <c r="F2" s="1210"/>
    </row>
    <row r="3" spans="1:6" ht="15">
      <c r="A3" s="1666"/>
      <c r="B3" s="1200" t="s">
        <v>7907</v>
      </c>
      <c r="C3" s="1201">
        <v>657588.98</v>
      </c>
      <c r="D3" s="1201">
        <v>57541</v>
      </c>
      <c r="E3" s="1202">
        <f t="shared" ref="E3:E19" si="0">C3/D3</f>
        <v>11.428181296814445</v>
      </c>
      <c r="F3" s="1210"/>
    </row>
    <row r="4" spans="1:6" ht="15">
      <c r="A4" s="1666"/>
      <c r="B4" s="1200" t="s">
        <v>7908</v>
      </c>
      <c r="C4" s="1201">
        <v>1823201.92</v>
      </c>
      <c r="D4" s="1201">
        <v>57541</v>
      </c>
      <c r="E4" s="1202">
        <f t="shared" si="0"/>
        <v>31.685266505622078</v>
      </c>
      <c r="F4" s="1210"/>
    </row>
    <row r="5" spans="1:6" ht="15">
      <c r="A5" s="1666"/>
      <c r="B5" s="1200" t="s">
        <v>7909</v>
      </c>
      <c r="C5" s="1201">
        <v>1497515.79</v>
      </c>
      <c r="D5" s="1201">
        <v>57541</v>
      </c>
      <c r="E5" s="1202">
        <f t="shared" si="0"/>
        <v>26.025195773448498</v>
      </c>
      <c r="F5" s="1210"/>
    </row>
    <row r="6" spans="1:6" ht="14">
      <c r="A6" s="1665" t="s">
        <v>7922</v>
      </c>
      <c r="B6" s="1665"/>
      <c r="C6" s="1203"/>
      <c r="D6" s="1204"/>
      <c r="E6" s="1205">
        <f>SUM(E2:E5)</f>
        <v>75.248258459185621</v>
      </c>
      <c r="F6" s="1205">
        <f>E6</f>
        <v>75.248258459185621</v>
      </c>
    </row>
    <row r="7" spans="1:6" ht="15">
      <c r="A7" s="1666" t="s">
        <v>7928</v>
      </c>
      <c r="B7" s="1200" t="s">
        <v>7910</v>
      </c>
      <c r="C7" s="1201">
        <v>1031804.46</v>
      </c>
      <c r="D7" s="1201">
        <v>57541</v>
      </c>
      <c r="E7" s="1202">
        <f t="shared" si="0"/>
        <v>17.931639352809299</v>
      </c>
      <c r="F7" s="1210"/>
    </row>
    <row r="8" spans="1:6" ht="15">
      <c r="A8" s="1666"/>
      <c r="B8" s="1200" t="s">
        <v>7911</v>
      </c>
      <c r="C8" s="1201">
        <v>1087689.5900000001</v>
      </c>
      <c r="D8" s="1201">
        <v>57541</v>
      </c>
      <c r="E8" s="1202">
        <f t="shared" si="0"/>
        <v>18.902862133087712</v>
      </c>
      <c r="F8" s="1210"/>
    </row>
    <row r="9" spans="1:6" ht="14">
      <c r="A9" s="1665" t="s">
        <v>7922</v>
      </c>
      <c r="B9" s="1665"/>
      <c r="C9" s="1203"/>
      <c r="D9" s="1204"/>
      <c r="E9" s="1205">
        <f>SUM(E7:E8)</f>
        <v>36.834501485897007</v>
      </c>
      <c r="F9" s="1205">
        <f>E9</f>
        <v>36.834501485897007</v>
      </c>
    </row>
    <row r="10" spans="1:6" ht="15">
      <c r="A10" s="1666" t="s">
        <v>7929</v>
      </c>
      <c r="B10" s="1206" t="s">
        <v>7912</v>
      </c>
      <c r="C10" s="1207">
        <v>14587068.09</v>
      </c>
      <c r="D10" s="1201">
        <v>57541</v>
      </c>
      <c r="E10" s="1202">
        <f t="shared" si="0"/>
        <v>253.50737891242767</v>
      </c>
      <c r="F10" s="1210"/>
    </row>
    <row r="11" spans="1:6" ht="15">
      <c r="A11" s="1666"/>
      <c r="B11" s="1206" t="s">
        <v>7913</v>
      </c>
      <c r="C11" s="1207" t="s">
        <v>7923</v>
      </c>
      <c r="D11" s="1201">
        <v>57541</v>
      </c>
      <c r="E11" s="1202" t="s">
        <v>7925</v>
      </c>
      <c r="F11" s="1210"/>
    </row>
    <row r="12" spans="1:6" ht="15">
      <c r="A12" s="1666"/>
      <c r="B12" s="1208" t="s">
        <v>7962</v>
      </c>
      <c r="C12" s="1209" t="s">
        <v>7924</v>
      </c>
      <c r="D12" s="1201">
        <v>57541</v>
      </c>
      <c r="E12" s="1202" t="s">
        <v>7925</v>
      </c>
      <c r="F12" s="1210"/>
    </row>
    <row r="13" spans="1:6" ht="15">
      <c r="A13" s="1666"/>
      <c r="B13" s="1208" t="s">
        <v>7963</v>
      </c>
      <c r="C13" s="1209">
        <v>297000</v>
      </c>
      <c r="D13" s="1201">
        <v>57541</v>
      </c>
      <c r="E13" s="1202">
        <f t="shared" si="0"/>
        <v>5.1615369910151019</v>
      </c>
      <c r="F13" s="1210"/>
    </row>
    <row r="14" spans="1:6" ht="15">
      <c r="A14" s="1666"/>
      <c r="B14" s="1206" t="s">
        <v>7914</v>
      </c>
      <c r="C14" s="1207">
        <v>174900</v>
      </c>
      <c r="D14" s="1201">
        <v>57541</v>
      </c>
      <c r="E14" s="1202">
        <f t="shared" si="0"/>
        <v>3.0395717835977822</v>
      </c>
      <c r="F14" s="1210"/>
    </row>
    <row r="15" spans="1:6" ht="15">
      <c r="A15" s="1666"/>
      <c r="B15" s="1206" t="s">
        <v>7915</v>
      </c>
      <c r="C15" s="1207">
        <v>25000</v>
      </c>
      <c r="D15" s="1201">
        <v>57541</v>
      </c>
      <c r="E15" s="1202">
        <f t="shared" si="0"/>
        <v>0.43447281069150695</v>
      </c>
      <c r="F15" s="1210"/>
    </row>
    <row r="16" spans="1:6" ht="15">
      <c r="A16" s="1666"/>
      <c r="B16" s="1206" t="s">
        <v>7916</v>
      </c>
      <c r="C16" s="1207">
        <v>1793428.78</v>
      </c>
      <c r="D16" s="1201">
        <v>57541</v>
      </c>
      <c r="E16" s="1202">
        <f t="shared" si="0"/>
        <v>31.167841712865609</v>
      </c>
      <c r="F16" s="1210"/>
    </row>
    <row r="17" spans="1:6" ht="16" customHeight="1">
      <c r="A17" s="1666"/>
      <c r="B17" s="1206" t="s">
        <v>7917</v>
      </c>
      <c r="C17" s="1207">
        <v>185000</v>
      </c>
      <c r="D17" s="1201">
        <v>57541</v>
      </c>
      <c r="E17" s="1202">
        <f t="shared" si="0"/>
        <v>3.2150987991171514</v>
      </c>
      <c r="F17" s="1210"/>
    </row>
    <row r="18" spans="1:6" ht="15">
      <c r="A18" s="1666"/>
      <c r="B18" s="1208" t="s">
        <v>7918</v>
      </c>
      <c r="C18" s="1209">
        <v>212386.37</v>
      </c>
      <c r="D18" s="1201">
        <v>57541</v>
      </c>
      <c r="E18" s="1202">
        <f t="shared" si="0"/>
        <v>3.6910441250586539</v>
      </c>
      <c r="F18" s="1210"/>
    </row>
    <row r="19" spans="1:6" ht="17" customHeight="1">
      <c r="A19" s="1666"/>
      <c r="B19" s="1206" t="s">
        <v>7919</v>
      </c>
      <c r="C19" s="1207">
        <v>272366.36</v>
      </c>
      <c r="D19" s="1201">
        <v>57541</v>
      </c>
      <c r="E19" s="1202">
        <f t="shared" si="0"/>
        <v>4.7334311186805929</v>
      </c>
      <c r="F19" s="1212" t="s">
        <v>7964</v>
      </c>
    </row>
    <row r="20" spans="1:6" ht="14">
      <c r="A20" s="1665" t="s">
        <v>7922</v>
      </c>
      <c r="B20" s="1665"/>
      <c r="C20" s="1203"/>
      <c r="D20" s="1204"/>
      <c r="E20" s="1205">
        <f>SUM(E10:E19)</f>
        <v>304.95037625345407</v>
      </c>
      <c r="F20" s="1205">
        <f>E20*0.94</f>
        <v>286.65335367824679</v>
      </c>
    </row>
    <row r="21" spans="1:6">
      <c r="A21" s="1199"/>
      <c r="B21" s="1199"/>
      <c r="C21" s="1199"/>
    </row>
    <row r="22" spans="1:6">
      <c r="C22" s="1198"/>
    </row>
  </sheetData>
  <mergeCells count="6">
    <mergeCell ref="A20:B20"/>
    <mergeCell ref="A10:A19"/>
    <mergeCell ref="A7:A8"/>
    <mergeCell ref="A2:A5"/>
    <mergeCell ref="A6:B6"/>
    <mergeCell ref="A9:B9"/>
  </mergeCells>
  <phoneticPr fontId="84" type="noConversion"/>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C262A-57A2-2046-8C66-6E93FBE603F2}">
  <sheetPr>
    <tabColor theme="3"/>
  </sheetPr>
  <dimension ref="A1:WVN40"/>
  <sheetViews>
    <sheetView view="pageBreakPreview" zoomScale="115" zoomScaleNormal="100" workbookViewId="0">
      <pane ySplit="9" topLeftCell="A26" activePane="bottomLeft" state="frozen"/>
      <selection pane="bottomLeft" activeCell="G33" sqref="G33"/>
    </sheetView>
  </sheetViews>
  <sheetFormatPr baseColWidth="10" defaultColWidth="8.83203125" defaultRowHeight="15"/>
  <cols>
    <col min="1" max="1" width="5" style="1092" customWidth="1"/>
    <col min="2" max="2" width="12.5" style="1092" customWidth="1"/>
    <col min="3" max="3" width="8.5" style="1092" customWidth="1"/>
    <col min="4" max="4" width="12.6640625" style="1092" customWidth="1"/>
    <col min="5" max="5" width="11.83203125" style="1092" customWidth="1"/>
    <col min="6" max="6" width="11" style="1092" customWidth="1"/>
    <col min="7" max="7" width="12.6640625" style="1092" customWidth="1"/>
    <col min="8" max="8" width="14" style="1092" customWidth="1"/>
    <col min="9" max="9" width="11" style="1107" customWidth="1"/>
    <col min="10" max="10" width="10.5" style="1107" customWidth="1"/>
    <col min="11" max="11" width="22.83203125" style="1092" customWidth="1"/>
    <col min="12" max="13" width="12.1640625" style="1092" customWidth="1"/>
    <col min="14" max="15" width="8.83203125" style="1092"/>
    <col min="16" max="16" width="9.83203125" style="1092" customWidth="1"/>
    <col min="17" max="18" width="8.83203125" style="1092"/>
    <col min="19" max="19" width="9.1640625" style="1092" customWidth="1"/>
    <col min="20" max="247" width="8.83203125" style="1092"/>
    <col min="248" max="248" width="5" style="1092" customWidth="1"/>
    <col min="249" max="249" width="12.5" style="1092" customWidth="1"/>
    <col min="250" max="250" width="8.5" style="1092" customWidth="1"/>
    <col min="251" max="251" width="12.6640625" style="1092" customWidth="1"/>
    <col min="252" max="252" width="11.83203125" style="1092" customWidth="1"/>
    <col min="253" max="253" width="11" style="1092" customWidth="1"/>
    <col min="254" max="254" width="12.6640625" style="1092" customWidth="1"/>
    <col min="255" max="255" width="14" style="1092" customWidth="1"/>
    <col min="256" max="256" width="11" style="1092" customWidth="1"/>
    <col min="257" max="257" width="10.6640625" style="1092" customWidth="1"/>
    <col min="258" max="258" width="10.83203125" style="1092" customWidth="1"/>
    <col min="259" max="259" width="8.83203125" style="1092" hidden="1" customWidth="1"/>
    <col min="260" max="260" width="13.83203125" style="1092" customWidth="1"/>
    <col min="261" max="262" width="8.83203125" style="1092" hidden="1" customWidth="1"/>
    <col min="263" max="263" width="12" style="1092" customWidth="1"/>
    <col min="264" max="265" width="13.33203125" style="1092" customWidth="1"/>
    <col min="266" max="503" width="8.83203125" style="1092"/>
    <col min="504" max="504" width="5" style="1092" customWidth="1"/>
    <col min="505" max="505" width="12.5" style="1092" customWidth="1"/>
    <col min="506" max="506" width="8.5" style="1092" customWidth="1"/>
    <col min="507" max="507" width="12.6640625" style="1092" customWidth="1"/>
    <col min="508" max="508" width="11.83203125" style="1092" customWidth="1"/>
    <col min="509" max="509" width="11" style="1092" customWidth="1"/>
    <col min="510" max="510" width="12.6640625" style="1092" customWidth="1"/>
    <col min="511" max="511" width="14" style="1092" customWidth="1"/>
    <col min="512" max="512" width="11" style="1092" customWidth="1"/>
    <col min="513" max="513" width="10.6640625" style="1092" customWidth="1"/>
    <col min="514" max="514" width="10.83203125" style="1092" customWidth="1"/>
    <col min="515" max="515" width="8.83203125" style="1092" hidden="1" customWidth="1"/>
    <col min="516" max="516" width="13.83203125" style="1092" customWidth="1"/>
    <col min="517" max="518" width="8.83203125" style="1092" hidden="1" customWidth="1"/>
    <col min="519" max="519" width="12" style="1092" customWidth="1"/>
    <col min="520" max="521" width="13.33203125" style="1092" customWidth="1"/>
    <col min="522" max="759" width="8.83203125" style="1092"/>
    <col min="760" max="760" width="5" style="1092" customWidth="1"/>
    <col min="761" max="761" width="12.5" style="1092" customWidth="1"/>
    <col min="762" max="762" width="8.5" style="1092" customWidth="1"/>
    <col min="763" max="763" width="12.6640625" style="1092" customWidth="1"/>
    <col min="764" max="764" width="11.83203125" style="1092" customWidth="1"/>
    <col min="765" max="765" width="11" style="1092" customWidth="1"/>
    <col min="766" max="766" width="12.6640625" style="1092" customWidth="1"/>
    <col min="767" max="767" width="14" style="1092" customWidth="1"/>
    <col min="768" max="768" width="11" style="1092" customWidth="1"/>
    <col min="769" max="769" width="10.6640625" style="1092" customWidth="1"/>
    <col min="770" max="770" width="10.83203125" style="1092" customWidth="1"/>
    <col min="771" max="771" width="8.83203125" style="1092" hidden="1" customWidth="1"/>
    <col min="772" max="772" width="13.83203125" style="1092" customWidth="1"/>
    <col min="773" max="774" width="8.83203125" style="1092" hidden="1" customWidth="1"/>
    <col min="775" max="775" width="12" style="1092" customWidth="1"/>
    <col min="776" max="777" width="13.33203125" style="1092" customWidth="1"/>
    <col min="778" max="1015" width="8.83203125" style="1092"/>
    <col min="1016" max="1016" width="5" style="1092" customWidth="1"/>
    <col min="1017" max="1017" width="12.5" style="1092" customWidth="1"/>
    <col min="1018" max="1018" width="8.5" style="1092" customWidth="1"/>
    <col min="1019" max="1019" width="12.6640625" style="1092" customWidth="1"/>
    <col min="1020" max="1020" width="11.83203125" style="1092" customWidth="1"/>
    <col min="1021" max="1021" width="11" style="1092" customWidth="1"/>
    <col min="1022" max="1022" width="12.6640625" style="1092" customWidth="1"/>
    <col min="1023" max="1023" width="14" style="1092" customWidth="1"/>
    <col min="1024" max="1024" width="11" style="1092" customWidth="1"/>
    <col min="1025" max="1025" width="10.6640625" style="1092" customWidth="1"/>
    <col min="1026" max="1026" width="10.83203125" style="1092" customWidth="1"/>
    <col min="1027" max="1027" width="8.83203125" style="1092" hidden="1" customWidth="1"/>
    <col min="1028" max="1028" width="13.83203125" style="1092" customWidth="1"/>
    <col min="1029" max="1030" width="8.83203125" style="1092" hidden="1" customWidth="1"/>
    <col min="1031" max="1031" width="12" style="1092" customWidth="1"/>
    <col min="1032" max="1033" width="13.33203125" style="1092" customWidth="1"/>
    <col min="1034" max="1271" width="8.83203125" style="1092"/>
    <col min="1272" max="1272" width="5" style="1092" customWidth="1"/>
    <col min="1273" max="1273" width="12.5" style="1092" customWidth="1"/>
    <col min="1274" max="1274" width="8.5" style="1092" customWidth="1"/>
    <col min="1275" max="1275" width="12.6640625" style="1092" customWidth="1"/>
    <col min="1276" max="1276" width="11.83203125" style="1092" customWidth="1"/>
    <col min="1277" max="1277" width="11" style="1092" customWidth="1"/>
    <col min="1278" max="1278" width="12.6640625" style="1092" customWidth="1"/>
    <col min="1279" max="1279" width="14" style="1092" customWidth="1"/>
    <col min="1280" max="1280" width="11" style="1092" customWidth="1"/>
    <col min="1281" max="1281" width="10.6640625" style="1092" customWidth="1"/>
    <col min="1282" max="1282" width="10.83203125" style="1092" customWidth="1"/>
    <col min="1283" max="1283" width="8.83203125" style="1092" hidden="1" customWidth="1"/>
    <col min="1284" max="1284" width="13.83203125" style="1092" customWidth="1"/>
    <col min="1285" max="1286" width="8.83203125" style="1092" hidden="1" customWidth="1"/>
    <col min="1287" max="1287" width="12" style="1092" customWidth="1"/>
    <col min="1288" max="1289" width="13.33203125" style="1092" customWidth="1"/>
    <col min="1290" max="1527" width="8.83203125" style="1092"/>
    <col min="1528" max="1528" width="5" style="1092" customWidth="1"/>
    <col min="1529" max="1529" width="12.5" style="1092" customWidth="1"/>
    <col min="1530" max="1530" width="8.5" style="1092" customWidth="1"/>
    <col min="1531" max="1531" width="12.6640625" style="1092" customWidth="1"/>
    <col min="1532" max="1532" width="11.83203125" style="1092" customWidth="1"/>
    <col min="1533" max="1533" width="11" style="1092" customWidth="1"/>
    <col min="1534" max="1534" width="12.6640625" style="1092" customWidth="1"/>
    <col min="1535" max="1535" width="14" style="1092" customWidth="1"/>
    <col min="1536" max="1536" width="11" style="1092" customWidth="1"/>
    <col min="1537" max="1537" width="10.6640625" style="1092" customWidth="1"/>
    <col min="1538" max="1538" width="10.83203125" style="1092" customWidth="1"/>
    <col min="1539" max="1539" width="8.83203125" style="1092" hidden="1" customWidth="1"/>
    <col min="1540" max="1540" width="13.83203125" style="1092" customWidth="1"/>
    <col min="1541" max="1542" width="8.83203125" style="1092" hidden="1" customWidth="1"/>
    <col min="1543" max="1543" width="12" style="1092" customWidth="1"/>
    <col min="1544" max="1545" width="13.33203125" style="1092" customWidth="1"/>
    <col min="1546" max="1783" width="8.83203125" style="1092"/>
    <col min="1784" max="1784" width="5" style="1092" customWidth="1"/>
    <col min="1785" max="1785" width="12.5" style="1092" customWidth="1"/>
    <col min="1786" max="1786" width="8.5" style="1092" customWidth="1"/>
    <col min="1787" max="1787" width="12.6640625" style="1092" customWidth="1"/>
    <col min="1788" max="1788" width="11.83203125" style="1092" customWidth="1"/>
    <col min="1789" max="1789" width="11" style="1092" customWidth="1"/>
    <col min="1790" max="1790" width="12.6640625" style="1092" customWidth="1"/>
    <col min="1791" max="1791" width="14" style="1092" customWidth="1"/>
    <col min="1792" max="1792" width="11" style="1092" customWidth="1"/>
    <col min="1793" max="1793" width="10.6640625" style="1092" customWidth="1"/>
    <col min="1794" max="1794" width="10.83203125" style="1092" customWidth="1"/>
    <col min="1795" max="1795" width="8.83203125" style="1092" hidden="1" customWidth="1"/>
    <col min="1796" max="1796" width="13.83203125" style="1092" customWidth="1"/>
    <col min="1797" max="1798" width="8.83203125" style="1092" hidden="1" customWidth="1"/>
    <col min="1799" max="1799" width="12" style="1092" customWidth="1"/>
    <col min="1800" max="1801" width="13.33203125" style="1092" customWidth="1"/>
    <col min="1802" max="2039" width="8.83203125" style="1092"/>
    <col min="2040" max="2040" width="5" style="1092" customWidth="1"/>
    <col min="2041" max="2041" width="12.5" style="1092" customWidth="1"/>
    <col min="2042" max="2042" width="8.5" style="1092" customWidth="1"/>
    <col min="2043" max="2043" width="12.6640625" style="1092" customWidth="1"/>
    <col min="2044" max="2044" width="11.83203125" style="1092" customWidth="1"/>
    <col min="2045" max="2045" width="11" style="1092" customWidth="1"/>
    <col min="2046" max="2046" width="12.6640625" style="1092" customWidth="1"/>
    <col min="2047" max="2047" width="14" style="1092" customWidth="1"/>
    <col min="2048" max="2048" width="11" style="1092" customWidth="1"/>
    <col min="2049" max="2049" width="10.6640625" style="1092" customWidth="1"/>
    <col min="2050" max="2050" width="10.83203125" style="1092" customWidth="1"/>
    <col min="2051" max="2051" width="8.83203125" style="1092" hidden="1" customWidth="1"/>
    <col min="2052" max="2052" width="13.83203125" style="1092" customWidth="1"/>
    <col min="2053" max="2054" width="8.83203125" style="1092" hidden="1" customWidth="1"/>
    <col min="2055" max="2055" width="12" style="1092" customWidth="1"/>
    <col min="2056" max="2057" width="13.33203125" style="1092" customWidth="1"/>
    <col min="2058" max="2295" width="8.83203125" style="1092"/>
    <col min="2296" max="2296" width="5" style="1092" customWidth="1"/>
    <col min="2297" max="2297" width="12.5" style="1092" customWidth="1"/>
    <col min="2298" max="2298" width="8.5" style="1092" customWidth="1"/>
    <col min="2299" max="2299" width="12.6640625" style="1092" customWidth="1"/>
    <col min="2300" max="2300" width="11.83203125" style="1092" customWidth="1"/>
    <col min="2301" max="2301" width="11" style="1092" customWidth="1"/>
    <col min="2302" max="2302" width="12.6640625" style="1092" customWidth="1"/>
    <col min="2303" max="2303" width="14" style="1092" customWidth="1"/>
    <col min="2304" max="2304" width="11" style="1092" customWidth="1"/>
    <col min="2305" max="2305" width="10.6640625" style="1092" customWidth="1"/>
    <col min="2306" max="2306" width="10.83203125" style="1092" customWidth="1"/>
    <col min="2307" max="2307" width="8.83203125" style="1092" hidden="1" customWidth="1"/>
    <col min="2308" max="2308" width="13.83203125" style="1092" customWidth="1"/>
    <col min="2309" max="2310" width="8.83203125" style="1092" hidden="1" customWidth="1"/>
    <col min="2311" max="2311" width="12" style="1092" customWidth="1"/>
    <col min="2312" max="2313" width="13.33203125" style="1092" customWidth="1"/>
    <col min="2314" max="2551" width="8.83203125" style="1092"/>
    <col min="2552" max="2552" width="5" style="1092" customWidth="1"/>
    <col min="2553" max="2553" width="12.5" style="1092" customWidth="1"/>
    <col min="2554" max="2554" width="8.5" style="1092" customWidth="1"/>
    <col min="2555" max="2555" width="12.6640625" style="1092" customWidth="1"/>
    <col min="2556" max="2556" width="11.83203125" style="1092" customWidth="1"/>
    <col min="2557" max="2557" width="11" style="1092" customWidth="1"/>
    <col min="2558" max="2558" width="12.6640625" style="1092" customWidth="1"/>
    <col min="2559" max="2559" width="14" style="1092" customWidth="1"/>
    <col min="2560" max="2560" width="11" style="1092" customWidth="1"/>
    <col min="2561" max="2561" width="10.6640625" style="1092" customWidth="1"/>
    <col min="2562" max="2562" width="10.83203125" style="1092" customWidth="1"/>
    <col min="2563" max="2563" width="8.83203125" style="1092" hidden="1" customWidth="1"/>
    <col min="2564" max="2564" width="13.83203125" style="1092" customWidth="1"/>
    <col min="2565" max="2566" width="8.83203125" style="1092" hidden="1" customWidth="1"/>
    <col min="2567" max="2567" width="12" style="1092" customWidth="1"/>
    <col min="2568" max="2569" width="13.33203125" style="1092" customWidth="1"/>
    <col min="2570" max="2807" width="8.83203125" style="1092"/>
    <col min="2808" max="2808" width="5" style="1092" customWidth="1"/>
    <col min="2809" max="2809" width="12.5" style="1092" customWidth="1"/>
    <col min="2810" max="2810" width="8.5" style="1092" customWidth="1"/>
    <col min="2811" max="2811" width="12.6640625" style="1092" customWidth="1"/>
    <col min="2812" max="2812" width="11.83203125" style="1092" customWidth="1"/>
    <col min="2813" max="2813" width="11" style="1092" customWidth="1"/>
    <col min="2814" max="2814" width="12.6640625" style="1092" customWidth="1"/>
    <col min="2815" max="2815" width="14" style="1092" customWidth="1"/>
    <col min="2816" max="2816" width="11" style="1092" customWidth="1"/>
    <col min="2817" max="2817" width="10.6640625" style="1092" customWidth="1"/>
    <col min="2818" max="2818" width="10.83203125" style="1092" customWidth="1"/>
    <col min="2819" max="2819" width="8.83203125" style="1092" hidden="1" customWidth="1"/>
    <col min="2820" max="2820" width="13.83203125" style="1092" customWidth="1"/>
    <col min="2821" max="2822" width="8.83203125" style="1092" hidden="1" customWidth="1"/>
    <col min="2823" max="2823" width="12" style="1092" customWidth="1"/>
    <col min="2824" max="2825" width="13.33203125" style="1092" customWidth="1"/>
    <col min="2826" max="3063" width="8.83203125" style="1092"/>
    <col min="3064" max="3064" width="5" style="1092" customWidth="1"/>
    <col min="3065" max="3065" width="12.5" style="1092" customWidth="1"/>
    <col min="3066" max="3066" width="8.5" style="1092" customWidth="1"/>
    <col min="3067" max="3067" width="12.6640625" style="1092" customWidth="1"/>
    <col min="3068" max="3068" width="11.83203125" style="1092" customWidth="1"/>
    <col min="3069" max="3069" width="11" style="1092" customWidth="1"/>
    <col min="3070" max="3070" width="12.6640625" style="1092" customWidth="1"/>
    <col min="3071" max="3071" width="14" style="1092" customWidth="1"/>
    <col min="3072" max="3072" width="11" style="1092" customWidth="1"/>
    <col min="3073" max="3073" width="10.6640625" style="1092" customWidth="1"/>
    <col min="3074" max="3074" width="10.83203125" style="1092" customWidth="1"/>
    <col min="3075" max="3075" width="8.83203125" style="1092" hidden="1" customWidth="1"/>
    <col min="3076" max="3076" width="13.83203125" style="1092" customWidth="1"/>
    <col min="3077" max="3078" width="8.83203125" style="1092" hidden="1" customWidth="1"/>
    <col min="3079" max="3079" width="12" style="1092" customWidth="1"/>
    <col min="3080" max="3081" width="13.33203125" style="1092" customWidth="1"/>
    <col min="3082" max="3319" width="8.83203125" style="1092"/>
    <col min="3320" max="3320" width="5" style="1092" customWidth="1"/>
    <col min="3321" max="3321" width="12.5" style="1092" customWidth="1"/>
    <col min="3322" max="3322" width="8.5" style="1092" customWidth="1"/>
    <col min="3323" max="3323" width="12.6640625" style="1092" customWidth="1"/>
    <col min="3324" max="3324" width="11.83203125" style="1092" customWidth="1"/>
    <col min="3325" max="3325" width="11" style="1092" customWidth="1"/>
    <col min="3326" max="3326" width="12.6640625" style="1092" customWidth="1"/>
    <col min="3327" max="3327" width="14" style="1092" customWidth="1"/>
    <col min="3328" max="3328" width="11" style="1092" customWidth="1"/>
    <col min="3329" max="3329" width="10.6640625" style="1092" customWidth="1"/>
    <col min="3330" max="3330" width="10.83203125" style="1092" customWidth="1"/>
    <col min="3331" max="3331" width="8.83203125" style="1092" hidden="1" customWidth="1"/>
    <col min="3332" max="3332" width="13.83203125" style="1092" customWidth="1"/>
    <col min="3333" max="3334" width="8.83203125" style="1092" hidden="1" customWidth="1"/>
    <col min="3335" max="3335" width="12" style="1092" customWidth="1"/>
    <col min="3336" max="3337" width="13.33203125" style="1092" customWidth="1"/>
    <col min="3338" max="3575" width="8.83203125" style="1092"/>
    <col min="3576" max="3576" width="5" style="1092" customWidth="1"/>
    <col min="3577" max="3577" width="12.5" style="1092" customWidth="1"/>
    <col min="3578" max="3578" width="8.5" style="1092" customWidth="1"/>
    <col min="3579" max="3579" width="12.6640625" style="1092" customWidth="1"/>
    <col min="3580" max="3580" width="11.83203125" style="1092" customWidth="1"/>
    <col min="3581" max="3581" width="11" style="1092" customWidth="1"/>
    <col min="3582" max="3582" width="12.6640625" style="1092" customWidth="1"/>
    <col min="3583" max="3583" width="14" style="1092" customWidth="1"/>
    <col min="3584" max="3584" width="11" style="1092" customWidth="1"/>
    <col min="3585" max="3585" width="10.6640625" style="1092" customWidth="1"/>
    <col min="3586" max="3586" width="10.83203125" style="1092" customWidth="1"/>
    <col min="3587" max="3587" width="8.83203125" style="1092" hidden="1" customWidth="1"/>
    <col min="3588" max="3588" width="13.83203125" style="1092" customWidth="1"/>
    <col min="3589" max="3590" width="8.83203125" style="1092" hidden="1" customWidth="1"/>
    <col min="3591" max="3591" width="12" style="1092" customWidth="1"/>
    <col min="3592" max="3593" width="13.33203125" style="1092" customWidth="1"/>
    <col min="3594" max="3831" width="8.83203125" style="1092"/>
    <col min="3832" max="3832" width="5" style="1092" customWidth="1"/>
    <col min="3833" max="3833" width="12.5" style="1092" customWidth="1"/>
    <col min="3834" max="3834" width="8.5" style="1092" customWidth="1"/>
    <col min="3835" max="3835" width="12.6640625" style="1092" customWidth="1"/>
    <col min="3836" max="3836" width="11.83203125" style="1092" customWidth="1"/>
    <col min="3837" max="3837" width="11" style="1092" customWidth="1"/>
    <col min="3838" max="3838" width="12.6640625" style="1092" customWidth="1"/>
    <col min="3839" max="3839" width="14" style="1092" customWidth="1"/>
    <col min="3840" max="3840" width="11" style="1092" customWidth="1"/>
    <col min="3841" max="3841" width="10.6640625" style="1092" customWidth="1"/>
    <col min="3842" max="3842" width="10.83203125" style="1092" customWidth="1"/>
    <col min="3843" max="3843" width="8.83203125" style="1092" hidden="1" customWidth="1"/>
    <col min="3844" max="3844" width="13.83203125" style="1092" customWidth="1"/>
    <col min="3845" max="3846" width="8.83203125" style="1092" hidden="1" customWidth="1"/>
    <col min="3847" max="3847" width="12" style="1092" customWidth="1"/>
    <col min="3848" max="3849" width="13.33203125" style="1092" customWidth="1"/>
    <col min="3850" max="4087" width="8.83203125" style="1092"/>
    <col min="4088" max="4088" width="5" style="1092" customWidth="1"/>
    <col min="4089" max="4089" width="12.5" style="1092" customWidth="1"/>
    <col min="4090" max="4090" width="8.5" style="1092" customWidth="1"/>
    <col min="4091" max="4091" width="12.6640625" style="1092" customWidth="1"/>
    <col min="4092" max="4092" width="11.83203125" style="1092" customWidth="1"/>
    <col min="4093" max="4093" width="11" style="1092" customWidth="1"/>
    <col min="4094" max="4094" width="12.6640625" style="1092" customWidth="1"/>
    <col min="4095" max="4095" width="14" style="1092" customWidth="1"/>
    <col min="4096" max="4096" width="11" style="1092" customWidth="1"/>
    <col min="4097" max="4097" width="10.6640625" style="1092" customWidth="1"/>
    <col min="4098" max="4098" width="10.83203125" style="1092" customWidth="1"/>
    <col min="4099" max="4099" width="8.83203125" style="1092" hidden="1" customWidth="1"/>
    <col min="4100" max="4100" width="13.83203125" style="1092" customWidth="1"/>
    <col min="4101" max="4102" width="8.83203125" style="1092" hidden="1" customWidth="1"/>
    <col min="4103" max="4103" width="12" style="1092" customWidth="1"/>
    <col min="4104" max="4105" width="13.33203125" style="1092" customWidth="1"/>
    <col min="4106" max="4343" width="8.83203125" style="1092"/>
    <col min="4344" max="4344" width="5" style="1092" customWidth="1"/>
    <col min="4345" max="4345" width="12.5" style="1092" customWidth="1"/>
    <col min="4346" max="4346" width="8.5" style="1092" customWidth="1"/>
    <col min="4347" max="4347" width="12.6640625" style="1092" customWidth="1"/>
    <col min="4348" max="4348" width="11.83203125" style="1092" customWidth="1"/>
    <col min="4349" max="4349" width="11" style="1092" customWidth="1"/>
    <col min="4350" max="4350" width="12.6640625" style="1092" customWidth="1"/>
    <col min="4351" max="4351" width="14" style="1092" customWidth="1"/>
    <col min="4352" max="4352" width="11" style="1092" customWidth="1"/>
    <col min="4353" max="4353" width="10.6640625" style="1092" customWidth="1"/>
    <col min="4354" max="4354" width="10.83203125" style="1092" customWidth="1"/>
    <col min="4355" max="4355" width="8.83203125" style="1092" hidden="1" customWidth="1"/>
    <col min="4356" max="4356" width="13.83203125" style="1092" customWidth="1"/>
    <col min="4357" max="4358" width="8.83203125" style="1092" hidden="1" customWidth="1"/>
    <col min="4359" max="4359" width="12" style="1092" customWidth="1"/>
    <col min="4360" max="4361" width="13.33203125" style="1092" customWidth="1"/>
    <col min="4362" max="4599" width="8.83203125" style="1092"/>
    <col min="4600" max="4600" width="5" style="1092" customWidth="1"/>
    <col min="4601" max="4601" width="12.5" style="1092" customWidth="1"/>
    <col min="4602" max="4602" width="8.5" style="1092" customWidth="1"/>
    <col min="4603" max="4603" width="12.6640625" style="1092" customWidth="1"/>
    <col min="4604" max="4604" width="11.83203125" style="1092" customWidth="1"/>
    <col min="4605" max="4605" width="11" style="1092" customWidth="1"/>
    <col min="4606" max="4606" width="12.6640625" style="1092" customWidth="1"/>
    <col min="4607" max="4607" width="14" style="1092" customWidth="1"/>
    <col min="4608" max="4608" width="11" style="1092" customWidth="1"/>
    <col min="4609" max="4609" width="10.6640625" style="1092" customWidth="1"/>
    <col min="4610" max="4610" width="10.83203125" style="1092" customWidth="1"/>
    <col min="4611" max="4611" width="8.83203125" style="1092" hidden="1" customWidth="1"/>
    <col min="4612" max="4612" width="13.83203125" style="1092" customWidth="1"/>
    <col min="4613" max="4614" width="8.83203125" style="1092" hidden="1" customWidth="1"/>
    <col min="4615" max="4615" width="12" style="1092" customWidth="1"/>
    <col min="4616" max="4617" width="13.33203125" style="1092" customWidth="1"/>
    <col min="4618" max="4855" width="8.83203125" style="1092"/>
    <col min="4856" max="4856" width="5" style="1092" customWidth="1"/>
    <col min="4857" max="4857" width="12.5" style="1092" customWidth="1"/>
    <col min="4858" max="4858" width="8.5" style="1092" customWidth="1"/>
    <col min="4859" max="4859" width="12.6640625" style="1092" customWidth="1"/>
    <col min="4860" max="4860" width="11.83203125" style="1092" customWidth="1"/>
    <col min="4861" max="4861" width="11" style="1092" customWidth="1"/>
    <col min="4862" max="4862" width="12.6640625" style="1092" customWidth="1"/>
    <col min="4863" max="4863" width="14" style="1092" customWidth="1"/>
    <col min="4864" max="4864" width="11" style="1092" customWidth="1"/>
    <col min="4865" max="4865" width="10.6640625" style="1092" customWidth="1"/>
    <col min="4866" max="4866" width="10.83203125" style="1092" customWidth="1"/>
    <col min="4867" max="4867" width="8.83203125" style="1092" hidden="1" customWidth="1"/>
    <col min="4868" max="4868" width="13.83203125" style="1092" customWidth="1"/>
    <col min="4869" max="4870" width="8.83203125" style="1092" hidden="1" customWidth="1"/>
    <col min="4871" max="4871" width="12" style="1092" customWidth="1"/>
    <col min="4872" max="4873" width="13.33203125" style="1092" customWidth="1"/>
    <col min="4874" max="5111" width="8.83203125" style="1092"/>
    <col min="5112" max="5112" width="5" style="1092" customWidth="1"/>
    <col min="5113" max="5113" width="12.5" style="1092" customWidth="1"/>
    <col min="5114" max="5114" width="8.5" style="1092" customWidth="1"/>
    <col min="5115" max="5115" width="12.6640625" style="1092" customWidth="1"/>
    <col min="5116" max="5116" width="11.83203125" style="1092" customWidth="1"/>
    <col min="5117" max="5117" width="11" style="1092" customWidth="1"/>
    <col min="5118" max="5118" width="12.6640625" style="1092" customWidth="1"/>
    <col min="5119" max="5119" width="14" style="1092" customWidth="1"/>
    <col min="5120" max="5120" width="11" style="1092" customWidth="1"/>
    <col min="5121" max="5121" width="10.6640625" style="1092" customWidth="1"/>
    <col min="5122" max="5122" width="10.83203125" style="1092" customWidth="1"/>
    <col min="5123" max="5123" width="8.83203125" style="1092" hidden="1" customWidth="1"/>
    <col min="5124" max="5124" width="13.83203125" style="1092" customWidth="1"/>
    <col min="5125" max="5126" width="8.83203125" style="1092" hidden="1" customWidth="1"/>
    <col min="5127" max="5127" width="12" style="1092" customWidth="1"/>
    <col min="5128" max="5129" width="13.33203125" style="1092" customWidth="1"/>
    <col min="5130" max="5367" width="8.83203125" style="1092"/>
    <col min="5368" max="5368" width="5" style="1092" customWidth="1"/>
    <col min="5369" max="5369" width="12.5" style="1092" customWidth="1"/>
    <col min="5370" max="5370" width="8.5" style="1092" customWidth="1"/>
    <col min="5371" max="5371" width="12.6640625" style="1092" customWidth="1"/>
    <col min="5372" max="5372" width="11.83203125" style="1092" customWidth="1"/>
    <col min="5373" max="5373" width="11" style="1092" customWidth="1"/>
    <col min="5374" max="5374" width="12.6640625" style="1092" customWidth="1"/>
    <col min="5375" max="5375" width="14" style="1092" customWidth="1"/>
    <col min="5376" max="5376" width="11" style="1092" customWidth="1"/>
    <col min="5377" max="5377" width="10.6640625" style="1092" customWidth="1"/>
    <col min="5378" max="5378" width="10.83203125" style="1092" customWidth="1"/>
    <col min="5379" max="5379" width="8.83203125" style="1092" hidden="1" customWidth="1"/>
    <col min="5380" max="5380" width="13.83203125" style="1092" customWidth="1"/>
    <col min="5381" max="5382" width="8.83203125" style="1092" hidden="1" customWidth="1"/>
    <col min="5383" max="5383" width="12" style="1092" customWidth="1"/>
    <col min="5384" max="5385" width="13.33203125" style="1092" customWidth="1"/>
    <col min="5386" max="5623" width="8.83203125" style="1092"/>
    <col min="5624" max="5624" width="5" style="1092" customWidth="1"/>
    <col min="5625" max="5625" width="12.5" style="1092" customWidth="1"/>
    <col min="5626" max="5626" width="8.5" style="1092" customWidth="1"/>
    <col min="5627" max="5627" width="12.6640625" style="1092" customWidth="1"/>
    <col min="5628" max="5628" width="11.83203125" style="1092" customWidth="1"/>
    <col min="5629" max="5629" width="11" style="1092" customWidth="1"/>
    <col min="5630" max="5630" width="12.6640625" style="1092" customWidth="1"/>
    <col min="5631" max="5631" width="14" style="1092" customWidth="1"/>
    <col min="5632" max="5632" width="11" style="1092" customWidth="1"/>
    <col min="5633" max="5633" width="10.6640625" style="1092" customWidth="1"/>
    <col min="5634" max="5634" width="10.83203125" style="1092" customWidth="1"/>
    <col min="5635" max="5635" width="8.83203125" style="1092" hidden="1" customWidth="1"/>
    <col min="5636" max="5636" width="13.83203125" style="1092" customWidth="1"/>
    <col min="5637" max="5638" width="8.83203125" style="1092" hidden="1" customWidth="1"/>
    <col min="5639" max="5639" width="12" style="1092" customWidth="1"/>
    <col min="5640" max="5641" width="13.33203125" style="1092" customWidth="1"/>
    <col min="5642" max="5879" width="8.83203125" style="1092"/>
    <col min="5880" max="5880" width="5" style="1092" customWidth="1"/>
    <col min="5881" max="5881" width="12.5" style="1092" customWidth="1"/>
    <col min="5882" max="5882" width="8.5" style="1092" customWidth="1"/>
    <col min="5883" max="5883" width="12.6640625" style="1092" customWidth="1"/>
    <col min="5884" max="5884" width="11.83203125" style="1092" customWidth="1"/>
    <col min="5885" max="5885" width="11" style="1092" customWidth="1"/>
    <col min="5886" max="5886" width="12.6640625" style="1092" customWidth="1"/>
    <col min="5887" max="5887" width="14" style="1092" customWidth="1"/>
    <col min="5888" max="5888" width="11" style="1092" customWidth="1"/>
    <col min="5889" max="5889" width="10.6640625" style="1092" customWidth="1"/>
    <col min="5890" max="5890" width="10.83203125" style="1092" customWidth="1"/>
    <col min="5891" max="5891" width="8.83203125" style="1092" hidden="1" customWidth="1"/>
    <col min="5892" max="5892" width="13.83203125" style="1092" customWidth="1"/>
    <col min="5893" max="5894" width="8.83203125" style="1092" hidden="1" customWidth="1"/>
    <col min="5895" max="5895" width="12" style="1092" customWidth="1"/>
    <col min="5896" max="5897" width="13.33203125" style="1092" customWidth="1"/>
    <col min="5898" max="6135" width="8.83203125" style="1092"/>
    <col min="6136" max="6136" width="5" style="1092" customWidth="1"/>
    <col min="6137" max="6137" width="12.5" style="1092" customWidth="1"/>
    <col min="6138" max="6138" width="8.5" style="1092" customWidth="1"/>
    <col min="6139" max="6139" width="12.6640625" style="1092" customWidth="1"/>
    <col min="6140" max="6140" width="11.83203125" style="1092" customWidth="1"/>
    <col min="6141" max="6141" width="11" style="1092" customWidth="1"/>
    <col min="6142" max="6142" width="12.6640625" style="1092" customWidth="1"/>
    <col min="6143" max="6143" width="14" style="1092" customWidth="1"/>
    <col min="6144" max="6144" width="11" style="1092" customWidth="1"/>
    <col min="6145" max="6145" width="10.6640625" style="1092" customWidth="1"/>
    <col min="6146" max="6146" width="10.83203125" style="1092" customWidth="1"/>
    <col min="6147" max="6147" width="8.83203125" style="1092" hidden="1" customWidth="1"/>
    <col min="6148" max="6148" width="13.83203125" style="1092" customWidth="1"/>
    <col min="6149" max="6150" width="8.83203125" style="1092" hidden="1" customWidth="1"/>
    <col min="6151" max="6151" width="12" style="1092" customWidth="1"/>
    <col min="6152" max="6153" width="13.33203125" style="1092" customWidth="1"/>
    <col min="6154" max="6391" width="8.83203125" style="1092"/>
    <col min="6392" max="6392" width="5" style="1092" customWidth="1"/>
    <col min="6393" max="6393" width="12.5" style="1092" customWidth="1"/>
    <col min="6394" max="6394" width="8.5" style="1092" customWidth="1"/>
    <col min="6395" max="6395" width="12.6640625" style="1092" customWidth="1"/>
    <col min="6396" max="6396" width="11.83203125" style="1092" customWidth="1"/>
    <col min="6397" max="6397" width="11" style="1092" customWidth="1"/>
    <col min="6398" max="6398" width="12.6640625" style="1092" customWidth="1"/>
    <col min="6399" max="6399" width="14" style="1092" customWidth="1"/>
    <col min="6400" max="6400" width="11" style="1092" customWidth="1"/>
    <col min="6401" max="6401" width="10.6640625" style="1092" customWidth="1"/>
    <col min="6402" max="6402" width="10.83203125" style="1092" customWidth="1"/>
    <col min="6403" max="6403" width="8.83203125" style="1092" hidden="1" customWidth="1"/>
    <col min="6404" max="6404" width="13.83203125" style="1092" customWidth="1"/>
    <col min="6405" max="6406" width="8.83203125" style="1092" hidden="1" customWidth="1"/>
    <col min="6407" max="6407" width="12" style="1092" customWidth="1"/>
    <col min="6408" max="6409" width="13.33203125" style="1092" customWidth="1"/>
    <col min="6410" max="6647" width="8.83203125" style="1092"/>
    <col min="6648" max="6648" width="5" style="1092" customWidth="1"/>
    <col min="6649" max="6649" width="12.5" style="1092" customWidth="1"/>
    <col min="6650" max="6650" width="8.5" style="1092" customWidth="1"/>
    <col min="6651" max="6651" width="12.6640625" style="1092" customWidth="1"/>
    <col min="6652" max="6652" width="11.83203125" style="1092" customWidth="1"/>
    <col min="6653" max="6653" width="11" style="1092" customWidth="1"/>
    <col min="6654" max="6654" width="12.6640625" style="1092" customWidth="1"/>
    <col min="6655" max="6655" width="14" style="1092" customWidth="1"/>
    <col min="6656" max="6656" width="11" style="1092" customWidth="1"/>
    <col min="6657" max="6657" width="10.6640625" style="1092" customWidth="1"/>
    <col min="6658" max="6658" width="10.83203125" style="1092" customWidth="1"/>
    <col min="6659" max="6659" width="8.83203125" style="1092" hidden="1" customWidth="1"/>
    <col min="6660" max="6660" width="13.83203125" style="1092" customWidth="1"/>
    <col min="6661" max="6662" width="8.83203125" style="1092" hidden="1" customWidth="1"/>
    <col min="6663" max="6663" width="12" style="1092" customWidth="1"/>
    <col min="6664" max="6665" width="13.33203125" style="1092" customWidth="1"/>
    <col min="6666" max="6903" width="8.83203125" style="1092"/>
    <col min="6904" max="6904" width="5" style="1092" customWidth="1"/>
    <col min="6905" max="6905" width="12.5" style="1092" customWidth="1"/>
    <col min="6906" max="6906" width="8.5" style="1092" customWidth="1"/>
    <col min="6907" max="6907" width="12.6640625" style="1092" customWidth="1"/>
    <col min="6908" max="6908" width="11.83203125" style="1092" customWidth="1"/>
    <col min="6909" max="6909" width="11" style="1092" customWidth="1"/>
    <col min="6910" max="6910" width="12.6640625" style="1092" customWidth="1"/>
    <col min="6911" max="6911" width="14" style="1092" customWidth="1"/>
    <col min="6912" max="6912" width="11" style="1092" customWidth="1"/>
    <col min="6913" max="6913" width="10.6640625" style="1092" customWidth="1"/>
    <col min="6914" max="6914" width="10.83203125" style="1092" customWidth="1"/>
    <col min="6915" max="6915" width="8.83203125" style="1092" hidden="1" customWidth="1"/>
    <col min="6916" max="6916" width="13.83203125" style="1092" customWidth="1"/>
    <col min="6917" max="6918" width="8.83203125" style="1092" hidden="1" customWidth="1"/>
    <col min="6919" max="6919" width="12" style="1092" customWidth="1"/>
    <col min="6920" max="6921" width="13.33203125" style="1092" customWidth="1"/>
    <col min="6922" max="7159" width="8.83203125" style="1092"/>
    <col min="7160" max="7160" width="5" style="1092" customWidth="1"/>
    <col min="7161" max="7161" width="12.5" style="1092" customWidth="1"/>
    <col min="7162" max="7162" width="8.5" style="1092" customWidth="1"/>
    <col min="7163" max="7163" width="12.6640625" style="1092" customWidth="1"/>
    <col min="7164" max="7164" width="11.83203125" style="1092" customWidth="1"/>
    <col min="7165" max="7165" width="11" style="1092" customWidth="1"/>
    <col min="7166" max="7166" width="12.6640625" style="1092" customWidth="1"/>
    <col min="7167" max="7167" width="14" style="1092" customWidth="1"/>
    <col min="7168" max="7168" width="11" style="1092" customWidth="1"/>
    <col min="7169" max="7169" width="10.6640625" style="1092" customWidth="1"/>
    <col min="7170" max="7170" width="10.83203125" style="1092" customWidth="1"/>
    <col min="7171" max="7171" width="8.83203125" style="1092" hidden="1" customWidth="1"/>
    <col min="7172" max="7172" width="13.83203125" style="1092" customWidth="1"/>
    <col min="7173" max="7174" width="8.83203125" style="1092" hidden="1" customWidth="1"/>
    <col min="7175" max="7175" width="12" style="1092" customWidth="1"/>
    <col min="7176" max="7177" width="13.33203125" style="1092" customWidth="1"/>
    <col min="7178" max="7415" width="8.83203125" style="1092"/>
    <col min="7416" max="7416" width="5" style="1092" customWidth="1"/>
    <col min="7417" max="7417" width="12.5" style="1092" customWidth="1"/>
    <col min="7418" max="7418" width="8.5" style="1092" customWidth="1"/>
    <col min="7419" max="7419" width="12.6640625" style="1092" customWidth="1"/>
    <col min="7420" max="7420" width="11.83203125" style="1092" customWidth="1"/>
    <col min="7421" max="7421" width="11" style="1092" customWidth="1"/>
    <col min="7422" max="7422" width="12.6640625" style="1092" customWidth="1"/>
    <col min="7423" max="7423" width="14" style="1092" customWidth="1"/>
    <col min="7424" max="7424" width="11" style="1092" customWidth="1"/>
    <col min="7425" max="7425" width="10.6640625" style="1092" customWidth="1"/>
    <col min="7426" max="7426" width="10.83203125" style="1092" customWidth="1"/>
    <col min="7427" max="7427" width="8.83203125" style="1092" hidden="1" customWidth="1"/>
    <col min="7428" max="7428" width="13.83203125" style="1092" customWidth="1"/>
    <col min="7429" max="7430" width="8.83203125" style="1092" hidden="1" customWidth="1"/>
    <col min="7431" max="7431" width="12" style="1092" customWidth="1"/>
    <col min="7432" max="7433" width="13.33203125" style="1092" customWidth="1"/>
    <col min="7434" max="7671" width="8.83203125" style="1092"/>
    <col min="7672" max="7672" width="5" style="1092" customWidth="1"/>
    <col min="7673" max="7673" width="12.5" style="1092" customWidth="1"/>
    <col min="7674" max="7674" width="8.5" style="1092" customWidth="1"/>
    <col min="7675" max="7675" width="12.6640625" style="1092" customWidth="1"/>
    <col min="7676" max="7676" width="11.83203125" style="1092" customWidth="1"/>
    <col min="7677" max="7677" width="11" style="1092" customWidth="1"/>
    <col min="7678" max="7678" width="12.6640625" style="1092" customWidth="1"/>
    <col min="7679" max="7679" width="14" style="1092" customWidth="1"/>
    <col min="7680" max="7680" width="11" style="1092" customWidth="1"/>
    <col min="7681" max="7681" width="10.6640625" style="1092" customWidth="1"/>
    <col min="7682" max="7682" width="10.83203125" style="1092" customWidth="1"/>
    <col min="7683" max="7683" width="8.83203125" style="1092" hidden="1" customWidth="1"/>
    <col min="7684" max="7684" width="13.83203125" style="1092" customWidth="1"/>
    <col min="7685" max="7686" width="8.83203125" style="1092" hidden="1" customWidth="1"/>
    <col min="7687" max="7687" width="12" style="1092" customWidth="1"/>
    <col min="7688" max="7689" width="13.33203125" style="1092" customWidth="1"/>
    <col min="7690" max="7927" width="8.83203125" style="1092"/>
    <col min="7928" max="7928" width="5" style="1092" customWidth="1"/>
    <col min="7929" max="7929" width="12.5" style="1092" customWidth="1"/>
    <col min="7930" max="7930" width="8.5" style="1092" customWidth="1"/>
    <col min="7931" max="7931" width="12.6640625" style="1092" customWidth="1"/>
    <col min="7932" max="7932" width="11.83203125" style="1092" customWidth="1"/>
    <col min="7933" max="7933" width="11" style="1092" customWidth="1"/>
    <col min="7934" max="7934" width="12.6640625" style="1092" customWidth="1"/>
    <col min="7935" max="7935" width="14" style="1092" customWidth="1"/>
    <col min="7936" max="7936" width="11" style="1092" customWidth="1"/>
    <col min="7937" max="7937" width="10.6640625" style="1092" customWidth="1"/>
    <col min="7938" max="7938" width="10.83203125" style="1092" customWidth="1"/>
    <col min="7939" max="7939" width="8.83203125" style="1092" hidden="1" customWidth="1"/>
    <col min="7940" max="7940" width="13.83203125" style="1092" customWidth="1"/>
    <col min="7941" max="7942" width="8.83203125" style="1092" hidden="1" customWidth="1"/>
    <col min="7943" max="7943" width="12" style="1092" customWidth="1"/>
    <col min="7944" max="7945" width="13.33203125" style="1092" customWidth="1"/>
    <col min="7946" max="8183" width="8.83203125" style="1092"/>
    <col min="8184" max="8184" width="5" style="1092" customWidth="1"/>
    <col min="8185" max="8185" width="12.5" style="1092" customWidth="1"/>
    <col min="8186" max="8186" width="8.5" style="1092" customWidth="1"/>
    <col min="8187" max="8187" width="12.6640625" style="1092" customWidth="1"/>
    <col min="8188" max="8188" width="11.83203125" style="1092" customWidth="1"/>
    <col min="8189" max="8189" width="11" style="1092" customWidth="1"/>
    <col min="8190" max="8190" width="12.6640625" style="1092" customWidth="1"/>
    <col min="8191" max="8191" width="14" style="1092" customWidth="1"/>
    <col min="8192" max="8192" width="11" style="1092" customWidth="1"/>
    <col min="8193" max="8193" width="10.6640625" style="1092" customWidth="1"/>
    <col min="8194" max="8194" width="10.83203125" style="1092" customWidth="1"/>
    <col min="8195" max="8195" width="8.83203125" style="1092" hidden="1" customWidth="1"/>
    <col min="8196" max="8196" width="13.83203125" style="1092" customWidth="1"/>
    <col min="8197" max="8198" width="8.83203125" style="1092" hidden="1" customWidth="1"/>
    <col min="8199" max="8199" width="12" style="1092" customWidth="1"/>
    <col min="8200" max="8201" width="13.33203125" style="1092" customWidth="1"/>
    <col min="8202" max="8439" width="8.83203125" style="1092"/>
    <col min="8440" max="8440" width="5" style="1092" customWidth="1"/>
    <col min="8441" max="8441" width="12.5" style="1092" customWidth="1"/>
    <col min="8442" max="8442" width="8.5" style="1092" customWidth="1"/>
    <col min="8443" max="8443" width="12.6640625" style="1092" customWidth="1"/>
    <col min="8444" max="8444" width="11.83203125" style="1092" customWidth="1"/>
    <col min="8445" max="8445" width="11" style="1092" customWidth="1"/>
    <col min="8446" max="8446" width="12.6640625" style="1092" customWidth="1"/>
    <col min="8447" max="8447" width="14" style="1092" customWidth="1"/>
    <col min="8448" max="8448" width="11" style="1092" customWidth="1"/>
    <col min="8449" max="8449" width="10.6640625" style="1092" customWidth="1"/>
    <col min="8450" max="8450" width="10.83203125" style="1092" customWidth="1"/>
    <col min="8451" max="8451" width="8.83203125" style="1092" hidden="1" customWidth="1"/>
    <col min="8452" max="8452" width="13.83203125" style="1092" customWidth="1"/>
    <col min="8453" max="8454" width="8.83203125" style="1092" hidden="1" customWidth="1"/>
    <col min="8455" max="8455" width="12" style="1092" customWidth="1"/>
    <col min="8456" max="8457" width="13.33203125" style="1092" customWidth="1"/>
    <col min="8458" max="8695" width="8.83203125" style="1092"/>
    <col min="8696" max="8696" width="5" style="1092" customWidth="1"/>
    <col min="8697" max="8697" width="12.5" style="1092" customWidth="1"/>
    <col min="8698" max="8698" width="8.5" style="1092" customWidth="1"/>
    <col min="8699" max="8699" width="12.6640625" style="1092" customWidth="1"/>
    <col min="8700" max="8700" width="11.83203125" style="1092" customWidth="1"/>
    <col min="8701" max="8701" width="11" style="1092" customWidth="1"/>
    <col min="8702" max="8702" width="12.6640625" style="1092" customWidth="1"/>
    <col min="8703" max="8703" width="14" style="1092" customWidth="1"/>
    <col min="8704" max="8704" width="11" style="1092" customWidth="1"/>
    <col min="8705" max="8705" width="10.6640625" style="1092" customWidth="1"/>
    <col min="8706" max="8706" width="10.83203125" style="1092" customWidth="1"/>
    <col min="8707" max="8707" width="8.83203125" style="1092" hidden="1" customWidth="1"/>
    <col min="8708" max="8708" width="13.83203125" style="1092" customWidth="1"/>
    <col min="8709" max="8710" width="8.83203125" style="1092" hidden="1" customWidth="1"/>
    <col min="8711" max="8711" width="12" style="1092" customWidth="1"/>
    <col min="8712" max="8713" width="13.33203125" style="1092" customWidth="1"/>
    <col min="8714" max="8951" width="8.83203125" style="1092"/>
    <col min="8952" max="8952" width="5" style="1092" customWidth="1"/>
    <col min="8953" max="8953" width="12.5" style="1092" customWidth="1"/>
    <col min="8954" max="8954" width="8.5" style="1092" customWidth="1"/>
    <col min="8955" max="8955" width="12.6640625" style="1092" customWidth="1"/>
    <col min="8956" max="8956" width="11.83203125" style="1092" customWidth="1"/>
    <col min="8957" max="8957" width="11" style="1092" customWidth="1"/>
    <col min="8958" max="8958" width="12.6640625" style="1092" customWidth="1"/>
    <col min="8959" max="8959" width="14" style="1092" customWidth="1"/>
    <col min="8960" max="8960" width="11" style="1092" customWidth="1"/>
    <col min="8961" max="8961" width="10.6640625" style="1092" customWidth="1"/>
    <col min="8962" max="8962" width="10.83203125" style="1092" customWidth="1"/>
    <col min="8963" max="8963" width="8.83203125" style="1092" hidden="1" customWidth="1"/>
    <col min="8964" max="8964" width="13.83203125" style="1092" customWidth="1"/>
    <col min="8965" max="8966" width="8.83203125" style="1092" hidden="1" customWidth="1"/>
    <col min="8967" max="8967" width="12" style="1092" customWidth="1"/>
    <col min="8968" max="8969" width="13.33203125" style="1092" customWidth="1"/>
    <col min="8970" max="9207" width="8.83203125" style="1092"/>
    <col min="9208" max="9208" width="5" style="1092" customWidth="1"/>
    <col min="9209" max="9209" width="12.5" style="1092" customWidth="1"/>
    <col min="9210" max="9210" width="8.5" style="1092" customWidth="1"/>
    <col min="9211" max="9211" width="12.6640625" style="1092" customWidth="1"/>
    <col min="9212" max="9212" width="11.83203125" style="1092" customWidth="1"/>
    <col min="9213" max="9213" width="11" style="1092" customWidth="1"/>
    <col min="9214" max="9214" width="12.6640625" style="1092" customWidth="1"/>
    <col min="9215" max="9215" width="14" style="1092" customWidth="1"/>
    <col min="9216" max="9216" width="11" style="1092" customWidth="1"/>
    <col min="9217" max="9217" width="10.6640625" style="1092" customWidth="1"/>
    <col min="9218" max="9218" width="10.83203125" style="1092" customWidth="1"/>
    <col min="9219" max="9219" width="8.83203125" style="1092" hidden="1" customWidth="1"/>
    <col min="9220" max="9220" width="13.83203125" style="1092" customWidth="1"/>
    <col min="9221" max="9222" width="8.83203125" style="1092" hidden="1" customWidth="1"/>
    <col min="9223" max="9223" width="12" style="1092" customWidth="1"/>
    <col min="9224" max="9225" width="13.33203125" style="1092" customWidth="1"/>
    <col min="9226" max="9463" width="8.83203125" style="1092"/>
    <col min="9464" max="9464" width="5" style="1092" customWidth="1"/>
    <col min="9465" max="9465" width="12.5" style="1092" customWidth="1"/>
    <col min="9466" max="9466" width="8.5" style="1092" customWidth="1"/>
    <col min="9467" max="9467" width="12.6640625" style="1092" customWidth="1"/>
    <col min="9468" max="9468" width="11.83203125" style="1092" customWidth="1"/>
    <col min="9469" max="9469" width="11" style="1092" customWidth="1"/>
    <col min="9470" max="9470" width="12.6640625" style="1092" customWidth="1"/>
    <col min="9471" max="9471" width="14" style="1092" customWidth="1"/>
    <col min="9472" max="9472" width="11" style="1092" customWidth="1"/>
    <col min="9473" max="9473" width="10.6640625" style="1092" customWidth="1"/>
    <col min="9474" max="9474" width="10.83203125" style="1092" customWidth="1"/>
    <col min="9475" max="9475" width="8.83203125" style="1092" hidden="1" customWidth="1"/>
    <col min="9476" max="9476" width="13.83203125" style="1092" customWidth="1"/>
    <col min="9477" max="9478" width="8.83203125" style="1092" hidden="1" customWidth="1"/>
    <col min="9479" max="9479" width="12" style="1092" customWidth="1"/>
    <col min="9480" max="9481" width="13.33203125" style="1092" customWidth="1"/>
    <col min="9482" max="9719" width="8.83203125" style="1092"/>
    <col min="9720" max="9720" width="5" style="1092" customWidth="1"/>
    <col min="9721" max="9721" width="12.5" style="1092" customWidth="1"/>
    <col min="9722" max="9722" width="8.5" style="1092" customWidth="1"/>
    <col min="9723" max="9723" width="12.6640625" style="1092" customWidth="1"/>
    <col min="9724" max="9724" width="11.83203125" style="1092" customWidth="1"/>
    <col min="9725" max="9725" width="11" style="1092" customWidth="1"/>
    <col min="9726" max="9726" width="12.6640625" style="1092" customWidth="1"/>
    <col min="9727" max="9727" width="14" style="1092" customWidth="1"/>
    <col min="9728" max="9728" width="11" style="1092" customWidth="1"/>
    <col min="9729" max="9729" width="10.6640625" style="1092" customWidth="1"/>
    <col min="9730" max="9730" width="10.83203125" style="1092" customWidth="1"/>
    <col min="9731" max="9731" width="8.83203125" style="1092" hidden="1" customWidth="1"/>
    <col min="9732" max="9732" width="13.83203125" style="1092" customWidth="1"/>
    <col min="9733" max="9734" width="8.83203125" style="1092" hidden="1" customWidth="1"/>
    <col min="9735" max="9735" width="12" style="1092" customWidth="1"/>
    <col min="9736" max="9737" width="13.33203125" style="1092" customWidth="1"/>
    <col min="9738" max="9975" width="8.83203125" style="1092"/>
    <col min="9976" max="9976" width="5" style="1092" customWidth="1"/>
    <col min="9977" max="9977" width="12.5" style="1092" customWidth="1"/>
    <col min="9978" max="9978" width="8.5" style="1092" customWidth="1"/>
    <col min="9979" max="9979" width="12.6640625" style="1092" customWidth="1"/>
    <col min="9980" max="9980" width="11.83203125" style="1092" customWidth="1"/>
    <col min="9981" max="9981" width="11" style="1092" customWidth="1"/>
    <col min="9982" max="9982" width="12.6640625" style="1092" customWidth="1"/>
    <col min="9983" max="9983" width="14" style="1092" customWidth="1"/>
    <col min="9984" max="9984" width="11" style="1092" customWidth="1"/>
    <col min="9985" max="9985" width="10.6640625" style="1092" customWidth="1"/>
    <col min="9986" max="9986" width="10.83203125" style="1092" customWidth="1"/>
    <col min="9987" max="9987" width="8.83203125" style="1092" hidden="1" customWidth="1"/>
    <col min="9988" max="9988" width="13.83203125" style="1092" customWidth="1"/>
    <col min="9989" max="9990" width="8.83203125" style="1092" hidden="1" customWidth="1"/>
    <col min="9991" max="9991" width="12" style="1092" customWidth="1"/>
    <col min="9992" max="9993" width="13.33203125" style="1092" customWidth="1"/>
    <col min="9994" max="10231" width="8.83203125" style="1092"/>
    <col min="10232" max="10232" width="5" style="1092" customWidth="1"/>
    <col min="10233" max="10233" width="12.5" style="1092" customWidth="1"/>
    <col min="10234" max="10234" width="8.5" style="1092" customWidth="1"/>
    <col min="10235" max="10235" width="12.6640625" style="1092" customWidth="1"/>
    <col min="10236" max="10236" width="11.83203125" style="1092" customWidth="1"/>
    <col min="10237" max="10237" width="11" style="1092" customWidth="1"/>
    <col min="10238" max="10238" width="12.6640625" style="1092" customWidth="1"/>
    <col min="10239" max="10239" width="14" style="1092" customWidth="1"/>
    <col min="10240" max="10240" width="11" style="1092" customWidth="1"/>
    <col min="10241" max="10241" width="10.6640625" style="1092" customWidth="1"/>
    <col min="10242" max="10242" width="10.83203125" style="1092" customWidth="1"/>
    <col min="10243" max="10243" width="8.83203125" style="1092" hidden="1" customWidth="1"/>
    <col min="10244" max="10244" width="13.83203125" style="1092" customWidth="1"/>
    <col min="10245" max="10246" width="8.83203125" style="1092" hidden="1" customWidth="1"/>
    <col min="10247" max="10247" width="12" style="1092" customWidth="1"/>
    <col min="10248" max="10249" width="13.33203125" style="1092" customWidth="1"/>
    <col min="10250" max="10487" width="8.83203125" style="1092"/>
    <col min="10488" max="10488" width="5" style="1092" customWidth="1"/>
    <col min="10489" max="10489" width="12.5" style="1092" customWidth="1"/>
    <col min="10490" max="10490" width="8.5" style="1092" customWidth="1"/>
    <col min="10491" max="10491" width="12.6640625" style="1092" customWidth="1"/>
    <col min="10492" max="10492" width="11.83203125" style="1092" customWidth="1"/>
    <col min="10493" max="10493" width="11" style="1092" customWidth="1"/>
    <col min="10494" max="10494" width="12.6640625" style="1092" customWidth="1"/>
    <col min="10495" max="10495" width="14" style="1092" customWidth="1"/>
    <col min="10496" max="10496" width="11" style="1092" customWidth="1"/>
    <col min="10497" max="10497" width="10.6640625" style="1092" customWidth="1"/>
    <col min="10498" max="10498" width="10.83203125" style="1092" customWidth="1"/>
    <col min="10499" max="10499" width="8.83203125" style="1092" hidden="1" customWidth="1"/>
    <col min="10500" max="10500" width="13.83203125" style="1092" customWidth="1"/>
    <col min="10501" max="10502" width="8.83203125" style="1092" hidden="1" customWidth="1"/>
    <col min="10503" max="10503" width="12" style="1092" customWidth="1"/>
    <col min="10504" max="10505" width="13.33203125" style="1092" customWidth="1"/>
    <col min="10506" max="10743" width="8.83203125" style="1092"/>
    <col min="10744" max="10744" width="5" style="1092" customWidth="1"/>
    <col min="10745" max="10745" width="12.5" style="1092" customWidth="1"/>
    <col min="10746" max="10746" width="8.5" style="1092" customWidth="1"/>
    <col min="10747" max="10747" width="12.6640625" style="1092" customWidth="1"/>
    <col min="10748" max="10748" width="11.83203125" style="1092" customWidth="1"/>
    <col min="10749" max="10749" width="11" style="1092" customWidth="1"/>
    <col min="10750" max="10750" width="12.6640625" style="1092" customWidth="1"/>
    <col min="10751" max="10751" width="14" style="1092" customWidth="1"/>
    <col min="10752" max="10752" width="11" style="1092" customWidth="1"/>
    <col min="10753" max="10753" width="10.6640625" style="1092" customWidth="1"/>
    <col min="10754" max="10754" width="10.83203125" style="1092" customWidth="1"/>
    <col min="10755" max="10755" width="8.83203125" style="1092" hidden="1" customWidth="1"/>
    <col min="10756" max="10756" width="13.83203125" style="1092" customWidth="1"/>
    <col min="10757" max="10758" width="8.83203125" style="1092" hidden="1" customWidth="1"/>
    <col min="10759" max="10759" width="12" style="1092" customWidth="1"/>
    <col min="10760" max="10761" width="13.33203125" style="1092" customWidth="1"/>
    <col min="10762" max="10999" width="8.83203125" style="1092"/>
    <col min="11000" max="11000" width="5" style="1092" customWidth="1"/>
    <col min="11001" max="11001" width="12.5" style="1092" customWidth="1"/>
    <col min="11002" max="11002" width="8.5" style="1092" customWidth="1"/>
    <col min="11003" max="11003" width="12.6640625" style="1092" customWidth="1"/>
    <col min="11004" max="11004" width="11.83203125" style="1092" customWidth="1"/>
    <col min="11005" max="11005" width="11" style="1092" customWidth="1"/>
    <col min="11006" max="11006" width="12.6640625" style="1092" customWidth="1"/>
    <col min="11007" max="11007" width="14" style="1092" customWidth="1"/>
    <col min="11008" max="11008" width="11" style="1092" customWidth="1"/>
    <col min="11009" max="11009" width="10.6640625" style="1092" customWidth="1"/>
    <col min="11010" max="11010" width="10.83203125" style="1092" customWidth="1"/>
    <col min="11011" max="11011" width="8.83203125" style="1092" hidden="1" customWidth="1"/>
    <col min="11012" max="11012" width="13.83203125" style="1092" customWidth="1"/>
    <col min="11013" max="11014" width="8.83203125" style="1092" hidden="1" customWidth="1"/>
    <col min="11015" max="11015" width="12" style="1092" customWidth="1"/>
    <col min="11016" max="11017" width="13.33203125" style="1092" customWidth="1"/>
    <col min="11018" max="11255" width="8.83203125" style="1092"/>
    <col min="11256" max="11256" width="5" style="1092" customWidth="1"/>
    <col min="11257" max="11257" width="12.5" style="1092" customWidth="1"/>
    <col min="11258" max="11258" width="8.5" style="1092" customWidth="1"/>
    <col min="11259" max="11259" width="12.6640625" style="1092" customWidth="1"/>
    <col min="11260" max="11260" width="11.83203125" style="1092" customWidth="1"/>
    <col min="11261" max="11261" width="11" style="1092" customWidth="1"/>
    <col min="11262" max="11262" width="12.6640625" style="1092" customWidth="1"/>
    <col min="11263" max="11263" width="14" style="1092" customWidth="1"/>
    <col min="11264" max="11264" width="11" style="1092" customWidth="1"/>
    <col min="11265" max="11265" width="10.6640625" style="1092" customWidth="1"/>
    <col min="11266" max="11266" width="10.83203125" style="1092" customWidth="1"/>
    <col min="11267" max="11267" width="8.83203125" style="1092" hidden="1" customWidth="1"/>
    <col min="11268" max="11268" width="13.83203125" style="1092" customWidth="1"/>
    <col min="11269" max="11270" width="8.83203125" style="1092" hidden="1" customWidth="1"/>
    <col min="11271" max="11271" width="12" style="1092" customWidth="1"/>
    <col min="11272" max="11273" width="13.33203125" style="1092" customWidth="1"/>
    <col min="11274" max="11511" width="8.83203125" style="1092"/>
    <col min="11512" max="11512" width="5" style="1092" customWidth="1"/>
    <col min="11513" max="11513" width="12.5" style="1092" customWidth="1"/>
    <col min="11514" max="11514" width="8.5" style="1092" customWidth="1"/>
    <col min="11515" max="11515" width="12.6640625" style="1092" customWidth="1"/>
    <col min="11516" max="11516" width="11.83203125" style="1092" customWidth="1"/>
    <col min="11517" max="11517" width="11" style="1092" customWidth="1"/>
    <col min="11518" max="11518" width="12.6640625" style="1092" customWidth="1"/>
    <col min="11519" max="11519" width="14" style="1092" customWidth="1"/>
    <col min="11520" max="11520" width="11" style="1092" customWidth="1"/>
    <col min="11521" max="11521" width="10.6640625" style="1092" customWidth="1"/>
    <col min="11522" max="11522" width="10.83203125" style="1092" customWidth="1"/>
    <col min="11523" max="11523" width="8.83203125" style="1092" hidden="1" customWidth="1"/>
    <col min="11524" max="11524" width="13.83203125" style="1092" customWidth="1"/>
    <col min="11525" max="11526" width="8.83203125" style="1092" hidden="1" customWidth="1"/>
    <col min="11527" max="11527" width="12" style="1092" customWidth="1"/>
    <col min="11528" max="11529" width="13.33203125" style="1092" customWidth="1"/>
    <col min="11530" max="11767" width="8.83203125" style="1092"/>
    <col min="11768" max="11768" width="5" style="1092" customWidth="1"/>
    <col min="11769" max="11769" width="12.5" style="1092" customWidth="1"/>
    <col min="11770" max="11770" width="8.5" style="1092" customWidth="1"/>
    <col min="11771" max="11771" width="12.6640625" style="1092" customWidth="1"/>
    <col min="11772" max="11772" width="11.83203125" style="1092" customWidth="1"/>
    <col min="11773" max="11773" width="11" style="1092" customWidth="1"/>
    <col min="11774" max="11774" width="12.6640625" style="1092" customWidth="1"/>
    <col min="11775" max="11775" width="14" style="1092" customWidth="1"/>
    <col min="11776" max="11776" width="11" style="1092" customWidth="1"/>
    <col min="11777" max="11777" width="10.6640625" style="1092" customWidth="1"/>
    <col min="11778" max="11778" width="10.83203125" style="1092" customWidth="1"/>
    <col min="11779" max="11779" width="8.83203125" style="1092" hidden="1" customWidth="1"/>
    <col min="11780" max="11780" width="13.83203125" style="1092" customWidth="1"/>
    <col min="11781" max="11782" width="8.83203125" style="1092" hidden="1" customWidth="1"/>
    <col min="11783" max="11783" width="12" style="1092" customWidth="1"/>
    <col min="11784" max="11785" width="13.33203125" style="1092" customWidth="1"/>
    <col min="11786" max="12023" width="8.83203125" style="1092"/>
    <col min="12024" max="12024" width="5" style="1092" customWidth="1"/>
    <col min="12025" max="12025" width="12.5" style="1092" customWidth="1"/>
    <col min="12026" max="12026" width="8.5" style="1092" customWidth="1"/>
    <col min="12027" max="12027" width="12.6640625" style="1092" customWidth="1"/>
    <col min="12028" max="12028" width="11.83203125" style="1092" customWidth="1"/>
    <col min="12029" max="12029" width="11" style="1092" customWidth="1"/>
    <col min="12030" max="12030" width="12.6640625" style="1092" customWidth="1"/>
    <col min="12031" max="12031" width="14" style="1092" customWidth="1"/>
    <col min="12032" max="12032" width="11" style="1092" customWidth="1"/>
    <col min="12033" max="12033" width="10.6640625" style="1092" customWidth="1"/>
    <col min="12034" max="12034" width="10.83203125" style="1092" customWidth="1"/>
    <col min="12035" max="12035" width="8.83203125" style="1092" hidden="1" customWidth="1"/>
    <col min="12036" max="12036" width="13.83203125" style="1092" customWidth="1"/>
    <col min="12037" max="12038" width="8.83203125" style="1092" hidden="1" customWidth="1"/>
    <col min="12039" max="12039" width="12" style="1092" customWidth="1"/>
    <col min="12040" max="12041" width="13.33203125" style="1092" customWidth="1"/>
    <col min="12042" max="12279" width="8.83203125" style="1092"/>
    <col min="12280" max="12280" width="5" style="1092" customWidth="1"/>
    <col min="12281" max="12281" width="12.5" style="1092" customWidth="1"/>
    <col min="12282" max="12282" width="8.5" style="1092" customWidth="1"/>
    <col min="12283" max="12283" width="12.6640625" style="1092" customWidth="1"/>
    <col min="12284" max="12284" width="11.83203125" style="1092" customWidth="1"/>
    <col min="12285" max="12285" width="11" style="1092" customWidth="1"/>
    <col min="12286" max="12286" width="12.6640625" style="1092" customWidth="1"/>
    <col min="12287" max="12287" width="14" style="1092" customWidth="1"/>
    <col min="12288" max="12288" width="11" style="1092" customWidth="1"/>
    <col min="12289" max="12289" width="10.6640625" style="1092" customWidth="1"/>
    <col min="12290" max="12290" width="10.83203125" style="1092" customWidth="1"/>
    <col min="12291" max="12291" width="8.83203125" style="1092" hidden="1" customWidth="1"/>
    <col min="12292" max="12292" width="13.83203125" style="1092" customWidth="1"/>
    <col min="12293" max="12294" width="8.83203125" style="1092" hidden="1" customWidth="1"/>
    <col min="12295" max="12295" width="12" style="1092" customWidth="1"/>
    <col min="12296" max="12297" width="13.33203125" style="1092" customWidth="1"/>
    <col min="12298" max="12535" width="8.83203125" style="1092"/>
    <col min="12536" max="12536" width="5" style="1092" customWidth="1"/>
    <col min="12537" max="12537" width="12.5" style="1092" customWidth="1"/>
    <col min="12538" max="12538" width="8.5" style="1092" customWidth="1"/>
    <col min="12539" max="12539" width="12.6640625" style="1092" customWidth="1"/>
    <col min="12540" max="12540" width="11.83203125" style="1092" customWidth="1"/>
    <col min="12541" max="12541" width="11" style="1092" customWidth="1"/>
    <col min="12542" max="12542" width="12.6640625" style="1092" customWidth="1"/>
    <col min="12543" max="12543" width="14" style="1092" customWidth="1"/>
    <col min="12544" max="12544" width="11" style="1092" customWidth="1"/>
    <col min="12545" max="12545" width="10.6640625" style="1092" customWidth="1"/>
    <col min="12546" max="12546" width="10.83203125" style="1092" customWidth="1"/>
    <col min="12547" max="12547" width="8.83203125" style="1092" hidden="1" customWidth="1"/>
    <col min="12548" max="12548" width="13.83203125" style="1092" customWidth="1"/>
    <col min="12549" max="12550" width="8.83203125" style="1092" hidden="1" customWidth="1"/>
    <col min="12551" max="12551" width="12" style="1092" customWidth="1"/>
    <col min="12552" max="12553" width="13.33203125" style="1092" customWidth="1"/>
    <col min="12554" max="12791" width="8.83203125" style="1092"/>
    <col min="12792" max="12792" width="5" style="1092" customWidth="1"/>
    <col min="12793" max="12793" width="12.5" style="1092" customWidth="1"/>
    <col min="12794" max="12794" width="8.5" style="1092" customWidth="1"/>
    <col min="12795" max="12795" width="12.6640625" style="1092" customWidth="1"/>
    <col min="12796" max="12796" width="11.83203125" style="1092" customWidth="1"/>
    <col min="12797" max="12797" width="11" style="1092" customWidth="1"/>
    <col min="12798" max="12798" width="12.6640625" style="1092" customWidth="1"/>
    <col min="12799" max="12799" width="14" style="1092" customWidth="1"/>
    <col min="12800" max="12800" width="11" style="1092" customWidth="1"/>
    <col min="12801" max="12801" width="10.6640625" style="1092" customWidth="1"/>
    <col min="12802" max="12802" width="10.83203125" style="1092" customWidth="1"/>
    <col min="12803" max="12803" width="8.83203125" style="1092" hidden="1" customWidth="1"/>
    <col min="12804" max="12804" width="13.83203125" style="1092" customWidth="1"/>
    <col min="12805" max="12806" width="8.83203125" style="1092" hidden="1" customWidth="1"/>
    <col min="12807" max="12807" width="12" style="1092" customWidth="1"/>
    <col min="12808" max="12809" width="13.33203125" style="1092" customWidth="1"/>
    <col min="12810" max="13047" width="8.83203125" style="1092"/>
    <col min="13048" max="13048" width="5" style="1092" customWidth="1"/>
    <col min="13049" max="13049" width="12.5" style="1092" customWidth="1"/>
    <col min="13050" max="13050" width="8.5" style="1092" customWidth="1"/>
    <col min="13051" max="13051" width="12.6640625" style="1092" customWidth="1"/>
    <col min="13052" max="13052" width="11.83203125" style="1092" customWidth="1"/>
    <col min="13053" max="13053" width="11" style="1092" customWidth="1"/>
    <col min="13054" max="13054" width="12.6640625" style="1092" customWidth="1"/>
    <col min="13055" max="13055" width="14" style="1092" customWidth="1"/>
    <col min="13056" max="13056" width="11" style="1092" customWidth="1"/>
    <col min="13057" max="13057" width="10.6640625" style="1092" customWidth="1"/>
    <col min="13058" max="13058" width="10.83203125" style="1092" customWidth="1"/>
    <col min="13059" max="13059" width="8.83203125" style="1092" hidden="1" customWidth="1"/>
    <col min="13060" max="13060" width="13.83203125" style="1092" customWidth="1"/>
    <col min="13061" max="13062" width="8.83203125" style="1092" hidden="1" customWidth="1"/>
    <col min="13063" max="13063" width="12" style="1092" customWidth="1"/>
    <col min="13064" max="13065" width="13.33203125" style="1092" customWidth="1"/>
    <col min="13066" max="13303" width="8.83203125" style="1092"/>
    <col min="13304" max="13304" width="5" style="1092" customWidth="1"/>
    <col min="13305" max="13305" width="12.5" style="1092" customWidth="1"/>
    <col min="13306" max="13306" width="8.5" style="1092" customWidth="1"/>
    <col min="13307" max="13307" width="12.6640625" style="1092" customWidth="1"/>
    <col min="13308" max="13308" width="11.83203125" style="1092" customWidth="1"/>
    <col min="13309" max="13309" width="11" style="1092" customWidth="1"/>
    <col min="13310" max="13310" width="12.6640625" style="1092" customWidth="1"/>
    <col min="13311" max="13311" width="14" style="1092" customWidth="1"/>
    <col min="13312" max="13312" width="11" style="1092" customWidth="1"/>
    <col min="13313" max="13313" width="10.6640625" style="1092" customWidth="1"/>
    <col min="13314" max="13314" width="10.83203125" style="1092" customWidth="1"/>
    <col min="13315" max="13315" width="8.83203125" style="1092" hidden="1" customWidth="1"/>
    <col min="13316" max="13316" width="13.83203125" style="1092" customWidth="1"/>
    <col min="13317" max="13318" width="8.83203125" style="1092" hidden="1" customWidth="1"/>
    <col min="13319" max="13319" width="12" style="1092" customWidth="1"/>
    <col min="13320" max="13321" width="13.33203125" style="1092" customWidth="1"/>
    <col min="13322" max="13559" width="8.83203125" style="1092"/>
    <col min="13560" max="13560" width="5" style="1092" customWidth="1"/>
    <col min="13561" max="13561" width="12.5" style="1092" customWidth="1"/>
    <col min="13562" max="13562" width="8.5" style="1092" customWidth="1"/>
    <col min="13563" max="13563" width="12.6640625" style="1092" customWidth="1"/>
    <col min="13564" max="13564" width="11.83203125" style="1092" customWidth="1"/>
    <col min="13565" max="13565" width="11" style="1092" customWidth="1"/>
    <col min="13566" max="13566" width="12.6640625" style="1092" customWidth="1"/>
    <col min="13567" max="13567" width="14" style="1092" customWidth="1"/>
    <col min="13568" max="13568" width="11" style="1092" customWidth="1"/>
    <col min="13569" max="13569" width="10.6640625" style="1092" customWidth="1"/>
    <col min="13570" max="13570" width="10.83203125" style="1092" customWidth="1"/>
    <col min="13571" max="13571" width="8.83203125" style="1092" hidden="1" customWidth="1"/>
    <col min="13572" max="13572" width="13.83203125" style="1092" customWidth="1"/>
    <col min="13573" max="13574" width="8.83203125" style="1092" hidden="1" customWidth="1"/>
    <col min="13575" max="13575" width="12" style="1092" customWidth="1"/>
    <col min="13576" max="13577" width="13.33203125" style="1092" customWidth="1"/>
    <col min="13578" max="13815" width="8.83203125" style="1092"/>
    <col min="13816" max="13816" width="5" style="1092" customWidth="1"/>
    <col min="13817" max="13817" width="12.5" style="1092" customWidth="1"/>
    <col min="13818" max="13818" width="8.5" style="1092" customWidth="1"/>
    <col min="13819" max="13819" width="12.6640625" style="1092" customWidth="1"/>
    <col min="13820" max="13820" width="11.83203125" style="1092" customWidth="1"/>
    <col min="13821" max="13821" width="11" style="1092" customWidth="1"/>
    <col min="13822" max="13822" width="12.6640625" style="1092" customWidth="1"/>
    <col min="13823" max="13823" width="14" style="1092" customWidth="1"/>
    <col min="13824" max="13824" width="11" style="1092" customWidth="1"/>
    <col min="13825" max="13825" width="10.6640625" style="1092" customWidth="1"/>
    <col min="13826" max="13826" width="10.83203125" style="1092" customWidth="1"/>
    <col min="13827" max="13827" width="8.83203125" style="1092" hidden="1" customWidth="1"/>
    <col min="13828" max="13828" width="13.83203125" style="1092" customWidth="1"/>
    <col min="13829" max="13830" width="8.83203125" style="1092" hidden="1" customWidth="1"/>
    <col min="13831" max="13831" width="12" style="1092" customWidth="1"/>
    <col min="13832" max="13833" width="13.33203125" style="1092" customWidth="1"/>
    <col min="13834" max="14071" width="8.83203125" style="1092"/>
    <col min="14072" max="14072" width="5" style="1092" customWidth="1"/>
    <col min="14073" max="14073" width="12.5" style="1092" customWidth="1"/>
    <col min="14074" max="14074" width="8.5" style="1092" customWidth="1"/>
    <col min="14075" max="14075" width="12.6640625" style="1092" customWidth="1"/>
    <col min="14076" max="14076" width="11.83203125" style="1092" customWidth="1"/>
    <col min="14077" max="14077" width="11" style="1092" customWidth="1"/>
    <col min="14078" max="14078" width="12.6640625" style="1092" customWidth="1"/>
    <col min="14079" max="14079" width="14" style="1092" customWidth="1"/>
    <col min="14080" max="14080" width="11" style="1092" customWidth="1"/>
    <col min="14081" max="14081" width="10.6640625" style="1092" customWidth="1"/>
    <col min="14082" max="14082" width="10.83203125" style="1092" customWidth="1"/>
    <col min="14083" max="14083" width="8.83203125" style="1092" hidden="1" customWidth="1"/>
    <col min="14084" max="14084" width="13.83203125" style="1092" customWidth="1"/>
    <col min="14085" max="14086" width="8.83203125" style="1092" hidden="1" customWidth="1"/>
    <col min="14087" max="14087" width="12" style="1092" customWidth="1"/>
    <col min="14088" max="14089" width="13.33203125" style="1092" customWidth="1"/>
    <col min="14090" max="14327" width="8.83203125" style="1092"/>
    <col min="14328" max="14328" width="5" style="1092" customWidth="1"/>
    <col min="14329" max="14329" width="12.5" style="1092" customWidth="1"/>
    <col min="14330" max="14330" width="8.5" style="1092" customWidth="1"/>
    <col min="14331" max="14331" width="12.6640625" style="1092" customWidth="1"/>
    <col min="14332" max="14332" width="11.83203125" style="1092" customWidth="1"/>
    <col min="14333" max="14333" width="11" style="1092" customWidth="1"/>
    <col min="14334" max="14334" width="12.6640625" style="1092" customWidth="1"/>
    <col min="14335" max="14335" width="14" style="1092" customWidth="1"/>
    <col min="14336" max="14336" width="11" style="1092" customWidth="1"/>
    <col min="14337" max="14337" width="10.6640625" style="1092" customWidth="1"/>
    <col min="14338" max="14338" width="10.83203125" style="1092" customWidth="1"/>
    <col min="14339" max="14339" width="8.83203125" style="1092" hidden="1" customWidth="1"/>
    <col min="14340" max="14340" width="13.83203125" style="1092" customWidth="1"/>
    <col min="14341" max="14342" width="8.83203125" style="1092" hidden="1" customWidth="1"/>
    <col min="14343" max="14343" width="12" style="1092" customWidth="1"/>
    <col min="14344" max="14345" width="13.33203125" style="1092" customWidth="1"/>
    <col min="14346" max="14583" width="8.83203125" style="1092"/>
    <col min="14584" max="14584" width="5" style="1092" customWidth="1"/>
    <col min="14585" max="14585" width="12.5" style="1092" customWidth="1"/>
    <col min="14586" max="14586" width="8.5" style="1092" customWidth="1"/>
    <col min="14587" max="14587" width="12.6640625" style="1092" customWidth="1"/>
    <col min="14588" max="14588" width="11.83203125" style="1092" customWidth="1"/>
    <col min="14589" max="14589" width="11" style="1092" customWidth="1"/>
    <col min="14590" max="14590" width="12.6640625" style="1092" customWidth="1"/>
    <col min="14591" max="14591" width="14" style="1092" customWidth="1"/>
    <col min="14592" max="14592" width="11" style="1092" customWidth="1"/>
    <col min="14593" max="14593" width="10.6640625" style="1092" customWidth="1"/>
    <col min="14594" max="14594" width="10.83203125" style="1092" customWidth="1"/>
    <col min="14595" max="14595" width="8.83203125" style="1092" hidden="1" customWidth="1"/>
    <col min="14596" max="14596" width="13.83203125" style="1092" customWidth="1"/>
    <col min="14597" max="14598" width="8.83203125" style="1092" hidden="1" customWidth="1"/>
    <col min="14599" max="14599" width="12" style="1092" customWidth="1"/>
    <col min="14600" max="14601" width="13.33203125" style="1092" customWidth="1"/>
    <col min="14602" max="14839" width="8.83203125" style="1092"/>
    <col min="14840" max="14840" width="5" style="1092" customWidth="1"/>
    <col min="14841" max="14841" width="12.5" style="1092" customWidth="1"/>
    <col min="14842" max="14842" width="8.5" style="1092" customWidth="1"/>
    <col min="14843" max="14843" width="12.6640625" style="1092" customWidth="1"/>
    <col min="14844" max="14844" width="11.83203125" style="1092" customWidth="1"/>
    <col min="14845" max="14845" width="11" style="1092" customWidth="1"/>
    <col min="14846" max="14846" width="12.6640625" style="1092" customWidth="1"/>
    <col min="14847" max="14847" width="14" style="1092" customWidth="1"/>
    <col min="14848" max="14848" width="11" style="1092" customWidth="1"/>
    <col min="14849" max="14849" width="10.6640625" style="1092" customWidth="1"/>
    <col min="14850" max="14850" width="10.83203125" style="1092" customWidth="1"/>
    <col min="14851" max="14851" width="8.83203125" style="1092" hidden="1" customWidth="1"/>
    <col min="14852" max="14852" width="13.83203125" style="1092" customWidth="1"/>
    <col min="14853" max="14854" width="8.83203125" style="1092" hidden="1" customWidth="1"/>
    <col min="14855" max="14855" width="12" style="1092" customWidth="1"/>
    <col min="14856" max="14857" width="13.33203125" style="1092" customWidth="1"/>
    <col min="14858" max="15095" width="8.83203125" style="1092"/>
    <col min="15096" max="15096" width="5" style="1092" customWidth="1"/>
    <col min="15097" max="15097" width="12.5" style="1092" customWidth="1"/>
    <col min="15098" max="15098" width="8.5" style="1092" customWidth="1"/>
    <col min="15099" max="15099" width="12.6640625" style="1092" customWidth="1"/>
    <col min="15100" max="15100" width="11.83203125" style="1092" customWidth="1"/>
    <col min="15101" max="15101" width="11" style="1092" customWidth="1"/>
    <col min="15102" max="15102" width="12.6640625" style="1092" customWidth="1"/>
    <col min="15103" max="15103" width="14" style="1092" customWidth="1"/>
    <col min="15104" max="15104" width="11" style="1092" customWidth="1"/>
    <col min="15105" max="15105" width="10.6640625" style="1092" customWidth="1"/>
    <col min="15106" max="15106" width="10.83203125" style="1092" customWidth="1"/>
    <col min="15107" max="15107" width="8.83203125" style="1092" hidden="1" customWidth="1"/>
    <col min="15108" max="15108" width="13.83203125" style="1092" customWidth="1"/>
    <col min="15109" max="15110" width="8.83203125" style="1092" hidden="1" customWidth="1"/>
    <col min="15111" max="15111" width="12" style="1092" customWidth="1"/>
    <col min="15112" max="15113" width="13.33203125" style="1092" customWidth="1"/>
    <col min="15114" max="15351" width="8.83203125" style="1092"/>
    <col min="15352" max="15352" width="5" style="1092" customWidth="1"/>
    <col min="15353" max="15353" width="12.5" style="1092" customWidth="1"/>
    <col min="15354" max="15354" width="8.5" style="1092" customWidth="1"/>
    <col min="15355" max="15355" width="12.6640625" style="1092" customWidth="1"/>
    <col min="15356" max="15356" width="11.83203125" style="1092" customWidth="1"/>
    <col min="15357" max="15357" width="11" style="1092" customWidth="1"/>
    <col min="15358" max="15358" width="12.6640625" style="1092" customWidth="1"/>
    <col min="15359" max="15359" width="14" style="1092" customWidth="1"/>
    <col min="15360" max="15360" width="11" style="1092" customWidth="1"/>
    <col min="15361" max="15361" width="10.6640625" style="1092" customWidth="1"/>
    <col min="15362" max="15362" width="10.83203125" style="1092" customWidth="1"/>
    <col min="15363" max="15363" width="8.83203125" style="1092" hidden="1" customWidth="1"/>
    <col min="15364" max="15364" width="13.83203125" style="1092" customWidth="1"/>
    <col min="15365" max="15366" width="8.83203125" style="1092" hidden="1" customWidth="1"/>
    <col min="15367" max="15367" width="12" style="1092" customWidth="1"/>
    <col min="15368" max="15369" width="13.33203125" style="1092" customWidth="1"/>
    <col min="15370" max="15607" width="8.83203125" style="1092"/>
    <col min="15608" max="15608" width="5" style="1092" customWidth="1"/>
    <col min="15609" max="15609" width="12.5" style="1092" customWidth="1"/>
    <col min="15610" max="15610" width="8.5" style="1092" customWidth="1"/>
    <col min="15611" max="15611" width="12.6640625" style="1092" customWidth="1"/>
    <col min="15612" max="15612" width="11.83203125" style="1092" customWidth="1"/>
    <col min="15613" max="15613" width="11" style="1092" customWidth="1"/>
    <col min="15614" max="15614" width="12.6640625" style="1092" customWidth="1"/>
    <col min="15615" max="15615" width="14" style="1092" customWidth="1"/>
    <col min="15616" max="15616" width="11" style="1092" customWidth="1"/>
    <col min="15617" max="15617" width="10.6640625" style="1092" customWidth="1"/>
    <col min="15618" max="15618" width="10.83203125" style="1092" customWidth="1"/>
    <col min="15619" max="15619" width="8.83203125" style="1092" hidden="1" customWidth="1"/>
    <col min="15620" max="15620" width="13.83203125" style="1092" customWidth="1"/>
    <col min="15621" max="15622" width="8.83203125" style="1092" hidden="1" customWidth="1"/>
    <col min="15623" max="15623" width="12" style="1092" customWidth="1"/>
    <col min="15624" max="15625" width="13.33203125" style="1092" customWidth="1"/>
    <col min="15626" max="15863" width="8.83203125" style="1092"/>
    <col min="15864" max="15864" width="5" style="1092" customWidth="1"/>
    <col min="15865" max="15865" width="12.5" style="1092" customWidth="1"/>
    <col min="15866" max="15866" width="8.5" style="1092" customWidth="1"/>
    <col min="15867" max="15867" width="12.6640625" style="1092" customWidth="1"/>
    <col min="15868" max="15868" width="11.83203125" style="1092" customWidth="1"/>
    <col min="15869" max="15869" width="11" style="1092" customWidth="1"/>
    <col min="15870" max="15870" width="12.6640625" style="1092" customWidth="1"/>
    <col min="15871" max="15871" width="14" style="1092" customWidth="1"/>
    <col min="15872" max="15872" width="11" style="1092" customWidth="1"/>
    <col min="15873" max="15873" width="10.6640625" style="1092" customWidth="1"/>
    <col min="15874" max="15874" width="10.83203125" style="1092" customWidth="1"/>
    <col min="15875" max="15875" width="8.83203125" style="1092" hidden="1" customWidth="1"/>
    <col min="15876" max="15876" width="13.83203125" style="1092" customWidth="1"/>
    <col min="15877" max="15878" width="8.83203125" style="1092" hidden="1" customWidth="1"/>
    <col min="15879" max="15879" width="12" style="1092" customWidth="1"/>
    <col min="15880" max="15881" width="13.33203125" style="1092" customWidth="1"/>
    <col min="15882" max="16119" width="8.83203125" style="1092"/>
    <col min="16120" max="16120" width="5" style="1092" customWidth="1"/>
    <col min="16121" max="16121" width="12.5" style="1092" customWidth="1"/>
    <col min="16122" max="16122" width="8.5" style="1092" customWidth="1"/>
    <col min="16123" max="16123" width="12.6640625" style="1092" customWidth="1"/>
    <col min="16124" max="16124" width="11.83203125" style="1092" customWidth="1"/>
    <col min="16125" max="16125" width="11" style="1092" customWidth="1"/>
    <col min="16126" max="16126" width="12.6640625" style="1092" customWidth="1"/>
    <col min="16127" max="16127" width="14" style="1092" customWidth="1"/>
    <col min="16128" max="16128" width="11" style="1092" customWidth="1"/>
    <col min="16129" max="16129" width="10.6640625" style="1092" customWidth="1"/>
    <col min="16130" max="16130" width="10.83203125" style="1092" customWidth="1"/>
    <col min="16131" max="16131" width="8.83203125" style="1092" hidden="1" customWidth="1"/>
    <col min="16132" max="16132" width="13.83203125" style="1092" customWidth="1"/>
    <col min="16133" max="16134" width="8.83203125" style="1092" hidden="1" customWidth="1"/>
    <col min="16135" max="16135" width="12" style="1092" customWidth="1"/>
    <col min="16136" max="16137" width="13.33203125" style="1092" customWidth="1"/>
    <col min="16138" max="16384" width="8.83203125" style="1092"/>
  </cols>
  <sheetData>
    <row r="1" spans="1:19" ht="24" customHeight="1">
      <c r="A1" s="1669" t="s">
        <v>11</v>
      </c>
      <c r="B1" s="1681" t="s">
        <v>1409</v>
      </c>
      <c r="C1" s="1681" t="s">
        <v>7723</v>
      </c>
      <c r="D1" s="1669" t="s">
        <v>7724</v>
      </c>
      <c r="E1" s="1681" t="s">
        <v>7725</v>
      </c>
      <c r="F1" s="1669" t="s">
        <v>7726</v>
      </c>
      <c r="G1" s="1669" t="s">
        <v>7727</v>
      </c>
      <c r="H1" s="1681" t="s">
        <v>7728</v>
      </c>
      <c r="I1" s="1683" t="s">
        <v>7729</v>
      </c>
      <c r="J1" s="1683"/>
      <c r="K1" s="1090" t="s">
        <v>7730</v>
      </c>
      <c r="L1" s="1684" t="s">
        <v>7731</v>
      </c>
      <c r="M1" s="1684"/>
      <c r="N1" s="1684" t="s">
        <v>7732</v>
      </c>
      <c r="O1" s="1679" t="s">
        <v>7733</v>
      </c>
    </row>
    <row r="2" spans="1:19" ht="24" customHeight="1">
      <c r="A2" s="1669"/>
      <c r="B2" s="1682"/>
      <c r="C2" s="1682"/>
      <c r="D2" s="1669"/>
      <c r="E2" s="1682"/>
      <c r="F2" s="1669"/>
      <c r="G2" s="1669"/>
      <c r="H2" s="1682"/>
      <c r="I2" s="1091" t="s">
        <v>7734</v>
      </c>
      <c r="J2" s="1091" t="s">
        <v>7735</v>
      </c>
      <c r="K2" s="1091" t="s">
        <v>7736</v>
      </c>
      <c r="L2" s="1093" t="s">
        <v>7737</v>
      </c>
      <c r="M2" s="1094" t="s">
        <v>7738</v>
      </c>
      <c r="N2" s="1684"/>
      <c r="O2" s="1680"/>
    </row>
    <row r="3" spans="1:19">
      <c r="A3" s="1095">
        <v>1</v>
      </c>
      <c r="B3" s="1095" t="s">
        <v>7739</v>
      </c>
      <c r="C3" s="1095"/>
      <c r="D3" s="1095">
        <v>600</v>
      </c>
      <c r="E3" s="1096">
        <v>29</v>
      </c>
      <c r="F3" s="1096">
        <f>3.7+3.7+1.5+1.2</f>
        <v>10.1</v>
      </c>
      <c r="G3" s="1097" t="s">
        <v>7662</v>
      </c>
      <c r="H3" s="1096">
        <f>E3*3.14*0.3*0.3</f>
        <v>8.1953999999999994</v>
      </c>
      <c r="I3" s="1098">
        <f>(3/0.1+2)*SQRT(0.1*0.1+3.14*(0.6-2*0.05)*3.14*(0.6-2*0.05))*0.26</f>
        <v>13.088869995534374</v>
      </c>
      <c r="J3" s="1098">
        <f>((E3-3)/0.2+1)*SQRT(0.3*0.3+3.14*(D3/1000-2*0.05)*3.14*(D3/1000-2*0.05))*0.26</f>
        <v>54.441689812495717</v>
      </c>
      <c r="K3" s="1098">
        <f>(ROUND(E3/2,0)+1)*(D3/1000-2*0.05)*3.14*0.888</f>
        <v>22.306560000000001</v>
      </c>
      <c r="L3" s="1098">
        <f>8*(20+0.8)*2+4*9*2</f>
        <v>404.8</v>
      </c>
      <c r="M3" s="1099"/>
      <c r="N3" s="1100">
        <f>I3+J3+K3+L3+M3</f>
        <v>494.63711980803009</v>
      </c>
      <c r="O3" s="1100">
        <f>N3/E3</f>
        <v>17.056452407173452</v>
      </c>
    </row>
    <row r="4" spans="1:19">
      <c r="A4" s="1095">
        <v>2</v>
      </c>
      <c r="B4" s="1095" t="s">
        <v>7740</v>
      </c>
      <c r="C4" s="1095"/>
      <c r="D4" s="1095">
        <v>600</v>
      </c>
      <c r="E4" s="1096">
        <v>15</v>
      </c>
      <c r="F4" s="1096">
        <f>3.7+3.7+1.5+1.2</f>
        <v>10.1</v>
      </c>
      <c r="G4" s="1097" t="s">
        <v>7662</v>
      </c>
      <c r="H4" s="1096">
        <f>E4*3.14*0.3*0.3</f>
        <v>4.2389999999999999</v>
      </c>
      <c r="I4" s="1098">
        <f>(3/0.1+2)*SQRT(0.1*0.1+3.14*(0.6-2*0.05)*3.14*(0.6-2*0.05))*0.26</f>
        <v>13.088869995534374</v>
      </c>
      <c r="J4" s="1098">
        <f>((E4-3)/0.2+1)*SQRT(0.3*0.3+3.14*(D4/1000-2*0.05)*3.14*(D4/1000-2*0.05))*0.26</f>
        <v>25.35071052337587</v>
      </c>
      <c r="K4" s="1098">
        <f>(ROUND(E4/2,0)+1)*(0.6-2*0.05)*3.14*0.888</f>
        <v>12.547440000000002</v>
      </c>
      <c r="L4" s="1098">
        <f>12*(15+0.8)*2</f>
        <v>379.20000000000005</v>
      </c>
      <c r="M4" s="1099"/>
      <c r="N4" s="1100">
        <f>I4+J4+K4+L4+M4</f>
        <v>430.18702051891029</v>
      </c>
      <c r="O4" s="1100">
        <f>N4/E4</f>
        <v>28.679134701260686</v>
      </c>
    </row>
    <row r="5" spans="1:19">
      <c r="A5" s="1095">
        <v>3</v>
      </c>
      <c r="B5" s="1095"/>
      <c r="C5" s="1095"/>
      <c r="D5" s="1095"/>
      <c r="E5" s="1096"/>
      <c r="F5" s="1096"/>
      <c r="G5" s="1097"/>
      <c r="H5" s="1096"/>
      <c r="I5" s="1098"/>
      <c r="J5" s="1098"/>
      <c r="K5" s="1098"/>
      <c r="L5" s="1098"/>
      <c r="M5" s="1099"/>
      <c r="N5" s="1100"/>
      <c r="O5" s="1100"/>
    </row>
    <row r="6" spans="1:19">
      <c r="A6" s="1101"/>
      <c r="B6" s="1101"/>
      <c r="C6" s="1101"/>
      <c r="D6" s="1101"/>
      <c r="E6" s="1102"/>
      <c r="F6" s="1103"/>
      <c r="G6" s="1104"/>
      <c r="H6" s="1102"/>
      <c r="I6" s="1105"/>
      <c r="J6" s="1105"/>
      <c r="K6" s="1105"/>
      <c r="L6" s="1105"/>
      <c r="M6" s="1106"/>
      <c r="N6" s="1105"/>
      <c r="O6" s="1105"/>
    </row>
    <row r="7" spans="1:19" ht="17">
      <c r="A7" s="1676" t="s">
        <v>7741</v>
      </c>
      <c r="B7" s="1676"/>
      <c r="C7" s="1676"/>
      <c r="D7" s="1676"/>
      <c r="E7" s="1676"/>
      <c r="F7" s="1676"/>
      <c r="G7" s="1676"/>
      <c r="H7" s="1676"/>
    </row>
    <row r="8" spans="1:19">
      <c r="A8" s="1667" t="s">
        <v>11</v>
      </c>
      <c r="B8" s="1668" t="s">
        <v>74</v>
      </c>
      <c r="C8" s="1669" t="s">
        <v>74</v>
      </c>
      <c r="D8" s="1670" t="s">
        <v>7742</v>
      </c>
      <c r="E8" s="1671"/>
      <c r="F8" s="1671"/>
      <c r="G8" s="1671"/>
      <c r="H8" s="1672"/>
    </row>
    <row r="9" spans="1:19" ht="30">
      <c r="A9" s="1667"/>
      <c r="B9" s="1668"/>
      <c r="C9" s="1669"/>
      <c r="D9" s="1089" t="s">
        <v>7743</v>
      </c>
      <c r="E9" s="1089"/>
      <c r="F9" s="1108" t="s">
        <v>1319</v>
      </c>
      <c r="G9" s="1089" t="s">
        <v>7744</v>
      </c>
      <c r="H9" s="1089" t="s">
        <v>7745</v>
      </c>
    </row>
    <row r="10" spans="1:19">
      <c r="A10" s="1677" t="s">
        <v>7746</v>
      </c>
      <c r="B10" s="1678"/>
      <c r="C10" s="1678"/>
      <c r="D10" s="1678"/>
      <c r="E10" s="1678"/>
      <c r="F10" s="1678"/>
      <c r="G10" s="1678"/>
      <c r="H10" s="1678"/>
      <c r="S10" s="1109"/>
    </row>
    <row r="11" spans="1:19">
      <c r="A11" s="1667" t="s">
        <v>11</v>
      </c>
      <c r="B11" s="1668" t="s">
        <v>74</v>
      </c>
      <c r="C11" s="1669" t="s">
        <v>74</v>
      </c>
      <c r="D11" s="1668" t="s">
        <v>7742</v>
      </c>
      <c r="E11" s="1668"/>
      <c r="F11" s="1668"/>
      <c r="G11" s="1668"/>
      <c r="H11" s="1668"/>
    </row>
    <row r="12" spans="1:19" ht="30">
      <c r="A12" s="1667"/>
      <c r="B12" s="1668"/>
      <c r="C12" s="1669"/>
      <c r="D12" s="1089" t="s">
        <v>7747</v>
      </c>
      <c r="E12" s="1089" t="s">
        <v>7748</v>
      </c>
      <c r="F12" s="1108" t="s">
        <v>1319</v>
      </c>
      <c r="G12" s="1089" t="s">
        <v>7744</v>
      </c>
      <c r="H12" s="1089" t="s">
        <v>7749</v>
      </c>
      <c r="I12" s="1110" t="s">
        <v>7750</v>
      </c>
    </row>
    <row r="13" spans="1:19">
      <c r="A13" s="1111">
        <v>1</v>
      </c>
      <c r="B13" s="1112" t="s">
        <v>7751</v>
      </c>
      <c r="C13" s="1113" t="s">
        <v>1542</v>
      </c>
      <c r="D13" s="1114">
        <f>(E3+F3)/E3</f>
        <v>1.3482758620689657</v>
      </c>
      <c r="E13" s="1115">
        <f>D13/I13</f>
        <v>4.7709690802157319</v>
      </c>
      <c r="F13" s="1114">
        <v>125</v>
      </c>
      <c r="G13" s="1115">
        <f t="shared" ref="G13:G21" si="0">D13*F13</f>
        <v>168.5344827586207</v>
      </c>
      <c r="H13" s="1115">
        <f t="shared" ref="H13:H21" si="1">G13/I13</f>
        <v>596.3711350269665</v>
      </c>
      <c r="I13" s="1116">
        <f>3.14*0.3*0.3</f>
        <v>0.28259999999999996</v>
      </c>
    </row>
    <row r="14" spans="1:19">
      <c r="A14" s="1111">
        <v>2</v>
      </c>
      <c r="B14" s="1112" t="s">
        <v>56</v>
      </c>
      <c r="C14" s="1113" t="s">
        <v>7752</v>
      </c>
      <c r="D14" s="1114">
        <f>3.14*0.3*0.3*D13</f>
        <v>0.38102275862068963</v>
      </c>
      <c r="E14" s="1115">
        <f t="shared" ref="E14:E21" si="2">D14/I14</f>
        <v>1.3482758620689657</v>
      </c>
      <c r="F14" s="1114">
        <v>130</v>
      </c>
      <c r="G14" s="1115">
        <f t="shared" si="0"/>
        <v>49.532958620689655</v>
      </c>
      <c r="H14" s="1115">
        <f t="shared" si="1"/>
        <v>175.27586206896555</v>
      </c>
      <c r="I14" s="1116">
        <f t="shared" ref="I14:I21" si="3">3.14*0.3*0.3</f>
        <v>0.28259999999999996</v>
      </c>
    </row>
    <row r="15" spans="1:19">
      <c r="A15" s="1111">
        <v>3</v>
      </c>
      <c r="B15" s="1112" t="s">
        <v>662</v>
      </c>
      <c r="C15" s="1113" t="s">
        <v>7753</v>
      </c>
      <c r="D15" s="1117">
        <f>O3</f>
        <v>17.056452407173452</v>
      </c>
      <c r="E15" s="1115">
        <f t="shared" si="2"/>
        <v>60.355457916395807</v>
      </c>
      <c r="F15" s="1114">
        <v>3.5</v>
      </c>
      <c r="G15" s="1115">
        <f t="shared" si="0"/>
        <v>59.697583425107084</v>
      </c>
      <c r="H15" s="1115">
        <f t="shared" si="1"/>
        <v>211.24410270738531</v>
      </c>
      <c r="I15" s="1116">
        <f t="shared" si="3"/>
        <v>0.28259999999999996</v>
      </c>
    </row>
    <row r="16" spans="1:19">
      <c r="A16" s="1111">
        <v>4</v>
      </c>
      <c r="B16" s="1112" t="s">
        <v>7754</v>
      </c>
      <c r="C16" s="1113" t="s">
        <v>7752</v>
      </c>
      <c r="D16" s="1114">
        <f>3.14*0.3*0.3</f>
        <v>0.28259999999999996</v>
      </c>
      <c r="E16" s="1115">
        <f t="shared" si="2"/>
        <v>1</v>
      </c>
      <c r="F16" s="1114">
        <v>400</v>
      </c>
      <c r="G16" s="1115">
        <f>D16*F16</f>
        <v>113.03999999999999</v>
      </c>
      <c r="H16" s="1115">
        <f>G16/I16</f>
        <v>400</v>
      </c>
      <c r="I16" s="1116">
        <f t="shared" si="3"/>
        <v>0.28259999999999996</v>
      </c>
    </row>
    <row r="17" spans="1:9">
      <c r="A17" s="1111">
        <v>5</v>
      </c>
      <c r="B17" s="1112" t="s">
        <v>7755</v>
      </c>
      <c r="C17" s="1113" t="s">
        <v>7756</v>
      </c>
      <c r="D17" s="1114">
        <f>3/29</f>
        <v>0.10344827586206896</v>
      </c>
      <c r="E17" s="1115">
        <f t="shared" si="2"/>
        <v>0.36605900871220443</v>
      </c>
      <c r="F17" s="1114">
        <v>500</v>
      </c>
      <c r="G17" s="1115">
        <f t="shared" si="0"/>
        <v>51.724137931034484</v>
      </c>
      <c r="H17" s="1115">
        <f t="shared" si="1"/>
        <v>183.02950435610222</v>
      </c>
      <c r="I17" s="1116">
        <f t="shared" si="3"/>
        <v>0.28259999999999996</v>
      </c>
    </row>
    <row r="18" spans="1:9">
      <c r="A18" s="1111">
        <v>6</v>
      </c>
      <c r="B18" s="1118" t="s">
        <v>7757</v>
      </c>
      <c r="C18" s="1113" t="s">
        <v>1542</v>
      </c>
      <c r="D18" s="1114">
        <f>2*1.47</f>
        <v>2.94</v>
      </c>
      <c r="E18" s="1115">
        <f t="shared" si="2"/>
        <v>10.40339702760085</v>
      </c>
      <c r="F18" s="1114">
        <v>9.4499999999999993</v>
      </c>
      <c r="G18" s="1115">
        <f t="shared" si="0"/>
        <v>27.782999999999998</v>
      </c>
      <c r="H18" s="1115">
        <f t="shared" si="1"/>
        <v>98.312101910828034</v>
      </c>
      <c r="I18" s="1116">
        <f t="shared" si="3"/>
        <v>0.28259999999999996</v>
      </c>
    </row>
    <row r="19" spans="1:9">
      <c r="A19" s="1111">
        <v>7</v>
      </c>
      <c r="B19" s="1118" t="s">
        <v>7758</v>
      </c>
      <c r="C19" s="1113" t="s">
        <v>1542</v>
      </c>
      <c r="D19" s="1114">
        <f>3*D13*0.1</f>
        <v>0.40448275862068972</v>
      </c>
      <c r="E19" s="1115">
        <f t="shared" si="2"/>
        <v>1.4312907240647197</v>
      </c>
      <c r="F19" s="1114">
        <v>9.76</v>
      </c>
      <c r="G19" s="1115">
        <f t="shared" si="0"/>
        <v>3.9477517241379316</v>
      </c>
      <c r="H19" s="1115">
        <f t="shared" si="1"/>
        <v>13.969397466871664</v>
      </c>
      <c r="I19" s="1116">
        <f t="shared" si="3"/>
        <v>0.28259999999999996</v>
      </c>
    </row>
    <row r="20" spans="1:9">
      <c r="A20" s="1111">
        <v>8</v>
      </c>
      <c r="B20" s="1118" t="s">
        <v>7759</v>
      </c>
      <c r="C20" s="1113" t="s">
        <v>1542</v>
      </c>
      <c r="D20" s="1114">
        <f>1/35</f>
        <v>2.8571428571428571E-2</v>
      </c>
      <c r="E20" s="1115">
        <f t="shared" si="2"/>
        <v>0.10110201193003741</v>
      </c>
      <c r="F20" s="1114">
        <v>61.22</v>
      </c>
      <c r="G20" s="1115">
        <f t="shared" si="0"/>
        <v>1.7491428571428571</v>
      </c>
      <c r="H20" s="1115">
        <f t="shared" si="1"/>
        <v>6.1894651703568906</v>
      </c>
      <c r="I20" s="1116">
        <f t="shared" si="3"/>
        <v>0.28259999999999996</v>
      </c>
    </row>
    <row r="21" spans="1:9">
      <c r="A21" s="1111">
        <v>9</v>
      </c>
      <c r="B21" s="1118" t="s">
        <v>7760</v>
      </c>
      <c r="C21" s="1113" t="s">
        <v>7761</v>
      </c>
      <c r="D21" s="1114">
        <f>1/35</f>
        <v>2.8571428571428571E-2</v>
      </c>
      <c r="E21" s="1115">
        <f t="shared" si="2"/>
        <v>0.10110201193003741</v>
      </c>
      <c r="F21" s="1114">
        <v>200</v>
      </c>
      <c r="G21" s="1115">
        <f t="shared" si="0"/>
        <v>5.7142857142857144</v>
      </c>
      <c r="H21" s="1115">
        <f t="shared" si="1"/>
        <v>20.220402386007486</v>
      </c>
      <c r="I21" s="1116">
        <f t="shared" si="3"/>
        <v>0.28259999999999996</v>
      </c>
    </row>
    <row r="22" spans="1:9">
      <c r="A22" s="1111">
        <v>10</v>
      </c>
      <c r="B22" s="1118" t="s">
        <v>7217</v>
      </c>
      <c r="C22" s="1113" t="s">
        <v>792</v>
      </c>
      <c r="D22" s="1115"/>
      <c r="E22" s="1115"/>
      <c r="F22" s="1115"/>
      <c r="G22" s="1114"/>
      <c r="H22" s="1115"/>
    </row>
    <row r="23" spans="1:9">
      <c r="A23" s="1119"/>
      <c r="B23" s="1673" t="s">
        <v>536</v>
      </c>
      <c r="C23" s="1673"/>
      <c r="D23" s="1115"/>
      <c r="E23" s="1115"/>
      <c r="F23" s="1115"/>
      <c r="G23" s="1120">
        <f>SUM(G13:G22)</f>
        <v>481.72334303101849</v>
      </c>
      <c r="H23" s="1121"/>
    </row>
    <row r="24" spans="1:9">
      <c r="A24" s="1122"/>
      <c r="B24" s="1123"/>
      <c r="C24" s="1123"/>
      <c r="D24" s="1124"/>
      <c r="E24" s="1124"/>
      <c r="F24" s="1124"/>
      <c r="G24" s="1125"/>
      <c r="H24" s="1126"/>
    </row>
    <row r="25" spans="1:9">
      <c r="A25" s="1127"/>
      <c r="B25" s="1128"/>
      <c r="C25" s="1128"/>
      <c r="D25" s="1129"/>
      <c r="E25" s="1129"/>
      <c r="F25" s="1129"/>
      <c r="G25" s="1130"/>
      <c r="H25" s="1130"/>
    </row>
    <row r="26" spans="1:9">
      <c r="A26" s="1674" t="s">
        <v>7762</v>
      </c>
      <c r="B26" s="1675"/>
      <c r="C26" s="1675"/>
      <c r="D26" s="1675"/>
      <c r="E26" s="1675"/>
      <c r="F26" s="1675"/>
      <c r="G26" s="1675"/>
      <c r="H26" s="1675"/>
    </row>
    <row r="27" spans="1:9">
      <c r="A27" s="1667" t="s">
        <v>11</v>
      </c>
      <c r="B27" s="1668" t="s">
        <v>74</v>
      </c>
      <c r="C27" s="1669" t="s">
        <v>74</v>
      </c>
      <c r="D27" s="1670" t="s">
        <v>7742</v>
      </c>
      <c r="E27" s="1671"/>
      <c r="F27" s="1671"/>
      <c r="G27" s="1671"/>
      <c r="H27" s="1672"/>
    </row>
    <row r="28" spans="1:9" ht="30">
      <c r="A28" s="1667"/>
      <c r="B28" s="1668"/>
      <c r="C28" s="1669"/>
      <c r="D28" s="1089" t="s">
        <v>7747</v>
      </c>
      <c r="E28" s="1089" t="s">
        <v>7748</v>
      </c>
      <c r="F28" s="1108" t="s">
        <v>1319</v>
      </c>
      <c r="G28" s="1089" t="s">
        <v>7744</v>
      </c>
      <c r="H28" s="1089" t="s">
        <v>7749</v>
      </c>
      <c r="I28" s="1110" t="s">
        <v>7750</v>
      </c>
    </row>
    <row r="29" spans="1:9">
      <c r="A29" s="1113">
        <v>1</v>
      </c>
      <c r="B29" s="1112" t="s">
        <v>7751</v>
      </c>
      <c r="C29" s="1113" t="s">
        <v>7763</v>
      </c>
      <c r="D29" s="1114">
        <f>(E4+F4)/E4</f>
        <v>1.6733333333333333</v>
      </c>
      <c r="E29" s="1115">
        <f t="shared" ref="E29:E38" si="4">D29/I29</f>
        <v>5.9212078320358588</v>
      </c>
      <c r="F29" s="1114">
        <v>125</v>
      </c>
      <c r="G29" s="1115">
        <f t="shared" ref="G29:G38" si="5">D29*F29</f>
        <v>209.16666666666666</v>
      </c>
      <c r="H29" s="1115">
        <f t="shared" ref="H29:H38" si="6">G29/I29</f>
        <v>740.15097900448222</v>
      </c>
      <c r="I29" s="1131">
        <f>3.14*0.3*0.3</f>
        <v>0.28259999999999996</v>
      </c>
    </row>
    <row r="30" spans="1:9">
      <c r="A30" s="1113">
        <v>2</v>
      </c>
      <c r="B30" s="1112" t="s">
        <v>56</v>
      </c>
      <c r="C30" s="1113" t="s">
        <v>7764</v>
      </c>
      <c r="D30" s="1114">
        <f>3.14*0.3*0.3*D29</f>
        <v>0.47288399999999992</v>
      </c>
      <c r="E30" s="1115">
        <f t="shared" si="4"/>
        <v>1.6733333333333333</v>
      </c>
      <c r="F30" s="1114">
        <v>130</v>
      </c>
      <c r="G30" s="1115">
        <f t="shared" si="5"/>
        <v>61.47491999999999</v>
      </c>
      <c r="H30" s="1115">
        <f t="shared" si="6"/>
        <v>217.53333333333333</v>
      </c>
      <c r="I30" s="1131">
        <f t="shared" ref="I30:I38" si="7">3.14*0.3*0.3</f>
        <v>0.28259999999999996</v>
      </c>
    </row>
    <row r="31" spans="1:9">
      <c r="A31" s="1113">
        <v>3</v>
      </c>
      <c r="B31" s="1112" t="s">
        <v>662</v>
      </c>
      <c r="C31" s="1113" t="s">
        <v>7765</v>
      </c>
      <c r="D31" s="1117">
        <f>O4</f>
        <v>28.679134701260686</v>
      </c>
      <c r="E31" s="1115">
        <f t="shared" si="4"/>
        <v>101.48313765485028</v>
      </c>
      <c r="F31" s="1114">
        <v>3.5</v>
      </c>
      <c r="G31" s="1115">
        <f t="shared" si="5"/>
        <v>100.3769714544124</v>
      </c>
      <c r="H31" s="1115">
        <f t="shared" si="6"/>
        <v>355.19098179197596</v>
      </c>
      <c r="I31" s="1131">
        <f t="shared" si="7"/>
        <v>0.28259999999999996</v>
      </c>
    </row>
    <row r="32" spans="1:9">
      <c r="A32" s="1113">
        <v>4</v>
      </c>
      <c r="B32" s="1112" t="s">
        <v>7766</v>
      </c>
      <c r="C32" s="1113" t="s">
        <v>7764</v>
      </c>
      <c r="D32" s="1114">
        <f>3.14*0.3*0.3</f>
        <v>0.28259999999999996</v>
      </c>
      <c r="E32" s="1115">
        <f t="shared" si="4"/>
        <v>1</v>
      </c>
      <c r="F32" s="1114">
        <v>400</v>
      </c>
      <c r="G32" s="1115">
        <f t="shared" si="5"/>
        <v>113.03999999999999</v>
      </c>
      <c r="H32" s="1115">
        <f t="shared" si="6"/>
        <v>400</v>
      </c>
      <c r="I32" s="1131">
        <f t="shared" si="7"/>
        <v>0.28259999999999996</v>
      </c>
    </row>
    <row r="33" spans="1:9">
      <c r="A33" s="1113">
        <v>5</v>
      </c>
      <c r="B33" s="1112" t="s">
        <v>7767</v>
      </c>
      <c r="C33" s="1113" t="s">
        <v>7768</v>
      </c>
      <c r="D33" s="1114">
        <f>2/15</f>
        <v>0.13333333333333333</v>
      </c>
      <c r="E33" s="1115">
        <f t="shared" si="4"/>
        <v>0.47180938900684127</v>
      </c>
      <c r="F33" s="1114">
        <v>500</v>
      </c>
      <c r="G33" s="1115">
        <f t="shared" si="5"/>
        <v>66.666666666666671</v>
      </c>
      <c r="H33" s="1115">
        <f t="shared" si="6"/>
        <v>235.90469450342067</v>
      </c>
      <c r="I33" s="1131">
        <f t="shared" si="7"/>
        <v>0.28259999999999996</v>
      </c>
    </row>
    <row r="34" spans="1:9">
      <c r="A34" s="1113">
        <v>6</v>
      </c>
      <c r="B34" s="1112" t="s">
        <v>7769</v>
      </c>
      <c r="C34" s="1113" t="s">
        <v>7768</v>
      </c>
      <c r="D34" s="1114"/>
      <c r="E34" s="1115">
        <f t="shared" si="4"/>
        <v>0</v>
      </c>
      <c r="F34" s="1114"/>
      <c r="G34" s="1115">
        <f t="shared" si="5"/>
        <v>0</v>
      </c>
      <c r="H34" s="1115">
        <f t="shared" si="6"/>
        <v>0</v>
      </c>
      <c r="I34" s="1131">
        <f t="shared" si="7"/>
        <v>0.28259999999999996</v>
      </c>
    </row>
    <row r="35" spans="1:9">
      <c r="A35" s="1113">
        <v>7</v>
      </c>
      <c r="B35" s="1118" t="s">
        <v>7757</v>
      </c>
      <c r="C35" s="1113" t="s">
        <v>7763</v>
      </c>
      <c r="D35" s="1114">
        <f>2*D29</f>
        <v>3.3466666666666667</v>
      </c>
      <c r="E35" s="1115">
        <f t="shared" si="4"/>
        <v>11.842415664071718</v>
      </c>
      <c r="F35" s="1114">
        <v>9.4499999999999993</v>
      </c>
      <c r="G35" s="1115">
        <f t="shared" si="5"/>
        <v>31.625999999999998</v>
      </c>
      <c r="H35" s="1115">
        <f t="shared" si="6"/>
        <v>111.91082802547771</v>
      </c>
      <c r="I35" s="1131">
        <f t="shared" si="7"/>
        <v>0.28259999999999996</v>
      </c>
    </row>
    <row r="36" spans="1:9">
      <c r="A36" s="1111">
        <v>8</v>
      </c>
      <c r="B36" s="1118" t="s">
        <v>7758</v>
      </c>
      <c r="C36" s="1113" t="s">
        <v>1542</v>
      </c>
      <c r="D36" s="1114">
        <f>3*D29*0.1</f>
        <v>0.502</v>
      </c>
      <c r="E36" s="1115">
        <f t="shared" si="4"/>
        <v>1.7763623496107575</v>
      </c>
      <c r="F36" s="1114">
        <v>9.76</v>
      </c>
      <c r="G36" s="1115">
        <f t="shared" si="5"/>
        <v>4.8995199999999999</v>
      </c>
      <c r="H36" s="1115">
        <f t="shared" si="6"/>
        <v>17.337296532200991</v>
      </c>
      <c r="I36" s="1131">
        <f t="shared" si="7"/>
        <v>0.28259999999999996</v>
      </c>
    </row>
    <row r="37" spans="1:9">
      <c r="A37" s="1113">
        <v>9</v>
      </c>
      <c r="B37" s="1118" t="s">
        <v>7759</v>
      </c>
      <c r="C37" s="1113" t="s">
        <v>7763</v>
      </c>
      <c r="D37" s="1114">
        <f>1/17</f>
        <v>5.8823529411764705E-2</v>
      </c>
      <c r="E37" s="1115">
        <f t="shared" si="4"/>
        <v>0.20815120103242998</v>
      </c>
      <c r="F37" s="1114">
        <v>61.22</v>
      </c>
      <c r="G37" s="1115">
        <f t="shared" si="5"/>
        <v>3.6011764705882352</v>
      </c>
      <c r="H37" s="1115">
        <f t="shared" si="6"/>
        <v>12.743016527205363</v>
      </c>
      <c r="I37" s="1131">
        <f t="shared" si="7"/>
        <v>0.28259999999999996</v>
      </c>
    </row>
    <row r="38" spans="1:9">
      <c r="A38" s="1113">
        <v>10</v>
      </c>
      <c r="B38" s="1118" t="s">
        <v>7760</v>
      </c>
      <c r="C38" s="1113" t="s">
        <v>7770</v>
      </c>
      <c r="D38" s="1114">
        <f>1/17</f>
        <v>5.8823529411764705E-2</v>
      </c>
      <c r="E38" s="1115">
        <f t="shared" si="4"/>
        <v>0.20815120103242998</v>
      </c>
      <c r="F38" s="1114">
        <v>200</v>
      </c>
      <c r="G38" s="1115">
        <f t="shared" si="5"/>
        <v>11.76470588235294</v>
      </c>
      <c r="H38" s="1115">
        <f t="shared" si="6"/>
        <v>41.630240206485993</v>
      </c>
      <c r="I38" s="1131">
        <f t="shared" si="7"/>
        <v>0.28259999999999996</v>
      </c>
    </row>
    <row r="39" spans="1:9">
      <c r="A39" s="1111">
        <v>11</v>
      </c>
      <c r="B39" s="1118" t="s">
        <v>7217</v>
      </c>
      <c r="C39" s="1113" t="s">
        <v>792</v>
      </c>
      <c r="D39" s="1115"/>
      <c r="E39" s="1115"/>
      <c r="F39" s="1115"/>
      <c r="G39" s="1114"/>
      <c r="H39" s="1115"/>
    </row>
    <row r="40" spans="1:9">
      <c r="A40" s="1132"/>
      <c r="B40" s="1673" t="s">
        <v>536</v>
      </c>
      <c r="C40" s="1673"/>
      <c r="D40" s="1115"/>
      <c r="E40" s="1115"/>
      <c r="F40" s="1115"/>
      <c r="G40" s="1120">
        <f>SUM(G29:G39)</f>
        <v>602.61662714068689</v>
      </c>
      <c r="H40" s="1121"/>
    </row>
  </sheetData>
  <mergeCells count="29">
    <mergeCell ref="O1:O2"/>
    <mergeCell ref="A1:A2"/>
    <mergeCell ref="B1:B2"/>
    <mergeCell ref="C1:C2"/>
    <mergeCell ref="D1:D2"/>
    <mergeCell ref="E1:E2"/>
    <mergeCell ref="F1:F2"/>
    <mergeCell ref="G1:G2"/>
    <mergeCell ref="H1:H2"/>
    <mergeCell ref="I1:J1"/>
    <mergeCell ref="L1:M1"/>
    <mergeCell ref="N1:N2"/>
    <mergeCell ref="A26:H26"/>
    <mergeCell ref="A7:H7"/>
    <mergeCell ref="A8:A9"/>
    <mergeCell ref="B8:B9"/>
    <mergeCell ref="C8:C9"/>
    <mergeCell ref="D8:H8"/>
    <mergeCell ref="A10:H10"/>
    <mergeCell ref="A11:A12"/>
    <mergeCell ref="B11:B12"/>
    <mergeCell ref="C11:C12"/>
    <mergeCell ref="D11:H11"/>
    <mergeCell ref="B23:C23"/>
    <mergeCell ref="A27:A28"/>
    <mergeCell ref="B27:B28"/>
    <mergeCell ref="C27:C28"/>
    <mergeCell ref="D27:H27"/>
    <mergeCell ref="B40:C40"/>
  </mergeCells>
  <phoneticPr fontId="84" type="noConversion"/>
  <printOptions horizontalCentered="1"/>
  <pageMargins left="0.70866141732283505" right="0.70866141732283505" top="0.74803149606299202" bottom="0.74803149606299202" header="0.31496062992126" footer="0.31496062992126"/>
  <pageSetup paperSize="9" scale="46" orientation="portrait"/>
  <colBreaks count="1" manualBreakCount="1">
    <brk id="15" max="69" man="1"/>
  </colBreak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FC17-DF24-374F-A1ED-C065845DA993}">
  <sheetPr>
    <tabColor rgb="FF1F4A7E"/>
  </sheetPr>
  <dimension ref="A1:WVQ43"/>
  <sheetViews>
    <sheetView topLeftCell="B12" zoomScale="112" zoomScaleNormal="87" workbookViewId="0">
      <selection activeCell="G26" sqref="G26"/>
    </sheetView>
  </sheetViews>
  <sheetFormatPr baseColWidth="10" defaultColWidth="10" defaultRowHeight="16"/>
  <cols>
    <col min="1" max="1" width="34.5" style="888" customWidth="1"/>
    <col min="2" max="2" width="40.6640625" style="888" customWidth="1"/>
    <col min="3" max="3" width="29.5" style="888" customWidth="1"/>
    <col min="4" max="4" width="17.83203125" style="888" customWidth="1"/>
    <col min="5" max="5" width="11.33203125" style="888" customWidth="1"/>
    <col min="6" max="6" width="30.1640625" style="888" customWidth="1"/>
    <col min="7" max="7" width="21.33203125" style="888" customWidth="1"/>
    <col min="8" max="8" width="13.33203125" style="888" customWidth="1"/>
    <col min="9" max="9" width="13.6640625" style="888" customWidth="1"/>
    <col min="10" max="10" width="30.83203125" style="888" customWidth="1"/>
    <col min="11" max="11" width="22.1640625" style="888" customWidth="1"/>
    <col min="12" max="12" width="11.5" style="888" customWidth="1"/>
    <col min="13" max="13" width="12.6640625" style="888" customWidth="1"/>
    <col min="14" max="14" width="14" style="888" customWidth="1"/>
    <col min="15" max="15" width="10.5" style="822" customWidth="1"/>
    <col min="16" max="16" width="11" style="823" customWidth="1"/>
    <col min="17" max="17" width="9.83203125" style="822" customWidth="1"/>
    <col min="18" max="18" width="14.1640625" style="822" customWidth="1"/>
    <col min="19" max="243" width="10" style="822"/>
    <col min="244" max="244" width="5" style="822" customWidth="1"/>
    <col min="245" max="245" width="9" style="822" customWidth="1"/>
    <col min="246" max="246" width="14.83203125" style="822" customWidth="1"/>
    <col min="247" max="251" width="13.5" style="822" customWidth="1"/>
    <col min="252" max="252" width="14.6640625" style="822" customWidth="1"/>
    <col min="253" max="253" width="11" style="822" customWidth="1"/>
    <col min="254" max="254" width="13.6640625" style="822" customWidth="1"/>
    <col min="255" max="255" width="13.5" style="822" customWidth="1"/>
    <col min="256" max="256" width="14.83203125" style="822" customWidth="1"/>
    <col min="257" max="257" width="13.33203125" style="822" customWidth="1"/>
    <col min="258" max="259" width="10" style="822" hidden="1" customWidth="1"/>
    <col min="260" max="260" width="11.5" style="822" customWidth="1"/>
    <col min="261" max="261" width="12.6640625" style="822" customWidth="1"/>
    <col min="262" max="262" width="12.1640625" style="822" customWidth="1"/>
    <col min="263" max="263" width="13.33203125" style="822" customWidth="1"/>
    <col min="264" max="264" width="12" style="822" customWidth="1"/>
    <col min="265" max="265" width="10" style="822" hidden="1" customWidth="1"/>
    <col min="266" max="266" width="9.5" style="822" customWidth="1"/>
    <col min="267" max="267" width="5.6640625" style="822" customWidth="1"/>
    <col min="268" max="499" width="10" style="822"/>
    <col min="500" max="500" width="5" style="822" customWidth="1"/>
    <col min="501" max="501" width="9" style="822" customWidth="1"/>
    <col min="502" max="502" width="14.83203125" style="822" customWidth="1"/>
    <col min="503" max="507" width="13.5" style="822" customWidth="1"/>
    <col min="508" max="508" width="14.6640625" style="822" customWidth="1"/>
    <col min="509" max="509" width="11" style="822" customWidth="1"/>
    <col min="510" max="510" width="13.6640625" style="822" customWidth="1"/>
    <col min="511" max="511" width="13.5" style="822" customWidth="1"/>
    <col min="512" max="512" width="14.83203125" style="822" customWidth="1"/>
    <col min="513" max="513" width="13.33203125" style="822" customWidth="1"/>
    <col min="514" max="515" width="10" style="822" hidden="1" customWidth="1"/>
    <col min="516" max="516" width="11.5" style="822" customWidth="1"/>
    <col min="517" max="517" width="12.6640625" style="822" customWidth="1"/>
    <col min="518" max="518" width="12.1640625" style="822" customWidth="1"/>
    <col min="519" max="519" width="13.33203125" style="822" customWidth="1"/>
    <col min="520" max="520" width="12" style="822" customWidth="1"/>
    <col min="521" max="521" width="10" style="822" hidden="1" customWidth="1"/>
    <col min="522" max="522" width="9.5" style="822" customWidth="1"/>
    <col min="523" max="523" width="5.6640625" style="822" customWidth="1"/>
    <col min="524" max="755" width="10" style="822"/>
    <col min="756" max="756" width="5" style="822" customWidth="1"/>
    <col min="757" max="757" width="9" style="822" customWidth="1"/>
    <col min="758" max="758" width="14.83203125" style="822" customWidth="1"/>
    <col min="759" max="763" width="13.5" style="822" customWidth="1"/>
    <col min="764" max="764" width="14.6640625" style="822" customWidth="1"/>
    <col min="765" max="765" width="11" style="822" customWidth="1"/>
    <col min="766" max="766" width="13.6640625" style="822" customWidth="1"/>
    <col min="767" max="767" width="13.5" style="822" customWidth="1"/>
    <col min="768" max="768" width="14.83203125" style="822" customWidth="1"/>
    <col min="769" max="769" width="13.33203125" style="822" customWidth="1"/>
    <col min="770" max="771" width="10" style="822" hidden="1" customWidth="1"/>
    <col min="772" max="772" width="11.5" style="822" customWidth="1"/>
    <col min="773" max="773" width="12.6640625" style="822" customWidth="1"/>
    <col min="774" max="774" width="12.1640625" style="822" customWidth="1"/>
    <col min="775" max="775" width="13.33203125" style="822" customWidth="1"/>
    <col min="776" max="776" width="12" style="822" customWidth="1"/>
    <col min="777" max="777" width="10" style="822" hidden="1" customWidth="1"/>
    <col min="778" max="778" width="9.5" style="822" customWidth="1"/>
    <col min="779" max="779" width="5.6640625" style="822" customWidth="1"/>
    <col min="780" max="1011" width="10" style="822"/>
    <col min="1012" max="1012" width="5" style="822" customWidth="1"/>
    <col min="1013" max="1013" width="9" style="822" customWidth="1"/>
    <col min="1014" max="1014" width="14.83203125" style="822" customWidth="1"/>
    <col min="1015" max="1019" width="13.5" style="822" customWidth="1"/>
    <col min="1020" max="1020" width="14.6640625" style="822" customWidth="1"/>
    <col min="1021" max="1021" width="11" style="822" customWidth="1"/>
    <col min="1022" max="1022" width="13.6640625" style="822" customWidth="1"/>
    <col min="1023" max="1023" width="13.5" style="822" customWidth="1"/>
    <col min="1024" max="1024" width="14.83203125" style="822" customWidth="1"/>
    <col min="1025" max="1025" width="13.33203125" style="822" customWidth="1"/>
    <col min="1026" max="1027" width="10" style="822" hidden="1" customWidth="1"/>
    <col min="1028" max="1028" width="11.5" style="822" customWidth="1"/>
    <col min="1029" max="1029" width="12.6640625" style="822" customWidth="1"/>
    <col min="1030" max="1030" width="12.1640625" style="822" customWidth="1"/>
    <col min="1031" max="1031" width="13.33203125" style="822" customWidth="1"/>
    <col min="1032" max="1032" width="12" style="822" customWidth="1"/>
    <col min="1033" max="1033" width="10" style="822" hidden="1" customWidth="1"/>
    <col min="1034" max="1034" width="9.5" style="822" customWidth="1"/>
    <col min="1035" max="1035" width="5.6640625" style="822" customWidth="1"/>
    <col min="1036" max="1267" width="10" style="822"/>
    <col min="1268" max="1268" width="5" style="822" customWidth="1"/>
    <col min="1269" max="1269" width="9" style="822" customWidth="1"/>
    <col min="1270" max="1270" width="14.83203125" style="822" customWidth="1"/>
    <col min="1271" max="1275" width="13.5" style="822" customWidth="1"/>
    <col min="1276" max="1276" width="14.6640625" style="822" customWidth="1"/>
    <col min="1277" max="1277" width="11" style="822" customWidth="1"/>
    <col min="1278" max="1278" width="13.6640625" style="822" customWidth="1"/>
    <col min="1279" max="1279" width="13.5" style="822" customWidth="1"/>
    <col min="1280" max="1280" width="14.83203125" style="822" customWidth="1"/>
    <col min="1281" max="1281" width="13.33203125" style="822" customWidth="1"/>
    <col min="1282" max="1283" width="10" style="822" hidden="1" customWidth="1"/>
    <col min="1284" max="1284" width="11.5" style="822" customWidth="1"/>
    <col min="1285" max="1285" width="12.6640625" style="822" customWidth="1"/>
    <col min="1286" max="1286" width="12.1640625" style="822" customWidth="1"/>
    <col min="1287" max="1287" width="13.33203125" style="822" customWidth="1"/>
    <col min="1288" max="1288" width="12" style="822" customWidth="1"/>
    <col min="1289" max="1289" width="10" style="822" hidden="1" customWidth="1"/>
    <col min="1290" max="1290" width="9.5" style="822" customWidth="1"/>
    <col min="1291" max="1291" width="5.6640625" style="822" customWidth="1"/>
    <col min="1292" max="1523" width="10" style="822"/>
    <col min="1524" max="1524" width="5" style="822" customWidth="1"/>
    <col min="1525" max="1525" width="9" style="822" customWidth="1"/>
    <col min="1526" max="1526" width="14.83203125" style="822" customWidth="1"/>
    <col min="1527" max="1531" width="13.5" style="822" customWidth="1"/>
    <col min="1532" max="1532" width="14.6640625" style="822" customWidth="1"/>
    <col min="1533" max="1533" width="11" style="822" customWidth="1"/>
    <col min="1534" max="1534" width="13.6640625" style="822" customWidth="1"/>
    <col min="1535" max="1535" width="13.5" style="822" customWidth="1"/>
    <col min="1536" max="1536" width="14.83203125" style="822" customWidth="1"/>
    <col min="1537" max="1537" width="13.33203125" style="822" customWidth="1"/>
    <col min="1538" max="1539" width="10" style="822" hidden="1" customWidth="1"/>
    <col min="1540" max="1540" width="11.5" style="822" customWidth="1"/>
    <col min="1541" max="1541" width="12.6640625" style="822" customWidth="1"/>
    <col min="1542" max="1542" width="12.1640625" style="822" customWidth="1"/>
    <col min="1543" max="1543" width="13.33203125" style="822" customWidth="1"/>
    <col min="1544" max="1544" width="12" style="822" customWidth="1"/>
    <col min="1545" max="1545" width="10" style="822" hidden="1" customWidth="1"/>
    <col min="1546" max="1546" width="9.5" style="822" customWidth="1"/>
    <col min="1547" max="1547" width="5.6640625" style="822" customWidth="1"/>
    <col min="1548" max="1779" width="10" style="822"/>
    <col min="1780" max="1780" width="5" style="822" customWidth="1"/>
    <col min="1781" max="1781" width="9" style="822" customWidth="1"/>
    <col min="1782" max="1782" width="14.83203125" style="822" customWidth="1"/>
    <col min="1783" max="1787" width="13.5" style="822" customWidth="1"/>
    <col min="1788" max="1788" width="14.6640625" style="822" customWidth="1"/>
    <col min="1789" max="1789" width="11" style="822" customWidth="1"/>
    <col min="1790" max="1790" width="13.6640625" style="822" customWidth="1"/>
    <col min="1791" max="1791" width="13.5" style="822" customWidth="1"/>
    <col min="1792" max="1792" width="14.83203125" style="822" customWidth="1"/>
    <col min="1793" max="1793" width="13.33203125" style="822" customWidth="1"/>
    <col min="1794" max="1795" width="10" style="822" hidden="1" customWidth="1"/>
    <col min="1796" max="1796" width="11.5" style="822" customWidth="1"/>
    <col min="1797" max="1797" width="12.6640625" style="822" customWidth="1"/>
    <col min="1798" max="1798" width="12.1640625" style="822" customWidth="1"/>
    <col min="1799" max="1799" width="13.33203125" style="822" customWidth="1"/>
    <col min="1800" max="1800" width="12" style="822" customWidth="1"/>
    <col min="1801" max="1801" width="10" style="822" hidden="1" customWidth="1"/>
    <col min="1802" max="1802" width="9.5" style="822" customWidth="1"/>
    <col min="1803" max="1803" width="5.6640625" style="822" customWidth="1"/>
    <col min="1804" max="2035" width="10" style="822"/>
    <col min="2036" max="2036" width="5" style="822" customWidth="1"/>
    <col min="2037" max="2037" width="9" style="822" customWidth="1"/>
    <col min="2038" max="2038" width="14.83203125" style="822" customWidth="1"/>
    <col min="2039" max="2043" width="13.5" style="822" customWidth="1"/>
    <col min="2044" max="2044" width="14.6640625" style="822" customWidth="1"/>
    <col min="2045" max="2045" width="11" style="822" customWidth="1"/>
    <col min="2046" max="2046" width="13.6640625" style="822" customWidth="1"/>
    <col min="2047" max="2047" width="13.5" style="822" customWidth="1"/>
    <col min="2048" max="2048" width="14.83203125" style="822" customWidth="1"/>
    <col min="2049" max="2049" width="13.33203125" style="822" customWidth="1"/>
    <col min="2050" max="2051" width="10" style="822" hidden="1" customWidth="1"/>
    <col min="2052" max="2052" width="11.5" style="822" customWidth="1"/>
    <col min="2053" max="2053" width="12.6640625" style="822" customWidth="1"/>
    <col min="2054" max="2054" width="12.1640625" style="822" customWidth="1"/>
    <col min="2055" max="2055" width="13.33203125" style="822" customWidth="1"/>
    <col min="2056" max="2056" width="12" style="822" customWidth="1"/>
    <col min="2057" max="2057" width="10" style="822" hidden="1" customWidth="1"/>
    <col min="2058" max="2058" width="9.5" style="822" customWidth="1"/>
    <col min="2059" max="2059" width="5.6640625" style="822" customWidth="1"/>
    <col min="2060" max="2291" width="10" style="822"/>
    <col min="2292" max="2292" width="5" style="822" customWidth="1"/>
    <col min="2293" max="2293" width="9" style="822" customWidth="1"/>
    <col min="2294" max="2294" width="14.83203125" style="822" customWidth="1"/>
    <col min="2295" max="2299" width="13.5" style="822" customWidth="1"/>
    <col min="2300" max="2300" width="14.6640625" style="822" customWidth="1"/>
    <col min="2301" max="2301" width="11" style="822" customWidth="1"/>
    <col min="2302" max="2302" width="13.6640625" style="822" customWidth="1"/>
    <col min="2303" max="2303" width="13.5" style="822" customWidth="1"/>
    <col min="2304" max="2304" width="14.83203125" style="822" customWidth="1"/>
    <col min="2305" max="2305" width="13.33203125" style="822" customWidth="1"/>
    <col min="2306" max="2307" width="10" style="822" hidden="1" customWidth="1"/>
    <col min="2308" max="2308" width="11.5" style="822" customWidth="1"/>
    <col min="2309" max="2309" width="12.6640625" style="822" customWidth="1"/>
    <col min="2310" max="2310" width="12.1640625" style="822" customWidth="1"/>
    <col min="2311" max="2311" width="13.33203125" style="822" customWidth="1"/>
    <col min="2312" max="2312" width="12" style="822" customWidth="1"/>
    <col min="2313" max="2313" width="10" style="822" hidden="1" customWidth="1"/>
    <col min="2314" max="2314" width="9.5" style="822" customWidth="1"/>
    <col min="2315" max="2315" width="5.6640625" style="822" customWidth="1"/>
    <col min="2316" max="2547" width="10" style="822"/>
    <col min="2548" max="2548" width="5" style="822" customWidth="1"/>
    <col min="2549" max="2549" width="9" style="822" customWidth="1"/>
    <col min="2550" max="2550" width="14.83203125" style="822" customWidth="1"/>
    <col min="2551" max="2555" width="13.5" style="822" customWidth="1"/>
    <col min="2556" max="2556" width="14.6640625" style="822" customWidth="1"/>
    <col min="2557" max="2557" width="11" style="822" customWidth="1"/>
    <col min="2558" max="2558" width="13.6640625" style="822" customWidth="1"/>
    <col min="2559" max="2559" width="13.5" style="822" customWidth="1"/>
    <col min="2560" max="2560" width="14.83203125" style="822" customWidth="1"/>
    <col min="2561" max="2561" width="13.33203125" style="822" customWidth="1"/>
    <col min="2562" max="2563" width="10" style="822" hidden="1" customWidth="1"/>
    <col min="2564" max="2564" width="11.5" style="822" customWidth="1"/>
    <col min="2565" max="2565" width="12.6640625" style="822" customWidth="1"/>
    <col min="2566" max="2566" width="12.1640625" style="822" customWidth="1"/>
    <col min="2567" max="2567" width="13.33203125" style="822" customWidth="1"/>
    <col min="2568" max="2568" width="12" style="822" customWidth="1"/>
    <col min="2569" max="2569" width="10" style="822" hidden="1" customWidth="1"/>
    <col min="2570" max="2570" width="9.5" style="822" customWidth="1"/>
    <col min="2571" max="2571" width="5.6640625" style="822" customWidth="1"/>
    <col min="2572" max="2803" width="10" style="822"/>
    <col min="2804" max="2804" width="5" style="822" customWidth="1"/>
    <col min="2805" max="2805" width="9" style="822" customWidth="1"/>
    <col min="2806" max="2806" width="14.83203125" style="822" customWidth="1"/>
    <col min="2807" max="2811" width="13.5" style="822" customWidth="1"/>
    <col min="2812" max="2812" width="14.6640625" style="822" customWidth="1"/>
    <col min="2813" max="2813" width="11" style="822" customWidth="1"/>
    <col min="2814" max="2814" width="13.6640625" style="822" customWidth="1"/>
    <col min="2815" max="2815" width="13.5" style="822" customWidth="1"/>
    <col min="2816" max="2816" width="14.83203125" style="822" customWidth="1"/>
    <col min="2817" max="2817" width="13.33203125" style="822" customWidth="1"/>
    <col min="2818" max="2819" width="10" style="822" hidden="1" customWidth="1"/>
    <col min="2820" max="2820" width="11.5" style="822" customWidth="1"/>
    <col min="2821" max="2821" width="12.6640625" style="822" customWidth="1"/>
    <col min="2822" max="2822" width="12.1640625" style="822" customWidth="1"/>
    <col min="2823" max="2823" width="13.33203125" style="822" customWidth="1"/>
    <col min="2824" max="2824" width="12" style="822" customWidth="1"/>
    <col min="2825" max="2825" width="10" style="822" hidden="1" customWidth="1"/>
    <col min="2826" max="2826" width="9.5" style="822" customWidth="1"/>
    <col min="2827" max="2827" width="5.6640625" style="822" customWidth="1"/>
    <col min="2828" max="3059" width="10" style="822"/>
    <col min="3060" max="3060" width="5" style="822" customWidth="1"/>
    <col min="3061" max="3061" width="9" style="822" customWidth="1"/>
    <col min="3062" max="3062" width="14.83203125" style="822" customWidth="1"/>
    <col min="3063" max="3067" width="13.5" style="822" customWidth="1"/>
    <col min="3068" max="3068" width="14.6640625" style="822" customWidth="1"/>
    <col min="3069" max="3069" width="11" style="822" customWidth="1"/>
    <col min="3070" max="3070" width="13.6640625" style="822" customWidth="1"/>
    <col min="3071" max="3071" width="13.5" style="822" customWidth="1"/>
    <col min="3072" max="3072" width="14.83203125" style="822" customWidth="1"/>
    <col min="3073" max="3073" width="13.33203125" style="822" customWidth="1"/>
    <col min="3074" max="3075" width="10" style="822" hidden="1" customWidth="1"/>
    <col min="3076" max="3076" width="11.5" style="822" customWidth="1"/>
    <col min="3077" max="3077" width="12.6640625" style="822" customWidth="1"/>
    <col min="3078" max="3078" width="12.1640625" style="822" customWidth="1"/>
    <col min="3079" max="3079" width="13.33203125" style="822" customWidth="1"/>
    <col min="3080" max="3080" width="12" style="822" customWidth="1"/>
    <col min="3081" max="3081" width="10" style="822" hidden="1" customWidth="1"/>
    <col min="3082" max="3082" width="9.5" style="822" customWidth="1"/>
    <col min="3083" max="3083" width="5.6640625" style="822" customWidth="1"/>
    <col min="3084" max="3315" width="10" style="822"/>
    <col min="3316" max="3316" width="5" style="822" customWidth="1"/>
    <col min="3317" max="3317" width="9" style="822" customWidth="1"/>
    <col min="3318" max="3318" width="14.83203125" style="822" customWidth="1"/>
    <col min="3319" max="3323" width="13.5" style="822" customWidth="1"/>
    <col min="3324" max="3324" width="14.6640625" style="822" customWidth="1"/>
    <col min="3325" max="3325" width="11" style="822" customWidth="1"/>
    <col min="3326" max="3326" width="13.6640625" style="822" customWidth="1"/>
    <col min="3327" max="3327" width="13.5" style="822" customWidth="1"/>
    <col min="3328" max="3328" width="14.83203125" style="822" customWidth="1"/>
    <col min="3329" max="3329" width="13.33203125" style="822" customWidth="1"/>
    <col min="3330" max="3331" width="10" style="822" hidden="1" customWidth="1"/>
    <col min="3332" max="3332" width="11.5" style="822" customWidth="1"/>
    <col min="3333" max="3333" width="12.6640625" style="822" customWidth="1"/>
    <col min="3334" max="3334" width="12.1640625" style="822" customWidth="1"/>
    <col min="3335" max="3335" width="13.33203125" style="822" customWidth="1"/>
    <col min="3336" max="3336" width="12" style="822" customWidth="1"/>
    <col min="3337" max="3337" width="10" style="822" hidden="1" customWidth="1"/>
    <col min="3338" max="3338" width="9.5" style="822" customWidth="1"/>
    <col min="3339" max="3339" width="5.6640625" style="822" customWidth="1"/>
    <col min="3340" max="3571" width="10" style="822"/>
    <col min="3572" max="3572" width="5" style="822" customWidth="1"/>
    <col min="3573" max="3573" width="9" style="822" customWidth="1"/>
    <col min="3574" max="3574" width="14.83203125" style="822" customWidth="1"/>
    <col min="3575" max="3579" width="13.5" style="822" customWidth="1"/>
    <col min="3580" max="3580" width="14.6640625" style="822" customWidth="1"/>
    <col min="3581" max="3581" width="11" style="822" customWidth="1"/>
    <col min="3582" max="3582" width="13.6640625" style="822" customWidth="1"/>
    <col min="3583" max="3583" width="13.5" style="822" customWidth="1"/>
    <col min="3584" max="3584" width="14.83203125" style="822" customWidth="1"/>
    <col min="3585" max="3585" width="13.33203125" style="822" customWidth="1"/>
    <col min="3586" max="3587" width="10" style="822" hidden="1" customWidth="1"/>
    <col min="3588" max="3588" width="11.5" style="822" customWidth="1"/>
    <col min="3589" max="3589" width="12.6640625" style="822" customWidth="1"/>
    <col min="3590" max="3590" width="12.1640625" style="822" customWidth="1"/>
    <col min="3591" max="3591" width="13.33203125" style="822" customWidth="1"/>
    <col min="3592" max="3592" width="12" style="822" customWidth="1"/>
    <col min="3593" max="3593" width="10" style="822" hidden="1" customWidth="1"/>
    <col min="3594" max="3594" width="9.5" style="822" customWidth="1"/>
    <col min="3595" max="3595" width="5.6640625" style="822" customWidth="1"/>
    <col min="3596" max="3827" width="10" style="822"/>
    <col min="3828" max="3828" width="5" style="822" customWidth="1"/>
    <col min="3829" max="3829" width="9" style="822" customWidth="1"/>
    <col min="3830" max="3830" width="14.83203125" style="822" customWidth="1"/>
    <col min="3831" max="3835" width="13.5" style="822" customWidth="1"/>
    <col min="3836" max="3836" width="14.6640625" style="822" customWidth="1"/>
    <col min="3837" max="3837" width="11" style="822" customWidth="1"/>
    <col min="3838" max="3838" width="13.6640625" style="822" customWidth="1"/>
    <col min="3839" max="3839" width="13.5" style="822" customWidth="1"/>
    <col min="3840" max="3840" width="14.83203125" style="822" customWidth="1"/>
    <col min="3841" max="3841" width="13.33203125" style="822" customWidth="1"/>
    <col min="3842" max="3843" width="10" style="822" hidden="1" customWidth="1"/>
    <col min="3844" max="3844" width="11.5" style="822" customWidth="1"/>
    <col min="3845" max="3845" width="12.6640625" style="822" customWidth="1"/>
    <col min="3846" max="3846" width="12.1640625" style="822" customWidth="1"/>
    <col min="3847" max="3847" width="13.33203125" style="822" customWidth="1"/>
    <col min="3848" max="3848" width="12" style="822" customWidth="1"/>
    <col min="3849" max="3849" width="10" style="822" hidden="1" customWidth="1"/>
    <col min="3850" max="3850" width="9.5" style="822" customWidth="1"/>
    <col min="3851" max="3851" width="5.6640625" style="822" customWidth="1"/>
    <col min="3852" max="4083" width="10" style="822"/>
    <col min="4084" max="4084" width="5" style="822" customWidth="1"/>
    <col min="4085" max="4085" width="9" style="822" customWidth="1"/>
    <col min="4086" max="4086" width="14.83203125" style="822" customWidth="1"/>
    <col min="4087" max="4091" width="13.5" style="822" customWidth="1"/>
    <col min="4092" max="4092" width="14.6640625" style="822" customWidth="1"/>
    <col min="4093" max="4093" width="11" style="822" customWidth="1"/>
    <col min="4094" max="4094" width="13.6640625" style="822" customWidth="1"/>
    <col min="4095" max="4095" width="13.5" style="822" customWidth="1"/>
    <col min="4096" max="4096" width="14.83203125" style="822" customWidth="1"/>
    <col min="4097" max="4097" width="13.33203125" style="822" customWidth="1"/>
    <col min="4098" max="4099" width="10" style="822" hidden="1" customWidth="1"/>
    <col min="4100" max="4100" width="11.5" style="822" customWidth="1"/>
    <col min="4101" max="4101" width="12.6640625" style="822" customWidth="1"/>
    <col min="4102" max="4102" width="12.1640625" style="822" customWidth="1"/>
    <col min="4103" max="4103" width="13.33203125" style="822" customWidth="1"/>
    <col min="4104" max="4104" width="12" style="822" customWidth="1"/>
    <col min="4105" max="4105" width="10" style="822" hidden="1" customWidth="1"/>
    <col min="4106" max="4106" width="9.5" style="822" customWidth="1"/>
    <col min="4107" max="4107" width="5.6640625" style="822" customWidth="1"/>
    <col min="4108" max="4339" width="10" style="822"/>
    <col min="4340" max="4340" width="5" style="822" customWidth="1"/>
    <col min="4341" max="4341" width="9" style="822" customWidth="1"/>
    <col min="4342" max="4342" width="14.83203125" style="822" customWidth="1"/>
    <col min="4343" max="4347" width="13.5" style="822" customWidth="1"/>
    <col min="4348" max="4348" width="14.6640625" style="822" customWidth="1"/>
    <col min="4349" max="4349" width="11" style="822" customWidth="1"/>
    <col min="4350" max="4350" width="13.6640625" style="822" customWidth="1"/>
    <col min="4351" max="4351" width="13.5" style="822" customWidth="1"/>
    <col min="4352" max="4352" width="14.83203125" style="822" customWidth="1"/>
    <col min="4353" max="4353" width="13.33203125" style="822" customWidth="1"/>
    <col min="4354" max="4355" width="10" style="822" hidden="1" customWidth="1"/>
    <col min="4356" max="4356" width="11.5" style="822" customWidth="1"/>
    <col min="4357" max="4357" width="12.6640625" style="822" customWidth="1"/>
    <col min="4358" max="4358" width="12.1640625" style="822" customWidth="1"/>
    <col min="4359" max="4359" width="13.33203125" style="822" customWidth="1"/>
    <col min="4360" max="4360" width="12" style="822" customWidth="1"/>
    <col min="4361" max="4361" width="10" style="822" hidden="1" customWidth="1"/>
    <col min="4362" max="4362" width="9.5" style="822" customWidth="1"/>
    <col min="4363" max="4363" width="5.6640625" style="822" customWidth="1"/>
    <col min="4364" max="4595" width="10" style="822"/>
    <col min="4596" max="4596" width="5" style="822" customWidth="1"/>
    <col min="4597" max="4597" width="9" style="822" customWidth="1"/>
    <col min="4598" max="4598" width="14.83203125" style="822" customWidth="1"/>
    <col min="4599" max="4603" width="13.5" style="822" customWidth="1"/>
    <col min="4604" max="4604" width="14.6640625" style="822" customWidth="1"/>
    <col min="4605" max="4605" width="11" style="822" customWidth="1"/>
    <col min="4606" max="4606" width="13.6640625" style="822" customWidth="1"/>
    <col min="4607" max="4607" width="13.5" style="822" customWidth="1"/>
    <col min="4608" max="4608" width="14.83203125" style="822" customWidth="1"/>
    <col min="4609" max="4609" width="13.33203125" style="822" customWidth="1"/>
    <col min="4610" max="4611" width="10" style="822" hidden="1" customWidth="1"/>
    <col min="4612" max="4612" width="11.5" style="822" customWidth="1"/>
    <col min="4613" max="4613" width="12.6640625" style="822" customWidth="1"/>
    <col min="4614" max="4614" width="12.1640625" style="822" customWidth="1"/>
    <col min="4615" max="4615" width="13.33203125" style="822" customWidth="1"/>
    <col min="4616" max="4616" width="12" style="822" customWidth="1"/>
    <col min="4617" max="4617" width="10" style="822" hidden="1" customWidth="1"/>
    <col min="4618" max="4618" width="9.5" style="822" customWidth="1"/>
    <col min="4619" max="4619" width="5.6640625" style="822" customWidth="1"/>
    <col min="4620" max="4851" width="10" style="822"/>
    <col min="4852" max="4852" width="5" style="822" customWidth="1"/>
    <col min="4853" max="4853" width="9" style="822" customWidth="1"/>
    <col min="4854" max="4854" width="14.83203125" style="822" customWidth="1"/>
    <col min="4855" max="4859" width="13.5" style="822" customWidth="1"/>
    <col min="4860" max="4860" width="14.6640625" style="822" customWidth="1"/>
    <col min="4861" max="4861" width="11" style="822" customWidth="1"/>
    <col min="4862" max="4862" width="13.6640625" style="822" customWidth="1"/>
    <col min="4863" max="4863" width="13.5" style="822" customWidth="1"/>
    <col min="4864" max="4864" width="14.83203125" style="822" customWidth="1"/>
    <col min="4865" max="4865" width="13.33203125" style="822" customWidth="1"/>
    <col min="4866" max="4867" width="10" style="822" hidden="1" customWidth="1"/>
    <col min="4868" max="4868" width="11.5" style="822" customWidth="1"/>
    <col min="4869" max="4869" width="12.6640625" style="822" customWidth="1"/>
    <col min="4870" max="4870" width="12.1640625" style="822" customWidth="1"/>
    <col min="4871" max="4871" width="13.33203125" style="822" customWidth="1"/>
    <col min="4872" max="4872" width="12" style="822" customWidth="1"/>
    <col min="4873" max="4873" width="10" style="822" hidden="1" customWidth="1"/>
    <col min="4874" max="4874" width="9.5" style="822" customWidth="1"/>
    <col min="4875" max="4875" width="5.6640625" style="822" customWidth="1"/>
    <col min="4876" max="5107" width="10" style="822"/>
    <col min="5108" max="5108" width="5" style="822" customWidth="1"/>
    <col min="5109" max="5109" width="9" style="822" customWidth="1"/>
    <col min="5110" max="5110" width="14.83203125" style="822" customWidth="1"/>
    <col min="5111" max="5115" width="13.5" style="822" customWidth="1"/>
    <col min="5116" max="5116" width="14.6640625" style="822" customWidth="1"/>
    <col min="5117" max="5117" width="11" style="822" customWidth="1"/>
    <col min="5118" max="5118" width="13.6640625" style="822" customWidth="1"/>
    <col min="5119" max="5119" width="13.5" style="822" customWidth="1"/>
    <col min="5120" max="5120" width="14.83203125" style="822" customWidth="1"/>
    <col min="5121" max="5121" width="13.33203125" style="822" customWidth="1"/>
    <col min="5122" max="5123" width="10" style="822" hidden="1" customWidth="1"/>
    <col min="5124" max="5124" width="11.5" style="822" customWidth="1"/>
    <col min="5125" max="5125" width="12.6640625" style="822" customWidth="1"/>
    <col min="5126" max="5126" width="12.1640625" style="822" customWidth="1"/>
    <col min="5127" max="5127" width="13.33203125" style="822" customWidth="1"/>
    <col min="5128" max="5128" width="12" style="822" customWidth="1"/>
    <col min="5129" max="5129" width="10" style="822" hidden="1" customWidth="1"/>
    <col min="5130" max="5130" width="9.5" style="822" customWidth="1"/>
    <col min="5131" max="5131" width="5.6640625" style="822" customWidth="1"/>
    <col min="5132" max="5363" width="10" style="822"/>
    <col min="5364" max="5364" width="5" style="822" customWidth="1"/>
    <col min="5365" max="5365" width="9" style="822" customWidth="1"/>
    <col min="5366" max="5366" width="14.83203125" style="822" customWidth="1"/>
    <col min="5367" max="5371" width="13.5" style="822" customWidth="1"/>
    <col min="5372" max="5372" width="14.6640625" style="822" customWidth="1"/>
    <col min="5373" max="5373" width="11" style="822" customWidth="1"/>
    <col min="5374" max="5374" width="13.6640625" style="822" customWidth="1"/>
    <col min="5375" max="5375" width="13.5" style="822" customWidth="1"/>
    <col min="5376" max="5376" width="14.83203125" style="822" customWidth="1"/>
    <col min="5377" max="5377" width="13.33203125" style="822" customWidth="1"/>
    <col min="5378" max="5379" width="10" style="822" hidden="1" customWidth="1"/>
    <col min="5380" max="5380" width="11.5" style="822" customWidth="1"/>
    <col min="5381" max="5381" width="12.6640625" style="822" customWidth="1"/>
    <col min="5382" max="5382" width="12.1640625" style="822" customWidth="1"/>
    <col min="5383" max="5383" width="13.33203125" style="822" customWidth="1"/>
    <col min="5384" max="5384" width="12" style="822" customWidth="1"/>
    <col min="5385" max="5385" width="10" style="822" hidden="1" customWidth="1"/>
    <col min="5386" max="5386" width="9.5" style="822" customWidth="1"/>
    <col min="5387" max="5387" width="5.6640625" style="822" customWidth="1"/>
    <col min="5388" max="5619" width="10" style="822"/>
    <col min="5620" max="5620" width="5" style="822" customWidth="1"/>
    <col min="5621" max="5621" width="9" style="822" customWidth="1"/>
    <col min="5622" max="5622" width="14.83203125" style="822" customWidth="1"/>
    <col min="5623" max="5627" width="13.5" style="822" customWidth="1"/>
    <col min="5628" max="5628" width="14.6640625" style="822" customWidth="1"/>
    <col min="5629" max="5629" width="11" style="822" customWidth="1"/>
    <col min="5630" max="5630" width="13.6640625" style="822" customWidth="1"/>
    <col min="5631" max="5631" width="13.5" style="822" customWidth="1"/>
    <col min="5632" max="5632" width="14.83203125" style="822" customWidth="1"/>
    <col min="5633" max="5633" width="13.33203125" style="822" customWidth="1"/>
    <col min="5634" max="5635" width="10" style="822" hidden="1" customWidth="1"/>
    <col min="5636" max="5636" width="11.5" style="822" customWidth="1"/>
    <col min="5637" max="5637" width="12.6640625" style="822" customWidth="1"/>
    <col min="5638" max="5638" width="12.1640625" style="822" customWidth="1"/>
    <col min="5639" max="5639" width="13.33203125" style="822" customWidth="1"/>
    <col min="5640" max="5640" width="12" style="822" customWidth="1"/>
    <col min="5641" max="5641" width="10" style="822" hidden="1" customWidth="1"/>
    <col min="5642" max="5642" width="9.5" style="822" customWidth="1"/>
    <col min="5643" max="5643" width="5.6640625" style="822" customWidth="1"/>
    <col min="5644" max="5875" width="10" style="822"/>
    <col min="5876" max="5876" width="5" style="822" customWidth="1"/>
    <col min="5877" max="5877" width="9" style="822" customWidth="1"/>
    <col min="5878" max="5878" width="14.83203125" style="822" customWidth="1"/>
    <col min="5879" max="5883" width="13.5" style="822" customWidth="1"/>
    <col min="5884" max="5884" width="14.6640625" style="822" customWidth="1"/>
    <col min="5885" max="5885" width="11" style="822" customWidth="1"/>
    <col min="5886" max="5886" width="13.6640625" style="822" customWidth="1"/>
    <col min="5887" max="5887" width="13.5" style="822" customWidth="1"/>
    <col min="5888" max="5888" width="14.83203125" style="822" customWidth="1"/>
    <col min="5889" max="5889" width="13.33203125" style="822" customWidth="1"/>
    <col min="5890" max="5891" width="10" style="822" hidden="1" customWidth="1"/>
    <col min="5892" max="5892" width="11.5" style="822" customWidth="1"/>
    <col min="5893" max="5893" width="12.6640625" style="822" customWidth="1"/>
    <col min="5894" max="5894" width="12.1640625" style="822" customWidth="1"/>
    <col min="5895" max="5895" width="13.33203125" style="822" customWidth="1"/>
    <col min="5896" max="5896" width="12" style="822" customWidth="1"/>
    <col min="5897" max="5897" width="10" style="822" hidden="1" customWidth="1"/>
    <col min="5898" max="5898" width="9.5" style="822" customWidth="1"/>
    <col min="5899" max="5899" width="5.6640625" style="822" customWidth="1"/>
    <col min="5900" max="6131" width="10" style="822"/>
    <col min="6132" max="6132" width="5" style="822" customWidth="1"/>
    <col min="6133" max="6133" width="9" style="822" customWidth="1"/>
    <col min="6134" max="6134" width="14.83203125" style="822" customWidth="1"/>
    <col min="6135" max="6139" width="13.5" style="822" customWidth="1"/>
    <col min="6140" max="6140" width="14.6640625" style="822" customWidth="1"/>
    <col min="6141" max="6141" width="11" style="822" customWidth="1"/>
    <col min="6142" max="6142" width="13.6640625" style="822" customWidth="1"/>
    <col min="6143" max="6143" width="13.5" style="822" customWidth="1"/>
    <col min="6144" max="6144" width="14.83203125" style="822" customWidth="1"/>
    <col min="6145" max="6145" width="13.33203125" style="822" customWidth="1"/>
    <col min="6146" max="6147" width="10" style="822" hidden="1" customWidth="1"/>
    <col min="6148" max="6148" width="11.5" style="822" customWidth="1"/>
    <col min="6149" max="6149" width="12.6640625" style="822" customWidth="1"/>
    <col min="6150" max="6150" width="12.1640625" style="822" customWidth="1"/>
    <col min="6151" max="6151" width="13.33203125" style="822" customWidth="1"/>
    <col min="6152" max="6152" width="12" style="822" customWidth="1"/>
    <col min="6153" max="6153" width="10" style="822" hidden="1" customWidth="1"/>
    <col min="6154" max="6154" width="9.5" style="822" customWidth="1"/>
    <col min="6155" max="6155" width="5.6640625" style="822" customWidth="1"/>
    <col min="6156" max="6387" width="10" style="822"/>
    <col min="6388" max="6388" width="5" style="822" customWidth="1"/>
    <col min="6389" max="6389" width="9" style="822" customWidth="1"/>
    <col min="6390" max="6390" width="14.83203125" style="822" customWidth="1"/>
    <col min="6391" max="6395" width="13.5" style="822" customWidth="1"/>
    <col min="6396" max="6396" width="14.6640625" style="822" customWidth="1"/>
    <col min="6397" max="6397" width="11" style="822" customWidth="1"/>
    <col min="6398" max="6398" width="13.6640625" style="822" customWidth="1"/>
    <col min="6399" max="6399" width="13.5" style="822" customWidth="1"/>
    <col min="6400" max="6400" width="14.83203125" style="822" customWidth="1"/>
    <col min="6401" max="6401" width="13.33203125" style="822" customWidth="1"/>
    <col min="6402" max="6403" width="10" style="822" hidden="1" customWidth="1"/>
    <col min="6404" max="6404" width="11.5" style="822" customWidth="1"/>
    <col min="6405" max="6405" width="12.6640625" style="822" customWidth="1"/>
    <col min="6406" max="6406" width="12.1640625" style="822" customWidth="1"/>
    <col min="6407" max="6407" width="13.33203125" style="822" customWidth="1"/>
    <col min="6408" max="6408" width="12" style="822" customWidth="1"/>
    <col min="6409" max="6409" width="10" style="822" hidden="1" customWidth="1"/>
    <col min="6410" max="6410" width="9.5" style="822" customWidth="1"/>
    <col min="6411" max="6411" width="5.6640625" style="822" customWidth="1"/>
    <col min="6412" max="6643" width="10" style="822"/>
    <col min="6644" max="6644" width="5" style="822" customWidth="1"/>
    <col min="6645" max="6645" width="9" style="822" customWidth="1"/>
    <col min="6646" max="6646" width="14.83203125" style="822" customWidth="1"/>
    <col min="6647" max="6651" width="13.5" style="822" customWidth="1"/>
    <col min="6652" max="6652" width="14.6640625" style="822" customWidth="1"/>
    <col min="6653" max="6653" width="11" style="822" customWidth="1"/>
    <col min="6654" max="6654" width="13.6640625" style="822" customWidth="1"/>
    <col min="6655" max="6655" width="13.5" style="822" customWidth="1"/>
    <col min="6656" max="6656" width="14.83203125" style="822" customWidth="1"/>
    <col min="6657" max="6657" width="13.33203125" style="822" customWidth="1"/>
    <col min="6658" max="6659" width="10" style="822" hidden="1" customWidth="1"/>
    <col min="6660" max="6660" width="11.5" style="822" customWidth="1"/>
    <col min="6661" max="6661" width="12.6640625" style="822" customWidth="1"/>
    <col min="6662" max="6662" width="12.1640625" style="822" customWidth="1"/>
    <col min="6663" max="6663" width="13.33203125" style="822" customWidth="1"/>
    <col min="6664" max="6664" width="12" style="822" customWidth="1"/>
    <col min="6665" max="6665" width="10" style="822" hidden="1" customWidth="1"/>
    <col min="6666" max="6666" width="9.5" style="822" customWidth="1"/>
    <col min="6667" max="6667" width="5.6640625" style="822" customWidth="1"/>
    <col min="6668" max="6899" width="10" style="822"/>
    <col min="6900" max="6900" width="5" style="822" customWidth="1"/>
    <col min="6901" max="6901" width="9" style="822" customWidth="1"/>
    <col min="6902" max="6902" width="14.83203125" style="822" customWidth="1"/>
    <col min="6903" max="6907" width="13.5" style="822" customWidth="1"/>
    <col min="6908" max="6908" width="14.6640625" style="822" customWidth="1"/>
    <col min="6909" max="6909" width="11" style="822" customWidth="1"/>
    <col min="6910" max="6910" width="13.6640625" style="822" customWidth="1"/>
    <col min="6911" max="6911" width="13.5" style="822" customWidth="1"/>
    <col min="6912" max="6912" width="14.83203125" style="822" customWidth="1"/>
    <col min="6913" max="6913" width="13.33203125" style="822" customWidth="1"/>
    <col min="6914" max="6915" width="10" style="822" hidden="1" customWidth="1"/>
    <col min="6916" max="6916" width="11.5" style="822" customWidth="1"/>
    <col min="6917" max="6917" width="12.6640625" style="822" customWidth="1"/>
    <col min="6918" max="6918" width="12.1640625" style="822" customWidth="1"/>
    <col min="6919" max="6919" width="13.33203125" style="822" customWidth="1"/>
    <col min="6920" max="6920" width="12" style="822" customWidth="1"/>
    <col min="6921" max="6921" width="10" style="822" hidden="1" customWidth="1"/>
    <col min="6922" max="6922" width="9.5" style="822" customWidth="1"/>
    <col min="6923" max="6923" width="5.6640625" style="822" customWidth="1"/>
    <col min="6924" max="7155" width="10" style="822"/>
    <col min="7156" max="7156" width="5" style="822" customWidth="1"/>
    <col min="7157" max="7157" width="9" style="822" customWidth="1"/>
    <col min="7158" max="7158" width="14.83203125" style="822" customWidth="1"/>
    <col min="7159" max="7163" width="13.5" style="822" customWidth="1"/>
    <col min="7164" max="7164" width="14.6640625" style="822" customWidth="1"/>
    <col min="7165" max="7165" width="11" style="822" customWidth="1"/>
    <col min="7166" max="7166" width="13.6640625" style="822" customWidth="1"/>
    <col min="7167" max="7167" width="13.5" style="822" customWidth="1"/>
    <col min="7168" max="7168" width="14.83203125" style="822" customWidth="1"/>
    <col min="7169" max="7169" width="13.33203125" style="822" customWidth="1"/>
    <col min="7170" max="7171" width="10" style="822" hidden="1" customWidth="1"/>
    <col min="7172" max="7172" width="11.5" style="822" customWidth="1"/>
    <col min="7173" max="7173" width="12.6640625" style="822" customWidth="1"/>
    <col min="7174" max="7174" width="12.1640625" style="822" customWidth="1"/>
    <col min="7175" max="7175" width="13.33203125" style="822" customWidth="1"/>
    <col min="7176" max="7176" width="12" style="822" customWidth="1"/>
    <col min="7177" max="7177" width="10" style="822" hidden="1" customWidth="1"/>
    <col min="7178" max="7178" width="9.5" style="822" customWidth="1"/>
    <col min="7179" max="7179" width="5.6640625" style="822" customWidth="1"/>
    <col min="7180" max="7411" width="10" style="822"/>
    <col min="7412" max="7412" width="5" style="822" customWidth="1"/>
    <col min="7413" max="7413" width="9" style="822" customWidth="1"/>
    <col min="7414" max="7414" width="14.83203125" style="822" customWidth="1"/>
    <col min="7415" max="7419" width="13.5" style="822" customWidth="1"/>
    <col min="7420" max="7420" width="14.6640625" style="822" customWidth="1"/>
    <col min="7421" max="7421" width="11" style="822" customWidth="1"/>
    <col min="7422" max="7422" width="13.6640625" style="822" customWidth="1"/>
    <col min="7423" max="7423" width="13.5" style="822" customWidth="1"/>
    <col min="7424" max="7424" width="14.83203125" style="822" customWidth="1"/>
    <col min="7425" max="7425" width="13.33203125" style="822" customWidth="1"/>
    <col min="7426" max="7427" width="10" style="822" hidden="1" customWidth="1"/>
    <col min="7428" max="7428" width="11.5" style="822" customWidth="1"/>
    <col min="7429" max="7429" width="12.6640625" style="822" customWidth="1"/>
    <col min="7430" max="7430" width="12.1640625" style="822" customWidth="1"/>
    <col min="7431" max="7431" width="13.33203125" style="822" customWidth="1"/>
    <col min="7432" max="7432" width="12" style="822" customWidth="1"/>
    <col min="7433" max="7433" width="10" style="822" hidden="1" customWidth="1"/>
    <col min="7434" max="7434" width="9.5" style="822" customWidth="1"/>
    <col min="7435" max="7435" width="5.6640625" style="822" customWidth="1"/>
    <col min="7436" max="7667" width="10" style="822"/>
    <col min="7668" max="7668" width="5" style="822" customWidth="1"/>
    <col min="7669" max="7669" width="9" style="822" customWidth="1"/>
    <col min="7670" max="7670" width="14.83203125" style="822" customWidth="1"/>
    <col min="7671" max="7675" width="13.5" style="822" customWidth="1"/>
    <col min="7676" max="7676" width="14.6640625" style="822" customWidth="1"/>
    <col min="7677" max="7677" width="11" style="822" customWidth="1"/>
    <col min="7678" max="7678" width="13.6640625" style="822" customWidth="1"/>
    <col min="7679" max="7679" width="13.5" style="822" customWidth="1"/>
    <col min="7680" max="7680" width="14.83203125" style="822" customWidth="1"/>
    <col min="7681" max="7681" width="13.33203125" style="822" customWidth="1"/>
    <col min="7682" max="7683" width="10" style="822" hidden="1" customWidth="1"/>
    <col min="7684" max="7684" width="11.5" style="822" customWidth="1"/>
    <col min="7685" max="7685" width="12.6640625" style="822" customWidth="1"/>
    <col min="7686" max="7686" width="12.1640625" style="822" customWidth="1"/>
    <col min="7687" max="7687" width="13.33203125" style="822" customWidth="1"/>
    <col min="7688" max="7688" width="12" style="822" customWidth="1"/>
    <col min="7689" max="7689" width="10" style="822" hidden="1" customWidth="1"/>
    <col min="7690" max="7690" width="9.5" style="822" customWidth="1"/>
    <col min="7691" max="7691" width="5.6640625" style="822" customWidth="1"/>
    <col min="7692" max="7923" width="10" style="822"/>
    <col min="7924" max="7924" width="5" style="822" customWidth="1"/>
    <col min="7925" max="7925" width="9" style="822" customWidth="1"/>
    <col min="7926" max="7926" width="14.83203125" style="822" customWidth="1"/>
    <col min="7927" max="7931" width="13.5" style="822" customWidth="1"/>
    <col min="7932" max="7932" width="14.6640625" style="822" customWidth="1"/>
    <col min="7933" max="7933" width="11" style="822" customWidth="1"/>
    <col min="7934" max="7934" width="13.6640625" style="822" customWidth="1"/>
    <col min="7935" max="7935" width="13.5" style="822" customWidth="1"/>
    <col min="7936" max="7936" width="14.83203125" style="822" customWidth="1"/>
    <col min="7937" max="7937" width="13.33203125" style="822" customWidth="1"/>
    <col min="7938" max="7939" width="10" style="822" hidden="1" customWidth="1"/>
    <col min="7940" max="7940" width="11.5" style="822" customWidth="1"/>
    <col min="7941" max="7941" width="12.6640625" style="822" customWidth="1"/>
    <col min="7942" max="7942" width="12.1640625" style="822" customWidth="1"/>
    <col min="7943" max="7943" width="13.33203125" style="822" customWidth="1"/>
    <col min="7944" max="7944" width="12" style="822" customWidth="1"/>
    <col min="7945" max="7945" width="10" style="822" hidden="1" customWidth="1"/>
    <col min="7946" max="7946" width="9.5" style="822" customWidth="1"/>
    <col min="7947" max="7947" width="5.6640625" style="822" customWidth="1"/>
    <col min="7948" max="8179" width="10" style="822"/>
    <col min="8180" max="8180" width="5" style="822" customWidth="1"/>
    <col min="8181" max="8181" width="9" style="822" customWidth="1"/>
    <col min="8182" max="8182" width="14.83203125" style="822" customWidth="1"/>
    <col min="8183" max="8187" width="13.5" style="822" customWidth="1"/>
    <col min="8188" max="8188" width="14.6640625" style="822" customWidth="1"/>
    <col min="8189" max="8189" width="11" style="822" customWidth="1"/>
    <col min="8190" max="8190" width="13.6640625" style="822" customWidth="1"/>
    <col min="8191" max="8191" width="13.5" style="822" customWidth="1"/>
    <col min="8192" max="8192" width="14.83203125" style="822" customWidth="1"/>
    <col min="8193" max="8193" width="13.33203125" style="822" customWidth="1"/>
    <col min="8194" max="8195" width="10" style="822" hidden="1" customWidth="1"/>
    <col min="8196" max="8196" width="11.5" style="822" customWidth="1"/>
    <col min="8197" max="8197" width="12.6640625" style="822" customWidth="1"/>
    <col min="8198" max="8198" width="12.1640625" style="822" customWidth="1"/>
    <col min="8199" max="8199" width="13.33203125" style="822" customWidth="1"/>
    <col min="8200" max="8200" width="12" style="822" customWidth="1"/>
    <col min="8201" max="8201" width="10" style="822" hidden="1" customWidth="1"/>
    <col min="8202" max="8202" width="9.5" style="822" customWidth="1"/>
    <col min="8203" max="8203" width="5.6640625" style="822" customWidth="1"/>
    <col min="8204" max="8435" width="10" style="822"/>
    <col min="8436" max="8436" width="5" style="822" customWidth="1"/>
    <col min="8437" max="8437" width="9" style="822" customWidth="1"/>
    <col min="8438" max="8438" width="14.83203125" style="822" customWidth="1"/>
    <col min="8439" max="8443" width="13.5" style="822" customWidth="1"/>
    <col min="8444" max="8444" width="14.6640625" style="822" customWidth="1"/>
    <col min="8445" max="8445" width="11" style="822" customWidth="1"/>
    <col min="8446" max="8446" width="13.6640625" style="822" customWidth="1"/>
    <col min="8447" max="8447" width="13.5" style="822" customWidth="1"/>
    <col min="8448" max="8448" width="14.83203125" style="822" customWidth="1"/>
    <col min="8449" max="8449" width="13.33203125" style="822" customWidth="1"/>
    <col min="8450" max="8451" width="10" style="822" hidden="1" customWidth="1"/>
    <col min="8452" max="8452" width="11.5" style="822" customWidth="1"/>
    <col min="8453" max="8453" width="12.6640625" style="822" customWidth="1"/>
    <col min="8454" max="8454" width="12.1640625" style="822" customWidth="1"/>
    <col min="8455" max="8455" width="13.33203125" style="822" customWidth="1"/>
    <col min="8456" max="8456" width="12" style="822" customWidth="1"/>
    <col min="8457" max="8457" width="10" style="822" hidden="1" customWidth="1"/>
    <col min="8458" max="8458" width="9.5" style="822" customWidth="1"/>
    <col min="8459" max="8459" width="5.6640625" style="822" customWidth="1"/>
    <col min="8460" max="8691" width="10" style="822"/>
    <col min="8692" max="8692" width="5" style="822" customWidth="1"/>
    <col min="8693" max="8693" width="9" style="822" customWidth="1"/>
    <col min="8694" max="8694" width="14.83203125" style="822" customWidth="1"/>
    <col min="8695" max="8699" width="13.5" style="822" customWidth="1"/>
    <col min="8700" max="8700" width="14.6640625" style="822" customWidth="1"/>
    <col min="8701" max="8701" width="11" style="822" customWidth="1"/>
    <col min="8702" max="8702" width="13.6640625" style="822" customWidth="1"/>
    <col min="8703" max="8703" width="13.5" style="822" customWidth="1"/>
    <col min="8704" max="8704" width="14.83203125" style="822" customWidth="1"/>
    <col min="8705" max="8705" width="13.33203125" style="822" customWidth="1"/>
    <col min="8706" max="8707" width="10" style="822" hidden="1" customWidth="1"/>
    <col min="8708" max="8708" width="11.5" style="822" customWidth="1"/>
    <col min="8709" max="8709" width="12.6640625" style="822" customWidth="1"/>
    <col min="8710" max="8710" width="12.1640625" style="822" customWidth="1"/>
    <col min="8711" max="8711" width="13.33203125" style="822" customWidth="1"/>
    <col min="8712" max="8712" width="12" style="822" customWidth="1"/>
    <col min="8713" max="8713" width="10" style="822" hidden="1" customWidth="1"/>
    <col min="8714" max="8714" width="9.5" style="822" customWidth="1"/>
    <col min="8715" max="8715" width="5.6640625" style="822" customWidth="1"/>
    <col min="8716" max="8947" width="10" style="822"/>
    <col min="8948" max="8948" width="5" style="822" customWidth="1"/>
    <col min="8949" max="8949" width="9" style="822" customWidth="1"/>
    <col min="8950" max="8950" width="14.83203125" style="822" customWidth="1"/>
    <col min="8951" max="8955" width="13.5" style="822" customWidth="1"/>
    <col min="8956" max="8956" width="14.6640625" style="822" customWidth="1"/>
    <col min="8957" max="8957" width="11" style="822" customWidth="1"/>
    <col min="8958" max="8958" width="13.6640625" style="822" customWidth="1"/>
    <col min="8959" max="8959" width="13.5" style="822" customWidth="1"/>
    <col min="8960" max="8960" width="14.83203125" style="822" customWidth="1"/>
    <col min="8961" max="8961" width="13.33203125" style="822" customWidth="1"/>
    <col min="8962" max="8963" width="10" style="822" hidden="1" customWidth="1"/>
    <col min="8964" max="8964" width="11.5" style="822" customWidth="1"/>
    <col min="8965" max="8965" width="12.6640625" style="822" customWidth="1"/>
    <col min="8966" max="8966" width="12.1640625" style="822" customWidth="1"/>
    <col min="8967" max="8967" width="13.33203125" style="822" customWidth="1"/>
    <col min="8968" max="8968" width="12" style="822" customWidth="1"/>
    <col min="8969" max="8969" width="10" style="822" hidden="1" customWidth="1"/>
    <col min="8970" max="8970" width="9.5" style="822" customWidth="1"/>
    <col min="8971" max="8971" width="5.6640625" style="822" customWidth="1"/>
    <col min="8972" max="9203" width="10" style="822"/>
    <col min="9204" max="9204" width="5" style="822" customWidth="1"/>
    <col min="9205" max="9205" width="9" style="822" customWidth="1"/>
    <col min="9206" max="9206" width="14.83203125" style="822" customWidth="1"/>
    <col min="9207" max="9211" width="13.5" style="822" customWidth="1"/>
    <col min="9212" max="9212" width="14.6640625" style="822" customWidth="1"/>
    <col min="9213" max="9213" width="11" style="822" customWidth="1"/>
    <col min="9214" max="9214" width="13.6640625" style="822" customWidth="1"/>
    <col min="9215" max="9215" width="13.5" style="822" customWidth="1"/>
    <col min="9216" max="9216" width="14.83203125" style="822" customWidth="1"/>
    <col min="9217" max="9217" width="13.33203125" style="822" customWidth="1"/>
    <col min="9218" max="9219" width="10" style="822" hidden="1" customWidth="1"/>
    <col min="9220" max="9220" width="11.5" style="822" customWidth="1"/>
    <col min="9221" max="9221" width="12.6640625" style="822" customWidth="1"/>
    <col min="9222" max="9222" width="12.1640625" style="822" customWidth="1"/>
    <col min="9223" max="9223" width="13.33203125" style="822" customWidth="1"/>
    <col min="9224" max="9224" width="12" style="822" customWidth="1"/>
    <col min="9225" max="9225" width="10" style="822" hidden="1" customWidth="1"/>
    <col min="9226" max="9226" width="9.5" style="822" customWidth="1"/>
    <col min="9227" max="9227" width="5.6640625" style="822" customWidth="1"/>
    <col min="9228" max="9459" width="10" style="822"/>
    <col min="9460" max="9460" width="5" style="822" customWidth="1"/>
    <col min="9461" max="9461" width="9" style="822" customWidth="1"/>
    <col min="9462" max="9462" width="14.83203125" style="822" customWidth="1"/>
    <col min="9463" max="9467" width="13.5" style="822" customWidth="1"/>
    <col min="9468" max="9468" width="14.6640625" style="822" customWidth="1"/>
    <col min="9469" max="9469" width="11" style="822" customWidth="1"/>
    <col min="9470" max="9470" width="13.6640625" style="822" customWidth="1"/>
    <col min="9471" max="9471" width="13.5" style="822" customWidth="1"/>
    <col min="9472" max="9472" width="14.83203125" style="822" customWidth="1"/>
    <col min="9473" max="9473" width="13.33203125" style="822" customWidth="1"/>
    <col min="9474" max="9475" width="10" style="822" hidden="1" customWidth="1"/>
    <col min="9476" max="9476" width="11.5" style="822" customWidth="1"/>
    <col min="9477" max="9477" width="12.6640625" style="822" customWidth="1"/>
    <col min="9478" max="9478" width="12.1640625" style="822" customWidth="1"/>
    <col min="9479" max="9479" width="13.33203125" style="822" customWidth="1"/>
    <col min="9480" max="9480" width="12" style="822" customWidth="1"/>
    <col min="9481" max="9481" width="10" style="822" hidden="1" customWidth="1"/>
    <col min="9482" max="9482" width="9.5" style="822" customWidth="1"/>
    <col min="9483" max="9483" width="5.6640625" style="822" customWidth="1"/>
    <col min="9484" max="9715" width="10" style="822"/>
    <col min="9716" max="9716" width="5" style="822" customWidth="1"/>
    <col min="9717" max="9717" width="9" style="822" customWidth="1"/>
    <col min="9718" max="9718" width="14.83203125" style="822" customWidth="1"/>
    <col min="9719" max="9723" width="13.5" style="822" customWidth="1"/>
    <col min="9724" max="9724" width="14.6640625" style="822" customWidth="1"/>
    <col min="9725" max="9725" width="11" style="822" customWidth="1"/>
    <col min="9726" max="9726" width="13.6640625" style="822" customWidth="1"/>
    <col min="9727" max="9727" width="13.5" style="822" customWidth="1"/>
    <col min="9728" max="9728" width="14.83203125" style="822" customWidth="1"/>
    <col min="9729" max="9729" width="13.33203125" style="822" customWidth="1"/>
    <col min="9730" max="9731" width="10" style="822" hidden="1" customWidth="1"/>
    <col min="9732" max="9732" width="11.5" style="822" customWidth="1"/>
    <col min="9733" max="9733" width="12.6640625" style="822" customWidth="1"/>
    <col min="9734" max="9734" width="12.1640625" style="822" customWidth="1"/>
    <col min="9735" max="9735" width="13.33203125" style="822" customWidth="1"/>
    <col min="9736" max="9736" width="12" style="822" customWidth="1"/>
    <col min="9737" max="9737" width="10" style="822" hidden="1" customWidth="1"/>
    <col min="9738" max="9738" width="9.5" style="822" customWidth="1"/>
    <col min="9739" max="9739" width="5.6640625" style="822" customWidth="1"/>
    <col min="9740" max="9971" width="10" style="822"/>
    <col min="9972" max="9972" width="5" style="822" customWidth="1"/>
    <col min="9973" max="9973" width="9" style="822" customWidth="1"/>
    <col min="9974" max="9974" width="14.83203125" style="822" customWidth="1"/>
    <col min="9975" max="9979" width="13.5" style="822" customWidth="1"/>
    <col min="9980" max="9980" width="14.6640625" style="822" customWidth="1"/>
    <col min="9981" max="9981" width="11" style="822" customWidth="1"/>
    <col min="9982" max="9982" width="13.6640625" style="822" customWidth="1"/>
    <col min="9983" max="9983" width="13.5" style="822" customWidth="1"/>
    <col min="9984" max="9984" width="14.83203125" style="822" customWidth="1"/>
    <col min="9985" max="9985" width="13.33203125" style="822" customWidth="1"/>
    <col min="9986" max="9987" width="10" style="822" hidden="1" customWidth="1"/>
    <col min="9988" max="9988" width="11.5" style="822" customWidth="1"/>
    <col min="9989" max="9989" width="12.6640625" style="822" customWidth="1"/>
    <col min="9990" max="9990" width="12.1640625" style="822" customWidth="1"/>
    <col min="9991" max="9991" width="13.33203125" style="822" customWidth="1"/>
    <col min="9992" max="9992" width="12" style="822" customWidth="1"/>
    <col min="9993" max="9993" width="10" style="822" hidden="1" customWidth="1"/>
    <col min="9994" max="9994" width="9.5" style="822" customWidth="1"/>
    <col min="9995" max="9995" width="5.6640625" style="822" customWidth="1"/>
    <col min="9996" max="10227" width="10" style="822"/>
    <col min="10228" max="10228" width="5" style="822" customWidth="1"/>
    <col min="10229" max="10229" width="9" style="822" customWidth="1"/>
    <col min="10230" max="10230" width="14.83203125" style="822" customWidth="1"/>
    <col min="10231" max="10235" width="13.5" style="822" customWidth="1"/>
    <col min="10236" max="10236" width="14.6640625" style="822" customWidth="1"/>
    <col min="10237" max="10237" width="11" style="822" customWidth="1"/>
    <col min="10238" max="10238" width="13.6640625" style="822" customWidth="1"/>
    <col min="10239" max="10239" width="13.5" style="822" customWidth="1"/>
    <col min="10240" max="10240" width="14.83203125" style="822" customWidth="1"/>
    <col min="10241" max="10241" width="13.33203125" style="822" customWidth="1"/>
    <col min="10242" max="10243" width="10" style="822" hidden="1" customWidth="1"/>
    <col min="10244" max="10244" width="11.5" style="822" customWidth="1"/>
    <col min="10245" max="10245" width="12.6640625" style="822" customWidth="1"/>
    <col min="10246" max="10246" width="12.1640625" style="822" customWidth="1"/>
    <col min="10247" max="10247" width="13.33203125" style="822" customWidth="1"/>
    <col min="10248" max="10248" width="12" style="822" customWidth="1"/>
    <col min="10249" max="10249" width="10" style="822" hidden="1" customWidth="1"/>
    <col min="10250" max="10250" width="9.5" style="822" customWidth="1"/>
    <col min="10251" max="10251" width="5.6640625" style="822" customWidth="1"/>
    <col min="10252" max="10483" width="10" style="822"/>
    <col min="10484" max="10484" width="5" style="822" customWidth="1"/>
    <col min="10485" max="10485" width="9" style="822" customWidth="1"/>
    <col min="10486" max="10486" width="14.83203125" style="822" customWidth="1"/>
    <col min="10487" max="10491" width="13.5" style="822" customWidth="1"/>
    <col min="10492" max="10492" width="14.6640625" style="822" customWidth="1"/>
    <col min="10493" max="10493" width="11" style="822" customWidth="1"/>
    <col min="10494" max="10494" width="13.6640625" style="822" customWidth="1"/>
    <col min="10495" max="10495" width="13.5" style="822" customWidth="1"/>
    <col min="10496" max="10496" width="14.83203125" style="822" customWidth="1"/>
    <col min="10497" max="10497" width="13.33203125" style="822" customWidth="1"/>
    <col min="10498" max="10499" width="10" style="822" hidden="1" customWidth="1"/>
    <col min="10500" max="10500" width="11.5" style="822" customWidth="1"/>
    <col min="10501" max="10501" width="12.6640625" style="822" customWidth="1"/>
    <col min="10502" max="10502" width="12.1640625" style="822" customWidth="1"/>
    <col min="10503" max="10503" width="13.33203125" style="822" customWidth="1"/>
    <col min="10504" max="10504" width="12" style="822" customWidth="1"/>
    <col min="10505" max="10505" width="10" style="822" hidden="1" customWidth="1"/>
    <col min="10506" max="10506" width="9.5" style="822" customWidth="1"/>
    <col min="10507" max="10507" width="5.6640625" style="822" customWidth="1"/>
    <col min="10508" max="10739" width="10" style="822"/>
    <col min="10740" max="10740" width="5" style="822" customWidth="1"/>
    <col min="10741" max="10741" width="9" style="822" customWidth="1"/>
    <col min="10742" max="10742" width="14.83203125" style="822" customWidth="1"/>
    <col min="10743" max="10747" width="13.5" style="822" customWidth="1"/>
    <col min="10748" max="10748" width="14.6640625" style="822" customWidth="1"/>
    <col min="10749" max="10749" width="11" style="822" customWidth="1"/>
    <col min="10750" max="10750" width="13.6640625" style="822" customWidth="1"/>
    <col min="10751" max="10751" width="13.5" style="822" customWidth="1"/>
    <col min="10752" max="10752" width="14.83203125" style="822" customWidth="1"/>
    <col min="10753" max="10753" width="13.33203125" style="822" customWidth="1"/>
    <col min="10754" max="10755" width="10" style="822" hidden="1" customWidth="1"/>
    <col min="10756" max="10756" width="11.5" style="822" customWidth="1"/>
    <col min="10757" max="10757" width="12.6640625" style="822" customWidth="1"/>
    <col min="10758" max="10758" width="12.1640625" style="822" customWidth="1"/>
    <col min="10759" max="10759" width="13.33203125" style="822" customWidth="1"/>
    <col min="10760" max="10760" width="12" style="822" customWidth="1"/>
    <col min="10761" max="10761" width="10" style="822" hidden="1" customWidth="1"/>
    <col min="10762" max="10762" width="9.5" style="822" customWidth="1"/>
    <col min="10763" max="10763" width="5.6640625" style="822" customWidth="1"/>
    <col min="10764" max="10995" width="10" style="822"/>
    <col min="10996" max="10996" width="5" style="822" customWidth="1"/>
    <col min="10997" max="10997" width="9" style="822" customWidth="1"/>
    <col min="10998" max="10998" width="14.83203125" style="822" customWidth="1"/>
    <col min="10999" max="11003" width="13.5" style="822" customWidth="1"/>
    <col min="11004" max="11004" width="14.6640625" style="822" customWidth="1"/>
    <col min="11005" max="11005" width="11" style="822" customWidth="1"/>
    <col min="11006" max="11006" width="13.6640625" style="822" customWidth="1"/>
    <col min="11007" max="11007" width="13.5" style="822" customWidth="1"/>
    <col min="11008" max="11008" width="14.83203125" style="822" customWidth="1"/>
    <col min="11009" max="11009" width="13.33203125" style="822" customWidth="1"/>
    <col min="11010" max="11011" width="10" style="822" hidden="1" customWidth="1"/>
    <col min="11012" max="11012" width="11.5" style="822" customWidth="1"/>
    <col min="11013" max="11013" width="12.6640625" style="822" customWidth="1"/>
    <col min="11014" max="11014" width="12.1640625" style="822" customWidth="1"/>
    <col min="11015" max="11015" width="13.33203125" style="822" customWidth="1"/>
    <col min="11016" max="11016" width="12" style="822" customWidth="1"/>
    <col min="11017" max="11017" width="10" style="822" hidden="1" customWidth="1"/>
    <col min="11018" max="11018" width="9.5" style="822" customWidth="1"/>
    <col min="11019" max="11019" width="5.6640625" style="822" customWidth="1"/>
    <col min="11020" max="11251" width="10" style="822"/>
    <col min="11252" max="11252" width="5" style="822" customWidth="1"/>
    <col min="11253" max="11253" width="9" style="822" customWidth="1"/>
    <col min="11254" max="11254" width="14.83203125" style="822" customWidth="1"/>
    <col min="11255" max="11259" width="13.5" style="822" customWidth="1"/>
    <col min="11260" max="11260" width="14.6640625" style="822" customWidth="1"/>
    <col min="11261" max="11261" width="11" style="822" customWidth="1"/>
    <col min="11262" max="11262" width="13.6640625" style="822" customWidth="1"/>
    <col min="11263" max="11263" width="13.5" style="822" customWidth="1"/>
    <col min="11264" max="11264" width="14.83203125" style="822" customWidth="1"/>
    <col min="11265" max="11265" width="13.33203125" style="822" customWidth="1"/>
    <col min="11266" max="11267" width="10" style="822" hidden="1" customWidth="1"/>
    <col min="11268" max="11268" width="11.5" style="822" customWidth="1"/>
    <col min="11269" max="11269" width="12.6640625" style="822" customWidth="1"/>
    <col min="11270" max="11270" width="12.1640625" style="822" customWidth="1"/>
    <col min="11271" max="11271" width="13.33203125" style="822" customWidth="1"/>
    <col min="11272" max="11272" width="12" style="822" customWidth="1"/>
    <col min="11273" max="11273" width="10" style="822" hidden="1" customWidth="1"/>
    <col min="11274" max="11274" width="9.5" style="822" customWidth="1"/>
    <col min="11275" max="11275" width="5.6640625" style="822" customWidth="1"/>
    <col min="11276" max="11507" width="10" style="822"/>
    <col min="11508" max="11508" width="5" style="822" customWidth="1"/>
    <col min="11509" max="11509" width="9" style="822" customWidth="1"/>
    <col min="11510" max="11510" width="14.83203125" style="822" customWidth="1"/>
    <col min="11511" max="11515" width="13.5" style="822" customWidth="1"/>
    <col min="11516" max="11516" width="14.6640625" style="822" customWidth="1"/>
    <col min="11517" max="11517" width="11" style="822" customWidth="1"/>
    <col min="11518" max="11518" width="13.6640625" style="822" customWidth="1"/>
    <col min="11519" max="11519" width="13.5" style="822" customWidth="1"/>
    <col min="11520" max="11520" width="14.83203125" style="822" customWidth="1"/>
    <col min="11521" max="11521" width="13.33203125" style="822" customWidth="1"/>
    <col min="11522" max="11523" width="10" style="822" hidden="1" customWidth="1"/>
    <col min="11524" max="11524" width="11.5" style="822" customWidth="1"/>
    <col min="11525" max="11525" width="12.6640625" style="822" customWidth="1"/>
    <col min="11526" max="11526" width="12.1640625" style="822" customWidth="1"/>
    <col min="11527" max="11527" width="13.33203125" style="822" customWidth="1"/>
    <col min="11528" max="11528" width="12" style="822" customWidth="1"/>
    <col min="11529" max="11529" width="10" style="822" hidden="1" customWidth="1"/>
    <col min="11530" max="11530" width="9.5" style="822" customWidth="1"/>
    <col min="11531" max="11531" width="5.6640625" style="822" customWidth="1"/>
    <col min="11532" max="11763" width="10" style="822"/>
    <col min="11764" max="11764" width="5" style="822" customWidth="1"/>
    <col min="11765" max="11765" width="9" style="822" customWidth="1"/>
    <col min="11766" max="11766" width="14.83203125" style="822" customWidth="1"/>
    <col min="11767" max="11771" width="13.5" style="822" customWidth="1"/>
    <col min="11772" max="11772" width="14.6640625" style="822" customWidth="1"/>
    <col min="11773" max="11773" width="11" style="822" customWidth="1"/>
    <col min="11774" max="11774" width="13.6640625" style="822" customWidth="1"/>
    <col min="11775" max="11775" width="13.5" style="822" customWidth="1"/>
    <col min="11776" max="11776" width="14.83203125" style="822" customWidth="1"/>
    <col min="11777" max="11777" width="13.33203125" style="822" customWidth="1"/>
    <col min="11778" max="11779" width="10" style="822" hidden="1" customWidth="1"/>
    <col min="11780" max="11780" width="11.5" style="822" customWidth="1"/>
    <col min="11781" max="11781" width="12.6640625" style="822" customWidth="1"/>
    <col min="11782" max="11782" width="12.1640625" style="822" customWidth="1"/>
    <col min="11783" max="11783" width="13.33203125" style="822" customWidth="1"/>
    <col min="11784" max="11784" width="12" style="822" customWidth="1"/>
    <col min="11785" max="11785" width="10" style="822" hidden="1" customWidth="1"/>
    <col min="11786" max="11786" width="9.5" style="822" customWidth="1"/>
    <col min="11787" max="11787" width="5.6640625" style="822" customWidth="1"/>
    <col min="11788" max="12019" width="10" style="822"/>
    <col min="12020" max="12020" width="5" style="822" customWidth="1"/>
    <col min="12021" max="12021" width="9" style="822" customWidth="1"/>
    <col min="12022" max="12022" width="14.83203125" style="822" customWidth="1"/>
    <col min="12023" max="12027" width="13.5" style="822" customWidth="1"/>
    <col min="12028" max="12028" width="14.6640625" style="822" customWidth="1"/>
    <col min="12029" max="12029" width="11" style="822" customWidth="1"/>
    <col min="12030" max="12030" width="13.6640625" style="822" customWidth="1"/>
    <col min="12031" max="12031" width="13.5" style="822" customWidth="1"/>
    <col min="12032" max="12032" width="14.83203125" style="822" customWidth="1"/>
    <col min="12033" max="12033" width="13.33203125" style="822" customWidth="1"/>
    <col min="12034" max="12035" width="10" style="822" hidden="1" customWidth="1"/>
    <col min="12036" max="12036" width="11.5" style="822" customWidth="1"/>
    <col min="12037" max="12037" width="12.6640625" style="822" customWidth="1"/>
    <col min="12038" max="12038" width="12.1640625" style="822" customWidth="1"/>
    <col min="12039" max="12039" width="13.33203125" style="822" customWidth="1"/>
    <col min="12040" max="12040" width="12" style="822" customWidth="1"/>
    <col min="12041" max="12041" width="10" style="822" hidden="1" customWidth="1"/>
    <col min="12042" max="12042" width="9.5" style="822" customWidth="1"/>
    <col min="12043" max="12043" width="5.6640625" style="822" customWidth="1"/>
    <col min="12044" max="12275" width="10" style="822"/>
    <col min="12276" max="12276" width="5" style="822" customWidth="1"/>
    <col min="12277" max="12277" width="9" style="822" customWidth="1"/>
    <col min="12278" max="12278" width="14.83203125" style="822" customWidth="1"/>
    <col min="12279" max="12283" width="13.5" style="822" customWidth="1"/>
    <col min="12284" max="12284" width="14.6640625" style="822" customWidth="1"/>
    <col min="12285" max="12285" width="11" style="822" customWidth="1"/>
    <col min="12286" max="12286" width="13.6640625" style="822" customWidth="1"/>
    <col min="12287" max="12287" width="13.5" style="822" customWidth="1"/>
    <col min="12288" max="12288" width="14.83203125" style="822" customWidth="1"/>
    <col min="12289" max="12289" width="13.33203125" style="822" customWidth="1"/>
    <col min="12290" max="12291" width="10" style="822" hidden="1" customWidth="1"/>
    <col min="12292" max="12292" width="11.5" style="822" customWidth="1"/>
    <col min="12293" max="12293" width="12.6640625" style="822" customWidth="1"/>
    <col min="12294" max="12294" width="12.1640625" style="822" customWidth="1"/>
    <col min="12295" max="12295" width="13.33203125" style="822" customWidth="1"/>
    <col min="12296" max="12296" width="12" style="822" customWidth="1"/>
    <col min="12297" max="12297" width="10" style="822" hidden="1" customWidth="1"/>
    <col min="12298" max="12298" width="9.5" style="822" customWidth="1"/>
    <col min="12299" max="12299" width="5.6640625" style="822" customWidth="1"/>
    <col min="12300" max="12531" width="10" style="822"/>
    <col min="12532" max="12532" width="5" style="822" customWidth="1"/>
    <col min="12533" max="12533" width="9" style="822" customWidth="1"/>
    <col min="12534" max="12534" width="14.83203125" style="822" customWidth="1"/>
    <col min="12535" max="12539" width="13.5" style="822" customWidth="1"/>
    <col min="12540" max="12540" width="14.6640625" style="822" customWidth="1"/>
    <col min="12541" max="12541" width="11" style="822" customWidth="1"/>
    <col min="12542" max="12542" width="13.6640625" style="822" customWidth="1"/>
    <col min="12543" max="12543" width="13.5" style="822" customWidth="1"/>
    <col min="12544" max="12544" width="14.83203125" style="822" customWidth="1"/>
    <col min="12545" max="12545" width="13.33203125" style="822" customWidth="1"/>
    <col min="12546" max="12547" width="10" style="822" hidden="1" customWidth="1"/>
    <col min="12548" max="12548" width="11.5" style="822" customWidth="1"/>
    <col min="12549" max="12549" width="12.6640625" style="822" customWidth="1"/>
    <col min="12550" max="12550" width="12.1640625" style="822" customWidth="1"/>
    <col min="12551" max="12551" width="13.33203125" style="822" customWidth="1"/>
    <col min="12552" max="12552" width="12" style="822" customWidth="1"/>
    <col min="12553" max="12553" width="10" style="822" hidden="1" customWidth="1"/>
    <col min="12554" max="12554" width="9.5" style="822" customWidth="1"/>
    <col min="12555" max="12555" width="5.6640625" style="822" customWidth="1"/>
    <col min="12556" max="12787" width="10" style="822"/>
    <col min="12788" max="12788" width="5" style="822" customWidth="1"/>
    <col min="12789" max="12789" width="9" style="822" customWidth="1"/>
    <col min="12790" max="12790" width="14.83203125" style="822" customWidth="1"/>
    <col min="12791" max="12795" width="13.5" style="822" customWidth="1"/>
    <col min="12796" max="12796" width="14.6640625" style="822" customWidth="1"/>
    <col min="12797" max="12797" width="11" style="822" customWidth="1"/>
    <col min="12798" max="12798" width="13.6640625" style="822" customWidth="1"/>
    <col min="12799" max="12799" width="13.5" style="822" customWidth="1"/>
    <col min="12800" max="12800" width="14.83203125" style="822" customWidth="1"/>
    <col min="12801" max="12801" width="13.33203125" style="822" customWidth="1"/>
    <col min="12802" max="12803" width="10" style="822" hidden="1" customWidth="1"/>
    <col min="12804" max="12804" width="11.5" style="822" customWidth="1"/>
    <col min="12805" max="12805" width="12.6640625" style="822" customWidth="1"/>
    <col min="12806" max="12806" width="12.1640625" style="822" customWidth="1"/>
    <col min="12807" max="12807" width="13.33203125" style="822" customWidth="1"/>
    <col min="12808" max="12808" width="12" style="822" customWidth="1"/>
    <col min="12809" max="12809" width="10" style="822" hidden="1" customWidth="1"/>
    <col min="12810" max="12810" width="9.5" style="822" customWidth="1"/>
    <col min="12811" max="12811" width="5.6640625" style="822" customWidth="1"/>
    <col min="12812" max="13043" width="10" style="822"/>
    <col min="13044" max="13044" width="5" style="822" customWidth="1"/>
    <col min="13045" max="13045" width="9" style="822" customWidth="1"/>
    <col min="13046" max="13046" width="14.83203125" style="822" customWidth="1"/>
    <col min="13047" max="13051" width="13.5" style="822" customWidth="1"/>
    <col min="13052" max="13052" width="14.6640625" style="822" customWidth="1"/>
    <col min="13053" max="13053" width="11" style="822" customWidth="1"/>
    <col min="13054" max="13054" width="13.6640625" style="822" customWidth="1"/>
    <col min="13055" max="13055" width="13.5" style="822" customWidth="1"/>
    <col min="13056" max="13056" width="14.83203125" style="822" customWidth="1"/>
    <col min="13057" max="13057" width="13.33203125" style="822" customWidth="1"/>
    <col min="13058" max="13059" width="10" style="822" hidden="1" customWidth="1"/>
    <col min="13060" max="13060" width="11.5" style="822" customWidth="1"/>
    <col min="13061" max="13061" width="12.6640625" style="822" customWidth="1"/>
    <col min="13062" max="13062" width="12.1640625" style="822" customWidth="1"/>
    <col min="13063" max="13063" width="13.33203125" style="822" customWidth="1"/>
    <col min="13064" max="13064" width="12" style="822" customWidth="1"/>
    <col min="13065" max="13065" width="10" style="822" hidden="1" customWidth="1"/>
    <col min="13066" max="13066" width="9.5" style="822" customWidth="1"/>
    <col min="13067" max="13067" width="5.6640625" style="822" customWidth="1"/>
    <col min="13068" max="13299" width="10" style="822"/>
    <col min="13300" max="13300" width="5" style="822" customWidth="1"/>
    <col min="13301" max="13301" width="9" style="822" customWidth="1"/>
    <col min="13302" max="13302" width="14.83203125" style="822" customWidth="1"/>
    <col min="13303" max="13307" width="13.5" style="822" customWidth="1"/>
    <col min="13308" max="13308" width="14.6640625" style="822" customWidth="1"/>
    <col min="13309" max="13309" width="11" style="822" customWidth="1"/>
    <col min="13310" max="13310" width="13.6640625" style="822" customWidth="1"/>
    <col min="13311" max="13311" width="13.5" style="822" customWidth="1"/>
    <col min="13312" max="13312" width="14.83203125" style="822" customWidth="1"/>
    <col min="13313" max="13313" width="13.33203125" style="822" customWidth="1"/>
    <col min="13314" max="13315" width="10" style="822" hidden="1" customWidth="1"/>
    <col min="13316" max="13316" width="11.5" style="822" customWidth="1"/>
    <col min="13317" max="13317" width="12.6640625" style="822" customWidth="1"/>
    <col min="13318" max="13318" width="12.1640625" style="822" customWidth="1"/>
    <col min="13319" max="13319" width="13.33203125" style="822" customWidth="1"/>
    <col min="13320" max="13320" width="12" style="822" customWidth="1"/>
    <col min="13321" max="13321" width="10" style="822" hidden="1" customWidth="1"/>
    <col min="13322" max="13322" width="9.5" style="822" customWidth="1"/>
    <col min="13323" max="13323" width="5.6640625" style="822" customWidth="1"/>
    <col min="13324" max="13555" width="10" style="822"/>
    <col min="13556" max="13556" width="5" style="822" customWidth="1"/>
    <col min="13557" max="13557" width="9" style="822" customWidth="1"/>
    <col min="13558" max="13558" width="14.83203125" style="822" customWidth="1"/>
    <col min="13559" max="13563" width="13.5" style="822" customWidth="1"/>
    <col min="13564" max="13564" width="14.6640625" style="822" customWidth="1"/>
    <col min="13565" max="13565" width="11" style="822" customWidth="1"/>
    <col min="13566" max="13566" width="13.6640625" style="822" customWidth="1"/>
    <col min="13567" max="13567" width="13.5" style="822" customWidth="1"/>
    <col min="13568" max="13568" width="14.83203125" style="822" customWidth="1"/>
    <col min="13569" max="13569" width="13.33203125" style="822" customWidth="1"/>
    <col min="13570" max="13571" width="10" style="822" hidden="1" customWidth="1"/>
    <col min="13572" max="13572" width="11.5" style="822" customWidth="1"/>
    <col min="13573" max="13573" width="12.6640625" style="822" customWidth="1"/>
    <col min="13574" max="13574" width="12.1640625" style="822" customWidth="1"/>
    <col min="13575" max="13575" width="13.33203125" style="822" customWidth="1"/>
    <col min="13576" max="13576" width="12" style="822" customWidth="1"/>
    <col min="13577" max="13577" width="10" style="822" hidden="1" customWidth="1"/>
    <col min="13578" max="13578" width="9.5" style="822" customWidth="1"/>
    <col min="13579" max="13579" width="5.6640625" style="822" customWidth="1"/>
    <col min="13580" max="13811" width="10" style="822"/>
    <col min="13812" max="13812" width="5" style="822" customWidth="1"/>
    <col min="13813" max="13813" width="9" style="822" customWidth="1"/>
    <col min="13814" max="13814" width="14.83203125" style="822" customWidth="1"/>
    <col min="13815" max="13819" width="13.5" style="822" customWidth="1"/>
    <col min="13820" max="13820" width="14.6640625" style="822" customWidth="1"/>
    <col min="13821" max="13821" width="11" style="822" customWidth="1"/>
    <col min="13822" max="13822" width="13.6640625" style="822" customWidth="1"/>
    <col min="13823" max="13823" width="13.5" style="822" customWidth="1"/>
    <col min="13824" max="13824" width="14.83203125" style="822" customWidth="1"/>
    <col min="13825" max="13825" width="13.33203125" style="822" customWidth="1"/>
    <col min="13826" max="13827" width="10" style="822" hidden="1" customWidth="1"/>
    <col min="13828" max="13828" width="11.5" style="822" customWidth="1"/>
    <col min="13829" max="13829" width="12.6640625" style="822" customWidth="1"/>
    <col min="13830" max="13830" width="12.1640625" style="822" customWidth="1"/>
    <col min="13831" max="13831" width="13.33203125" style="822" customWidth="1"/>
    <col min="13832" max="13832" width="12" style="822" customWidth="1"/>
    <col min="13833" max="13833" width="10" style="822" hidden="1" customWidth="1"/>
    <col min="13834" max="13834" width="9.5" style="822" customWidth="1"/>
    <col min="13835" max="13835" width="5.6640625" style="822" customWidth="1"/>
    <col min="13836" max="14067" width="10" style="822"/>
    <col min="14068" max="14068" width="5" style="822" customWidth="1"/>
    <col min="14069" max="14069" width="9" style="822" customWidth="1"/>
    <col min="14070" max="14070" width="14.83203125" style="822" customWidth="1"/>
    <col min="14071" max="14075" width="13.5" style="822" customWidth="1"/>
    <col min="14076" max="14076" width="14.6640625" style="822" customWidth="1"/>
    <col min="14077" max="14077" width="11" style="822" customWidth="1"/>
    <col min="14078" max="14078" width="13.6640625" style="822" customWidth="1"/>
    <col min="14079" max="14079" width="13.5" style="822" customWidth="1"/>
    <col min="14080" max="14080" width="14.83203125" style="822" customWidth="1"/>
    <col min="14081" max="14081" width="13.33203125" style="822" customWidth="1"/>
    <col min="14082" max="14083" width="10" style="822" hidden="1" customWidth="1"/>
    <col min="14084" max="14084" width="11.5" style="822" customWidth="1"/>
    <col min="14085" max="14085" width="12.6640625" style="822" customWidth="1"/>
    <col min="14086" max="14086" width="12.1640625" style="822" customWidth="1"/>
    <col min="14087" max="14087" width="13.33203125" style="822" customWidth="1"/>
    <col min="14088" max="14088" width="12" style="822" customWidth="1"/>
    <col min="14089" max="14089" width="10" style="822" hidden="1" customWidth="1"/>
    <col min="14090" max="14090" width="9.5" style="822" customWidth="1"/>
    <col min="14091" max="14091" width="5.6640625" style="822" customWidth="1"/>
    <col min="14092" max="14323" width="10" style="822"/>
    <col min="14324" max="14324" width="5" style="822" customWidth="1"/>
    <col min="14325" max="14325" width="9" style="822" customWidth="1"/>
    <col min="14326" max="14326" width="14.83203125" style="822" customWidth="1"/>
    <col min="14327" max="14331" width="13.5" style="822" customWidth="1"/>
    <col min="14332" max="14332" width="14.6640625" style="822" customWidth="1"/>
    <col min="14333" max="14333" width="11" style="822" customWidth="1"/>
    <col min="14334" max="14334" width="13.6640625" style="822" customWidth="1"/>
    <col min="14335" max="14335" width="13.5" style="822" customWidth="1"/>
    <col min="14336" max="14336" width="14.83203125" style="822" customWidth="1"/>
    <col min="14337" max="14337" width="13.33203125" style="822" customWidth="1"/>
    <col min="14338" max="14339" width="10" style="822" hidden="1" customWidth="1"/>
    <col min="14340" max="14340" width="11.5" style="822" customWidth="1"/>
    <col min="14341" max="14341" width="12.6640625" style="822" customWidth="1"/>
    <col min="14342" max="14342" width="12.1640625" style="822" customWidth="1"/>
    <col min="14343" max="14343" width="13.33203125" style="822" customWidth="1"/>
    <col min="14344" max="14344" width="12" style="822" customWidth="1"/>
    <col min="14345" max="14345" width="10" style="822" hidden="1" customWidth="1"/>
    <col min="14346" max="14346" width="9.5" style="822" customWidth="1"/>
    <col min="14347" max="14347" width="5.6640625" style="822" customWidth="1"/>
    <col min="14348" max="14579" width="10" style="822"/>
    <col min="14580" max="14580" width="5" style="822" customWidth="1"/>
    <col min="14581" max="14581" width="9" style="822" customWidth="1"/>
    <col min="14582" max="14582" width="14.83203125" style="822" customWidth="1"/>
    <col min="14583" max="14587" width="13.5" style="822" customWidth="1"/>
    <col min="14588" max="14588" width="14.6640625" style="822" customWidth="1"/>
    <col min="14589" max="14589" width="11" style="822" customWidth="1"/>
    <col min="14590" max="14590" width="13.6640625" style="822" customWidth="1"/>
    <col min="14591" max="14591" width="13.5" style="822" customWidth="1"/>
    <col min="14592" max="14592" width="14.83203125" style="822" customWidth="1"/>
    <col min="14593" max="14593" width="13.33203125" style="822" customWidth="1"/>
    <col min="14594" max="14595" width="10" style="822" hidden="1" customWidth="1"/>
    <col min="14596" max="14596" width="11.5" style="822" customWidth="1"/>
    <col min="14597" max="14597" width="12.6640625" style="822" customWidth="1"/>
    <col min="14598" max="14598" width="12.1640625" style="822" customWidth="1"/>
    <col min="14599" max="14599" width="13.33203125" style="822" customWidth="1"/>
    <col min="14600" max="14600" width="12" style="822" customWidth="1"/>
    <col min="14601" max="14601" width="10" style="822" hidden="1" customWidth="1"/>
    <col min="14602" max="14602" width="9.5" style="822" customWidth="1"/>
    <col min="14603" max="14603" width="5.6640625" style="822" customWidth="1"/>
    <col min="14604" max="14835" width="10" style="822"/>
    <col min="14836" max="14836" width="5" style="822" customWidth="1"/>
    <col min="14837" max="14837" width="9" style="822" customWidth="1"/>
    <col min="14838" max="14838" width="14.83203125" style="822" customWidth="1"/>
    <col min="14839" max="14843" width="13.5" style="822" customWidth="1"/>
    <col min="14844" max="14844" width="14.6640625" style="822" customWidth="1"/>
    <col min="14845" max="14845" width="11" style="822" customWidth="1"/>
    <col min="14846" max="14846" width="13.6640625" style="822" customWidth="1"/>
    <col min="14847" max="14847" width="13.5" style="822" customWidth="1"/>
    <col min="14848" max="14848" width="14.83203125" style="822" customWidth="1"/>
    <col min="14849" max="14849" width="13.33203125" style="822" customWidth="1"/>
    <col min="14850" max="14851" width="10" style="822" hidden="1" customWidth="1"/>
    <col min="14852" max="14852" width="11.5" style="822" customWidth="1"/>
    <col min="14853" max="14853" width="12.6640625" style="822" customWidth="1"/>
    <col min="14854" max="14854" width="12.1640625" style="822" customWidth="1"/>
    <col min="14855" max="14855" width="13.33203125" style="822" customWidth="1"/>
    <col min="14856" max="14856" width="12" style="822" customWidth="1"/>
    <col min="14857" max="14857" width="10" style="822" hidden="1" customWidth="1"/>
    <col min="14858" max="14858" width="9.5" style="822" customWidth="1"/>
    <col min="14859" max="14859" width="5.6640625" style="822" customWidth="1"/>
    <col min="14860" max="15091" width="10" style="822"/>
    <col min="15092" max="15092" width="5" style="822" customWidth="1"/>
    <col min="15093" max="15093" width="9" style="822" customWidth="1"/>
    <col min="15094" max="15094" width="14.83203125" style="822" customWidth="1"/>
    <col min="15095" max="15099" width="13.5" style="822" customWidth="1"/>
    <col min="15100" max="15100" width="14.6640625" style="822" customWidth="1"/>
    <col min="15101" max="15101" width="11" style="822" customWidth="1"/>
    <col min="15102" max="15102" width="13.6640625" style="822" customWidth="1"/>
    <col min="15103" max="15103" width="13.5" style="822" customWidth="1"/>
    <col min="15104" max="15104" width="14.83203125" style="822" customWidth="1"/>
    <col min="15105" max="15105" width="13.33203125" style="822" customWidth="1"/>
    <col min="15106" max="15107" width="10" style="822" hidden="1" customWidth="1"/>
    <col min="15108" max="15108" width="11.5" style="822" customWidth="1"/>
    <col min="15109" max="15109" width="12.6640625" style="822" customWidth="1"/>
    <col min="15110" max="15110" width="12.1640625" style="822" customWidth="1"/>
    <col min="15111" max="15111" width="13.33203125" style="822" customWidth="1"/>
    <col min="15112" max="15112" width="12" style="822" customWidth="1"/>
    <col min="15113" max="15113" width="10" style="822" hidden="1" customWidth="1"/>
    <col min="15114" max="15114" width="9.5" style="822" customWidth="1"/>
    <col min="15115" max="15115" width="5.6640625" style="822" customWidth="1"/>
    <col min="15116" max="15347" width="10" style="822"/>
    <col min="15348" max="15348" width="5" style="822" customWidth="1"/>
    <col min="15349" max="15349" width="9" style="822" customWidth="1"/>
    <col min="15350" max="15350" width="14.83203125" style="822" customWidth="1"/>
    <col min="15351" max="15355" width="13.5" style="822" customWidth="1"/>
    <col min="15356" max="15356" width="14.6640625" style="822" customWidth="1"/>
    <col min="15357" max="15357" width="11" style="822" customWidth="1"/>
    <col min="15358" max="15358" width="13.6640625" style="822" customWidth="1"/>
    <col min="15359" max="15359" width="13.5" style="822" customWidth="1"/>
    <col min="15360" max="15360" width="14.83203125" style="822" customWidth="1"/>
    <col min="15361" max="15361" width="13.33203125" style="822" customWidth="1"/>
    <col min="15362" max="15363" width="10" style="822" hidden="1" customWidth="1"/>
    <col min="15364" max="15364" width="11.5" style="822" customWidth="1"/>
    <col min="15365" max="15365" width="12.6640625" style="822" customWidth="1"/>
    <col min="15366" max="15366" width="12.1640625" style="822" customWidth="1"/>
    <col min="15367" max="15367" width="13.33203125" style="822" customWidth="1"/>
    <col min="15368" max="15368" width="12" style="822" customWidth="1"/>
    <col min="15369" max="15369" width="10" style="822" hidden="1" customWidth="1"/>
    <col min="15370" max="15370" width="9.5" style="822" customWidth="1"/>
    <col min="15371" max="15371" width="5.6640625" style="822" customWidth="1"/>
    <col min="15372" max="15603" width="10" style="822"/>
    <col min="15604" max="15604" width="5" style="822" customWidth="1"/>
    <col min="15605" max="15605" width="9" style="822" customWidth="1"/>
    <col min="15606" max="15606" width="14.83203125" style="822" customWidth="1"/>
    <col min="15607" max="15611" width="13.5" style="822" customWidth="1"/>
    <col min="15612" max="15612" width="14.6640625" style="822" customWidth="1"/>
    <col min="15613" max="15613" width="11" style="822" customWidth="1"/>
    <col min="15614" max="15614" width="13.6640625" style="822" customWidth="1"/>
    <col min="15615" max="15615" width="13.5" style="822" customWidth="1"/>
    <col min="15616" max="15616" width="14.83203125" style="822" customWidth="1"/>
    <col min="15617" max="15617" width="13.33203125" style="822" customWidth="1"/>
    <col min="15618" max="15619" width="10" style="822" hidden="1" customWidth="1"/>
    <col min="15620" max="15620" width="11.5" style="822" customWidth="1"/>
    <col min="15621" max="15621" width="12.6640625" style="822" customWidth="1"/>
    <col min="15622" max="15622" width="12.1640625" style="822" customWidth="1"/>
    <col min="15623" max="15623" width="13.33203125" style="822" customWidth="1"/>
    <col min="15624" max="15624" width="12" style="822" customWidth="1"/>
    <col min="15625" max="15625" width="10" style="822" hidden="1" customWidth="1"/>
    <col min="15626" max="15626" width="9.5" style="822" customWidth="1"/>
    <col min="15627" max="15627" width="5.6640625" style="822" customWidth="1"/>
    <col min="15628" max="15859" width="10" style="822"/>
    <col min="15860" max="15860" width="5" style="822" customWidth="1"/>
    <col min="15861" max="15861" width="9" style="822" customWidth="1"/>
    <col min="15862" max="15862" width="14.83203125" style="822" customWidth="1"/>
    <col min="15863" max="15867" width="13.5" style="822" customWidth="1"/>
    <col min="15868" max="15868" width="14.6640625" style="822" customWidth="1"/>
    <col min="15869" max="15869" width="11" style="822" customWidth="1"/>
    <col min="15870" max="15870" width="13.6640625" style="822" customWidth="1"/>
    <col min="15871" max="15871" width="13.5" style="822" customWidth="1"/>
    <col min="15872" max="15872" width="14.83203125" style="822" customWidth="1"/>
    <col min="15873" max="15873" width="13.33203125" style="822" customWidth="1"/>
    <col min="15874" max="15875" width="10" style="822" hidden="1" customWidth="1"/>
    <col min="15876" max="15876" width="11.5" style="822" customWidth="1"/>
    <col min="15877" max="15877" width="12.6640625" style="822" customWidth="1"/>
    <col min="15878" max="15878" width="12.1640625" style="822" customWidth="1"/>
    <col min="15879" max="15879" width="13.33203125" style="822" customWidth="1"/>
    <col min="15880" max="15880" width="12" style="822" customWidth="1"/>
    <col min="15881" max="15881" width="10" style="822" hidden="1" customWidth="1"/>
    <col min="15882" max="15882" width="9.5" style="822" customWidth="1"/>
    <col min="15883" max="15883" width="5.6640625" style="822" customWidth="1"/>
    <col min="15884" max="16115" width="10" style="822"/>
    <col min="16116" max="16116" width="5" style="822" customWidth="1"/>
    <col min="16117" max="16117" width="9" style="822" customWidth="1"/>
    <col min="16118" max="16118" width="14.83203125" style="822" customWidth="1"/>
    <col min="16119" max="16123" width="13.5" style="822" customWidth="1"/>
    <col min="16124" max="16124" width="14.6640625" style="822" customWidth="1"/>
    <col min="16125" max="16125" width="11" style="822" customWidth="1"/>
    <col min="16126" max="16126" width="13.6640625" style="822" customWidth="1"/>
    <col min="16127" max="16127" width="13.5" style="822" customWidth="1"/>
    <col min="16128" max="16128" width="14.83203125" style="822" customWidth="1"/>
    <col min="16129" max="16129" width="13.33203125" style="822" customWidth="1"/>
    <col min="16130" max="16131" width="10" style="822" hidden="1" customWidth="1"/>
    <col min="16132" max="16132" width="11.5" style="822" customWidth="1"/>
    <col min="16133" max="16133" width="12.6640625" style="822" customWidth="1"/>
    <col min="16134" max="16134" width="12.1640625" style="822" customWidth="1"/>
    <col min="16135" max="16135" width="13.33203125" style="822" customWidth="1"/>
    <col min="16136" max="16136" width="12" style="822" customWidth="1"/>
    <col min="16137" max="16137" width="10" style="822" hidden="1" customWidth="1"/>
    <col min="16138" max="16138" width="9.5" style="822" customWidth="1"/>
    <col min="16139" max="16139" width="5.6640625" style="822" customWidth="1"/>
    <col min="16140" max="16384" width="10" style="822"/>
  </cols>
  <sheetData>
    <row r="1" spans="1:17" ht="29.25" customHeight="1">
      <c r="A1" s="821" t="s">
        <v>7444</v>
      </c>
      <c r="B1" s="821"/>
      <c r="C1" s="821"/>
      <c r="D1" s="821"/>
      <c r="E1" s="821"/>
      <c r="F1" s="821"/>
      <c r="G1" s="821"/>
      <c r="H1" s="821"/>
      <c r="I1" s="821"/>
      <c r="J1" s="821"/>
      <c r="K1" s="821"/>
      <c r="L1" s="821"/>
      <c r="M1" s="821"/>
      <c r="N1" s="821"/>
    </row>
    <row r="2" spans="1:17" s="828" customFormat="1" ht="35" customHeight="1">
      <c r="A2" s="824" t="s">
        <v>7445</v>
      </c>
      <c r="B2" s="825" t="s">
        <v>7446</v>
      </c>
      <c r="C2" s="825" t="s">
        <v>7447</v>
      </c>
      <c r="D2" s="826" t="s">
        <v>7448</v>
      </c>
      <c r="E2" s="825" t="s">
        <v>7449</v>
      </c>
      <c r="F2" s="825" t="s">
        <v>7450</v>
      </c>
      <c r="G2" s="826" t="s">
        <v>7451</v>
      </c>
      <c r="H2" s="826" t="s">
        <v>7452</v>
      </c>
      <c r="I2" s="827" t="s">
        <v>7453</v>
      </c>
      <c r="J2" s="826" t="s">
        <v>7454</v>
      </c>
      <c r="K2" s="826" t="s">
        <v>7455</v>
      </c>
      <c r="L2" s="1687" t="s">
        <v>78</v>
      </c>
      <c r="M2" s="1687"/>
      <c r="N2" s="1687"/>
      <c r="P2" s="829"/>
    </row>
    <row r="3" spans="1:17" s="842" customFormat="1" ht="32">
      <c r="A3" s="1688"/>
      <c r="B3" s="1067" t="s">
        <v>8101</v>
      </c>
      <c r="C3" s="1067" t="s">
        <v>7706</v>
      </c>
      <c r="D3" s="832"/>
      <c r="E3" s="832"/>
      <c r="F3" s="833">
        <f>I35</f>
        <v>401</v>
      </c>
      <c r="G3" s="834">
        <f>H35</f>
        <v>29</v>
      </c>
      <c r="H3" s="835">
        <f>桩基单价!G23</f>
        <v>481.72334303101849</v>
      </c>
      <c r="I3" s="836">
        <f>F3*G3*H3/10000</f>
        <v>560.19607561077146</v>
      </c>
      <c r="J3" s="837">
        <f>'02 项目基础信息（输入）'!C69</f>
        <v>74626.7546</v>
      </c>
      <c r="K3" s="838"/>
      <c r="L3" s="839"/>
      <c r="M3" s="840"/>
      <c r="N3" s="841"/>
      <c r="P3" s="843"/>
    </row>
    <row r="4" spans="1:17" s="842" customFormat="1" ht="32">
      <c r="A4" s="1688"/>
      <c r="B4" s="1067" t="s">
        <v>8100</v>
      </c>
      <c r="C4" s="1067" t="s">
        <v>7667</v>
      </c>
      <c r="D4" s="832"/>
      <c r="E4" s="832"/>
      <c r="F4" s="833">
        <f t="shared" ref="F4:F6" si="0">I36</f>
        <v>440</v>
      </c>
      <c r="G4" s="834">
        <f t="shared" ref="G4:G6" si="1">H36</f>
        <v>28</v>
      </c>
      <c r="H4" s="835">
        <v>220</v>
      </c>
      <c r="I4" s="836">
        <f t="shared" ref="I4:I5" si="2">F4*G4*H4/10000</f>
        <v>271.04000000000002</v>
      </c>
      <c r="J4" s="836">
        <f>J3</f>
        <v>74626.7546</v>
      </c>
      <c r="K4" s="838"/>
      <c r="L4" s="839"/>
      <c r="M4" s="840"/>
      <c r="N4" s="841"/>
      <c r="P4" s="843"/>
    </row>
    <row r="5" spans="1:17" s="842" customFormat="1" ht="38" customHeight="1">
      <c r="A5" s="1688"/>
      <c r="B5" s="1067" t="s">
        <v>7622</v>
      </c>
      <c r="C5" s="1067" t="s">
        <v>7707</v>
      </c>
      <c r="D5" s="832"/>
      <c r="E5" s="832"/>
      <c r="F5" s="833">
        <f t="shared" si="0"/>
        <v>438</v>
      </c>
      <c r="G5" s="834">
        <f t="shared" si="1"/>
        <v>15</v>
      </c>
      <c r="H5" s="835">
        <f>桩基单价!G40</f>
        <v>602.61662714068689</v>
      </c>
      <c r="I5" s="836">
        <f t="shared" si="2"/>
        <v>395.91912403143129</v>
      </c>
      <c r="J5" s="836">
        <f>J3</f>
        <v>74626.7546</v>
      </c>
      <c r="K5" s="838"/>
      <c r="L5" s="839"/>
      <c r="M5" s="840"/>
      <c r="N5" s="841"/>
      <c r="P5" s="843"/>
    </row>
    <row r="6" spans="1:17" s="842" customFormat="1">
      <c r="A6" s="1688"/>
      <c r="B6" s="1067" t="s">
        <v>7622</v>
      </c>
      <c r="C6" s="1067" t="s">
        <v>7674</v>
      </c>
      <c r="D6" s="832"/>
      <c r="E6" s="832"/>
      <c r="F6" s="833">
        <f t="shared" si="0"/>
        <v>308</v>
      </c>
      <c r="G6" s="834">
        <f t="shared" si="1"/>
        <v>15</v>
      </c>
      <c r="H6" s="835">
        <v>253</v>
      </c>
      <c r="I6" s="836">
        <f t="shared" ref="I6" si="3">F6*G6*H6/10000</f>
        <v>116.886</v>
      </c>
      <c r="J6" s="836">
        <f>J4</f>
        <v>74626.7546</v>
      </c>
      <c r="K6" s="838"/>
      <c r="L6" s="839"/>
      <c r="M6" s="840"/>
      <c r="N6" s="841"/>
      <c r="P6" s="843"/>
    </row>
    <row r="7" spans="1:17" s="842" customFormat="1" ht="22" customHeight="1">
      <c r="A7" s="1688"/>
      <c r="B7" s="844" t="s">
        <v>7217</v>
      </c>
      <c r="C7" s="832" t="s">
        <v>7456</v>
      </c>
      <c r="D7" s="832"/>
      <c r="E7" s="832"/>
      <c r="F7" s="845"/>
      <c r="G7" s="845"/>
      <c r="H7" s="846">
        <v>7.0000000000000007E-2</v>
      </c>
      <c r="I7" s="836">
        <f>SUM(I3:I6)*H7</f>
        <v>94.0828839749542</v>
      </c>
      <c r="J7" s="836">
        <f>J3</f>
        <v>74626.7546</v>
      </c>
      <c r="K7" s="838"/>
      <c r="L7" s="841"/>
      <c r="M7" s="841"/>
      <c r="N7" s="841"/>
      <c r="P7" s="843"/>
    </row>
    <row r="8" spans="1:17" s="842" customFormat="1" ht="22" customHeight="1">
      <c r="A8" s="1688"/>
      <c r="B8" s="847"/>
      <c r="C8" s="848" t="s">
        <v>649</v>
      </c>
      <c r="D8" s="848"/>
      <c r="E8" s="848"/>
      <c r="F8" s="849">
        <f>SUM(F3:F7)</f>
        <v>1587</v>
      </c>
      <c r="G8" s="849">
        <v>12</v>
      </c>
      <c r="H8" s="850">
        <f>I8/G8/F8*10000</f>
        <v>755.15862403757444</v>
      </c>
      <c r="I8" s="851">
        <f>SUM(I3:I7)</f>
        <v>1438.1240836171569</v>
      </c>
      <c r="J8" s="851">
        <f>J7</f>
        <v>74626.7546</v>
      </c>
      <c r="K8" s="852">
        <f>I8/J8*10000</f>
        <v>192.70891402493831</v>
      </c>
      <c r="L8" s="853" t="s">
        <v>7457</v>
      </c>
      <c r="M8" s="854">
        <f>I8/H8*10000</f>
        <v>19044</v>
      </c>
      <c r="N8" s="855"/>
      <c r="O8" s="856"/>
      <c r="P8" s="843"/>
    </row>
    <row r="9" spans="1:17" s="842" customFormat="1" ht="36" customHeight="1">
      <c r="A9" s="1688"/>
      <c r="B9" s="844" t="s">
        <v>7458</v>
      </c>
      <c r="C9" s="831" t="str">
        <f>C3</f>
        <v>YZ600-29-3，20/8根18,9/4根18-35</v>
      </c>
      <c r="D9" s="832"/>
      <c r="E9" s="832"/>
      <c r="F9" s="833">
        <v>10</v>
      </c>
      <c r="G9" s="834">
        <f>G3</f>
        <v>29</v>
      </c>
      <c r="H9" s="857">
        <f>H3*1.2</f>
        <v>578.06801163722218</v>
      </c>
      <c r="I9" s="836">
        <f>F9*G9*H9/10000</f>
        <v>16.763972337479444</v>
      </c>
      <c r="J9" s="836">
        <f>J3</f>
        <v>74626.7546</v>
      </c>
      <c r="K9" s="838"/>
      <c r="L9" s="1689" t="s">
        <v>7459</v>
      </c>
      <c r="M9" s="1690"/>
      <c r="N9" s="1691"/>
      <c r="O9" s="858"/>
      <c r="P9" s="843"/>
    </row>
    <row r="10" spans="1:17" s="842" customFormat="1" ht="36" customHeight="1">
      <c r="A10" s="1688"/>
      <c r="B10" s="844" t="s">
        <v>7458</v>
      </c>
      <c r="C10" s="831" t="str">
        <f t="shared" ref="C10:C12" si="4">C4</f>
        <v>PHC-500(110)AB-C60-14,14</v>
      </c>
      <c r="D10" s="832"/>
      <c r="E10" s="832"/>
      <c r="F10" s="833">
        <v>7</v>
      </c>
      <c r="G10" s="834">
        <f t="shared" ref="G10:G12" si="5">G4</f>
        <v>28</v>
      </c>
      <c r="H10" s="857">
        <f t="shared" ref="H10:H12" si="6">H4*1.2</f>
        <v>264</v>
      </c>
      <c r="I10" s="836">
        <f t="shared" ref="I10:I11" si="7">F10*G10*H10/10000</f>
        <v>5.1744000000000003</v>
      </c>
      <c r="J10" s="836">
        <f t="shared" ref="J10:J11" si="8">J4</f>
        <v>74626.7546</v>
      </c>
      <c r="K10" s="838"/>
      <c r="L10" s="1692"/>
      <c r="M10" s="1693"/>
      <c r="N10" s="1694"/>
      <c r="O10" s="858"/>
      <c r="P10" s="843"/>
    </row>
    <row r="11" spans="1:17" s="842" customFormat="1" ht="36" customHeight="1">
      <c r="A11" s="1688"/>
      <c r="B11" s="844" t="s">
        <v>7458</v>
      </c>
      <c r="C11" s="831" t="str">
        <f t="shared" si="4"/>
        <v>BZ600-29-3，29/12根18-35</v>
      </c>
      <c r="D11" s="832"/>
      <c r="E11" s="832"/>
      <c r="F11" s="833">
        <v>5</v>
      </c>
      <c r="G11" s="834">
        <f t="shared" si="5"/>
        <v>15</v>
      </c>
      <c r="H11" s="857">
        <f t="shared" si="6"/>
        <v>723.13995256882424</v>
      </c>
      <c r="I11" s="836">
        <f t="shared" si="7"/>
        <v>5.4235496442661821</v>
      </c>
      <c r="J11" s="836">
        <f t="shared" si="8"/>
        <v>74626.7546</v>
      </c>
      <c r="K11" s="838"/>
      <c r="L11" s="1692"/>
      <c r="M11" s="1693"/>
      <c r="N11" s="1694"/>
      <c r="O11" s="858"/>
      <c r="P11" s="843"/>
    </row>
    <row r="12" spans="1:17" s="842" customFormat="1" ht="36" customHeight="1">
      <c r="A12" s="1688"/>
      <c r="B12" s="844" t="s">
        <v>7458</v>
      </c>
      <c r="C12" s="831" t="str">
        <f t="shared" si="4"/>
        <v>YZH-400B-15G-C60</v>
      </c>
      <c r="D12" s="832"/>
      <c r="E12" s="832"/>
      <c r="F12" s="833">
        <v>3</v>
      </c>
      <c r="G12" s="834">
        <f t="shared" si="5"/>
        <v>15</v>
      </c>
      <c r="H12" s="857">
        <f t="shared" si="6"/>
        <v>303.59999999999997</v>
      </c>
      <c r="I12" s="836">
        <f>F12*G12*H12/10000</f>
        <v>1.3661999999999999</v>
      </c>
      <c r="J12" s="836">
        <f>J4</f>
        <v>74626.7546</v>
      </c>
      <c r="K12" s="838"/>
      <c r="L12" s="1692"/>
      <c r="M12" s="1693"/>
      <c r="N12" s="1694"/>
      <c r="O12" s="858"/>
      <c r="P12" s="843"/>
    </row>
    <row r="13" spans="1:17" s="842" customFormat="1" ht="22" customHeight="1">
      <c r="A13" s="1688"/>
      <c r="B13" s="844" t="s">
        <v>7460</v>
      </c>
      <c r="C13" s="832" t="s">
        <v>7461</v>
      </c>
      <c r="D13" s="832"/>
      <c r="E13" s="832"/>
      <c r="F13" s="845">
        <v>1</v>
      </c>
      <c r="G13" s="845">
        <v>1</v>
      </c>
      <c r="H13" s="832">
        <v>100000</v>
      </c>
      <c r="I13" s="836">
        <f>F13*G13*H13/10000</f>
        <v>10</v>
      </c>
      <c r="J13" s="836">
        <f>J9</f>
        <v>74626.7546</v>
      </c>
      <c r="K13" s="838"/>
      <c r="L13" s="1686"/>
      <c r="M13" s="1686"/>
      <c r="N13" s="1686"/>
      <c r="O13" s="858"/>
      <c r="P13" s="859"/>
      <c r="Q13" s="859"/>
    </row>
    <row r="14" spans="1:17" s="842" customFormat="1" ht="22" customHeight="1">
      <c r="A14" s="1688"/>
      <c r="B14" s="847"/>
      <c r="C14" s="848" t="s">
        <v>649</v>
      </c>
      <c r="D14" s="848"/>
      <c r="E14" s="848"/>
      <c r="F14" s="849">
        <f>SUM(F9:F13)</f>
        <v>26</v>
      </c>
      <c r="G14" s="849"/>
      <c r="H14" s="850"/>
      <c r="I14" s="851">
        <f>SUM(I9:I13)</f>
        <v>38.728121981745623</v>
      </c>
      <c r="J14" s="851">
        <f>J13</f>
        <v>74626.7546</v>
      </c>
      <c r="K14" s="852">
        <f>I14/J14*10000</f>
        <v>5.189576069511352</v>
      </c>
      <c r="L14" s="853" t="s">
        <v>7457</v>
      </c>
      <c r="M14" s="854"/>
      <c r="N14" s="855"/>
      <c r="O14" s="860"/>
      <c r="P14" s="859"/>
      <c r="Q14" s="859"/>
    </row>
    <row r="15" spans="1:17" s="842" customFormat="1" ht="22" customHeight="1">
      <c r="A15" s="1688"/>
      <c r="B15" s="861" t="s">
        <v>7462</v>
      </c>
      <c r="C15" s="846"/>
      <c r="D15" s="846"/>
      <c r="E15" s="846"/>
      <c r="F15" s="862">
        <f>F8+F14</f>
        <v>1613</v>
      </c>
      <c r="G15" s="863">
        <v>12</v>
      </c>
      <c r="H15" s="850">
        <f>I15*10000/(F15*G15)</f>
        <v>762.99452655450625</v>
      </c>
      <c r="I15" s="864">
        <f>I14+I8</f>
        <v>1476.8522055989024</v>
      </c>
      <c r="J15" s="864">
        <f>J14</f>
        <v>74626.7546</v>
      </c>
      <c r="K15" s="865">
        <f>I15/J15*10000</f>
        <v>197.89849009444964</v>
      </c>
      <c r="L15" s="866" t="s">
        <v>7457</v>
      </c>
      <c r="M15" s="854">
        <f>I15/H15*10000</f>
        <v>19356.000000000004</v>
      </c>
      <c r="N15" s="867"/>
      <c r="O15" s="868" t="s">
        <v>7463</v>
      </c>
      <c r="P15" s="869"/>
    </row>
    <row r="16" spans="1:17" s="870" customFormat="1" ht="28">
      <c r="A16" s="824" t="s">
        <v>7464</v>
      </c>
      <c r="B16" s="825" t="s">
        <v>7465</v>
      </c>
      <c r="C16" s="825" t="s">
        <v>7466</v>
      </c>
      <c r="D16" s="825" t="s">
        <v>7467</v>
      </c>
      <c r="E16" s="826" t="s">
        <v>7468</v>
      </c>
      <c r="F16" s="825" t="s">
        <v>7469</v>
      </c>
      <c r="G16" s="826" t="s">
        <v>7451</v>
      </c>
      <c r="H16" s="826" t="s">
        <v>7470</v>
      </c>
      <c r="I16" s="827" t="s">
        <v>7453</v>
      </c>
      <c r="J16" s="826" t="s">
        <v>7471</v>
      </c>
      <c r="K16" s="826" t="s">
        <v>7472</v>
      </c>
      <c r="L16" s="1687" t="s">
        <v>78</v>
      </c>
      <c r="M16" s="1687"/>
      <c r="N16" s="1687"/>
      <c r="P16" s="871"/>
    </row>
    <row r="17" spans="1:16" s="842" customFormat="1" ht="22" customHeight="1">
      <c r="A17" s="1699" t="s">
        <v>7464</v>
      </c>
      <c r="B17" s="844" t="s">
        <v>7473</v>
      </c>
      <c r="C17" s="872">
        <v>15</v>
      </c>
      <c r="D17" s="832">
        <v>3</v>
      </c>
      <c r="E17" s="832">
        <v>940</v>
      </c>
      <c r="F17" s="873">
        <f>C17*D17</f>
        <v>45</v>
      </c>
      <c r="G17" s="874"/>
      <c r="H17" s="832">
        <v>16.7</v>
      </c>
      <c r="I17" s="875">
        <f>F17*E17*H17/10000</f>
        <v>70.641000000000005</v>
      </c>
      <c r="J17" s="836"/>
      <c r="K17" s="876"/>
      <c r="L17" s="1686" t="s">
        <v>7474</v>
      </c>
      <c r="M17" s="1686"/>
      <c r="N17" s="1686"/>
      <c r="P17" s="843"/>
    </row>
    <row r="18" spans="1:16" s="842" customFormat="1" ht="22" customHeight="1">
      <c r="A18" s="1699"/>
      <c r="B18" s="844" t="s">
        <v>7475</v>
      </c>
      <c r="C18" s="872">
        <f>F4+F6</f>
        <v>748</v>
      </c>
      <c r="D18" s="832">
        <v>0.01</v>
      </c>
      <c r="E18" s="832">
        <v>940</v>
      </c>
      <c r="F18" s="873">
        <f>ROUND(C18*D18,0)</f>
        <v>7</v>
      </c>
      <c r="G18" s="874"/>
      <c r="H18" s="832">
        <v>16.7</v>
      </c>
      <c r="I18" s="875">
        <f>F18*E18*H18/10000</f>
        <v>10.9886</v>
      </c>
      <c r="J18" s="836"/>
      <c r="K18" s="876"/>
      <c r="L18" s="1700" t="s">
        <v>7476</v>
      </c>
      <c r="M18" s="1686"/>
      <c r="N18" s="1686"/>
      <c r="P18" s="843"/>
    </row>
    <row r="19" spans="1:16" s="842" customFormat="1" ht="22" customHeight="1">
      <c r="A19" s="1699"/>
      <c r="B19" s="844" t="s">
        <v>7477</v>
      </c>
      <c r="C19" s="872">
        <f>C18</f>
        <v>748</v>
      </c>
      <c r="D19" s="832">
        <v>0.01</v>
      </c>
      <c r="E19" s="832">
        <v>250</v>
      </c>
      <c r="F19" s="873">
        <f>ROUND(C19*D19,0)</f>
        <v>7</v>
      </c>
      <c r="G19" s="874"/>
      <c r="H19" s="832">
        <v>16.7</v>
      </c>
      <c r="I19" s="875">
        <f>F19*E19*H19/10000</f>
        <v>2.9224999999999999</v>
      </c>
      <c r="J19" s="836"/>
      <c r="K19" s="876"/>
      <c r="L19" s="1700" t="s">
        <v>7476</v>
      </c>
      <c r="M19" s="1686"/>
      <c r="N19" s="1686"/>
      <c r="P19" s="843"/>
    </row>
    <row r="20" spans="1:16" s="842" customFormat="1" ht="22" customHeight="1">
      <c r="A20" s="1699"/>
      <c r="B20" s="844" t="s">
        <v>7478</v>
      </c>
      <c r="C20" s="872"/>
      <c r="D20" s="832">
        <v>1</v>
      </c>
      <c r="E20" s="874"/>
      <c r="F20" s="873">
        <f t="shared" ref="F20:F27" si="9">C20*D20</f>
        <v>0</v>
      </c>
      <c r="G20" s="874"/>
      <c r="H20" s="832"/>
      <c r="I20" s="875">
        <f>F20*H20/10000</f>
        <v>0</v>
      </c>
      <c r="J20" s="836"/>
      <c r="K20" s="876"/>
      <c r="L20" s="1686" t="s">
        <v>7479</v>
      </c>
      <c r="M20" s="1686"/>
      <c r="N20" s="1686"/>
      <c r="P20" s="843"/>
    </row>
    <row r="21" spans="1:16" s="842" customFormat="1" ht="22" customHeight="1">
      <c r="A21" s="1699"/>
      <c r="B21" s="844" t="s">
        <v>7480</v>
      </c>
      <c r="C21" s="872">
        <f>F8+F14</f>
        <v>1613</v>
      </c>
      <c r="D21" s="832">
        <v>1</v>
      </c>
      <c r="E21" s="874"/>
      <c r="F21" s="873">
        <f t="shared" si="9"/>
        <v>1613</v>
      </c>
      <c r="G21" s="874"/>
      <c r="H21" s="832">
        <v>5</v>
      </c>
      <c r="I21" s="875">
        <f t="shared" ref="I21:I27" si="10">F21*H21/10000</f>
        <v>0.80649999999999999</v>
      </c>
      <c r="J21" s="836"/>
      <c r="K21" s="876"/>
      <c r="L21" s="1686" t="s">
        <v>7479</v>
      </c>
      <c r="M21" s="1686"/>
      <c r="N21" s="1686"/>
      <c r="P21" s="843"/>
    </row>
    <row r="22" spans="1:16" s="842" customFormat="1" ht="22" customHeight="1">
      <c r="A22" s="1699"/>
      <c r="B22" s="844" t="s">
        <v>7481</v>
      </c>
      <c r="C22" s="872">
        <f>C21</f>
        <v>1613</v>
      </c>
      <c r="D22" s="832">
        <v>0.1</v>
      </c>
      <c r="E22" s="874"/>
      <c r="F22" s="873">
        <f t="shared" si="9"/>
        <v>161.30000000000001</v>
      </c>
      <c r="G22" s="874"/>
      <c r="H22" s="832">
        <v>400</v>
      </c>
      <c r="I22" s="875">
        <f t="shared" si="10"/>
        <v>6.4520000000000008</v>
      </c>
      <c r="J22" s="836"/>
      <c r="K22" s="876"/>
      <c r="L22" s="1701" t="s">
        <v>7482</v>
      </c>
      <c r="M22" s="1702"/>
      <c r="N22" s="1703"/>
      <c r="P22" s="843"/>
    </row>
    <row r="23" spans="1:16" s="842" customFormat="1" ht="22" customHeight="1">
      <c r="A23" s="1699"/>
      <c r="B23" s="844" t="s">
        <v>7483</v>
      </c>
      <c r="C23" s="872"/>
      <c r="D23" s="832">
        <v>3</v>
      </c>
      <c r="E23" s="874"/>
      <c r="F23" s="873">
        <f t="shared" si="9"/>
        <v>0</v>
      </c>
      <c r="G23" s="874"/>
      <c r="H23" s="832"/>
      <c r="I23" s="875"/>
      <c r="J23" s="836"/>
      <c r="K23" s="876"/>
      <c r="L23" s="1686" t="s">
        <v>7484</v>
      </c>
      <c r="M23" s="1686"/>
      <c r="N23" s="1686"/>
      <c r="P23" s="843"/>
    </row>
    <row r="24" spans="1:16" s="842" customFormat="1" ht="22" customHeight="1">
      <c r="A24" s="1699"/>
      <c r="B24" s="844" t="s">
        <v>7485</v>
      </c>
      <c r="C24" s="872"/>
      <c r="D24" s="832">
        <v>0.02</v>
      </c>
      <c r="E24" s="874"/>
      <c r="F24" s="873">
        <f t="shared" si="9"/>
        <v>0</v>
      </c>
      <c r="G24" s="874"/>
      <c r="H24" s="832"/>
      <c r="I24" s="875"/>
      <c r="J24" s="836"/>
      <c r="K24" s="876"/>
      <c r="L24" s="1700" t="s">
        <v>7486</v>
      </c>
      <c r="M24" s="1686"/>
      <c r="N24" s="1686"/>
      <c r="P24" s="843"/>
    </row>
    <row r="25" spans="1:16" s="842" customFormat="1" ht="22" customHeight="1">
      <c r="A25" s="1699"/>
      <c r="B25" s="844" t="s">
        <v>7487</v>
      </c>
      <c r="C25" s="872">
        <f>F9</f>
        <v>10</v>
      </c>
      <c r="D25" s="832">
        <v>1</v>
      </c>
      <c r="E25" s="832">
        <v>940</v>
      </c>
      <c r="F25" s="873">
        <f t="shared" si="9"/>
        <v>10</v>
      </c>
      <c r="G25" s="877"/>
      <c r="H25" s="832">
        <v>16.7</v>
      </c>
      <c r="I25" s="875">
        <f>F25*E25*H25/10000</f>
        <v>15.698</v>
      </c>
      <c r="J25" s="836"/>
      <c r="K25" s="876"/>
      <c r="L25" s="1704" t="s">
        <v>7488</v>
      </c>
      <c r="M25" s="1705"/>
      <c r="N25" s="1706"/>
      <c r="P25" s="843"/>
    </row>
    <row r="26" spans="1:16" s="842" customFormat="1" ht="22" customHeight="1">
      <c r="A26" s="1699"/>
      <c r="B26" s="844" t="s">
        <v>7487</v>
      </c>
      <c r="C26" s="872">
        <v>3</v>
      </c>
      <c r="D26" s="832">
        <v>1</v>
      </c>
      <c r="E26" s="832">
        <f>E19*1.2</f>
        <v>300</v>
      </c>
      <c r="F26" s="873">
        <f t="shared" si="9"/>
        <v>3</v>
      </c>
      <c r="G26" s="877"/>
      <c r="H26" s="832">
        <v>16.7</v>
      </c>
      <c r="I26" s="875">
        <f>F26*E26*H26/10000</f>
        <v>1.5029999999999999</v>
      </c>
      <c r="J26" s="836"/>
      <c r="K26" s="876"/>
      <c r="L26" s="1704" t="s">
        <v>7488</v>
      </c>
      <c r="M26" s="1705"/>
      <c r="N26" s="1706"/>
      <c r="P26" s="843"/>
    </row>
    <row r="27" spans="1:16" s="842" customFormat="1" ht="22" customHeight="1">
      <c r="A27" s="1699"/>
      <c r="B27" s="844" t="s">
        <v>48</v>
      </c>
      <c r="C27" s="872">
        <v>1</v>
      </c>
      <c r="D27" s="832">
        <v>1</v>
      </c>
      <c r="E27" s="832"/>
      <c r="F27" s="873">
        <f t="shared" si="9"/>
        <v>1</v>
      </c>
      <c r="G27" s="845"/>
      <c r="H27" s="832">
        <v>25000</v>
      </c>
      <c r="I27" s="875">
        <f t="shared" si="10"/>
        <v>2.5</v>
      </c>
      <c r="J27" s="836"/>
      <c r="K27" s="838"/>
      <c r="L27" s="1700" t="s">
        <v>7489</v>
      </c>
      <c r="M27" s="1686"/>
      <c r="N27" s="1686"/>
      <c r="P27" s="878"/>
    </row>
    <row r="28" spans="1:16" s="842" customFormat="1" ht="22" customHeight="1">
      <c r="A28" s="1699"/>
      <c r="B28" s="861" t="s">
        <v>7462</v>
      </c>
      <c r="C28" s="846"/>
      <c r="D28" s="846"/>
      <c r="E28" s="846"/>
      <c r="F28" s="846"/>
      <c r="G28" s="877"/>
      <c r="H28" s="846"/>
      <c r="I28" s="836">
        <f>SUM(I17:I27)</f>
        <v>111.5116</v>
      </c>
      <c r="J28" s="864">
        <f>J3</f>
        <v>74626.7546</v>
      </c>
      <c r="K28" s="879">
        <f>I28/J28*10000</f>
        <v>14.942576639933367</v>
      </c>
      <c r="L28" s="1700"/>
      <c r="M28" s="1686"/>
      <c r="N28" s="1686"/>
      <c r="O28" s="868" t="s">
        <v>7463</v>
      </c>
      <c r="P28" s="843"/>
    </row>
    <row r="29" spans="1:16" s="870" customFormat="1" ht="28">
      <c r="A29" s="827" t="s">
        <v>7490</v>
      </c>
      <c r="B29" s="880"/>
      <c r="C29" s="881"/>
      <c r="D29" s="881"/>
      <c r="E29" s="881"/>
      <c r="F29" s="881"/>
      <c r="G29" s="882"/>
      <c r="H29" s="827">
        <v>1</v>
      </c>
      <c r="I29" s="827" t="s">
        <v>7453</v>
      </c>
      <c r="J29" s="826" t="s">
        <v>7471</v>
      </c>
      <c r="K29" s="826" t="s">
        <v>7472</v>
      </c>
      <c r="L29" s="1685"/>
      <c r="M29" s="1685"/>
      <c r="N29" s="1685"/>
      <c r="P29" s="871"/>
    </row>
    <row r="30" spans="1:16" s="842" customFormat="1" ht="22" customHeight="1">
      <c r="A30" s="861" t="s">
        <v>7490</v>
      </c>
      <c r="B30" s="883"/>
      <c r="C30" s="846"/>
      <c r="D30" s="846"/>
      <c r="E30" s="846"/>
      <c r="F30" s="846"/>
      <c r="G30" s="877"/>
      <c r="H30" s="832">
        <v>1.5</v>
      </c>
      <c r="I30" s="836">
        <f>H30*J30/10000</f>
        <v>11.194013190000002</v>
      </c>
      <c r="J30" s="836">
        <f>J8</f>
        <v>74626.7546</v>
      </c>
      <c r="K30" s="879">
        <f>I30/J30*10000</f>
        <v>1.5000000000000002</v>
      </c>
      <c r="L30" s="1686" t="s">
        <v>7491</v>
      </c>
      <c r="M30" s="1686"/>
      <c r="N30" s="1686"/>
      <c r="O30" s="868" t="s">
        <v>7463</v>
      </c>
      <c r="P30" s="843"/>
    </row>
    <row r="31" spans="1:16" s="886" customFormat="1" ht="22" customHeight="1">
      <c r="A31" s="830" t="s">
        <v>7492</v>
      </c>
      <c r="B31" s="864"/>
      <c r="C31" s="846"/>
      <c r="D31" s="846"/>
      <c r="E31" s="846"/>
      <c r="F31" s="846"/>
      <c r="G31" s="884"/>
      <c r="H31" s="846"/>
      <c r="I31" s="836">
        <f>I15+I28+I30</f>
        <v>1599.5578187889025</v>
      </c>
      <c r="J31" s="885">
        <f>J30</f>
        <v>74626.7546</v>
      </c>
      <c r="K31" s="838">
        <f>I31/J31*10000</f>
        <v>214.34106673438302</v>
      </c>
      <c r="L31" s="1698"/>
      <c r="M31" s="1698"/>
      <c r="N31" s="1698"/>
      <c r="P31" s="887"/>
    </row>
    <row r="32" spans="1:16" ht="22.5" customHeight="1"/>
    <row r="33" spans="1:11">
      <c r="A33" s="765"/>
      <c r="B33" s="765"/>
      <c r="C33" s="765"/>
      <c r="D33" s="765"/>
      <c r="E33" s="765"/>
      <c r="F33" s="765"/>
      <c r="G33" s="765"/>
    </row>
    <row r="34" spans="1:11" ht="34">
      <c r="A34" s="1061" t="s">
        <v>7651</v>
      </c>
      <c r="B34" s="1061" t="s">
        <v>7446</v>
      </c>
      <c r="C34" s="1061" t="s">
        <v>7652</v>
      </c>
      <c r="D34" s="1061" t="s">
        <v>7446</v>
      </c>
      <c r="E34" s="1061" t="s">
        <v>7653</v>
      </c>
      <c r="F34" s="1062" t="s">
        <v>7654</v>
      </c>
      <c r="G34" s="1062" t="s">
        <v>7655</v>
      </c>
      <c r="H34" s="1061" t="s">
        <v>7656</v>
      </c>
      <c r="I34" s="1061" t="s">
        <v>7657</v>
      </c>
      <c r="J34" s="1061" t="s">
        <v>78</v>
      </c>
    </row>
    <row r="35" spans="1:11" ht="39">
      <c r="A35" s="1063" t="s">
        <v>7658</v>
      </c>
      <c r="B35" s="1063" t="s">
        <v>7659</v>
      </c>
      <c r="C35" s="1063" t="s">
        <v>7708</v>
      </c>
      <c r="D35" s="1063" t="s">
        <v>7661</v>
      </c>
      <c r="E35" s="1062" t="s">
        <v>7662</v>
      </c>
      <c r="F35" s="1064">
        <v>1500</v>
      </c>
      <c r="G35" s="1064" t="s">
        <v>43</v>
      </c>
      <c r="H35" s="1061">
        <v>29</v>
      </c>
      <c r="I35" s="1061">
        <v>401</v>
      </c>
      <c r="J35" s="1065" t="s">
        <v>7663</v>
      </c>
      <c r="K35" s="823">
        <f>8*51+5*59+69*2</f>
        <v>841</v>
      </c>
    </row>
    <row r="36" spans="1:11" ht="41">
      <c r="A36" s="1063" t="s">
        <v>7664</v>
      </c>
      <c r="B36" s="1063" t="s">
        <v>7665</v>
      </c>
      <c r="C36" s="1063" t="s">
        <v>7666</v>
      </c>
      <c r="D36" s="1063" t="s">
        <v>7667</v>
      </c>
      <c r="E36" s="1062" t="s">
        <v>7668</v>
      </c>
      <c r="F36" s="1064">
        <v>1500</v>
      </c>
      <c r="G36" s="1064" t="s">
        <v>43</v>
      </c>
      <c r="H36" s="1061">
        <v>28</v>
      </c>
      <c r="I36" s="1061">
        <v>440</v>
      </c>
      <c r="J36" s="1065" t="s">
        <v>7669</v>
      </c>
      <c r="K36" s="823"/>
    </row>
    <row r="37" spans="1:11" ht="41">
      <c r="A37" s="1063" t="s">
        <v>7622</v>
      </c>
      <c r="B37" s="1063" t="s">
        <v>7659</v>
      </c>
      <c r="C37" s="1063" t="s">
        <v>7660</v>
      </c>
      <c r="D37" s="1063" t="s">
        <v>7670</v>
      </c>
      <c r="E37" s="1062" t="s">
        <v>7662</v>
      </c>
      <c r="F37" s="1064" t="s">
        <v>43</v>
      </c>
      <c r="G37" s="1064">
        <v>450</v>
      </c>
      <c r="H37" s="1061">
        <v>15</v>
      </c>
      <c r="I37" s="1061">
        <v>438</v>
      </c>
      <c r="J37" s="1065" t="s">
        <v>7671</v>
      </c>
    </row>
    <row r="38" spans="1:11" ht="32">
      <c r="A38" s="1067" t="s">
        <v>7622</v>
      </c>
      <c r="B38" s="1067" t="s">
        <v>7672</v>
      </c>
      <c r="C38" s="1067" t="s">
        <v>7673</v>
      </c>
      <c r="D38" s="1067" t="s">
        <v>7674</v>
      </c>
      <c r="E38" s="1066" t="s">
        <v>7675</v>
      </c>
      <c r="F38" s="1068" t="s">
        <v>43</v>
      </c>
      <c r="G38" s="1068">
        <v>400</v>
      </c>
      <c r="H38" s="1069">
        <v>15</v>
      </c>
      <c r="I38" s="1069">
        <v>308</v>
      </c>
      <c r="J38" s="1695" t="s">
        <v>7676</v>
      </c>
    </row>
    <row r="39" spans="1:11" ht="32">
      <c r="A39" s="1067" t="s">
        <v>7622</v>
      </c>
      <c r="B39" s="1067" t="s">
        <v>7672</v>
      </c>
      <c r="C39" s="1067" t="s">
        <v>7673</v>
      </c>
      <c r="D39" s="1067" t="s">
        <v>7677</v>
      </c>
      <c r="E39" s="1066" t="s">
        <v>7675</v>
      </c>
      <c r="F39" s="1068" t="s">
        <v>43</v>
      </c>
      <c r="G39" s="1068">
        <v>360</v>
      </c>
      <c r="H39" s="1069">
        <v>15</v>
      </c>
      <c r="I39" s="1069">
        <v>352</v>
      </c>
      <c r="J39" s="1696"/>
    </row>
    <row r="40" spans="1:11">
      <c r="A40" s="1697" t="s">
        <v>7678</v>
      </c>
      <c r="B40" s="1697"/>
      <c r="C40" s="1697"/>
      <c r="D40" s="1071"/>
      <c r="E40" s="1071"/>
      <c r="F40" s="1071"/>
      <c r="G40" s="1071"/>
      <c r="H40" s="1071"/>
      <c r="I40" s="1071"/>
      <c r="J40" s="1071"/>
    </row>
    <row r="41" spans="1:11">
      <c r="A41" s="1071" t="s">
        <v>7679</v>
      </c>
      <c r="B41" s="1071"/>
      <c r="C41" s="1070"/>
      <c r="D41" s="1071"/>
      <c r="E41" s="1071"/>
      <c r="F41" s="1071"/>
      <c r="G41" s="1071"/>
      <c r="H41" s="1071"/>
      <c r="I41" s="1071"/>
      <c r="J41" s="1071"/>
    </row>
    <row r="42" spans="1:11">
      <c r="A42" s="1071"/>
      <c r="B42" s="1071"/>
      <c r="C42" s="1071"/>
      <c r="D42" s="1071"/>
      <c r="E42" s="1071"/>
      <c r="F42" s="1071"/>
      <c r="G42" s="1071"/>
      <c r="H42" s="1071"/>
      <c r="I42" s="1071"/>
      <c r="J42" s="1071"/>
    </row>
    <row r="43" spans="1:11">
      <c r="C43" s="888" t="s">
        <v>7680</v>
      </c>
    </row>
  </sheetData>
  <mergeCells count="23">
    <mergeCell ref="J38:J39"/>
    <mergeCell ref="A40:C40"/>
    <mergeCell ref="L31:N31"/>
    <mergeCell ref="A17:A28"/>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16:N16"/>
    <mergeCell ref="L2:N2"/>
    <mergeCell ref="A3:A15"/>
    <mergeCell ref="L9:N12"/>
    <mergeCell ref="L13:N13"/>
  </mergeCells>
  <phoneticPr fontId="84" type="noConversion"/>
  <printOptions horizontalCentered="1"/>
  <pageMargins left="0" right="0" top="0.39" bottom="0.39" header="0.2" footer="0.2"/>
  <pageSetup paperSize="8" scale="62" orientation="portrait"/>
  <headerFooter alignWithMargins="0">
    <oddFooter>&amp;C&amp;"黑体,常规"&amp;10第 &amp;P 页，共 &amp;N 页</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25AC-A557-7D47-911A-BCC7B726EA4D}">
  <sheetPr>
    <tabColor rgb="FF1F4A7E"/>
  </sheetPr>
  <dimension ref="A1:WVU26"/>
  <sheetViews>
    <sheetView zoomScale="150" zoomScaleNormal="172" workbookViewId="0">
      <pane xSplit="3" ySplit="2" topLeftCell="D3" activePane="bottomRight" state="frozen"/>
      <selection activeCell="K43" sqref="K43"/>
      <selection pane="topRight" activeCell="K43" sqref="K43"/>
      <selection pane="bottomLeft" activeCell="K43" sqref="K43"/>
      <selection pane="bottomRight" activeCell="H9" sqref="H9"/>
    </sheetView>
  </sheetViews>
  <sheetFormatPr baseColWidth="10" defaultColWidth="10" defaultRowHeight="16"/>
  <cols>
    <col min="1" max="1" width="14.83203125" style="888" customWidth="1"/>
    <col min="2" max="2" width="13.5" style="888" customWidth="1"/>
    <col min="3" max="3" width="18.33203125" style="888" customWidth="1"/>
    <col min="4" max="4" width="12.5" style="888" customWidth="1"/>
    <col min="5" max="5" width="13.5" style="888" customWidth="1"/>
    <col min="6" max="6" width="11.33203125" style="888" customWidth="1"/>
    <col min="7" max="7" width="14.6640625" style="888" customWidth="1"/>
    <col min="8" max="8" width="13.6640625" style="888" customWidth="1"/>
    <col min="9" max="10" width="12" style="888" customWidth="1"/>
    <col min="11" max="11" width="13.33203125" style="888" customWidth="1"/>
    <col min="12" max="12" width="43.5" style="888" customWidth="1"/>
    <col min="13" max="13" width="10.33203125" style="822" hidden="1" customWidth="1"/>
    <col min="14" max="14" width="9.5" style="822" customWidth="1"/>
    <col min="15" max="15" width="5.6640625" style="822" customWidth="1"/>
    <col min="16" max="247" width="10" style="822"/>
    <col min="248" max="248" width="5" style="822" customWidth="1"/>
    <col min="249" max="249" width="9" style="822" customWidth="1"/>
    <col min="250" max="250" width="14.83203125" style="822" customWidth="1"/>
    <col min="251" max="255" width="13.5" style="822" customWidth="1"/>
    <col min="256" max="256" width="14.6640625" style="822" customWidth="1"/>
    <col min="257" max="257" width="11" style="822" customWidth="1"/>
    <col min="258" max="258" width="13.6640625" style="822" customWidth="1"/>
    <col min="259" max="259" width="13.5" style="822" customWidth="1"/>
    <col min="260" max="260" width="14.83203125" style="822" customWidth="1"/>
    <col min="261" max="261" width="13.33203125" style="822" customWidth="1"/>
    <col min="262" max="263" width="10" style="822" hidden="1" customWidth="1"/>
    <col min="264" max="264" width="11.5" style="822" customWidth="1"/>
    <col min="265" max="265" width="12.6640625" style="822" customWidth="1"/>
    <col min="266" max="266" width="12.1640625" style="822" customWidth="1"/>
    <col min="267" max="267" width="13.33203125" style="822" customWidth="1"/>
    <col min="268" max="268" width="12" style="822" customWidth="1"/>
    <col min="269" max="269" width="10" style="822" hidden="1" customWidth="1"/>
    <col min="270" max="270" width="9.5" style="822" customWidth="1"/>
    <col min="271" max="271" width="5.6640625" style="822" customWidth="1"/>
    <col min="272" max="503" width="10" style="822"/>
    <col min="504" max="504" width="5" style="822" customWidth="1"/>
    <col min="505" max="505" width="9" style="822" customWidth="1"/>
    <col min="506" max="506" width="14.83203125" style="822" customWidth="1"/>
    <col min="507" max="511" width="13.5" style="822" customWidth="1"/>
    <col min="512" max="512" width="14.6640625" style="822" customWidth="1"/>
    <col min="513" max="513" width="11" style="822" customWidth="1"/>
    <col min="514" max="514" width="13.6640625" style="822" customWidth="1"/>
    <col min="515" max="515" width="13.5" style="822" customWidth="1"/>
    <col min="516" max="516" width="14.83203125" style="822" customWidth="1"/>
    <col min="517" max="517" width="13.33203125" style="822" customWidth="1"/>
    <col min="518" max="519" width="10" style="822" hidden="1" customWidth="1"/>
    <col min="520" max="520" width="11.5" style="822" customWidth="1"/>
    <col min="521" max="521" width="12.6640625" style="822" customWidth="1"/>
    <col min="522" max="522" width="12.1640625" style="822" customWidth="1"/>
    <col min="523" max="523" width="13.33203125" style="822" customWidth="1"/>
    <col min="524" max="524" width="12" style="822" customWidth="1"/>
    <col min="525" max="525" width="10" style="822" hidden="1" customWidth="1"/>
    <col min="526" max="526" width="9.5" style="822" customWidth="1"/>
    <col min="527" max="527" width="5.6640625" style="822" customWidth="1"/>
    <col min="528" max="759" width="10" style="822"/>
    <col min="760" max="760" width="5" style="822" customWidth="1"/>
    <col min="761" max="761" width="9" style="822" customWidth="1"/>
    <col min="762" max="762" width="14.83203125" style="822" customWidth="1"/>
    <col min="763" max="767" width="13.5" style="822" customWidth="1"/>
    <col min="768" max="768" width="14.6640625" style="822" customWidth="1"/>
    <col min="769" max="769" width="11" style="822" customWidth="1"/>
    <col min="770" max="770" width="13.6640625" style="822" customWidth="1"/>
    <col min="771" max="771" width="13.5" style="822" customWidth="1"/>
    <col min="772" max="772" width="14.83203125" style="822" customWidth="1"/>
    <col min="773" max="773" width="13.33203125" style="822" customWidth="1"/>
    <col min="774" max="775" width="10" style="822" hidden="1" customWidth="1"/>
    <col min="776" max="776" width="11.5" style="822" customWidth="1"/>
    <col min="777" max="777" width="12.6640625" style="822" customWidth="1"/>
    <col min="778" max="778" width="12.1640625" style="822" customWidth="1"/>
    <col min="779" max="779" width="13.33203125" style="822" customWidth="1"/>
    <col min="780" max="780" width="12" style="822" customWidth="1"/>
    <col min="781" max="781" width="10" style="822" hidden="1" customWidth="1"/>
    <col min="782" max="782" width="9.5" style="822" customWidth="1"/>
    <col min="783" max="783" width="5.6640625" style="822" customWidth="1"/>
    <col min="784" max="1015" width="10" style="822"/>
    <col min="1016" max="1016" width="5" style="822" customWidth="1"/>
    <col min="1017" max="1017" width="9" style="822" customWidth="1"/>
    <col min="1018" max="1018" width="14.83203125" style="822" customWidth="1"/>
    <col min="1019" max="1023" width="13.5" style="822" customWidth="1"/>
    <col min="1024" max="1024" width="14.6640625" style="822" customWidth="1"/>
    <col min="1025" max="1025" width="11" style="822" customWidth="1"/>
    <col min="1026" max="1026" width="13.6640625" style="822" customWidth="1"/>
    <col min="1027" max="1027" width="13.5" style="822" customWidth="1"/>
    <col min="1028" max="1028" width="14.83203125" style="822" customWidth="1"/>
    <col min="1029" max="1029" width="13.33203125" style="822" customWidth="1"/>
    <col min="1030" max="1031" width="10" style="822" hidden="1" customWidth="1"/>
    <col min="1032" max="1032" width="11.5" style="822" customWidth="1"/>
    <col min="1033" max="1033" width="12.6640625" style="822" customWidth="1"/>
    <col min="1034" max="1034" width="12.1640625" style="822" customWidth="1"/>
    <col min="1035" max="1035" width="13.33203125" style="822" customWidth="1"/>
    <col min="1036" max="1036" width="12" style="822" customWidth="1"/>
    <col min="1037" max="1037" width="10" style="822" hidden="1" customWidth="1"/>
    <col min="1038" max="1038" width="9.5" style="822" customWidth="1"/>
    <col min="1039" max="1039" width="5.6640625" style="822" customWidth="1"/>
    <col min="1040" max="1271" width="10" style="822"/>
    <col min="1272" max="1272" width="5" style="822" customWidth="1"/>
    <col min="1273" max="1273" width="9" style="822" customWidth="1"/>
    <col min="1274" max="1274" width="14.83203125" style="822" customWidth="1"/>
    <col min="1275" max="1279" width="13.5" style="822" customWidth="1"/>
    <col min="1280" max="1280" width="14.6640625" style="822" customWidth="1"/>
    <col min="1281" max="1281" width="11" style="822" customWidth="1"/>
    <col min="1282" max="1282" width="13.6640625" style="822" customWidth="1"/>
    <col min="1283" max="1283" width="13.5" style="822" customWidth="1"/>
    <col min="1284" max="1284" width="14.83203125" style="822" customWidth="1"/>
    <col min="1285" max="1285" width="13.33203125" style="822" customWidth="1"/>
    <col min="1286" max="1287" width="10" style="822" hidden="1" customWidth="1"/>
    <col min="1288" max="1288" width="11.5" style="822" customWidth="1"/>
    <col min="1289" max="1289" width="12.6640625" style="822" customWidth="1"/>
    <col min="1290" max="1290" width="12.1640625" style="822" customWidth="1"/>
    <col min="1291" max="1291" width="13.33203125" style="822" customWidth="1"/>
    <col min="1292" max="1292" width="12" style="822" customWidth="1"/>
    <col min="1293" max="1293" width="10" style="822" hidden="1" customWidth="1"/>
    <col min="1294" max="1294" width="9.5" style="822" customWidth="1"/>
    <col min="1295" max="1295" width="5.6640625" style="822" customWidth="1"/>
    <col min="1296" max="1527" width="10" style="822"/>
    <col min="1528" max="1528" width="5" style="822" customWidth="1"/>
    <col min="1529" max="1529" width="9" style="822" customWidth="1"/>
    <col min="1530" max="1530" width="14.83203125" style="822" customWidth="1"/>
    <col min="1531" max="1535" width="13.5" style="822" customWidth="1"/>
    <col min="1536" max="1536" width="14.6640625" style="822" customWidth="1"/>
    <col min="1537" max="1537" width="11" style="822" customWidth="1"/>
    <col min="1538" max="1538" width="13.6640625" style="822" customWidth="1"/>
    <col min="1539" max="1539" width="13.5" style="822" customWidth="1"/>
    <col min="1540" max="1540" width="14.83203125" style="822" customWidth="1"/>
    <col min="1541" max="1541" width="13.33203125" style="822" customWidth="1"/>
    <col min="1542" max="1543" width="10" style="822" hidden="1" customWidth="1"/>
    <col min="1544" max="1544" width="11.5" style="822" customWidth="1"/>
    <col min="1545" max="1545" width="12.6640625" style="822" customWidth="1"/>
    <col min="1546" max="1546" width="12.1640625" style="822" customWidth="1"/>
    <col min="1547" max="1547" width="13.33203125" style="822" customWidth="1"/>
    <col min="1548" max="1548" width="12" style="822" customWidth="1"/>
    <col min="1549" max="1549" width="10" style="822" hidden="1" customWidth="1"/>
    <col min="1550" max="1550" width="9.5" style="822" customWidth="1"/>
    <col min="1551" max="1551" width="5.6640625" style="822" customWidth="1"/>
    <col min="1552" max="1783" width="10" style="822"/>
    <col min="1784" max="1784" width="5" style="822" customWidth="1"/>
    <col min="1785" max="1785" width="9" style="822" customWidth="1"/>
    <col min="1786" max="1786" width="14.83203125" style="822" customWidth="1"/>
    <col min="1787" max="1791" width="13.5" style="822" customWidth="1"/>
    <col min="1792" max="1792" width="14.6640625" style="822" customWidth="1"/>
    <col min="1793" max="1793" width="11" style="822" customWidth="1"/>
    <col min="1794" max="1794" width="13.6640625" style="822" customWidth="1"/>
    <col min="1795" max="1795" width="13.5" style="822" customWidth="1"/>
    <col min="1796" max="1796" width="14.83203125" style="822" customWidth="1"/>
    <col min="1797" max="1797" width="13.33203125" style="822" customWidth="1"/>
    <col min="1798" max="1799" width="10" style="822" hidden="1" customWidth="1"/>
    <col min="1800" max="1800" width="11.5" style="822" customWidth="1"/>
    <col min="1801" max="1801" width="12.6640625" style="822" customWidth="1"/>
    <col min="1802" max="1802" width="12.1640625" style="822" customWidth="1"/>
    <col min="1803" max="1803" width="13.33203125" style="822" customWidth="1"/>
    <col min="1804" max="1804" width="12" style="822" customWidth="1"/>
    <col min="1805" max="1805" width="10" style="822" hidden="1" customWidth="1"/>
    <col min="1806" max="1806" width="9.5" style="822" customWidth="1"/>
    <col min="1807" max="1807" width="5.6640625" style="822" customWidth="1"/>
    <col min="1808" max="2039" width="10" style="822"/>
    <col min="2040" max="2040" width="5" style="822" customWidth="1"/>
    <col min="2041" max="2041" width="9" style="822" customWidth="1"/>
    <col min="2042" max="2042" width="14.83203125" style="822" customWidth="1"/>
    <col min="2043" max="2047" width="13.5" style="822" customWidth="1"/>
    <col min="2048" max="2048" width="14.6640625" style="822" customWidth="1"/>
    <col min="2049" max="2049" width="11" style="822" customWidth="1"/>
    <col min="2050" max="2050" width="13.6640625" style="822" customWidth="1"/>
    <col min="2051" max="2051" width="13.5" style="822" customWidth="1"/>
    <col min="2052" max="2052" width="14.83203125" style="822" customWidth="1"/>
    <col min="2053" max="2053" width="13.33203125" style="822" customWidth="1"/>
    <col min="2054" max="2055" width="10" style="822" hidden="1" customWidth="1"/>
    <col min="2056" max="2056" width="11.5" style="822" customWidth="1"/>
    <col min="2057" max="2057" width="12.6640625" style="822" customWidth="1"/>
    <col min="2058" max="2058" width="12.1640625" style="822" customWidth="1"/>
    <col min="2059" max="2059" width="13.33203125" style="822" customWidth="1"/>
    <col min="2060" max="2060" width="12" style="822" customWidth="1"/>
    <col min="2061" max="2061" width="10" style="822" hidden="1" customWidth="1"/>
    <col min="2062" max="2062" width="9.5" style="822" customWidth="1"/>
    <col min="2063" max="2063" width="5.6640625" style="822" customWidth="1"/>
    <col min="2064" max="2295" width="10" style="822"/>
    <col min="2296" max="2296" width="5" style="822" customWidth="1"/>
    <col min="2297" max="2297" width="9" style="822" customWidth="1"/>
    <col min="2298" max="2298" width="14.83203125" style="822" customWidth="1"/>
    <col min="2299" max="2303" width="13.5" style="822" customWidth="1"/>
    <col min="2304" max="2304" width="14.6640625" style="822" customWidth="1"/>
    <col min="2305" max="2305" width="11" style="822" customWidth="1"/>
    <col min="2306" max="2306" width="13.6640625" style="822" customWidth="1"/>
    <col min="2307" max="2307" width="13.5" style="822" customWidth="1"/>
    <col min="2308" max="2308" width="14.83203125" style="822" customWidth="1"/>
    <col min="2309" max="2309" width="13.33203125" style="822" customWidth="1"/>
    <col min="2310" max="2311" width="10" style="822" hidden="1" customWidth="1"/>
    <col min="2312" max="2312" width="11.5" style="822" customWidth="1"/>
    <col min="2313" max="2313" width="12.6640625" style="822" customWidth="1"/>
    <col min="2314" max="2314" width="12.1640625" style="822" customWidth="1"/>
    <col min="2315" max="2315" width="13.33203125" style="822" customWidth="1"/>
    <col min="2316" max="2316" width="12" style="822" customWidth="1"/>
    <col min="2317" max="2317" width="10" style="822" hidden="1" customWidth="1"/>
    <col min="2318" max="2318" width="9.5" style="822" customWidth="1"/>
    <col min="2319" max="2319" width="5.6640625" style="822" customWidth="1"/>
    <col min="2320" max="2551" width="10" style="822"/>
    <col min="2552" max="2552" width="5" style="822" customWidth="1"/>
    <col min="2553" max="2553" width="9" style="822" customWidth="1"/>
    <col min="2554" max="2554" width="14.83203125" style="822" customWidth="1"/>
    <col min="2555" max="2559" width="13.5" style="822" customWidth="1"/>
    <col min="2560" max="2560" width="14.6640625" style="822" customWidth="1"/>
    <col min="2561" max="2561" width="11" style="822" customWidth="1"/>
    <col min="2562" max="2562" width="13.6640625" style="822" customWidth="1"/>
    <col min="2563" max="2563" width="13.5" style="822" customWidth="1"/>
    <col min="2564" max="2564" width="14.83203125" style="822" customWidth="1"/>
    <col min="2565" max="2565" width="13.33203125" style="822" customWidth="1"/>
    <col min="2566" max="2567" width="10" style="822" hidden="1" customWidth="1"/>
    <col min="2568" max="2568" width="11.5" style="822" customWidth="1"/>
    <col min="2569" max="2569" width="12.6640625" style="822" customWidth="1"/>
    <col min="2570" max="2570" width="12.1640625" style="822" customWidth="1"/>
    <col min="2571" max="2571" width="13.33203125" style="822" customWidth="1"/>
    <col min="2572" max="2572" width="12" style="822" customWidth="1"/>
    <col min="2573" max="2573" width="10" style="822" hidden="1" customWidth="1"/>
    <col min="2574" max="2574" width="9.5" style="822" customWidth="1"/>
    <col min="2575" max="2575" width="5.6640625" style="822" customWidth="1"/>
    <col min="2576" max="2807" width="10" style="822"/>
    <col min="2808" max="2808" width="5" style="822" customWidth="1"/>
    <col min="2809" max="2809" width="9" style="822" customWidth="1"/>
    <col min="2810" max="2810" width="14.83203125" style="822" customWidth="1"/>
    <col min="2811" max="2815" width="13.5" style="822" customWidth="1"/>
    <col min="2816" max="2816" width="14.6640625" style="822" customWidth="1"/>
    <col min="2817" max="2817" width="11" style="822" customWidth="1"/>
    <col min="2818" max="2818" width="13.6640625" style="822" customWidth="1"/>
    <col min="2819" max="2819" width="13.5" style="822" customWidth="1"/>
    <col min="2820" max="2820" width="14.83203125" style="822" customWidth="1"/>
    <col min="2821" max="2821" width="13.33203125" style="822" customWidth="1"/>
    <col min="2822" max="2823" width="10" style="822" hidden="1" customWidth="1"/>
    <col min="2824" max="2824" width="11.5" style="822" customWidth="1"/>
    <col min="2825" max="2825" width="12.6640625" style="822" customWidth="1"/>
    <col min="2826" max="2826" width="12.1640625" style="822" customWidth="1"/>
    <col min="2827" max="2827" width="13.33203125" style="822" customWidth="1"/>
    <col min="2828" max="2828" width="12" style="822" customWidth="1"/>
    <col min="2829" max="2829" width="10" style="822" hidden="1" customWidth="1"/>
    <col min="2830" max="2830" width="9.5" style="822" customWidth="1"/>
    <col min="2831" max="2831" width="5.6640625" style="822" customWidth="1"/>
    <col min="2832" max="3063" width="10" style="822"/>
    <col min="3064" max="3064" width="5" style="822" customWidth="1"/>
    <col min="3065" max="3065" width="9" style="822" customWidth="1"/>
    <col min="3066" max="3066" width="14.83203125" style="822" customWidth="1"/>
    <col min="3067" max="3071" width="13.5" style="822" customWidth="1"/>
    <col min="3072" max="3072" width="14.6640625" style="822" customWidth="1"/>
    <col min="3073" max="3073" width="11" style="822" customWidth="1"/>
    <col min="3074" max="3074" width="13.6640625" style="822" customWidth="1"/>
    <col min="3075" max="3075" width="13.5" style="822" customWidth="1"/>
    <col min="3076" max="3076" width="14.83203125" style="822" customWidth="1"/>
    <col min="3077" max="3077" width="13.33203125" style="822" customWidth="1"/>
    <col min="3078" max="3079" width="10" style="822" hidden="1" customWidth="1"/>
    <col min="3080" max="3080" width="11.5" style="822" customWidth="1"/>
    <col min="3081" max="3081" width="12.6640625" style="822" customWidth="1"/>
    <col min="3082" max="3082" width="12.1640625" style="822" customWidth="1"/>
    <col min="3083" max="3083" width="13.33203125" style="822" customWidth="1"/>
    <col min="3084" max="3084" width="12" style="822" customWidth="1"/>
    <col min="3085" max="3085" width="10" style="822" hidden="1" customWidth="1"/>
    <col min="3086" max="3086" width="9.5" style="822" customWidth="1"/>
    <col min="3087" max="3087" width="5.6640625" style="822" customWidth="1"/>
    <col min="3088" max="3319" width="10" style="822"/>
    <col min="3320" max="3320" width="5" style="822" customWidth="1"/>
    <col min="3321" max="3321" width="9" style="822" customWidth="1"/>
    <col min="3322" max="3322" width="14.83203125" style="822" customWidth="1"/>
    <col min="3323" max="3327" width="13.5" style="822" customWidth="1"/>
    <col min="3328" max="3328" width="14.6640625" style="822" customWidth="1"/>
    <col min="3329" max="3329" width="11" style="822" customWidth="1"/>
    <col min="3330" max="3330" width="13.6640625" style="822" customWidth="1"/>
    <col min="3331" max="3331" width="13.5" style="822" customWidth="1"/>
    <col min="3332" max="3332" width="14.83203125" style="822" customWidth="1"/>
    <col min="3333" max="3333" width="13.33203125" style="822" customWidth="1"/>
    <col min="3334" max="3335" width="10" style="822" hidden="1" customWidth="1"/>
    <col min="3336" max="3336" width="11.5" style="822" customWidth="1"/>
    <col min="3337" max="3337" width="12.6640625" style="822" customWidth="1"/>
    <col min="3338" max="3338" width="12.1640625" style="822" customWidth="1"/>
    <col min="3339" max="3339" width="13.33203125" style="822" customWidth="1"/>
    <col min="3340" max="3340" width="12" style="822" customWidth="1"/>
    <col min="3341" max="3341" width="10" style="822" hidden="1" customWidth="1"/>
    <col min="3342" max="3342" width="9.5" style="822" customWidth="1"/>
    <col min="3343" max="3343" width="5.6640625" style="822" customWidth="1"/>
    <col min="3344" max="3575" width="10" style="822"/>
    <col min="3576" max="3576" width="5" style="822" customWidth="1"/>
    <col min="3577" max="3577" width="9" style="822" customWidth="1"/>
    <col min="3578" max="3578" width="14.83203125" style="822" customWidth="1"/>
    <col min="3579" max="3583" width="13.5" style="822" customWidth="1"/>
    <col min="3584" max="3584" width="14.6640625" style="822" customWidth="1"/>
    <col min="3585" max="3585" width="11" style="822" customWidth="1"/>
    <col min="3586" max="3586" width="13.6640625" style="822" customWidth="1"/>
    <col min="3587" max="3587" width="13.5" style="822" customWidth="1"/>
    <col min="3588" max="3588" width="14.83203125" style="822" customWidth="1"/>
    <col min="3589" max="3589" width="13.33203125" style="822" customWidth="1"/>
    <col min="3590" max="3591" width="10" style="822" hidden="1" customWidth="1"/>
    <col min="3592" max="3592" width="11.5" style="822" customWidth="1"/>
    <col min="3593" max="3593" width="12.6640625" style="822" customWidth="1"/>
    <col min="3594" max="3594" width="12.1640625" style="822" customWidth="1"/>
    <col min="3595" max="3595" width="13.33203125" style="822" customWidth="1"/>
    <col min="3596" max="3596" width="12" style="822" customWidth="1"/>
    <col min="3597" max="3597" width="10" style="822" hidden="1" customWidth="1"/>
    <col min="3598" max="3598" width="9.5" style="822" customWidth="1"/>
    <col min="3599" max="3599" width="5.6640625" style="822" customWidth="1"/>
    <col min="3600" max="3831" width="10" style="822"/>
    <col min="3832" max="3832" width="5" style="822" customWidth="1"/>
    <col min="3833" max="3833" width="9" style="822" customWidth="1"/>
    <col min="3834" max="3834" width="14.83203125" style="822" customWidth="1"/>
    <col min="3835" max="3839" width="13.5" style="822" customWidth="1"/>
    <col min="3840" max="3840" width="14.6640625" style="822" customWidth="1"/>
    <col min="3841" max="3841" width="11" style="822" customWidth="1"/>
    <col min="3842" max="3842" width="13.6640625" style="822" customWidth="1"/>
    <col min="3843" max="3843" width="13.5" style="822" customWidth="1"/>
    <col min="3844" max="3844" width="14.83203125" style="822" customWidth="1"/>
    <col min="3845" max="3845" width="13.33203125" style="822" customWidth="1"/>
    <col min="3846" max="3847" width="10" style="822" hidden="1" customWidth="1"/>
    <col min="3848" max="3848" width="11.5" style="822" customWidth="1"/>
    <col min="3849" max="3849" width="12.6640625" style="822" customWidth="1"/>
    <col min="3850" max="3850" width="12.1640625" style="822" customWidth="1"/>
    <col min="3851" max="3851" width="13.33203125" style="822" customWidth="1"/>
    <col min="3852" max="3852" width="12" style="822" customWidth="1"/>
    <col min="3853" max="3853" width="10" style="822" hidden="1" customWidth="1"/>
    <col min="3854" max="3854" width="9.5" style="822" customWidth="1"/>
    <col min="3855" max="3855" width="5.6640625" style="822" customWidth="1"/>
    <col min="3856" max="4087" width="10" style="822"/>
    <col min="4088" max="4088" width="5" style="822" customWidth="1"/>
    <col min="4089" max="4089" width="9" style="822" customWidth="1"/>
    <col min="4090" max="4090" width="14.83203125" style="822" customWidth="1"/>
    <col min="4091" max="4095" width="13.5" style="822" customWidth="1"/>
    <col min="4096" max="4096" width="14.6640625" style="822" customWidth="1"/>
    <col min="4097" max="4097" width="11" style="822" customWidth="1"/>
    <col min="4098" max="4098" width="13.6640625" style="822" customWidth="1"/>
    <col min="4099" max="4099" width="13.5" style="822" customWidth="1"/>
    <col min="4100" max="4100" width="14.83203125" style="822" customWidth="1"/>
    <col min="4101" max="4101" width="13.33203125" style="822" customWidth="1"/>
    <col min="4102" max="4103" width="10" style="822" hidden="1" customWidth="1"/>
    <col min="4104" max="4104" width="11.5" style="822" customWidth="1"/>
    <col min="4105" max="4105" width="12.6640625" style="822" customWidth="1"/>
    <col min="4106" max="4106" width="12.1640625" style="822" customWidth="1"/>
    <col min="4107" max="4107" width="13.33203125" style="822" customWidth="1"/>
    <col min="4108" max="4108" width="12" style="822" customWidth="1"/>
    <col min="4109" max="4109" width="10" style="822" hidden="1" customWidth="1"/>
    <col min="4110" max="4110" width="9.5" style="822" customWidth="1"/>
    <col min="4111" max="4111" width="5.6640625" style="822" customWidth="1"/>
    <col min="4112" max="4343" width="10" style="822"/>
    <col min="4344" max="4344" width="5" style="822" customWidth="1"/>
    <col min="4345" max="4345" width="9" style="822" customWidth="1"/>
    <col min="4346" max="4346" width="14.83203125" style="822" customWidth="1"/>
    <col min="4347" max="4351" width="13.5" style="822" customWidth="1"/>
    <col min="4352" max="4352" width="14.6640625" style="822" customWidth="1"/>
    <col min="4353" max="4353" width="11" style="822" customWidth="1"/>
    <col min="4354" max="4354" width="13.6640625" style="822" customWidth="1"/>
    <col min="4355" max="4355" width="13.5" style="822" customWidth="1"/>
    <col min="4356" max="4356" width="14.83203125" style="822" customWidth="1"/>
    <col min="4357" max="4357" width="13.33203125" style="822" customWidth="1"/>
    <col min="4358" max="4359" width="10" style="822" hidden="1" customWidth="1"/>
    <col min="4360" max="4360" width="11.5" style="822" customWidth="1"/>
    <col min="4361" max="4361" width="12.6640625" style="822" customWidth="1"/>
    <col min="4362" max="4362" width="12.1640625" style="822" customWidth="1"/>
    <col min="4363" max="4363" width="13.33203125" style="822" customWidth="1"/>
    <col min="4364" max="4364" width="12" style="822" customWidth="1"/>
    <col min="4365" max="4365" width="10" style="822" hidden="1" customWidth="1"/>
    <col min="4366" max="4366" width="9.5" style="822" customWidth="1"/>
    <col min="4367" max="4367" width="5.6640625" style="822" customWidth="1"/>
    <col min="4368" max="4599" width="10" style="822"/>
    <col min="4600" max="4600" width="5" style="822" customWidth="1"/>
    <col min="4601" max="4601" width="9" style="822" customWidth="1"/>
    <col min="4602" max="4602" width="14.83203125" style="822" customWidth="1"/>
    <col min="4603" max="4607" width="13.5" style="822" customWidth="1"/>
    <col min="4608" max="4608" width="14.6640625" style="822" customWidth="1"/>
    <col min="4609" max="4609" width="11" style="822" customWidth="1"/>
    <col min="4610" max="4610" width="13.6640625" style="822" customWidth="1"/>
    <col min="4611" max="4611" width="13.5" style="822" customWidth="1"/>
    <col min="4612" max="4612" width="14.83203125" style="822" customWidth="1"/>
    <col min="4613" max="4613" width="13.33203125" style="822" customWidth="1"/>
    <col min="4614" max="4615" width="10" style="822" hidden="1" customWidth="1"/>
    <col min="4616" max="4616" width="11.5" style="822" customWidth="1"/>
    <col min="4617" max="4617" width="12.6640625" style="822" customWidth="1"/>
    <col min="4618" max="4618" width="12.1640625" style="822" customWidth="1"/>
    <col min="4619" max="4619" width="13.33203125" style="822" customWidth="1"/>
    <col min="4620" max="4620" width="12" style="822" customWidth="1"/>
    <col min="4621" max="4621" width="10" style="822" hidden="1" customWidth="1"/>
    <col min="4622" max="4622" width="9.5" style="822" customWidth="1"/>
    <col min="4623" max="4623" width="5.6640625" style="822" customWidth="1"/>
    <col min="4624" max="4855" width="10" style="822"/>
    <col min="4856" max="4856" width="5" style="822" customWidth="1"/>
    <col min="4857" max="4857" width="9" style="822" customWidth="1"/>
    <col min="4858" max="4858" width="14.83203125" style="822" customWidth="1"/>
    <col min="4859" max="4863" width="13.5" style="822" customWidth="1"/>
    <col min="4864" max="4864" width="14.6640625" style="822" customWidth="1"/>
    <col min="4865" max="4865" width="11" style="822" customWidth="1"/>
    <col min="4866" max="4866" width="13.6640625" style="822" customWidth="1"/>
    <col min="4867" max="4867" width="13.5" style="822" customWidth="1"/>
    <col min="4868" max="4868" width="14.83203125" style="822" customWidth="1"/>
    <col min="4869" max="4869" width="13.33203125" style="822" customWidth="1"/>
    <col min="4870" max="4871" width="10" style="822" hidden="1" customWidth="1"/>
    <col min="4872" max="4872" width="11.5" style="822" customWidth="1"/>
    <col min="4873" max="4873" width="12.6640625" style="822" customWidth="1"/>
    <col min="4874" max="4874" width="12.1640625" style="822" customWidth="1"/>
    <col min="4875" max="4875" width="13.33203125" style="822" customWidth="1"/>
    <col min="4876" max="4876" width="12" style="822" customWidth="1"/>
    <col min="4877" max="4877" width="10" style="822" hidden="1" customWidth="1"/>
    <col min="4878" max="4878" width="9.5" style="822" customWidth="1"/>
    <col min="4879" max="4879" width="5.6640625" style="822" customWidth="1"/>
    <col min="4880" max="5111" width="10" style="822"/>
    <col min="5112" max="5112" width="5" style="822" customWidth="1"/>
    <col min="5113" max="5113" width="9" style="822" customWidth="1"/>
    <col min="5114" max="5114" width="14.83203125" style="822" customWidth="1"/>
    <col min="5115" max="5119" width="13.5" style="822" customWidth="1"/>
    <col min="5120" max="5120" width="14.6640625" style="822" customWidth="1"/>
    <col min="5121" max="5121" width="11" style="822" customWidth="1"/>
    <col min="5122" max="5122" width="13.6640625" style="822" customWidth="1"/>
    <col min="5123" max="5123" width="13.5" style="822" customWidth="1"/>
    <col min="5124" max="5124" width="14.83203125" style="822" customWidth="1"/>
    <col min="5125" max="5125" width="13.33203125" style="822" customWidth="1"/>
    <col min="5126" max="5127" width="10" style="822" hidden="1" customWidth="1"/>
    <col min="5128" max="5128" width="11.5" style="822" customWidth="1"/>
    <col min="5129" max="5129" width="12.6640625" style="822" customWidth="1"/>
    <col min="5130" max="5130" width="12.1640625" style="822" customWidth="1"/>
    <col min="5131" max="5131" width="13.33203125" style="822" customWidth="1"/>
    <col min="5132" max="5132" width="12" style="822" customWidth="1"/>
    <col min="5133" max="5133" width="10" style="822" hidden="1" customWidth="1"/>
    <col min="5134" max="5134" width="9.5" style="822" customWidth="1"/>
    <col min="5135" max="5135" width="5.6640625" style="822" customWidth="1"/>
    <col min="5136" max="5367" width="10" style="822"/>
    <col min="5368" max="5368" width="5" style="822" customWidth="1"/>
    <col min="5369" max="5369" width="9" style="822" customWidth="1"/>
    <col min="5370" max="5370" width="14.83203125" style="822" customWidth="1"/>
    <col min="5371" max="5375" width="13.5" style="822" customWidth="1"/>
    <col min="5376" max="5376" width="14.6640625" style="822" customWidth="1"/>
    <col min="5377" max="5377" width="11" style="822" customWidth="1"/>
    <col min="5378" max="5378" width="13.6640625" style="822" customWidth="1"/>
    <col min="5379" max="5379" width="13.5" style="822" customWidth="1"/>
    <col min="5380" max="5380" width="14.83203125" style="822" customWidth="1"/>
    <col min="5381" max="5381" width="13.33203125" style="822" customWidth="1"/>
    <col min="5382" max="5383" width="10" style="822" hidden="1" customWidth="1"/>
    <col min="5384" max="5384" width="11.5" style="822" customWidth="1"/>
    <col min="5385" max="5385" width="12.6640625" style="822" customWidth="1"/>
    <col min="5386" max="5386" width="12.1640625" style="822" customWidth="1"/>
    <col min="5387" max="5387" width="13.33203125" style="822" customWidth="1"/>
    <col min="5388" max="5388" width="12" style="822" customWidth="1"/>
    <col min="5389" max="5389" width="10" style="822" hidden="1" customWidth="1"/>
    <col min="5390" max="5390" width="9.5" style="822" customWidth="1"/>
    <col min="5391" max="5391" width="5.6640625" style="822" customWidth="1"/>
    <col min="5392" max="5623" width="10" style="822"/>
    <col min="5624" max="5624" width="5" style="822" customWidth="1"/>
    <col min="5625" max="5625" width="9" style="822" customWidth="1"/>
    <col min="5626" max="5626" width="14.83203125" style="822" customWidth="1"/>
    <col min="5627" max="5631" width="13.5" style="822" customWidth="1"/>
    <col min="5632" max="5632" width="14.6640625" style="822" customWidth="1"/>
    <col min="5633" max="5633" width="11" style="822" customWidth="1"/>
    <col min="5634" max="5634" width="13.6640625" style="822" customWidth="1"/>
    <col min="5635" max="5635" width="13.5" style="822" customWidth="1"/>
    <col min="5636" max="5636" width="14.83203125" style="822" customWidth="1"/>
    <col min="5637" max="5637" width="13.33203125" style="822" customWidth="1"/>
    <col min="5638" max="5639" width="10" style="822" hidden="1" customWidth="1"/>
    <col min="5640" max="5640" width="11.5" style="822" customWidth="1"/>
    <col min="5641" max="5641" width="12.6640625" style="822" customWidth="1"/>
    <col min="5642" max="5642" width="12.1640625" style="822" customWidth="1"/>
    <col min="5643" max="5643" width="13.33203125" style="822" customWidth="1"/>
    <col min="5644" max="5644" width="12" style="822" customWidth="1"/>
    <col min="5645" max="5645" width="10" style="822" hidden="1" customWidth="1"/>
    <col min="5646" max="5646" width="9.5" style="822" customWidth="1"/>
    <col min="5647" max="5647" width="5.6640625" style="822" customWidth="1"/>
    <col min="5648" max="5879" width="10" style="822"/>
    <col min="5880" max="5880" width="5" style="822" customWidth="1"/>
    <col min="5881" max="5881" width="9" style="822" customWidth="1"/>
    <col min="5882" max="5882" width="14.83203125" style="822" customWidth="1"/>
    <col min="5883" max="5887" width="13.5" style="822" customWidth="1"/>
    <col min="5888" max="5888" width="14.6640625" style="822" customWidth="1"/>
    <col min="5889" max="5889" width="11" style="822" customWidth="1"/>
    <col min="5890" max="5890" width="13.6640625" style="822" customWidth="1"/>
    <col min="5891" max="5891" width="13.5" style="822" customWidth="1"/>
    <col min="5892" max="5892" width="14.83203125" style="822" customWidth="1"/>
    <col min="5893" max="5893" width="13.33203125" style="822" customWidth="1"/>
    <col min="5894" max="5895" width="10" style="822" hidden="1" customWidth="1"/>
    <col min="5896" max="5896" width="11.5" style="822" customWidth="1"/>
    <col min="5897" max="5897" width="12.6640625" style="822" customWidth="1"/>
    <col min="5898" max="5898" width="12.1640625" style="822" customWidth="1"/>
    <col min="5899" max="5899" width="13.33203125" style="822" customWidth="1"/>
    <col min="5900" max="5900" width="12" style="822" customWidth="1"/>
    <col min="5901" max="5901" width="10" style="822" hidden="1" customWidth="1"/>
    <col min="5902" max="5902" width="9.5" style="822" customWidth="1"/>
    <col min="5903" max="5903" width="5.6640625" style="822" customWidth="1"/>
    <col min="5904" max="6135" width="10" style="822"/>
    <col min="6136" max="6136" width="5" style="822" customWidth="1"/>
    <col min="6137" max="6137" width="9" style="822" customWidth="1"/>
    <col min="6138" max="6138" width="14.83203125" style="822" customWidth="1"/>
    <col min="6139" max="6143" width="13.5" style="822" customWidth="1"/>
    <col min="6144" max="6144" width="14.6640625" style="822" customWidth="1"/>
    <col min="6145" max="6145" width="11" style="822" customWidth="1"/>
    <col min="6146" max="6146" width="13.6640625" style="822" customWidth="1"/>
    <col min="6147" max="6147" width="13.5" style="822" customWidth="1"/>
    <col min="6148" max="6148" width="14.83203125" style="822" customWidth="1"/>
    <col min="6149" max="6149" width="13.33203125" style="822" customWidth="1"/>
    <col min="6150" max="6151" width="10" style="822" hidden="1" customWidth="1"/>
    <col min="6152" max="6152" width="11.5" style="822" customWidth="1"/>
    <col min="6153" max="6153" width="12.6640625" style="822" customWidth="1"/>
    <col min="6154" max="6154" width="12.1640625" style="822" customWidth="1"/>
    <col min="6155" max="6155" width="13.33203125" style="822" customWidth="1"/>
    <col min="6156" max="6156" width="12" style="822" customWidth="1"/>
    <col min="6157" max="6157" width="10" style="822" hidden="1" customWidth="1"/>
    <col min="6158" max="6158" width="9.5" style="822" customWidth="1"/>
    <col min="6159" max="6159" width="5.6640625" style="822" customWidth="1"/>
    <col min="6160" max="6391" width="10" style="822"/>
    <col min="6392" max="6392" width="5" style="822" customWidth="1"/>
    <col min="6393" max="6393" width="9" style="822" customWidth="1"/>
    <col min="6394" max="6394" width="14.83203125" style="822" customWidth="1"/>
    <col min="6395" max="6399" width="13.5" style="822" customWidth="1"/>
    <col min="6400" max="6400" width="14.6640625" style="822" customWidth="1"/>
    <col min="6401" max="6401" width="11" style="822" customWidth="1"/>
    <col min="6402" max="6402" width="13.6640625" style="822" customWidth="1"/>
    <col min="6403" max="6403" width="13.5" style="822" customWidth="1"/>
    <col min="6404" max="6404" width="14.83203125" style="822" customWidth="1"/>
    <col min="6405" max="6405" width="13.33203125" style="822" customWidth="1"/>
    <col min="6406" max="6407" width="10" style="822" hidden="1" customWidth="1"/>
    <col min="6408" max="6408" width="11.5" style="822" customWidth="1"/>
    <col min="6409" max="6409" width="12.6640625" style="822" customWidth="1"/>
    <col min="6410" max="6410" width="12.1640625" style="822" customWidth="1"/>
    <col min="6411" max="6411" width="13.33203125" style="822" customWidth="1"/>
    <col min="6412" max="6412" width="12" style="822" customWidth="1"/>
    <col min="6413" max="6413" width="10" style="822" hidden="1" customWidth="1"/>
    <col min="6414" max="6414" width="9.5" style="822" customWidth="1"/>
    <col min="6415" max="6415" width="5.6640625" style="822" customWidth="1"/>
    <col min="6416" max="6647" width="10" style="822"/>
    <col min="6648" max="6648" width="5" style="822" customWidth="1"/>
    <col min="6649" max="6649" width="9" style="822" customWidth="1"/>
    <col min="6650" max="6650" width="14.83203125" style="822" customWidth="1"/>
    <col min="6651" max="6655" width="13.5" style="822" customWidth="1"/>
    <col min="6656" max="6656" width="14.6640625" style="822" customWidth="1"/>
    <col min="6657" max="6657" width="11" style="822" customWidth="1"/>
    <col min="6658" max="6658" width="13.6640625" style="822" customWidth="1"/>
    <col min="6659" max="6659" width="13.5" style="822" customWidth="1"/>
    <col min="6660" max="6660" width="14.83203125" style="822" customWidth="1"/>
    <col min="6661" max="6661" width="13.33203125" style="822" customWidth="1"/>
    <col min="6662" max="6663" width="10" style="822" hidden="1" customWidth="1"/>
    <col min="6664" max="6664" width="11.5" style="822" customWidth="1"/>
    <col min="6665" max="6665" width="12.6640625" style="822" customWidth="1"/>
    <col min="6666" max="6666" width="12.1640625" style="822" customWidth="1"/>
    <col min="6667" max="6667" width="13.33203125" style="822" customWidth="1"/>
    <col min="6668" max="6668" width="12" style="822" customWidth="1"/>
    <col min="6669" max="6669" width="10" style="822" hidden="1" customWidth="1"/>
    <col min="6670" max="6670" width="9.5" style="822" customWidth="1"/>
    <col min="6671" max="6671" width="5.6640625" style="822" customWidth="1"/>
    <col min="6672" max="6903" width="10" style="822"/>
    <col min="6904" max="6904" width="5" style="822" customWidth="1"/>
    <col min="6905" max="6905" width="9" style="822" customWidth="1"/>
    <col min="6906" max="6906" width="14.83203125" style="822" customWidth="1"/>
    <col min="6907" max="6911" width="13.5" style="822" customWidth="1"/>
    <col min="6912" max="6912" width="14.6640625" style="822" customWidth="1"/>
    <col min="6913" max="6913" width="11" style="822" customWidth="1"/>
    <col min="6914" max="6914" width="13.6640625" style="822" customWidth="1"/>
    <col min="6915" max="6915" width="13.5" style="822" customWidth="1"/>
    <col min="6916" max="6916" width="14.83203125" style="822" customWidth="1"/>
    <col min="6917" max="6917" width="13.33203125" style="822" customWidth="1"/>
    <col min="6918" max="6919" width="10" style="822" hidden="1" customWidth="1"/>
    <col min="6920" max="6920" width="11.5" style="822" customWidth="1"/>
    <col min="6921" max="6921" width="12.6640625" style="822" customWidth="1"/>
    <col min="6922" max="6922" width="12.1640625" style="822" customWidth="1"/>
    <col min="6923" max="6923" width="13.33203125" style="822" customWidth="1"/>
    <col min="6924" max="6924" width="12" style="822" customWidth="1"/>
    <col min="6925" max="6925" width="10" style="822" hidden="1" customWidth="1"/>
    <col min="6926" max="6926" width="9.5" style="822" customWidth="1"/>
    <col min="6927" max="6927" width="5.6640625" style="822" customWidth="1"/>
    <col min="6928" max="7159" width="10" style="822"/>
    <col min="7160" max="7160" width="5" style="822" customWidth="1"/>
    <col min="7161" max="7161" width="9" style="822" customWidth="1"/>
    <col min="7162" max="7162" width="14.83203125" style="822" customWidth="1"/>
    <col min="7163" max="7167" width="13.5" style="822" customWidth="1"/>
    <col min="7168" max="7168" width="14.6640625" style="822" customWidth="1"/>
    <col min="7169" max="7169" width="11" style="822" customWidth="1"/>
    <col min="7170" max="7170" width="13.6640625" style="822" customWidth="1"/>
    <col min="7171" max="7171" width="13.5" style="822" customWidth="1"/>
    <col min="7172" max="7172" width="14.83203125" style="822" customWidth="1"/>
    <col min="7173" max="7173" width="13.33203125" style="822" customWidth="1"/>
    <col min="7174" max="7175" width="10" style="822" hidden="1" customWidth="1"/>
    <col min="7176" max="7176" width="11.5" style="822" customWidth="1"/>
    <col min="7177" max="7177" width="12.6640625" style="822" customWidth="1"/>
    <col min="7178" max="7178" width="12.1640625" style="822" customWidth="1"/>
    <col min="7179" max="7179" width="13.33203125" style="822" customWidth="1"/>
    <col min="7180" max="7180" width="12" style="822" customWidth="1"/>
    <col min="7181" max="7181" width="10" style="822" hidden="1" customWidth="1"/>
    <col min="7182" max="7182" width="9.5" style="822" customWidth="1"/>
    <col min="7183" max="7183" width="5.6640625" style="822" customWidth="1"/>
    <col min="7184" max="7415" width="10" style="822"/>
    <col min="7416" max="7416" width="5" style="822" customWidth="1"/>
    <col min="7417" max="7417" width="9" style="822" customWidth="1"/>
    <col min="7418" max="7418" width="14.83203125" style="822" customWidth="1"/>
    <col min="7419" max="7423" width="13.5" style="822" customWidth="1"/>
    <col min="7424" max="7424" width="14.6640625" style="822" customWidth="1"/>
    <col min="7425" max="7425" width="11" style="822" customWidth="1"/>
    <col min="7426" max="7426" width="13.6640625" style="822" customWidth="1"/>
    <col min="7427" max="7427" width="13.5" style="822" customWidth="1"/>
    <col min="7428" max="7428" width="14.83203125" style="822" customWidth="1"/>
    <col min="7429" max="7429" width="13.33203125" style="822" customWidth="1"/>
    <col min="7430" max="7431" width="10" style="822" hidden="1" customWidth="1"/>
    <col min="7432" max="7432" width="11.5" style="822" customWidth="1"/>
    <col min="7433" max="7433" width="12.6640625" style="822" customWidth="1"/>
    <col min="7434" max="7434" width="12.1640625" style="822" customWidth="1"/>
    <col min="7435" max="7435" width="13.33203125" style="822" customWidth="1"/>
    <col min="7436" max="7436" width="12" style="822" customWidth="1"/>
    <col min="7437" max="7437" width="10" style="822" hidden="1" customWidth="1"/>
    <col min="7438" max="7438" width="9.5" style="822" customWidth="1"/>
    <col min="7439" max="7439" width="5.6640625" style="822" customWidth="1"/>
    <col min="7440" max="7671" width="10" style="822"/>
    <col min="7672" max="7672" width="5" style="822" customWidth="1"/>
    <col min="7673" max="7673" width="9" style="822" customWidth="1"/>
    <col min="7674" max="7674" width="14.83203125" style="822" customWidth="1"/>
    <col min="7675" max="7679" width="13.5" style="822" customWidth="1"/>
    <col min="7680" max="7680" width="14.6640625" style="822" customWidth="1"/>
    <col min="7681" max="7681" width="11" style="822" customWidth="1"/>
    <col min="7682" max="7682" width="13.6640625" style="822" customWidth="1"/>
    <col min="7683" max="7683" width="13.5" style="822" customWidth="1"/>
    <col min="7684" max="7684" width="14.83203125" style="822" customWidth="1"/>
    <col min="7685" max="7685" width="13.33203125" style="822" customWidth="1"/>
    <col min="7686" max="7687" width="10" style="822" hidden="1" customWidth="1"/>
    <col min="7688" max="7688" width="11.5" style="822" customWidth="1"/>
    <col min="7689" max="7689" width="12.6640625" style="822" customWidth="1"/>
    <col min="7690" max="7690" width="12.1640625" style="822" customWidth="1"/>
    <col min="7691" max="7691" width="13.33203125" style="822" customWidth="1"/>
    <col min="7692" max="7692" width="12" style="822" customWidth="1"/>
    <col min="7693" max="7693" width="10" style="822" hidden="1" customWidth="1"/>
    <col min="7694" max="7694" width="9.5" style="822" customWidth="1"/>
    <col min="7695" max="7695" width="5.6640625" style="822" customWidth="1"/>
    <col min="7696" max="7927" width="10" style="822"/>
    <col min="7928" max="7928" width="5" style="822" customWidth="1"/>
    <col min="7929" max="7929" width="9" style="822" customWidth="1"/>
    <col min="7930" max="7930" width="14.83203125" style="822" customWidth="1"/>
    <col min="7931" max="7935" width="13.5" style="822" customWidth="1"/>
    <col min="7936" max="7936" width="14.6640625" style="822" customWidth="1"/>
    <col min="7937" max="7937" width="11" style="822" customWidth="1"/>
    <col min="7938" max="7938" width="13.6640625" style="822" customWidth="1"/>
    <col min="7939" max="7939" width="13.5" style="822" customWidth="1"/>
    <col min="7940" max="7940" width="14.83203125" style="822" customWidth="1"/>
    <col min="7941" max="7941" width="13.33203125" style="822" customWidth="1"/>
    <col min="7942" max="7943" width="10" style="822" hidden="1" customWidth="1"/>
    <col min="7944" max="7944" width="11.5" style="822" customWidth="1"/>
    <col min="7945" max="7945" width="12.6640625" style="822" customWidth="1"/>
    <col min="7946" max="7946" width="12.1640625" style="822" customWidth="1"/>
    <col min="7947" max="7947" width="13.33203125" style="822" customWidth="1"/>
    <col min="7948" max="7948" width="12" style="822" customWidth="1"/>
    <col min="7949" max="7949" width="10" style="822" hidden="1" customWidth="1"/>
    <col min="7950" max="7950" width="9.5" style="822" customWidth="1"/>
    <col min="7951" max="7951" width="5.6640625" style="822" customWidth="1"/>
    <col min="7952" max="8183" width="10" style="822"/>
    <col min="8184" max="8184" width="5" style="822" customWidth="1"/>
    <col min="8185" max="8185" width="9" style="822" customWidth="1"/>
    <col min="8186" max="8186" width="14.83203125" style="822" customWidth="1"/>
    <col min="8187" max="8191" width="13.5" style="822" customWidth="1"/>
    <col min="8192" max="8192" width="14.6640625" style="822" customWidth="1"/>
    <col min="8193" max="8193" width="11" style="822" customWidth="1"/>
    <col min="8194" max="8194" width="13.6640625" style="822" customWidth="1"/>
    <col min="8195" max="8195" width="13.5" style="822" customWidth="1"/>
    <col min="8196" max="8196" width="14.83203125" style="822" customWidth="1"/>
    <col min="8197" max="8197" width="13.33203125" style="822" customWidth="1"/>
    <col min="8198" max="8199" width="10" style="822" hidden="1" customWidth="1"/>
    <col min="8200" max="8200" width="11.5" style="822" customWidth="1"/>
    <col min="8201" max="8201" width="12.6640625" style="822" customWidth="1"/>
    <col min="8202" max="8202" width="12.1640625" style="822" customWidth="1"/>
    <col min="8203" max="8203" width="13.33203125" style="822" customWidth="1"/>
    <col min="8204" max="8204" width="12" style="822" customWidth="1"/>
    <col min="8205" max="8205" width="10" style="822" hidden="1" customWidth="1"/>
    <col min="8206" max="8206" width="9.5" style="822" customWidth="1"/>
    <col min="8207" max="8207" width="5.6640625" style="822" customWidth="1"/>
    <col min="8208" max="8439" width="10" style="822"/>
    <col min="8440" max="8440" width="5" style="822" customWidth="1"/>
    <col min="8441" max="8441" width="9" style="822" customWidth="1"/>
    <col min="8442" max="8442" width="14.83203125" style="822" customWidth="1"/>
    <col min="8443" max="8447" width="13.5" style="822" customWidth="1"/>
    <col min="8448" max="8448" width="14.6640625" style="822" customWidth="1"/>
    <col min="8449" max="8449" width="11" style="822" customWidth="1"/>
    <col min="8450" max="8450" width="13.6640625" style="822" customWidth="1"/>
    <col min="8451" max="8451" width="13.5" style="822" customWidth="1"/>
    <col min="8452" max="8452" width="14.83203125" style="822" customWidth="1"/>
    <col min="8453" max="8453" width="13.33203125" style="822" customWidth="1"/>
    <col min="8454" max="8455" width="10" style="822" hidden="1" customWidth="1"/>
    <col min="8456" max="8456" width="11.5" style="822" customWidth="1"/>
    <col min="8457" max="8457" width="12.6640625" style="822" customWidth="1"/>
    <col min="8458" max="8458" width="12.1640625" style="822" customWidth="1"/>
    <col min="8459" max="8459" width="13.33203125" style="822" customWidth="1"/>
    <col min="8460" max="8460" width="12" style="822" customWidth="1"/>
    <col min="8461" max="8461" width="10" style="822" hidden="1" customWidth="1"/>
    <col min="8462" max="8462" width="9.5" style="822" customWidth="1"/>
    <col min="8463" max="8463" width="5.6640625" style="822" customWidth="1"/>
    <col min="8464" max="8695" width="10" style="822"/>
    <col min="8696" max="8696" width="5" style="822" customWidth="1"/>
    <col min="8697" max="8697" width="9" style="822" customWidth="1"/>
    <col min="8698" max="8698" width="14.83203125" style="822" customWidth="1"/>
    <col min="8699" max="8703" width="13.5" style="822" customWidth="1"/>
    <col min="8704" max="8704" width="14.6640625" style="822" customWidth="1"/>
    <col min="8705" max="8705" width="11" style="822" customWidth="1"/>
    <col min="8706" max="8706" width="13.6640625" style="822" customWidth="1"/>
    <col min="8707" max="8707" width="13.5" style="822" customWidth="1"/>
    <col min="8708" max="8708" width="14.83203125" style="822" customWidth="1"/>
    <col min="8709" max="8709" width="13.33203125" style="822" customWidth="1"/>
    <col min="8710" max="8711" width="10" style="822" hidden="1" customWidth="1"/>
    <col min="8712" max="8712" width="11.5" style="822" customWidth="1"/>
    <col min="8713" max="8713" width="12.6640625" style="822" customWidth="1"/>
    <col min="8714" max="8714" width="12.1640625" style="822" customWidth="1"/>
    <col min="8715" max="8715" width="13.33203125" style="822" customWidth="1"/>
    <col min="8716" max="8716" width="12" style="822" customWidth="1"/>
    <col min="8717" max="8717" width="10" style="822" hidden="1" customWidth="1"/>
    <col min="8718" max="8718" width="9.5" style="822" customWidth="1"/>
    <col min="8719" max="8719" width="5.6640625" style="822" customWidth="1"/>
    <col min="8720" max="8951" width="10" style="822"/>
    <col min="8952" max="8952" width="5" style="822" customWidth="1"/>
    <col min="8953" max="8953" width="9" style="822" customWidth="1"/>
    <col min="8954" max="8954" width="14.83203125" style="822" customWidth="1"/>
    <col min="8955" max="8959" width="13.5" style="822" customWidth="1"/>
    <col min="8960" max="8960" width="14.6640625" style="822" customWidth="1"/>
    <col min="8961" max="8961" width="11" style="822" customWidth="1"/>
    <col min="8962" max="8962" width="13.6640625" style="822" customWidth="1"/>
    <col min="8963" max="8963" width="13.5" style="822" customWidth="1"/>
    <col min="8964" max="8964" width="14.83203125" style="822" customWidth="1"/>
    <col min="8965" max="8965" width="13.33203125" style="822" customWidth="1"/>
    <col min="8966" max="8967" width="10" style="822" hidden="1" customWidth="1"/>
    <col min="8968" max="8968" width="11.5" style="822" customWidth="1"/>
    <col min="8969" max="8969" width="12.6640625" style="822" customWidth="1"/>
    <col min="8970" max="8970" width="12.1640625" style="822" customWidth="1"/>
    <col min="8971" max="8971" width="13.33203125" style="822" customWidth="1"/>
    <col min="8972" max="8972" width="12" style="822" customWidth="1"/>
    <col min="8973" max="8973" width="10" style="822" hidden="1" customWidth="1"/>
    <col min="8974" max="8974" width="9.5" style="822" customWidth="1"/>
    <col min="8975" max="8975" width="5.6640625" style="822" customWidth="1"/>
    <col min="8976" max="9207" width="10" style="822"/>
    <col min="9208" max="9208" width="5" style="822" customWidth="1"/>
    <col min="9209" max="9209" width="9" style="822" customWidth="1"/>
    <col min="9210" max="9210" width="14.83203125" style="822" customWidth="1"/>
    <col min="9211" max="9215" width="13.5" style="822" customWidth="1"/>
    <col min="9216" max="9216" width="14.6640625" style="822" customWidth="1"/>
    <col min="9217" max="9217" width="11" style="822" customWidth="1"/>
    <col min="9218" max="9218" width="13.6640625" style="822" customWidth="1"/>
    <col min="9219" max="9219" width="13.5" style="822" customWidth="1"/>
    <col min="9220" max="9220" width="14.83203125" style="822" customWidth="1"/>
    <col min="9221" max="9221" width="13.33203125" style="822" customWidth="1"/>
    <col min="9222" max="9223" width="10" style="822" hidden="1" customWidth="1"/>
    <col min="9224" max="9224" width="11.5" style="822" customWidth="1"/>
    <col min="9225" max="9225" width="12.6640625" style="822" customWidth="1"/>
    <col min="9226" max="9226" width="12.1640625" style="822" customWidth="1"/>
    <col min="9227" max="9227" width="13.33203125" style="822" customWidth="1"/>
    <col min="9228" max="9228" width="12" style="822" customWidth="1"/>
    <col min="9229" max="9229" width="10" style="822" hidden="1" customWidth="1"/>
    <col min="9230" max="9230" width="9.5" style="822" customWidth="1"/>
    <col min="9231" max="9231" width="5.6640625" style="822" customWidth="1"/>
    <col min="9232" max="9463" width="10" style="822"/>
    <col min="9464" max="9464" width="5" style="822" customWidth="1"/>
    <col min="9465" max="9465" width="9" style="822" customWidth="1"/>
    <col min="9466" max="9466" width="14.83203125" style="822" customWidth="1"/>
    <col min="9467" max="9471" width="13.5" style="822" customWidth="1"/>
    <col min="9472" max="9472" width="14.6640625" style="822" customWidth="1"/>
    <col min="9473" max="9473" width="11" style="822" customWidth="1"/>
    <col min="9474" max="9474" width="13.6640625" style="822" customWidth="1"/>
    <col min="9475" max="9475" width="13.5" style="822" customWidth="1"/>
    <col min="9476" max="9476" width="14.83203125" style="822" customWidth="1"/>
    <col min="9477" max="9477" width="13.33203125" style="822" customWidth="1"/>
    <col min="9478" max="9479" width="10" style="822" hidden="1" customWidth="1"/>
    <col min="9480" max="9480" width="11.5" style="822" customWidth="1"/>
    <col min="9481" max="9481" width="12.6640625" style="822" customWidth="1"/>
    <col min="9482" max="9482" width="12.1640625" style="822" customWidth="1"/>
    <col min="9483" max="9483" width="13.33203125" style="822" customWidth="1"/>
    <col min="9484" max="9484" width="12" style="822" customWidth="1"/>
    <col min="9485" max="9485" width="10" style="822" hidden="1" customWidth="1"/>
    <col min="9486" max="9486" width="9.5" style="822" customWidth="1"/>
    <col min="9487" max="9487" width="5.6640625" style="822" customWidth="1"/>
    <col min="9488" max="9719" width="10" style="822"/>
    <col min="9720" max="9720" width="5" style="822" customWidth="1"/>
    <col min="9721" max="9721" width="9" style="822" customWidth="1"/>
    <col min="9722" max="9722" width="14.83203125" style="822" customWidth="1"/>
    <col min="9723" max="9727" width="13.5" style="822" customWidth="1"/>
    <col min="9728" max="9728" width="14.6640625" style="822" customWidth="1"/>
    <col min="9729" max="9729" width="11" style="822" customWidth="1"/>
    <col min="9730" max="9730" width="13.6640625" style="822" customWidth="1"/>
    <col min="9731" max="9731" width="13.5" style="822" customWidth="1"/>
    <col min="9732" max="9732" width="14.83203125" style="822" customWidth="1"/>
    <col min="9733" max="9733" width="13.33203125" style="822" customWidth="1"/>
    <col min="9734" max="9735" width="10" style="822" hidden="1" customWidth="1"/>
    <col min="9736" max="9736" width="11.5" style="822" customWidth="1"/>
    <col min="9737" max="9737" width="12.6640625" style="822" customWidth="1"/>
    <col min="9738" max="9738" width="12.1640625" style="822" customWidth="1"/>
    <col min="9739" max="9739" width="13.33203125" style="822" customWidth="1"/>
    <col min="9740" max="9740" width="12" style="822" customWidth="1"/>
    <col min="9741" max="9741" width="10" style="822" hidden="1" customWidth="1"/>
    <col min="9742" max="9742" width="9.5" style="822" customWidth="1"/>
    <col min="9743" max="9743" width="5.6640625" style="822" customWidth="1"/>
    <col min="9744" max="9975" width="10" style="822"/>
    <col min="9976" max="9976" width="5" style="822" customWidth="1"/>
    <col min="9977" max="9977" width="9" style="822" customWidth="1"/>
    <col min="9978" max="9978" width="14.83203125" style="822" customWidth="1"/>
    <col min="9979" max="9983" width="13.5" style="822" customWidth="1"/>
    <col min="9984" max="9984" width="14.6640625" style="822" customWidth="1"/>
    <col min="9985" max="9985" width="11" style="822" customWidth="1"/>
    <col min="9986" max="9986" width="13.6640625" style="822" customWidth="1"/>
    <col min="9987" max="9987" width="13.5" style="822" customWidth="1"/>
    <col min="9988" max="9988" width="14.83203125" style="822" customWidth="1"/>
    <col min="9989" max="9989" width="13.33203125" style="822" customWidth="1"/>
    <col min="9990" max="9991" width="10" style="822" hidden="1" customWidth="1"/>
    <col min="9992" max="9992" width="11.5" style="822" customWidth="1"/>
    <col min="9993" max="9993" width="12.6640625" style="822" customWidth="1"/>
    <col min="9994" max="9994" width="12.1640625" style="822" customWidth="1"/>
    <col min="9995" max="9995" width="13.33203125" style="822" customWidth="1"/>
    <col min="9996" max="9996" width="12" style="822" customWidth="1"/>
    <col min="9997" max="9997" width="10" style="822" hidden="1" customWidth="1"/>
    <col min="9998" max="9998" width="9.5" style="822" customWidth="1"/>
    <col min="9999" max="9999" width="5.6640625" style="822" customWidth="1"/>
    <col min="10000" max="10231" width="10" style="822"/>
    <col min="10232" max="10232" width="5" style="822" customWidth="1"/>
    <col min="10233" max="10233" width="9" style="822" customWidth="1"/>
    <col min="10234" max="10234" width="14.83203125" style="822" customWidth="1"/>
    <col min="10235" max="10239" width="13.5" style="822" customWidth="1"/>
    <col min="10240" max="10240" width="14.6640625" style="822" customWidth="1"/>
    <col min="10241" max="10241" width="11" style="822" customWidth="1"/>
    <col min="10242" max="10242" width="13.6640625" style="822" customWidth="1"/>
    <col min="10243" max="10243" width="13.5" style="822" customWidth="1"/>
    <col min="10244" max="10244" width="14.83203125" style="822" customWidth="1"/>
    <col min="10245" max="10245" width="13.33203125" style="822" customWidth="1"/>
    <col min="10246" max="10247" width="10" style="822" hidden="1" customWidth="1"/>
    <col min="10248" max="10248" width="11.5" style="822" customWidth="1"/>
    <col min="10249" max="10249" width="12.6640625" style="822" customWidth="1"/>
    <col min="10250" max="10250" width="12.1640625" style="822" customWidth="1"/>
    <col min="10251" max="10251" width="13.33203125" style="822" customWidth="1"/>
    <col min="10252" max="10252" width="12" style="822" customWidth="1"/>
    <col min="10253" max="10253" width="10" style="822" hidden="1" customWidth="1"/>
    <col min="10254" max="10254" width="9.5" style="822" customWidth="1"/>
    <col min="10255" max="10255" width="5.6640625" style="822" customWidth="1"/>
    <col min="10256" max="10487" width="10" style="822"/>
    <col min="10488" max="10488" width="5" style="822" customWidth="1"/>
    <col min="10489" max="10489" width="9" style="822" customWidth="1"/>
    <col min="10490" max="10490" width="14.83203125" style="822" customWidth="1"/>
    <col min="10491" max="10495" width="13.5" style="822" customWidth="1"/>
    <col min="10496" max="10496" width="14.6640625" style="822" customWidth="1"/>
    <col min="10497" max="10497" width="11" style="822" customWidth="1"/>
    <col min="10498" max="10498" width="13.6640625" style="822" customWidth="1"/>
    <col min="10499" max="10499" width="13.5" style="822" customWidth="1"/>
    <col min="10500" max="10500" width="14.83203125" style="822" customWidth="1"/>
    <col min="10501" max="10501" width="13.33203125" style="822" customWidth="1"/>
    <col min="10502" max="10503" width="10" style="822" hidden="1" customWidth="1"/>
    <col min="10504" max="10504" width="11.5" style="822" customWidth="1"/>
    <col min="10505" max="10505" width="12.6640625" style="822" customWidth="1"/>
    <col min="10506" max="10506" width="12.1640625" style="822" customWidth="1"/>
    <col min="10507" max="10507" width="13.33203125" style="822" customWidth="1"/>
    <col min="10508" max="10508" width="12" style="822" customWidth="1"/>
    <col min="10509" max="10509" width="10" style="822" hidden="1" customWidth="1"/>
    <col min="10510" max="10510" width="9.5" style="822" customWidth="1"/>
    <col min="10511" max="10511" width="5.6640625" style="822" customWidth="1"/>
    <col min="10512" max="10743" width="10" style="822"/>
    <col min="10744" max="10744" width="5" style="822" customWidth="1"/>
    <col min="10745" max="10745" width="9" style="822" customWidth="1"/>
    <col min="10746" max="10746" width="14.83203125" style="822" customWidth="1"/>
    <col min="10747" max="10751" width="13.5" style="822" customWidth="1"/>
    <col min="10752" max="10752" width="14.6640625" style="822" customWidth="1"/>
    <col min="10753" max="10753" width="11" style="822" customWidth="1"/>
    <col min="10754" max="10754" width="13.6640625" style="822" customWidth="1"/>
    <col min="10755" max="10755" width="13.5" style="822" customWidth="1"/>
    <col min="10756" max="10756" width="14.83203125" style="822" customWidth="1"/>
    <col min="10757" max="10757" width="13.33203125" style="822" customWidth="1"/>
    <col min="10758" max="10759" width="10" style="822" hidden="1" customWidth="1"/>
    <col min="10760" max="10760" width="11.5" style="822" customWidth="1"/>
    <col min="10761" max="10761" width="12.6640625" style="822" customWidth="1"/>
    <col min="10762" max="10762" width="12.1640625" style="822" customWidth="1"/>
    <col min="10763" max="10763" width="13.33203125" style="822" customWidth="1"/>
    <col min="10764" max="10764" width="12" style="822" customWidth="1"/>
    <col min="10765" max="10765" width="10" style="822" hidden="1" customWidth="1"/>
    <col min="10766" max="10766" width="9.5" style="822" customWidth="1"/>
    <col min="10767" max="10767" width="5.6640625" style="822" customWidth="1"/>
    <col min="10768" max="10999" width="10" style="822"/>
    <col min="11000" max="11000" width="5" style="822" customWidth="1"/>
    <col min="11001" max="11001" width="9" style="822" customWidth="1"/>
    <col min="11002" max="11002" width="14.83203125" style="822" customWidth="1"/>
    <col min="11003" max="11007" width="13.5" style="822" customWidth="1"/>
    <col min="11008" max="11008" width="14.6640625" style="822" customWidth="1"/>
    <col min="11009" max="11009" width="11" style="822" customWidth="1"/>
    <col min="11010" max="11010" width="13.6640625" style="822" customWidth="1"/>
    <col min="11011" max="11011" width="13.5" style="822" customWidth="1"/>
    <col min="11012" max="11012" width="14.83203125" style="822" customWidth="1"/>
    <col min="11013" max="11013" width="13.33203125" style="822" customWidth="1"/>
    <col min="11014" max="11015" width="10" style="822" hidden="1" customWidth="1"/>
    <col min="11016" max="11016" width="11.5" style="822" customWidth="1"/>
    <col min="11017" max="11017" width="12.6640625" style="822" customWidth="1"/>
    <col min="11018" max="11018" width="12.1640625" style="822" customWidth="1"/>
    <col min="11019" max="11019" width="13.33203125" style="822" customWidth="1"/>
    <col min="11020" max="11020" width="12" style="822" customWidth="1"/>
    <col min="11021" max="11021" width="10" style="822" hidden="1" customWidth="1"/>
    <col min="11022" max="11022" width="9.5" style="822" customWidth="1"/>
    <col min="11023" max="11023" width="5.6640625" style="822" customWidth="1"/>
    <col min="11024" max="11255" width="10" style="822"/>
    <col min="11256" max="11256" width="5" style="822" customWidth="1"/>
    <col min="11257" max="11257" width="9" style="822" customWidth="1"/>
    <col min="11258" max="11258" width="14.83203125" style="822" customWidth="1"/>
    <col min="11259" max="11263" width="13.5" style="822" customWidth="1"/>
    <col min="11264" max="11264" width="14.6640625" style="822" customWidth="1"/>
    <col min="11265" max="11265" width="11" style="822" customWidth="1"/>
    <col min="11266" max="11266" width="13.6640625" style="822" customWidth="1"/>
    <col min="11267" max="11267" width="13.5" style="822" customWidth="1"/>
    <col min="11268" max="11268" width="14.83203125" style="822" customWidth="1"/>
    <col min="11269" max="11269" width="13.33203125" style="822" customWidth="1"/>
    <col min="11270" max="11271" width="10" style="822" hidden="1" customWidth="1"/>
    <col min="11272" max="11272" width="11.5" style="822" customWidth="1"/>
    <col min="11273" max="11273" width="12.6640625" style="822" customWidth="1"/>
    <col min="11274" max="11274" width="12.1640625" style="822" customWidth="1"/>
    <col min="11275" max="11275" width="13.33203125" style="822" customWidth="1"/>
    <col min="11276" max="11276" width="12" style="822" customWidth="1"/>
    <col min="11277" max="11277" width="10" style="822" hidden="1" customWidth="1"/>
    <col min="11278" max="11278" width="9.5" style="822" customWidth="1"/>
    <col min="11279" max="11279" width="5.6640625" style="822" customWidth="1"/>
    <col min="11280" max="11511" width="10" style="822"/>
    <col min="11512" max="11512" width="5" style="822" customWidth="1"/>
    <col min="11513" max="11513" width="9" style="822" customWidth="1"/>
    <col min="11514" max="11514" width="14.83203125" style="822" customWidth="1"/>
    <col min="11515" max="11519" width="13.5" style="822" customWidth="1"/>
    <col min="11520" max="11520" width="14.6640625" style="822" customWidth="1"/>
    <col min="11521" max="11521" width="11" style="822" customWidth="1"/>
    <col min="11522" max="11522" width="13.6640625" style="822" customWidth="1"/>
    <col min="11523" max="11523" width="13.5" style="822" customWidth="1"/>
    <col min="11524" max="11524" width="14.83203125" style="822" customWidth="1"/>
    <col min="11525" max="11525" width="13.33203125" style="822" customWidth="1"/>
    <col min="11526" max="11527" width="10" style="822" hidden="1" customWidth="1"/>
    <col min="11528" max="11528" width="11.5" style="822" customWidth="1"/>
    <col min="11529" max="11529" width="12.6640625" style="822" customWidth="1"/>
    <col min="11530" max="11530" width="12.1640625" style="822" customWidth="1"/>
    <col min="11531" max="11531" width="13.33203125" style="822" customWidth="1"/>
    <col min="11532" max="11532" width="12" style="822" customWidth="1"/>
    <col min="11533" max="11533" width="10" style="822" hidden="1" customWidth="1"/>
    <col min="11534" max="11534" width="9.5" style="822" customWidth="1"/>
    <col min="11535" max="11535" width="5.6640625" style="822" customWidth="1"/>
    <col min="11536" max="11767" width="10" style="822"/>
    <col min="11768" max="11768" width="5" style="822" customWidth="1"/>
    <col min="11769" max="11769" width="9" style="822" customWidth="1"/>
    <col min="11770" max="11770" width="14.83203125" style="822" customWidth="1"/>
    <col min="11771" max="11775" width="13.5" style="822" customWidth="1"/>
    <col min="11776" max="11776" width="14.6640625" style="822" customWidth="1"/>
    <col min="11777" max="11777" width="11" style="822" customWidth="1"/>
    <col min="11778" max="11778" width="13.6640625" style="822" customWidth="1"/>
    <col min="11779" max="11779" width="13.5" style="822" customWidth="1"/>
    <col min="11780" max="11780" width="14.83203125" style="822" customWidth="1"/>
    <col min="11781" max="11781" width="13.33203125" style="822" customWidth="1"/>
    <col min="11782" max="11783" width="10" style="822" hidden="1" customWidth="1"/>
    <col min="11784" max="11784" width="11.5" style="822" customWidth="1"/>
    <col min="11785" max="11785" width="12.6640625" style="822" customWidth="1"/>
    <col min="11786" max="11786" width="12.1640625" style="822" customWidth="1"/>
    <col min="11787" max="11787" width="13.33203125" style="822" customWidth="1"/>
    <col min="11788" max="11788" width="12" style="822" customWidth="1"/>
    <col min="11789" max="11789" width="10" style="822" hidden="1" customWidth="1"/>
    <col min="11790" max="11790" width="9.5" style="822" customWidth="1"/>
    <col min="11791" max="11791" width="5.6640625" style="822" customWidth="1"/>
    <col min="11792" max="12023" width="10" style="822"/>
    <col min="12024" max="12024" width="5" style="822" customWidth="1"/>
    <col min="12025" max="12025" width="9" style="822" customWidth="1"/>
    <col min="12026" max="12026" width="14.83203125" style="822" customWidth="1"/>
    <col min="12027" max="12031" width="13.5" style="822" customWidth="1"/>
    <col min="12032" max="12032" width="14.6640625" style="822" customWidth="1"/>
    <col min="12033" max="12033" width="11" style="822" customWidth="1"/>
    <col min="12034" max="12034" width="13.6640625" style="822" customWidth="1"/>
    <col min="12035" max="12035" width="13.5" style="822" customWidth="1"/>
    <col min="12036" max="12036" width="14.83203125" style="822" customWidth="1"/>
    <col min="12037" max="12037" width="13.33203125" style="822" customWidth="1"/>
    <col min="12038" max="12039" width="10" style="822" hidden="1" customWidth="1"/>
    <col min="12040" max="12040" width="11.5" style="822" customWidth="1"/>
    <col min="12041" max="12041" width="12.6640625" style="822" customWidth="1"/>
    <col min="12042" max="12042" width="12.1640625" style="822" customWidth="1"/>
    <col min="12043" max="12043" width="13.33203125" style="822" customWidth="1"/>
    <col min="12044" max="12044" width="12" style="822" customWidth="1"/>
    <col min="12045" max="12045" width="10" style="822" hidden="1" customWidth="1"/>
    <col min="12046" max="12046" width="9.5" style="822" customWidth="1"/>
    <col min="12047" max="12047" width="5.6640625" style="822" customWidth="1"/>
    <col min="12048" max="12279" width="10" style="822"/>
    <col min="12280" max="12280" width="5" style="822" customWidth="1"/>
    <col min="12281" max="12281" width="9" style="822" customWidth="1"/>
    <col min="12282" max="12282" width="14.83203125" style="822" customWidth="1"/>
    <col min="12283" max="12287" width="13.5" style="822" customWidth="1"/>
    <col min="12288" max="12288" width="14.6640625" style="822" customWidth="1"/>
    <col min="12289" max="12289" width="11" style="822" customWidth="1"/>
    <col min="12290" max="12290" width="13.6640625" style="822" customWidth="1"/>
    <col min="12291" max="12291" width="13.5" style="822" customWidth="1"/>
    <col min="12292" max="12292" width="14.83203125" style="822" customWidth="1"/>
    <col min="12293" max="12293" width="13.33203125" style="822" customWidth="1"/>
    <col min="12294" max="12295" width="10" style="822" hidden="1" customWidth="1"/>
    <col min="12296" max="12296" width="11.5" style="822" customWidth="1"/>
    <col min="12297" max="12297" width="12.6640625" style="822" customWidth="1"/>
    <col min="12298" max="12298" width="12.1640625" style="822" customWidth="1"/>
    <col min="12299" max="12299" width="13.33203125" style="822" customWidth="1"/>
    <col min="12300" max="12300" width="12" style="822" customWidth="1"/>
    <col min="12301" max="12301" width="10" style="822" hidden="1" customWidth="1"/>
    <col min="12302" max="12302" width="9.5" style="822" customWidth="1"/>
    <col min="12303" max="12303" width="5.6640625" style="822" customWidth="1"/>
    <col min="12304" max="12535" width="10" style="822"/>
    <col min="12536" max="12536" width="5" style="822" customWidth="1"/>
    <col min="12537" max="12537" width="9" style="822" customWidth="1"/>
    <col min="12538" max="12538" width="14.83203125" style="822" customWidth="1"/>
    <col min="12539" max="12543" width="13.5" style="822" customWidth="1"/>
    <col min="12544" max="12544" width="14.6640625" style="822" customWidth="1"/>
    <col min="12545" max="12545" width="11" style="822" customWidth="1"/>
    <col min="12546" max="12546" width="13.6640625" style="822" customWidth="1"/>
    <col min="12547" max="12547" width="13.5" style="822" customWidth="1"/>
    <col min="12548" max="12548" width="14.83203125" style="822" customWidth="1"/>
    <col min="12549" max="12549" width="13.33203125" style="822" customWidth="1"/>
    <col min="12550" max="12551" width="10" style="822" hidden="1" customWidth="1"/>
    <col min="12552" max="12552" width="11.5" style="822" customWidth="1"/>
    <col min="12553" max="12553" width="12.6640625" style="822" customWidth="1"/>
    <col min="12554" max="12554" width="12.1640625" style="822" customWidth="1"/>
    <col min="12555" max="12555" width="13.33203125" style="822" customWidth="1"/>
    <col min="12556" max="12556" width="12" style="822" customWidth="1"/>
    <col min="12557" max="12557" width="10" style="822" hidden="1" customWidth="1"/>
    <col min="12558" max="12558" width="9.5" style="822" customWidth="1"/>
    <col min="12559" max="12559" width="5.6640625" style="822" customWidth="1"/>
    <col min="12560" max="12791" width="10" style="822"/>
    <col min="12792" max="12792" width="5" style="822" customWidth="1"/>
    <col min="12793" max="12793" width="9" style="822" customWidth="1"/>
    <col min="12794" max="12794" width="14.83203125" style="822" customWidth="1"/>
    <col min="12795" max="12799" width="13.5" style="822" customWidth="1"/>
    <col min="12800" max="12800" width="14.6640625" style="822" customWidth="1"/>
    <col min="12801" max="12801" width="11" style="822" customWidth="1"/>
    <col min="12802" max="12802" width="13.6640625" style="822" customWidth="1"/>
    <col min="12803" max="12803" width="13.5" style="822" customWidth="1"/>
    <col min="12804" max="12804" width="14.83203125" style="822" customWidth="1"/>
    <col min="12805" max="12805" width="13.33203125" style="822" customWidth="1"/>
    <col min="12806" max="12807" width="10" style="822" hidden="1" customWidth="1"/>
    <col min="12808" max="12808" width="11.5" style="822" customWidth="1"/>
    <col min="12809" max="12809" width="12.6640625" style="822" customWidth="1"/>
    <col min="12810" max="12810" width="12.1640625" style="822" customWidth="1"/>
    <col min="12811" max="12811" width="13.33203125" style="822" customWidth="1"/>
    <col min="12812" max="12812" width="12" style="822" customWidth="1"/>
    <col min="12813" max="12813" width="10" style="822" hidden="1" customWidth="1"/>
    <col min="12814" max="12814" width="9.5" style="822" customWidth="1"/>
    <col min="12815" max="12815" width="5.6640625" style="822" customWidth="1"/>
    <col min="12816" max="13047" width="10" style="822"/>
    <col min="13048" max="13048" width="5" style="822" customWidth="1"/>
    <col min="13049" max="13049" width="9" style="822" customWidth="1"/>
    <col min="13050" max="13050" width="14.83203125" style="822" customWidth="1"/>
    <col min="13051" max="13055" width="13.5" style="822" customWidth="1"/>
    <col min="13056" max="13056" width="14.6640625" style="822" customWidth="1"/>
    <col min="13057" max="13057" width="11" style="822" customWidth="1"/>
    <col min="13058" max="13058" width="13.6640625" style="822" customWidth="1"/>
    <col min="13059" max="13059" width="13.5" style="822" customWidth="1"/>
    <col min="13060" max="13060" width="14.83203125" style="822" customWidth="1"/>
    <col min="13061" max="13061" width="13.33203125" style="822" customWidth="1"/>
    <col min="13062" max="13063" width="10" style="822" hidden="1" customWidth="1"/>
    <col min="13064" max="13064" width="11.5" style="822" customWidth="1"/>
    <col min="13065" max="13065" width="12.6640625" style="822" customWidth="1"/>
    <col min="13066" max="13066" width="12.1640625" style="822" customWidth="1"/>
    <col min="13067" max="13067" width="13.33203125" style="822" customWidth="1"/>
    <col min="13068" max="13068" width="12" style="822" customWidth="1"/>
    <col min="13069" max="13069" width="10" style="822" hidden="1" customWidth="1"/>
    <col min="13070" max="13070" width="9.5" style="822" customWidth="1"/>
    <col min="13071" max="13071" width="5.6640625" style="822" customWidth="1"/>
    <col min="13072" max="13303" width="10" style="822"/>
    <col min="13304" max="13304" width="5" style="822" customWidth="1"/>
    <col min="13305" max="13305" width="9" style="822" customWidth="1"/>
    <col min="13306" max="13306" width="14.83203125" style="822" customWidth="1"/>
    <col min="13307" max="13311" width="13.5" style="822" customWidth="1"/>
    <col min="13312" max="13312" width="14.6640625" style="822" customWidth="1"/>
    <col min="13313" max="13313" width="11" style="822" customWidth="1"/>
    <col min="13314" max="13314" width="13.6640625" style="822" customWidth="1"/>
    <col min="13315" max="13315" width="13.5" style="822" customWidth="1"/>
    <col min="13316" max="13316" width="14.83203125" style="822" customWidth="1"/>
    <col min="13317" max="13317" width="13.33203125" style="822" customWidth="1"/>
    <col min="13318" max="13319" width="10" style="822" hidden="1" customWidth="1"/>
    <col min="13320" max="13320" width="11.5" style="822" customWidth="1"/>
    <col min="13321" max="13321" width="12.6640625" style="822" customWidth="1"/>
    <col min="13322" max="13322" width="12.1640625" style="822" customWidth="1"/>
    <col min="13323" max="13323" width="13.33203125" style="822" customWidth="1"/>
    <col min="13324" max="13324" width="12" style="822" customWidth="1"/>
    <col min="13325" max="13325" width="10" style="822" hidden="1" customWidth="1"/>
    <col min="13326" max="13326" width="9.5" style="822" customWidth="1"/>
    <col min="13327" max="13327" width="5.6640625" style="822" customWidth="1"/>
    <col min="13328" max="13559" width="10" style="822"/>
    <col min="13560" max="13560" width="5" style="822" customWidth="1"/>
    <col min="13561" max="13561" width="9" style="822" customWidth="1"/>
    <col min="13562" max="13562" width="14.83203125" style="822" customWidth="1"/>
    <col min="13563" max="13567" width="13.5" style="822" customWidth="1"/>
    <col min="13568" max="13568" width="14.6640625" style="822" customWidth="1"/>
    <col min="13569" max="13569" width="11" style="822" customWidth="1"/>
    <col min="13570" max="13570" width="13.6640625" style="822" customWidth="1"/>
    <col min="13571" max="13571" width="13.5" style="822" customWidth="1"/>
    <col min="13572" max="13572" width="14.83203125" style="822" customWidth="1"/>
    <col min="13573" max="13573" width="13.33203125" style="822" customWidth="1"/>
    <col min="13574" max="13575" width="10" style="822" hidden="1" customWidth="1"/>
    <col min="13576" max="13576" width="11.5" style="822" customWidth="1"/>
    <col min="13577" max="13577" width="12.6640625" style="822" customWidth="1"/>
    <col min="13578" max="13578" width="12.1640625" style="822" customWidth="1"/>
    <col min="13579" max="13579" width="13.33203125" style="822" customWidth="1"/>
    <col min="13580" max="13580" width="12" style="822" customWidth="1"/>
    <col min="13581" max="13581" width="10" style="822" hidden="1" customWidth="1"/>
    <col min="13582" max="13582" width="9.5" style="822" customWidth="1"/>
    <col min="13583" max="13583" width="5.6640625" style="822" customWidth="1"/>
    <col min="13584" max="13815" width="10" style="822"/>
    <col min="13816" max="13816" width="5" style="822" customWidth="1"/>
    <col min="13817" max="13817" width="9" style="822" customWidth="1"/>
    <col min="13818" max="13818" width="14.83203125" style="822" customWidth="1"/>
    <col min="13819" max="13823" width="13.5" style="822" customWidth="1"/>
    <col min="13824" max="13824" width="14.6640625" style="822" customWidth="1"/>
    <col min="13825" max="13825" width="11" style="822" customWidth="1"/>
    <col min="13826" max="13826" width="13.6640625" style="822" customWidth="1"/>
    <col min="13827" max="13827" width="13.5" style="822" customWidth="1"/>
    <col min="13828" max="13828" width="14.83203125" style="822" customWidth="1"/>
    <col min="13829" max="13829" width="13.33203125" style="822" customWidth="1"/>
    <col min="13830" max="13831" width="10" style="822" hidden="1" customWidth="1"/>
    <col min="13832" max="13832" width="11.5" style="822" customWidth="1"/>
    <col min="13833" max="13833" width="12.6640625" style="822" customWidth="1"/>
    <col min="13834" max="13834" width="12.1640625" style="822" customWidth="1"/>
    <col min="13835" max="13835" width="13.33203125" style="822" customWidth="1"/>
    <col min="13836" max="13836" width="12" style="822" customWidth="1"/>
    <col min="13837" max="13837" width="10" style="822" hidden="1" customWidth="1"/>
    <col min="13838" max="13838" width="9.5" style="822" customWidth="1"/>
    <col min="13839" max="13839" width="5.6640625" style="822" customWidth="1"/>
    <col min="13840" max="14071" width="10" style="822"/>
    <col min="14072" max="14072" width="5" style="822" customWidth="1"/>
    <col min="14073" max="14073" width="9" style="822" customWidth="1"/>
    <col min="14074" max="14074" width="14.83203125" style="822" customWidth="1"/>
    <col min="14075" max="14079" width="13.5" style="822" customWidth="1"/>
    <col min="14080" max="14080" width="14.6640625" style="822" customWidth="1"/>
    <col min="14081" max="14081" width="11" style="822" customWidth="1"/>
    <col min="14082" max="14082" width="13.6640625" style="822" customWidth="1"/>
    <col min="14083" max="14083" width="13.5" style="822" customWidth="1"/>
    <col min="14084" max="14084" width="14.83203125" style="822" customWidth="1"/>
    <col min="14085" max="14085" width="13.33203125" style="822" customWidth="1"/>
    <col min="14086" max="14087" width="10" style="822" hidden="1" customWidth="1"/>
    <col min="14088" max="14088" width="11.5" style="822" customWidth="1"/>
    <col min="14089" max="14089" width="12.6640625" style="822" customWidth="1"/>
    <col min="14090" max="14090" width="12.1640625" style="822" customWidth="1"/>
    <col min="14091" max="14091" width="13.33203125" style="822" customWidth="1"/>
    <col min="14092" max="14092" width="12" style="822" customWidth="1"/>
    <col min="14093" max="14093" width="10" style="822" hidden="1" customWidth="1"/>
    <col min="14094" max="14094" width="9.5" style="822" customWidth="1"/>
    <col min="14095" max="14095" width="5.6640625" style="822" customWidth="1"/>
    <col min="14096" max="14327" width="10" style="822"/>
    <col min="14328" max="14328" width="5" style="822" customWidth="1"/>
    <col min="14329" max="14329" width="9" style="822" customWidth="1"/>
    <col min="14330" max="14330" width="14.83203125" style="822" customWidth="1"/>
    <col min="14331" max="14335" width="13.5" style="822" customWidth="1"/>
    <col min="14336" max="14336" width="14.6640625" style="822" customWidth="1"/>
    <col min="14337" max="14337" width="11" style="822" customWidth="1"/>
    <col min="14338" max="14338" width="13.6640625" style="822" customWidth="1"/>
    <col min="14339" max="14339" width="13.5" style="822" customWidth="1"/>
    <col min="14340" max="14340" width="14.83203125" style="822" customWidth="1"/>
    <col min="14341" max="14341" width="13.33203125" style="822" customWidth="1"/>
    <col min="14342" max="14343" width="10" style="822" hidden="1" customWidth="1"/>
    <col min="14344" max="14344" width="11.5" style="822" customWidth="1"/>
    <col min="14345" max="14345" width="12.6640625" style="822" customWidth="1"/>
    <col min="14346" max="14346" width="12.1640625" style="822" customWidth="1"/>
    <col min="14347" max="14347" width="13.33203125" style="822" customWidth="1"/>
    <col min="14348" max="14348" width="12" style="822" customWidth="1"/>
    <col min="14349" max="14349" width="10" style="822" hidden="1" customWidth="1"/>
    <col min="14350" max="14350" width="9.5" style="822" customWidth="1"/>
    <col min="14351" max="14351" width="5.6640625" style="822" customWidth="1"/>
    <col min="14352" max="14583" width="10" style="822"/>
    <col min="14584" max="14584" width="5" style="822" customWidth="1"/>
    <col min="14585" max="14585" width="9" style="822" customWidth="1"/>
    <col min="14586" max="14586" width="14.83203125" style="822" customWidth="1"/>
    <col min="14587" max="14591" width="13.5" style="822" customWidth="1"/>
    <col min="14592" max="14592" width="14.6640625" style="822" customWidth="1"/>
    <col min="14593" max="14593" width="11" style="822" customWidth="1"/>
    <col min="14594" max="14594" width="13.6640625" style="822" customWidth="1"/>
    <col min="14595" max="14595" width="13.5" style="822" customWidth="1"/>
    <col min="14596" max="14596" width="14.83203125" style="822" customWidth="1"/>
    <col min="14597" max="14597" width="13.33203125" style="822" customWidth="1"/>
    <col min="14598" max="14599" width="10" style="822" hidden="1" customWidth="1"/>
    <col min="14600" max="14600" width="11.5" style="822" customWidth="1"/>
    <col min="14601" max="14601" width="12.6640625" style="822" customWidth="1"/>
    <col min="14602" max="14602" width="12.1640625" style="822" customWidth="1"/>
    <col min="14603" max="14603" width="13.33203125" style="822" customWidth="1"/>
    <col min="14604" max="14604" width="12" style="822" customWidth="1"/>
    <col min="14605" max="14605" width="10" style="822" hidden="1" customWidth="1"/>
    <col min="14606" max="14606" width="9.5" style="822" customWidth="1"/>
    <col min="14607" max="14607" width="5.6640625" style="822" customWidth="1"/>
    <col min="14608" max="14839" width="10" style="822"/>
    <col min="14840" max="14840" width="5" style="822" customWidth="1"/>
    <col min="14841" max="14841" width="9" style="822" customWidth="1"/>
    <col min="14842" max="14842" width="14.83203125" style="822" customWidth="1"/>
    <col min="14843" max="14847" width="13.5" style="822" customWidth="1"/>
    <col min="14848" max="14848" width="14.6640625" style="822" customWidth="1"/>
    <col min="14849" max="14849" width="11" style="822" customWidth="1"/>
    <col min="14850" max="14850" width="13.6640625" style="822" customWidth="1"/>
    <col min="14851" max="14851" width="13.5" style="822" customWidth="1"/>
    <col min="14852" max="14852" width="14.83203125" style="822" customWidth="1"/>
    <col min="14853" max="14853" width="13.33203125" style="822" customWidth="1"/>
    <col min="14854" max="14855" width="10" style="822" hidden="1" customWidth="1"/>
    <col min="14856" max="14856" width="11.5" style="822" customWidth="1"/>
    <col min="14857" max="14857" width="12.6640625" style="822" customWidth="1"/>
    <col min="14858" max="14858" width="12.1640625" style="822" customWidth="1"/>
    <col min="14859" max="14859" width="13.33203125" style="822" customWidth="1"/>
    <col min="14860" max="14860" width="12" style="822" customWidth="1"/>
    <col min="14861" max="14861" width="10" style="822" hidden="1" customWidth="1"/>
    <col min="14862" max="14862" width="9.5" style="822" customWidth="1"/>
    <col min="14863" max="14863" width="5.6640625" style="822" customWidth="1"/>
    <col min="14864" max="15095" width="10" style="822"/>
    <col min="15096" max="15096" width="5" style="822" customWidth="1"/>
    <col min="15097" max="15097" width="9" style="822" customWidth="1"/>
    <col min="15098" max="15098" width="14.83203125" style="822" customWidth="1"/>
    <col min="15099" max="15103" width="13.5" style="822" customWidth="1"/>
    <col min="15104" max="15104" width="14.6640625" style="822" customWidth="1"/>
    <col min="15105" max="15105" width="11" style="822" customWidth="1"/>
    <col min="15106" max="15106" width="13.6640625" style="822" customWidth="1"/>
    <col min="15107" max="15107" width="13.5" style="822" customWidth="1"/>
    <col min="15108" max="15108" width="14.83203125" style="822" customWidth="1"/>
    <col min="15109" max="15109" width="13.33203125" style="822" customWidth="1"/>
    <col min="15110" max="15111" width="10" style="822" hidden="1" customWidth="1"/>
    <col min="15112" max="15112" width="11.5" style="822" customWidth="1"/>
    <col min="15113" max="15113" width="12.6640625" style="822" customWidth="1"/>
    <col min="15114" max="15114" width="12.1640625" style="822" customWidth="1"/>
    <col min="15115" max="15115" width="13.33203125" style="822" customWidth="1"/>
    <col min="15116" max="15116" width="12" style="822" customWidth="1"/>
    <col min="15117" max="15117" width="10" style="822" hidden="1" customWidth="1"/>
    <col min="15118" max="15118" width="9.5" style="822" customWidth="1"/>
    <col min="15119" max="15119" width="5.6640625" style="822" customWidth="1"/>
    <col min="15120" max="15351" width="10" style="822"/>
    <col min="15352" max="15352" width="5" style="822" customWidth="1"/>
    <col min="15353" max="15353" width="9" style="822" customWidth="1"/>
    <col min="15354" max="15354" width="14.83203125" style="822" customWidth="1"/>
    <col min="15355" max="15359" width="13.5" style="822" customWidth="1"/>
    <col min="15360" max="15360" width="14.6640625" style="822" customWidth="1"/>
    <col min="15361" max="15361" width="11" style="822" customWidth="1"/>
    <col min="15362" max="15362" width="13.6640625" style="822" customWidth="1"/>
    <col min="15363" max="15363" width="13.5" style="822" customWidth="1"/>
    <col min="15364" max="15364" width="14.83203125" style="822" customWidth="1"/>
    <col min="15365" max="15365" width="13.33203125" style="822" customWidth="1"/>
    <col min="15366" max="15367" width="10" style="822" hidden="1" customWidth="1"/>
    <col min="15368" max="15368" width="11.5" style="822" customWidth="1"/>
    <col min="15369" max="15369" width="12.6640625" style="822" customWidth="1"/>
    <col min="15370" max="15370" width="12.1640625" style="822" customWidth="1"/>
    <col min="15371" max="15371" width="13.33203125" style="822" customWidth="1"/>
    <col min="15372" max="15372" width="12" style="822" customWidth="1"/>
    <col min="15373" max="15373" width="10" style="822" hidden="1" customWidth="1"/>
    <col min="15374" max="15374" width="9.5" style="822" customWidth="1"/>
    <col min="15375" max="15375" width="5.6640625" style="822" customWidth="1"/>
    <col min="15376" max="15607" width="10" style="822"/>
    <col min="15608" max="15608" width="5" style="822" customWidth="1"/>
    <col min="15609" max="15609" width="9" style="822" customWidth="1"/>
    <col min="15610" max="15610" width="14.83203125" style="822" customWidth="1"/>
    <col min="15611" max="15615" width="13.5" style="822" customWidth="1"/>
    <col min="15616" max="15616" width="14.6640625" style="822" customWidth="1"/>
    <col min="15617" max="15617" width="11" style="822" customWidth="1"/>
    <col min="15618" max="15618" width="13.6640625" style="822" customWidth="1"/>
    <col min="15619" max="15619" width="13.5" style="822" customWidth="1"/>
    <col min="15620" max="15620" width="14.83203125" style="822" customWidth="1"/>
    <col min="15621" max="15621" width="13.33203125" style="822" customWidth="1"/>
    <col min="15622" max="15623" width="10" style="822" hidden="1" customWidth="1"/>
    <col min="15624" max="15624" width="11.5" style="822" customWidth="1"/>
    <col min="15625" max="15625" width="12.6640625" style="822" customWidth="1"/>
    <col min="15626" max="15626" width="12.1640625" style="822" customWidth="1"/>
    <col min="15627" max="15627" width="13.33203125" style="822" customWidth="1"/>
    <col min="15628" max="15628" width="12" style="822" customWidth="1"/>
    <col min="15629" max="15629" width="10" style="822" hidden="1" customWidth="1"/>
    <col min="15630" max="15630" width="9.5" style="822" customWidth="1"/>
    <col min="15631" max="15631" width="5.6640625" style="822" customWidth="1"/>
    <col min="15632" max="15863" width="10" style="822"/>
    <col min="15864" max="15864" width="5" style="822" customWidth="1"/>
    <col min="15865" max="15865" width="9" style="822" customWidth="1"/>
    <col min="15866" max="15866" width="14.83203125" style="822" customWidth="1"/>
    <col min="15867" max="15871" width="13.5" style="822" customWidth="1"/>
    <col min="15872" max="15872" width="14.6640625" style="822" customWidth="1"/>
    <col min="15873" max="15873" width="11" style="822" customWidth="1"/>
    <col min="15874" max="15874" width="13.6640625" style="822" customWidth="1"/>
    <col min="15875" max="15875" width="13.5" style="822" customWidth="1"/>
    <col min="15876" max="15876" width="14.83203125" style="822" customWidth="1"/>
    <col min="15877" max="15877" width="13.33203125" style="822" customWidth="1"/>
    <col min="15878" max="15879" width="10" style="822" hidden="1" customWidth="1"/>
    <col min="15880" max="15880" width="11.5" style="822" customWidth="1"/>
    <col min="15881" max="15881" width="12.6640625" style="822" customWidth="1"/>
    <col min="15882" max="15882" width="12.1640625" style="822" customWidth="1"/>
    <col min="15883" max="15883" width="13.33203125" style="822" customWidth="1"/>
    <col min="15884" max="15884" width="12" style="822" customWidth="1"/>
    <col min="15885" max="15885" width="10" style="822" hidden="1" customWidth="1"/>
    <col min="15886" max="15886" width="9.5" style="822" customWidth="1"/>
    <col min="15887" max="15887" width="5.6640625" style="822" customWidth="1"/>
    <col min="15888" max="16119" width="10" style="822"/>
    <col min="16120" max="16120" width="5" style="822" customWidth="1"/>
    <col min="16121" max="16121" width="9" style="822" customWidth="1"/>
    <col min="16122" max="16122" width="14.83203125" style="822" customWidth="1"/>
    <col min="16123" max="16127" width="13.5" style="822" customWidth="1"/>
    <col min="16128" max="16128" width="14.6640625" style="822" customWidth="1"/>
    <col min="16129" max="16129" width="11" style="822" customWidth="1"/>
    <col min="16130" max="16130" width="13.6640625" style="822" customWidth="1"/>
    <col min="16131" max="16131" width="13.5" style="822" customWidth="1"/>
    <col min="16132" max="16132" width="14.83203125" style="822" customWidth="1"/>
    <col min="16133" max="16133" width="13.33203125" style="822" customWidth="1"/>
    <col min="16134" max="16135" width="10" style="822" hidden="1" customWidth="1"/>
    <col min="16136" max="16136" width="11.5" style="822" customWidth="1"/>
    <col min="16137" max="16137" width="12.6640625" style="822" customWidth="1"/>
    <col min="16138" max="16138" width="12.1640625" style="822" customWidth="1"/>
    <col min="16139" max="16139" width="13.33203125" style="822" customWidth="1"/>
    <col min="16140" max="16140" width="12" style="822" customWidth="1"/>
    <col min="16141" max="16141" width="10" style="822" hidden="1" customWidth="1"/>
    <col min="16142" max="16142" width="9.5" style="822" customWidth="1"/>
    <col min="16143" max="16143" width="5.6640625" style="822" customWidth="1"/>
    <col min="16144" max="16384" width="10" style="822"/>
  </cols>
  <sheetData>
    <row r="1" spans="1:12" ht="19">
      <c r="A1" s="821" t="s">
        <v>7493</v>
      </c>
      <c r="B1" s="821"/>
      <c r="C1" s="821"/>
      <c r="D1" s="821"/>
      <c r="E1" s="821"/>
      <c r="F1" s="821"/>
      <c r="G1" s="821"/>
      <c r="H1" s="821"/>
      <c r="I1" s="821"/>
      <c r="J1" s="821"/>
      <c r="K1" s="821"/>
      <c r="L1" s="821"/>
    </row>
    <row r="2" spans="1:12" s="870" customFormat="1" ht="42">
      <c r="A2" s="824" t="s">
        <v>7494</v>
      </c>
      <c r="B2" s="825" t="s">
        <v>6807</v>
      </c>
      <c r="C2" s="825" t="s">
        <v>7447</v>
      </c>
      <c r="D2" s="826" t="s">
        <v>7495</v>
      </c>
      <c r="E2" s="826" t="s">
        <v>7496</v>
      </c>
      <c r="F2" s="826" t="s">
        <v>7497</v>
      </c>
      <c r="G2" s="825" t="s">
        <v>7498</v>
      </c>
      <c r="H2" s="826" t="s">
        <v>7499</v>
      </c>
      <c r="I2" s="827" t="s">
        <v>7453</v>
      </c>
      <c r="J2" s="826" t="s">
        <v>7454</v>
      </c>
      <c r="K2" s="826" t="s">
        <v>7472</v>
      </c>
      <c r="L2" s="889" t="s">
        <v>78</v>
      </c>
    </row>
    <row r="3" spans="1:12" s="842" customFormat="1" ht="22" customHeight="1">
      <c r="A3" s="1707" t="s">
        <v>7494</v>
      </c>
      <c r="B3" s="1710" t="s">
        <v>7500</v>
      </c>
      <c r="C3" s="832" t="s">
        <v>7501</v>
      </c>
      <c r="D3" s="874"/>
      <c r="E3" s="872">
        <f>'02 项目基础信息（输入）'!D15</f>
        <v>24661</v>
      </c>
      <c r="F3" s="832">
        <v>0.5</v>
      </c>
      <c r="G3" s="877">
        <f>E3*F3</f>
        <v>12330.5</v>
      </c>
      <c r="H3" s="832">
        <v>110</v>
      </c>
      <c r="I3" s="836">
        <f t="shared" ref="I3:I10" si="0">G3*H3/10000</f>
        <v>135.63550000000001</v>
      </c>
      <c r="J3" s="890">
        <f>'02 项目基础信息（输入）'!C69</f>
        <v>74626.7546</v>
      </c>
      <c r="K3" s="838">
        <f t="shared" ref="K3:K14" si="1">I3/J3*10000</f>
        <v>18.175184051216934</v>
      </c>
      <c r="L3" s="891"/>
    </row>
    <row r="4" spans="1:12" s="842" customFormat="1" ht="22" customHeight="1">
      <c r="A4" s="1708"/>
      <c r="B4" s="1711"/>
      <c r="C4" s="832" t="s">
        <v>7502</v>
      </c>
      <c r="D4" s="874"/>
      <c r="E4" s="872">
        <f>总指标!E19</f>
        <v>1776.54</v>
      </c>
      <c r="F4" s="832">
        <v>3.8</v>
      </c>
      <c r="G4" s="877">
        <f>E4*F4</f>
        <v>6750.8519999999999</v>
      </c>
      <c r="H4" s="832">
        <v>110</v>
      </c>
      <c r="I4" s="836">
        <f t="shared" si="0"/>
        <v>74.259371999999999</v>
      </c>
      <c r="J4" s="836">
        <f t="shared" ref="J4:J14" si="2">$J$3</f>
        <v>74626.7546</v>
      </c>
      <c r="K4" s="838">
        <f t="shared" si="1"/>
        <v>9.9507706583290165</v>
      </c>
      <c r="L4" s="891" t="s">
        <v>7503</v>
      </c>
    </row>
    <row r="5" spans="1:12" s="842" customFormat="1" ht="35" customHeight="1">
      <c r="A5" s="1708"/>
      <c r="B5" s="1711"/>
      <c r="C5" s="832" t="s">
        <v>7504</v>
      </c>
      <c r="D5" s="874"/>
      <c r="E5" s="872">
        <f>E3-E4</f>
        <v>22884.46</v>
      </c>
      <c r="F5" s="832">
        <v>3.8</v>
      </c>
      <c r="G5" s="877">
        <f>E5*F5+2*400</f>
        <v>87760.947999999989</v>
      </c>
      <c r="H5" s="832">
        <v>110</v>
      </c>
      <c r="I5" s="836">
        <f t="shared" si="0"/>
        <v>965.37042799999995</v>
      </c>
      <c r="J5" s="836">
        <f t="shared" si="2"/>
        <v>74626.7546</v>
      </c>
      <c r="K5" s="838">
        <f t="shared" si="1"/>
        <v>129.35982988599639</v>
      </c>
      <c r="L5" s="891" t="s">
        <v>7503</v>
      </c>
    </row>
    <row r="6" spans="1:12" s="842" customFormat="1" ht="22" customHeight="1">
      <c r="A6" s="1708"/>
      <c r="B6" s="1711"/>
      <c r="C6" s="832" t="s">
        <v>7505</v>
      </c>
      <c r="D6" s="874"/>
      <c r="E6" s="872">
        <f>E3</f>
        <v>24661</v>
      </c>
      <c r="F6" s="832">
        <v>1.3</v>
      </c>
      <c r="G6" s="877">
        <f>E6*F6</f>
        <v>32059.300000000003</v>
      </c>
      <c r="H6" s="832">
        <v>110</v>
      </c>
      <c r="I6" s="836">
        <f t="shared" si="0"/>
        <v>352.65230000000003</v>
      </c>
      <c r="J6" s="836">
        <f t="shared" si="2"/>
        <v>74626.7546</v>
      </c>
      <c r="K6" s="838">
        <f t="shared" si="1"/>
        <v>47.25547853316403</v>
      </c>
      <c r="L6" s="891" t="s">
        <v>7506</v>
      </c>
    </row>
    <row r="7" spans="1:12" s="842" customFormat="1" ht="22" customHeight="1">
      <c r="A7" s="1708"/>
      <c r="B7" s="1711"/>
      <c r="C7" s="832" t="s">
        <v>7507</v>
      </c>
      <c r="D7" s="874"/>
      <c r="E7" s="832"/>
      <c r="F7" s="832"/>
      <c r="G7" s="877">
        <f t="shared" ref="G7:G12" si="3">E7*F7</f>
        <v>0</v>
      </c>
      <c r="H7" s="832"/>
      <c r="I7" s="836">
        <f t="shared" si="0"/>
        <v>0</v>
      </c>
      <c r="J7" s="836">
        <f t="shared" si="2"/>
        <v>74626.7546</v>
      </c>
      <c r="K7" s="838">
        <f t="shared" si="1"/>
        <v>0</v>
      </c>
      <c r="L7" s="891"/>
    </row>
    <row r="8" spans="1:12" s="842" customFormat="1" ht="22" customHeight="1">
      <c r="A8" s="1708"/>
      <c r="B8" s="1711"/>
      <c r="C8" s="832" t="s">
        <v>7508</v>
      </c>
      <c r="D8" s="874"/>
      <c r="E8" s="832"/>
      <c r="F8" s="832"/>
      <c r="G8" s="877">
        <f t="shared" si="3"/>
        <v>0</v>
      </c>
      <c r="H8" s="832"/>
      <c r="I8" s="836">
        <f t="shared" si="0"/>
        <v>0</v>
      </c>
      <c r="J8" s="836">
        <f t="shared" si="2"/>
        <v>74626.7546</v>
      </c>
      <c r="K8" s="838">
        <f t="shared" si="1"/>
        <v>0</v>
      </c>
      <c r="L8" s="891"/>
    </row>
    <row r="9" spans="1:12" s="842" customFormat="1" ht="22" customHeight="1">
      <c r="A9" s="1708"/>
      <c r="B9" s="1712"/>
      <c r="C9" s="892" t="s">
        <v>649</v>
      </c>
      <c r="D9" s="846"/>
      <c r="E9" s="846"/>
      <c r="F9" s="846"/>
      <c r="G9" s="893">
        <f>SUM(G3:G8)</f>
        <v>138901.59999999998</v>
      </c>
      <c r="H9" s="832">
        <v>110</v>
      </c>
      <c r="I9" s="893">
        <f>SUM(I3:I8)</f>
        <v>1527.9176</v>
      </c>
      <c r="J9" s="864">
        <f t="shared" si="2"/>
        <v>74626.7546</v>
      </c>
      <c r="K9" s="865">
        <f t="shared" si="1"/>
        <v>204.74126312870638</v>
      </c>
      <c r="L9" s="891"/>
    </row>
    <row r="10" spans="1:12" s="842" customFormat="1" ht="22" customHeight="1">
      <c r="A10" s="1708"/>
      <c r="B10" s="894" t="s">
        <v>7509</v>
      </c>
      <c r="C10" s="832" t="s">
        <v>7509</v>
      </c>
      <c r="D10" s="874"/>
      <c r="E10" s="844"/>
      <c r="F10" s="844"/>
      <c r="G10" s="877">
        <f t="shared" si="3"/>
        <v>0</v>
      </c>
      <c r="H10" s="844"/>
      <c r="I10" s="864">
        <f t="shared" si="0"/>
        <v>0</v>
      </c>
      <c r="J10" s="864">
        <f t="shared" si="2"/>
        <v>74626.7546</v>
      </c>
      <c r="K10" s="864">
        <f t="shared" si="1"/>
        <v>0</v>
      </c>
      <c r="L10" s="891" t="s">
        <v>7510</v>
      </c>
    </row>
    <row r="11" spans="1:12" s="842" customFormat="1" ht="22" customHeight="1">
      <c r="A11" s="1708"/>
      <c r="B11" s="1710" t="s">
        <v>7511</v>
      </c>
      <c r="C11" s="832" t="s">
        <v>7512</v>
      </c>
      <c r="D11" s="895">
        <f>支护!F3</f>
        <v>861</v>
      </c>
      <c r="E11" s="895">
        <f>D11*1.5</f>
        <v>1291.5</v>
      </c>
      <c r="F11" s="895">
        <f>F5+F6</f>
        <v>5.0999999999999996</v>
      </c>
      <c r="G11" s="877">
        <f t="shared" si="3"/>
        <v>6586.65</v>
      </c>
      <c r="H11" s="832">
        <v>50</v>
      </c>
      <c r="I11" s="864">
        <f>H11*G11/10000</f>
        <v>32.933250000000001</v>
      </c>
      <c r="J11" s="864">
        <f t="shared" si="2"/>
        <v>74626.7546</v>
      </c>
      <c r="K11" s="864">
        <f t="shared" si="1"/>
        <v>4.4130620682250594</v>
      </c>
      <c r="L11" s="891" t="s">
        <v>8084</v>
      </c>
    </row>
    <row r="12" spans="1:12" s="886" customFormat="1" ht="22" customHeight="1">
      <c r="A12" s="1708"/>
      <c r="B12" s="1711"/>
      <c r="C12" s="832" t="s">
        <v>7513</v>
      </c>
      <c r="D12" s="845" t="s">
        <v>7514</v>
      </c>
      <c r="E12" s="896">
        <f>总指标!E55-1700</f>
        <v>21686.639999999999</v>
      </c>
      <c r="F12" s="895">
        <v>1.5</v>
      </c>
      <c r="G12" s="893">
        <f t="shared" si="3"/>
        <v>32529.96</v>
      </c>
      <c r="H12" s="832">
        <v>5</v>
      </c>
      <c r="I12" s="836">
        <f>H12*G12/10000</f>
        <v>16.264979999999998</v>
      </c>
      <c r="J12" s="836">
        <f t="shared" si="2"/>
        <v>74626.7546</v>
      </c>
      <c r="K12" s="838">
        <f t="shared" si="1"/>
        <v>2.1795105638963426</v>
      </c>
      <c r="L12" s="891"/>
    </row>
    <row r="13" spans="1:12" s="886" customFormat="1" ht="22" customHeight="1">
      <c r="A13" s="1708"/>
      <c r="B13" s="1712"/>
      <c r="C13" s="892" t="s">
        <v>649</v>
      </c>
      <c r="D13" s="877"/>
      <c r="E13" s="836"/>
      <c r="F13" s="836"/>
      <c r="G13" s="862">
        <f>SUM(G11:G12)</f>
        <v>39116.61</v>
      </c>
      <c r="H13" s="844"/>
      <c r="I13" s="862">
        <f>SUM(I11:I12)</f>
        <v>49.198229999999995</v>
      </c>
      <c r="J13" s="864">
        <f t="shared" si="2"/>
        <v>74626.7546</v>
      </c>
      <c r="K13" s="865">
        <f t="shared" si="1"/>
        <v>6.592572632121402</v>
      </c>
      <c r="L13" s="897"/>
    </row>
    <row r="14" spans="1:12" s="886" customFormat="1" ht="22" customHeight="1">
      <c r="A14" s="1708"/>
      <c r="B14" s="898" t="s">
        <v>7515</v>
      </c>
      <c r="C14" s="832" t="s">
        <v>7516</v>
      </c>
      <c r="D14" s="895"/>
      <c r="E14" s="895"/>
      <c r="F14" s="895"/>
      <c r="G14" s="877">
        <f>E14*F14</f>
        <v>0</v>
      </c>
      <c r="H14" s="832"/>
      <c r="I14" s="862"/>
      <c r="J14" s="836">
        <f t="shared" si="2"/>
        <v>74626.7546</v>
      </c>
      <c r="K14" s="838">
        <f t="shared" si="1"/>
        <v>0</v>
      </c>
      <c r="L14" s="897"/>
    </row>
    <row r="15" spans="1:12" ht="22" customHeight="1">
      <c r="A15" s="1709"/>
      <c r="B15" s="899" t="s">
        <v>7517</v>
      </c>
      <c r="C15" s="900"/>
      <c r="D15" s="900"/>
      <c r="E15" s="900"/>
      <c r="F15" s="900"/>
      <c r="G15" s="900"/>
      <c r="H15" s="900"/>
      <c r="I15" s="901">
        <f>I9+I10+I13+I14</f>
        <v>1577.11583</v>
      </c>
      <c r="J15" s="902">
        <f>J14</f>
        <v>74626.7546</v>
      </c>
      <c r="K15" s="903">
        <f>I15/J15*10000</f>
        <v>211.33383576082778</v>
      </c>
      <c r="L15" s="904"/>
    </row>
    <row r="16" spans="1:12">
      <c r="G16" s="868" t="s">
        <v>7463</v>
      </c>
      <c r="I16" s="905"/>
    </row>
    <row r="17" spans="6:14">
      <c r="F17" s="906"/>
      <c r="J17" s="906"/>
    </row>
    <row r="19" spans="6:14">
      <c r="G19" s="905"/>
    </row>
    <row r="20" spans="6:14" s="888" customFormat="1">
      <c r="M20" s="822"/>
      <c r="N20" s="822"/>
    </row>
    <row r="21" spans="6:14" s="888" customFormat="1">
      <c r="M21" s="822"/>
      <c r="N21" s="822"/>
    </row>
    <row r="22" spans="6:14" s="888" customFormat="1">
      <c r="M22" s="822"/>
      <c r="N22" s="822"/>
    </row>
    <row r="23" spans="6:14" s="888" customFormat="1">
      <c r="M23" s="822"/>
      <c r="N23" s="822"/>
    </row>
    <row r="24" spans="6:14" s="888" customFormat="1">
      <c r="M24" s="822"/>
      <c r="N24" s="822"/>
    </row>
    <row r="26" spans="6:14" s="888" customFormat="1">
      <c r="M26" s="822"/>
      <c r="N26" s="822"/>
    </row>
  </sheetData>
  <mergeCells count="3">
    <mergeCell ref="A3:A15"/>
    <mergeCell ref="B3:B9"/>
    <mergeCell ref="B11:B13"/>
  </mergeCells>
  <phoneticPr fontId="84" type="noConversion"/>
  <printOptions horizontalCentered="1"/>
  <pageMargins left="0" right="0" top="0.39" bottom="0.39" header="0.2" footer="0.2"/>
  <pageSetup paperSize="8" scale="62" orientation="portrait"/>
  <headerFooter alignWithMargins="0">
    <oddFooter>&amp;C&amp;"黑体,常规"&amp;10第 &amp;P 页，共 &amp;N 页</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AC56-7799-C54D-8DA3-CA773275F90D}">
  <sheetPr>
    <tabColor rgb="FF1F4A7E"/>
  </sheetPr>
  <dimension ref="A1:WVZ33"/>
  <sheetViews>
    <sheetView zoomScale="125" zoomScaleNormal="100" workbookViewId="0">
      <selection activeCell="E7" sqref="E7"/>
    </sheetView>
  </sheetViews>
  <sheetFormatPr baseColWidth="10" defaultColWidth="10" defaultRowHeight="16"/>
  <cols>
    <col min="1" max="1" width="7.6640625" style="888" customWidth="1"/>
    <col min="2" max="2" width="18.83203125" style="888" customWidth="1"/>
    <col min="3" max="3" width="21.1640625" style="888" customWidth="1"/>
    <col min="4" max="4" width="16.6640625" style="888" customWidth="1"/>
    <col min="5" max="5" width="20.1640625" style="888" customWidth="1"/>
    <col min="6" max="6" width="16.6640625" style="888" customWidth="1"/>
    <col min="7" max="7" width="13.33203125" style="888" customWidth="1"/>
    <col min="8" max="8" width="23" style="888" customWidth="1"/>
    <col min="9" max="10" width="12.5" style="888" customWidth="1"/>
    <col min="11" max="11" width="27.33203125" style="888" customWidth="1"/>
    <col min="12" max="12" width="13.33203125" style="888" customWidth="1"/>
    <col min="13" max="13" width="15.6640625" style="888" customWidth="1"/>
    <col min="14" max="14" width="20.6640625" style="888" customWidth="1"/>
    <col min="15" max="15" width="12.5" style="888" customWidth="1"/>
    <col min="16" max="16" width="13.1640625" style="888" customWidth="1"/>
    <col min="17" max="17" width="17.1640625" style="888" customWidth="1"/>
    <col min="18" max="18" width="9.6640625" style="822" customWidth="1"/>
    <col min="19" max="19" width="18.83203125" style="822" customWidth="1"/>
    <col min="20" max="20" width="11.33203125" style="822" customWidth="1"/>
    <col min="21" max="21" width="10.1640625" style="822" customWidth="1"/>
    <col min="22" max="22" width="15" style="822" customWidth="1"/>
    <col min="23" max="23" width="15.1640625" style="822" customWidth="1"/>
    <col min="24" max="24" width="16.5" style="822" customWidth="1"/>
    <col min="25" max="250" width="10" style="822"/>
    <col min="251" max="251" width="5" style="822" customWidth="1"/>
    <col min="252" max="252" width="9" style="822" customWidth="1"/>
    <col min="253" max="253" width="14.83203125" style="822" customWidth="1"/>
    <col min="254" max="258" width="13.5" style="822" customWidth="1"/>
    <col min="259" max="259" width="14.6640625" style="822" customWidth="1"/>
    <col min="260" max="260" width="11" style="822" customWidth="1"/>
    <col min="261" max="261" width="13.6640625" style="822" customWidth="1"/>
    <col min="262" max="262" width="13.5" style="822" customWidth="1"/>
    <col min="263" max="263" width="14.83203125" style="822" customWidth="1"/>
    <col min="264" max="264" width="13.33203125" style="822" customWidth="1"/>
    <col min="265" max="266" width="10" style="822" hidden="1" customWidth="1"/>
    <col min="267" max="267" width="11.5" style="822" customWidth="1"/>
    <col min="268" max="268" width="12.6640625" style="822" customWidth="1"/>
    <col min="269" max="269" width="12.1640625" style="822" customWidth="1"/>
    <col min="270" max="270" width="13.33203125" style="822" customWidth="1"/>
    <col min="271" max="271" width="12" style="822" customWidth="1"/>
    <col min="272" max="272" width="10" style="822" hidden="1" customWidth="1"/>
    <col min="273" max="273" width="9.5" style="822" customWidth="1"/>
    <col min="274" max="274" width="5.6640625" style="822" customWidth="1"/>
    <col min="275" max="506" width="10" style="822"/>
    <col min="507" max="507" width="5" style="822" customWidth="1"/>
    <col min="508" max="508" width="9" style="822" customWidth="1"/>
    <col min="509" max="509" width="14.83203125" style="822" customWidth="1"/>
    <col min="510" max="514" width="13.5" style="822" customWidth="1"/>
    <col min="515" max="515" width="14.6640625" style="822" customWidth="1"/>
    <col min="516" max="516" width="11" style="822" customWidth="1"/>
    <col min="517" max="517" width="13.6640625" style="822" customWidth="1"/>
    <col min="518" max="518" width="13.5" style="822" customWidth="1"/>
    <col min="519" max="519" width="14.83203125" style="822" customWidth="1"/>
    <col min="520" max="520" width="13.33203125" style="822" customWidth="1"/>
    <col min="521" max="522" width="10" style="822" hidden="1" customWidth="1"/>
    <col min="523" max="523" width="11.5" style="822" customWidth="1"/>
    <col min="524" max="524" width="12.6640625" style="822" customWidth="1"/>
    <col min="525" max="525" width="12.1640625" style="822" customWidth="1"/>
    <col min="526" max="526" width="13.33203125" style="822" customWidth="1"/>
    <col min="527" max="527" width="12" style="822" customWidth="1"/>
    <col min="528" max="528" width="10" style="822" hidden="1" customWidth="1"/>
    <col min="529" max="529" width="9.5" style="822" customWidth="1"/>
    <col min="530" max="530" width="5.6640625" style="822" customWidth="1"/>
    <col min="531" max="762" width="10" style="822"/>
    <col min="763" max="763" width="5" style="822" customWidth="1"/>
    <col min="764" max="764" width="9" style="822" customWidth="1"/>
    <col min="765" max="765" width="14.83203125" style="822" customWidth="1"/>
    <col min="766" max="770" width="13.5" style="822" customWidth="1"/>
    <col min="771" max="771" width="14.6640625" style="822" customWidth="1"/>
    <col min="772" max="772" width="11" style="822" customWidth="1"/>
    <col min="773" max="773" width="13.6640625" style="822" customWidth="1"/>
    <col min="774" max="774" width="13.5" style="822" customWidth="1"/>
    <col min="775" max="775" width="14.83203125" style="822" customWidth="1"/>
    <col min="776" max="776" width="13.33203125" style="822" customWidth="1"/>
    <col min="777" max="778" width="10" style="822" hidden="1" customWidth="1"/>
    <col min="779" max="779" width="11.5" style="822" customWidth="1"/>
    <col min="780" max="780" width="12.6640625" style="822" customWidth="1"/>
    <col min="781" max="781" width="12.1640625" style="822" customWidth="1"/>
    <col min="782" max="782" width="13.33203125" style="822" customWidth="1"/>
    <col min="783" max="783" width="12" style="822" customWidth="1"/>
    <col min="784" max="784" width="10" style="822" hidden="1" customWidth="1"/>
    <col min="785" max="785" width="9.5" style="822" customWidth="1"/>
    <col min="786" max="786" width="5.6640625" style="822" customWidth="1"/>
    <col min="787" max="1018" width="10" style="822"/>
    <col min="1019" max="1019" width="5" style="822" customWidth="1"/>
    <col min="1020" max="1020" width="9" style="822" customWidth="1"/>
    <col min="1021" max="1021" width="14.83203125" style="822" customWidth="1"/>
    <col min="1022" max="1026" width="13.5" style="822" customWidth="1"/>
    <col min="1027" max="1027" width="14.6640625" style="822" customWidth="1"/>
    <col min="1028" max="1028" width="11" style="822" customWidth="1"/>
    <col min="1029" max="1029" width="13.6640625" style="822" customWidth="1"/>
    <col min="1030" max="1030" width="13.5" style="822" customWidth="1"/>
    <col min="1031" max="1031" width="14.83203125" style="822" customWidth="1"/>
    <col min="1032" max="1032" width="13.33203125" style="822" customWidth="1"/>
    <col min="1033" max="1034" width="10" style="822" hidden="1" customWidth="1"/>
    <col min="1035" max="1035" width="11.5" style="822" customWidth="1"/>
    <col min="1036" max="1036" width="12.6640625" style="822" customWidth="1"/>
    <col min="1037" max="1037" width="12.1640625" style="822" customWidth="1"/>
    <col min="1038" max="1038" width="13.33203125" style="822" customWidth="1"/>
    <col min="1039" max="1039" width="12" style="822" customWidth="1"/>
    <col min="1040" max="1040" width="10" style="822" hidden="1" customWidth="1"/>
    <col min="1041" max="1041" width="9.5" style="822" customWidth="1"/>
    <col min="1042" max="1042" width="5.6640625" style="822" customWidth="1"/>
    <col min="1043" max="1274" width="10" style="822"/>
    <col min="1275" max="1275" width="5" style="822" customWidth="1"/>
    <col min="1276" max="1276" width="9" style="822" customWidth="1"/>
    <col min="1277" max="1277" width="14.83203125" style="822" customWidth="1"/>
    <col min="1278" max="1282" width="13.5" style="822" customWidth="1"/>
    <col min="1283" max="1283" width="14.6640625" style="822" customWidth="1"/>
    <col min="1284" max="1284" width="11" style="822" customWidth="1"/>
    <col min="1285" max="1285" width="13.6640625" style="822" customWidth="1"/>
    <col min="1286" max="1286" width="13.5" style="822" customWidth="1"/>
    <col min="1287" max="1287" width="14.83203125" style="822" customWidth="1"/>
    <col min="1288" max="1288" width="13.33203125" style="822" customWidth="1"/>
    <col min="1289" max="1290" width="10" style="822" hidden="1" customWidth="1"/>
    <col min="1291" max="1291" width="11.5" style="822" customWidth="1"/>
    <col min="1292" max="1292" width="12.6640625" style="822" customWidth="1"/>
    <col min="1293" max="1293" width="12.1640625" style="822" customWidth="1"/>
    <col min="1294" max="1294" width="13.33203125" style="822" customWidth="1"/>
    <col min="1295" max="1295" width="12" style="822" customWidth="1"/>
    <col min="1296" max="1296" width="10" style="822" hidden="1" customWidth="1"/>
    <col min="1297" max="1297" width="9.5" style="822" customWidth="1"/>
    <col min="1298" max="1298" width="5.6640625" style="822" customWidth="1"/>
    <col min="1299" max="1530" width="10" style="822"/>
    <col min="1531" max="1531" width="5" style="822" customWidth="1"/>
    <col min="1532" max="1532" width="9" style="822" customWidth="1"/>
    <col min="1533" max="1533" width="14.83203125" style="822" customWidth="1"/>
    <col min="1534" max="1538" width="13.5" style="822" customWidth="1"/>
    <col min="1539" max="1539" width="14.6640625" style="822" customWidth="1"/>
    <col min="1540" max="1540" width="11" style="822" customWidth="1"/>
    <col min="1541" max="1541" width="13.6640625" style="822" customWidth="1"/>
    <col min="1542" max="1542" width="13.5" style="822" customWidth="1"/>
    <col min="1543" max="1543" width="14.83203125" style="822" customWidth="1"/>
    <col min="1544" max="1544" width="13.33203125" style="822" customWidth="1"/>
    <col min="1545" max="1546" width="10" style="822" hidden="1" customWidth="1"/>
    <col min="1547" max="1547" width="11.5" style="822" customWidth="1"/>
    <col min="1548" max="1548" width="12.6640625" style="822" customWidth="1"/>
    <col min="1549" max="1549" width="12.1640625" style="822" customWidth="1"/>
    <col min="1550" max="1550" width="13.33203125" style="822" customWidth="1"/>
    <col min="1551" max="1551" width="12" style="822" customWidth="1"/>
    <col min="1552" max="1552" width="10" style="822" hidden="1" customWidth="1"/>
    <col min="1553" max="1553" width="9.5" style="822" customWidth="1"/>
    <col min="1554" max="1554" width="5.6640625" style="822" customWidth="1"/>
    <col min="1555" max="1786" width="10" style="822"/>
    <col min="1787" max="1787" width="5" style="822" customWidth="1"/>
    <col min="1788" max="1788" width="9" style="822" customWidth="1"/>
    <col min="1789" max="1789" width="14.83203125" style="822" customWidth="1"/>
    <col min="1790" max="1794" width="13.5" style="822" customWidth="1"/>
    <col min="1795" max="1795" width="14.6640625" style="822" customWidth="1"/>
    <col min="1796" max="1796" width="11" style="822" customWidth="1"/>
    <col min="1797" max="1797" width="13.6640625" style="822" customWidth="1"/>
    <col min="1798" max="1798" width="13.5" style="822" customWidth="1"/>
    <col min="1799" max="1799" width="14.83203125" style="822" customWidth="1"/>
    <col min="1800" max="1800" width="13.33203125" style="822" customWidth="1"/>
    <col min="1801" max="1802" width="10" style="822" hidden="1" customWidth="1"/>
    <col min="1803" max="1803" width="11.5" style="822" customWidth="1"/>
    <col min="1804" max="1804" width="12.6640625" style="822" customWidth="1"/>
    <col min="1805" max="1805" width="12.1640625" style="822" customWidth="1"/>
    <col min="1806" max="1806" width="13.33203125" style="822" customWidth="1"/>
    <col min="1807" max="1807" width="12" style="822" customWidth="1"/>
    <col min="1808" max="1808" width="10" style="822" hidden="1" customWidth="1"/>
    <col min="1809" max="1809" width="9.5" style="822" customWidth="1"/>
    <col min="1810" max="1810" width="5.6640625" style="822" customWidth="1"/>
    <col min="1811" max="2042" width="10" style="822"/>
    <col min="2043" max="2043" width="5" style="822" customWidth="1"/>
    <col min="2044" max="2044" width="9" style="822" customWidth="1"/>
    <col min="2045" max="2045" width="14.83203125" style="822" customWidth="1"/>
    <col min="2046" max="2050" width="13.5" style="822" customWidth="1"/>
    <col min="2051" max="2051" width="14.6640625" style="822" customWidth="1"/>
    <col min="2052" max="2052" width="11" style="822" customWidth="1"/>
    <col min="2053" max="2053" width="13.6640625" style="822" customWidth="1"/>
    <col min="2054" max="2054" width="13.5" style="822" customWidth="1"/>
    <col min="2055" max="2055" width="14.83203125" style="822" customWidth="1"/>
    <col min="2056" max="2056" width="13.33203125" style="822" customWidth="1"/>
    <col min="2057" max="2058" width="10" style="822" hidden="1" customWidth="1"/>
    <col min="2059" max="2059" width="11.5" style="822" customWidth="1"/>
    <col min="2060" max="2060" width="12.6640625" style="822" customWidth="1"/>
    <col min="2061" max="2061" width="12.1640625" style="822" customWidth="1"/>
    <col min="2062" max="2062" width="13.33203125" style="822" customWidth="1"/>
    <col min="2063" max="2063" width="12" style="822" customWidth="1"/>
    <col min="2064" max="2064" width="10" style="822" hidden="1" customWidth="1"/>
    <col min="2065" max="2065" width="9.5" style="822" customWidth="1"/>
    <col min="2066" max="2066" width="5.6640625" style="822" customWidth="1"/>
    <col min="2067" max="2298" width="10" style="822"/>
    <col min="2299" max="2299" width="5" style="822" customWidth="1"/>
    <col min="2300" max="2300" width="9" style="822" customWidth="1"/>
    <col min="2301" max="2301" width="14.83203125" style="822" customWidth="1"/>
    <col min="2302" max="2306" width="13.5" style="822" customWidth="1"/>
    <col min="2307" max="2307" width="14.6640625" style="822" customWidth="1"/>
    <col min="2308" max="2308" width="11" style="822" customWidth="1"/>
    <col min="2309" max="2309" width="13.6640625" style="822" customWidth="1"/>
    <col min="2310" max="2310" width="13.5" style="822" customWidth="1"/>
    <col min="2311" max="2311" width="14.83203125" style="822" customWidth="1"/>
    <col min="2312" max="2312" width="13.33203125" style="822" customWidth="1"/>
    <col min="2313" max="2314" width="10" style="822" hidden="1" customWidth="1"/>
    <col min="2315" max="2315" width="11.5" style="822" customWidth="1"/>
    <col min="2316" max="2316" width="12.6640625" style="822" customWidth="1"/>
    <col min="2317" max="2317" width="12.1640625" style="822" customWidth="1"/>
    <col min="2318" max="2318" width="13.33203125" style="822" customWidth="1"/>
    <col min="2319" max="2319" width="12" style="822" customWidth="1"/>
    <col min="2320" max="2320" width="10" style="822" hidden="1" customWidth="1"/>
    <col min="2321" max="2321" width="9.5" style="822" customWidth="1"/>
    <col min="2322" max="2322" width="5.6640625" style="822" customWidth="1"/>
    <col min="2323" max="2554" width="10" style="822"/>
    <col min="2555" max="2555" width="5" style="822" customWidth="1"/>
    <col min="2556" max="2556" width="9" style="822" customWidth="1"/>
    <col min="2557" max="2557" width="14.83203125" style="822" customWidth="1"/>
    <col min="2558" max="2562" width="13.5" style="822" customWidth="1"/>
    <col min="2563" max="2563" width="14.6640625" style="822" customWidth="1"/>
    <col min="2564" max="2564" width="11" style="822" customWidth="1"/>
    <col min="2565" max="2565" width="13.6640625" style="822" customWidth="1"/>
    <col min="2566" max="2566" width="13.5" style="822" customWidth="1"/>
    <col min="2567" max="2567" width="14.83203125" style="822" customWidth="1"/>
    <col min="2568" max="2568" width="13.33203125" style="822" customWidth="1"/>
    <col min="2569" max="2570" width="10" style="822" hidden="1" customWidth="1"/>
    <col min="2571" max="2571" width="11.5" style="822" customWidth="1"/>
    <col min="2572" max="2572" width="12.6640625" style="822" customWidth="1"/>
    <col min="2573" max="2573" width="12.1640625" style="822" customWidth="1"/>
    <col min="2574" max="2574" width="13.33203125" style="822" customWidth="1"/>
    <col min="2575" max="2575" width="12" style="822" customWidth="1"/>
    <col min="2576" max="2576" width="10" style="822" hidden="1" customWidth="1"/>
    <col min="2577" max="2577" width="9.5" style="822" customWidth="1"/>
    <col min="2578" max="2578" width="5.6640625" style="822" customWidth="1"/>
    <col min="2579" max="2810" width="10" style="822"/>
    <col min="2811" max="2811" width="5" style="822" customWidth="1"/>
    <col min="2812" max="2812" width="9" style="822" customWidth="1"/>
    <col min="2813" max="2813" width="14.83203125" style="822" customWidth="1"/>
    <col min="2814" max="2818" width="13.5" style="822" customWidth="1"/>
    <col min="2819" max="2819" width="14.6640625" style="822" customWidth="1"/>
    <col min="2820" max="2820" width="11" style="822" customWidth="1"/>
    <col min="2821" max="2821" width="13.6640625" style="822" customWidth="1"/>
    <col min="2822" max="2822" width="13.5" style="822" customWidth="1"/>
    <col min="2823" max="2823" width="14.83203125" style="822" customWidth="1"/>
    <col min="2824" max="2824" width="13.33203125" style="822" customWidth="1"/>
    <col min="2825" max="2826" width="10" style="822" hidden="1" customWidth="1"/>
    <col min="2827" max="2827" width="11.5" style="822" customWidth="1"/>
    <col min="2828" max="2828" width="12.6640625" style="822" customWidth="1"/>
    <col min="2829" max="2829" width="12.1640625" style="822" customWidth="1"/>
    <col min="2830" max="2830" width="13.33203125" style="822" customWidth="1"/>
    <col min="2831" max="2831" width="12" style="822" customWidth="1"/>
    <col min="2832" max="2832" width="10" style="822" hidden="1" customWidth="1"/>
    <col min="2833" max="2833" width="9.5" style="822" customWidth="1"/>
    <col min="2834" max="2834" width="5.6640625" style="822" customWidth="1"/>
    <col min="2835" max="3066" width="10" style="822"/>
    <col min="3067" max="3067" width="5" style="822" customWidth="1"/>
    <col min="3068" max="3068" width="9" style="822" customWidth="1"/>
    <col min="3069" max="3069" width="14.83203125" style="822" customWidth="1"/>
    <col min="3070" max="3074" width="13.5" style="822" customWidth="1"/>
    <col min="3075" max="3075" width="14.6640625" style="822" customWidth="1"/>
    <col min="3076" max="3076" width="11" style="822" customWidth="1"/>
    <col min="3077" max="3077" width="13.6640625" style="822" customWidth="1"/>
    <col min="3078" max="3078" width="13.5" style="822" customWidth="1"/>
    <col min="3079" max="3079" width="14.83203125" style="822" customWidth="1"/>
    <col min="3080" max="3080" width="13.33203125" style="822" customWidth="1"/>
    <col min="3081" max="3082" width="10" style="822" hidden="1" customWidth="1"/>
    <col min="3083" max="3083" width="11.5" style="822" customWidth="1"/>
    <col min="3084" max="3084" width="12.6640625" style="822" customWidth="1"/>
    <col min="3085" max="3085" width="12.1640625" style="822" customWidth="1"/>
    <col min="3086" max="3086" width="13.33203125" style="822" customWidth="1"/>
    <col min="3087" max="3087" width="12" style="822" customWidth="1"/>
    <col min="3088" max="3088" width="10" style="822" hidden="1" customWidth="1"/>
    <col min="3089" max="3089" width="9.5" style="822" customWidth="1"/>
    <col min="3090" max="3090" width="5.6640625" style="822" customWidth="1"/>
    <col min="3091" max="3322" width="10" style="822"/>
    <col min="3323" max="3323" width="5" style="822" customWidth="1"/>
    <col min="3324" max="3324" width="9" style="822" customWidth="1"/>
    <col min="3325" max="3325" width="14.83203125" style="822" customWidth="1"/>
    <col min="3326" max="3330" width="13.5" style="822" customWidth="1"/>
    <col min="3331" max="3331" width="14.6640625" style="822" customWidth="1"/>
    <col min="3332" max="3332" width="11" style="822" customWidth="1"/>
    <col min="3333" max="3333" width="13.6640625" style="822" customWidth="1"/>
    <col min="3334" max="3334" width="13.5" style="822" customWidth="1"/>
    <col min="3335" max="3335" width="14.83203125" style="822" customWidth="1"/>
    <col min="3336" max="3336" width="13.33203125" style="822" customWidth="1"/>
    <col min="3337" max="3338" width="10" style="822" hidden="1" customWidth="1"/>
    <col min="3339" max="3339" width="11.5" style="822" customWidth="1"/>
    <col min="3340" max="3340" width="12.6640625" style="822" customWidth="1"/>
    <col min="3341" max="3341" width="12.1640625" style="822" customWidth="1"/>
    <col min="3342" max="3342" width="13.33203125" style="822" customWidth="1"/>
    <col min="3343" max="3343" width="12" style="822" customWidth="1"/>
    <col min="3344" max="3344" width="10" style="822" hidden="1" customWidth="1"/>
    <col min="3345" max="3345" width="9.5" style="822" customWidth="1"/>
    <col min="3346" max="3346" width="5.6640625" style="822" customWidth="1"/>
    <col min="3347" max="3578" width="10" style="822"/>
    <col min="3579" max="3579" width="5" style="822" customWidth="1"/>
    <col min="3580" max="3580" width="9" style="822" customWidth="1"/>
    <col min="3581" max="3581" width="14.83203125" style="822" customWidth="1"/>
    <col min="3582" max="3586" width="13.5" style="822" customWidth="1"/>
    <col min="3587" max="3587" width="14.6640625" style="822" customWidth="1"/>
    <col min="3588" max="3588" width="11" style="822" customWidth="1"/>
    <col min="3589" max="3589" width="13.6640625" style="822" customWidth="1"/>
    <col min="3590" max="3590" width="13.5" style="822" customWidth="1"/>
    <col min="3591" max="3591" width="14.83203125" style="822" customWidth="1"/>
    <col min="3592" max="3592" width="13.33203125" style="822" customWidth="1"/>
    <col min="3593" max="3594" width="10" style="822" hidden="1" customWidth="1"/>
    <col min="3595" max="3595" width="11.5" style="822" customWidth="1"/>
    <col min="3596" max="3596" width="12.6640625" style="822" customWidth="1"/>
    <col min="3597" max="3597" width="12.1640625" style="822" customWidth="1"/>
    <col min="3598" max="3598" width="13.33203125" style="822" customWidth="1"/>
    <col min="3599" max="3599" width="12" style="822" customWidth="1"/>
    <col min="3600" max="3600" width="10" style="822" hidden="1" customWidth="1"/>
    <col min="3601" max="3601" width="9.5" style="822" customWidth="1"/>
    <col min="3602" max="3602" width="5.6640625" style="822" customWidth="1"/>
    <col min="3603" max="3834" width="10" style="822"/>
    <col min="3835" max="3835" width="5" style="822" customWidth="1"/>
    <col min="3836" max="3836" width="9" style="822" customWidth="1"/>
    <col min="3837" max="3837" width="14.83203125" style="822" customWidth="1"/>
    <col min="3838" max="3842" width="13.5" style="822" customWidth="1"/>
    <col min="3843" max="3843" width="14.6640625" style="822" customWidth="1"/>
    <col min="3844" max="3844" width="11" style="822" customWidth="1"/>
    <col min="3845" max="3845" width="13.6640625" style="822" customWidth="1"/>
    <col min="3846" max="3846" width="13.5" style="822" customWidth="1"/>
    <col min="3847" max="3847" width="14.83203125" style="822" customWidth="1"/>
    <col min="3848" max="3848" width="13.33203125" style="822" customWidth="1"/>
    <col min="3849" max="3850" width="10" style="822" hidden="1" customWidth="1"/>
    <col min="3851" max="3851" width="11.5" style="822" customWidth="1"/>
    <col min="3852" max="3852" width="12.6640625" style="822" customWidth="1"/>
    <col min="3853" max="3853" width="12.1640625" style="822" customWidth="1"/>
    <col min="3854" max="3854" width="13.33203125" style="822" customWidth="1"/>
    <col min="3855" max="3855" width="12" style="822" customWidth="1"/>
    <col min="3856" max="3856" width="10" style="822" hidden="1" customWidth="1"/>
    <col min="3857" max="3857" width="9.5" style="822" customWidth="1"/>
    <col min="3858" max="3858" width="5.6640625" style="822" customWidth="1"/>
    <col min="3859" max="4090" width="10" style="822"/>
    <col min="4091" max="4091" width="5" style="822" customWidth="1"/>
    <col min="4092" max="4092" width="9" style="822" customWidth="1"/>
    <col min="4093" max="4093" width="14.83203125" style="822" customWidth="1"/>
    <col min="4094" max="4098" width="13.5" style="822" customWidth="1"/>
    <col min="4099" max="4099" width="14.6640625" style="822" customWidth="1"/>
    <col min="4100" max="4100" width="11" style="822" customWidth="1"/>
    <col min="4101" max="4101" width="13.6640625" style="822" customWidth="1"/>
    <col min="4102" max="4102" width="13.5" style="822" customWidth="1"/>
    <col min="4103" max="4103" width="14.83203125" style="822" customWidth="1"/>
    <col min="4104" max="4104" width="13.33203125" style="822" customWidth="1"/>
    <col min="4105" max="4106" width="10" style="822" hidden="1" customWidth="1"/>
    <col min="4107" max="4107" width="11.5" style="822" customWidth="1"/>
    <col min="4108" max="4108" width="12.6640625" style="822" customWidth="1"/>
    <col min="4109" max="4109" width="12.1640625" style="822" customWidth="1"/>
    <col min="4110" max="4110" width="13.33203125" style="822" customWidth="1"/>
    <col min="4111" max="4111" width="12" style="822" customWidth="1"/>
    <col min="4112" max="4112" width="10" style="822" hidden="1" customWidth="1"/>
    <col min="4113" max="4113" width="9.5" style="822" customWidth="1"/>
    <col min="4114" max="4114" width="5.6640625" style="822" customWidth="1"/>
    <col min="4115" max="4346" width="10" style="822"/>
    <col min="4347" max="4347" width="5" style="822" customWidth="1"/>
    <col min="4348" max="4348" width="9" style="822" customWidth="1"/>
    <col min="4349" max="4349" width="14.83203125" style="822" customWidth="1"/>
    <col min="4350" max="4354" width="13.5" style="822" customWidth="1"/>
    <col min="4355" max="4355" width="14.6640625" style="822" customWidth="1"/>
    <col min="4356" max="4356" width="11" style="822" customWidth="1"/>
    <col min="4357" max="4357" width="13.6640625" style="822" customWidth="1"/>
    <col min="4358" max="4358" width="13.5" style="822" customWidth="1"/>
    <col min="4359" max="4359" width="14.83203125" style="822" customWidth="1"/>
    <col min="4360" max="4360" width="13.33203125" style="822" customWidth="1"/>
    <col min="4361" max="4362" width="10" style="822" hidden="1" customWidth="1"/>
    <col min="4363" max="4363" width="11.5" style="822" customWidth="1"/>
    <col min="4364" max="4364" width="12.6640625" style="822" customWidth="1"/>
    <col min="4365" max="4365" width="12.1640625" style="822" customWidth="1"/>
    <col min="4366" max="4366" width="13.33203125" style="822" customWidth="1"/>
    <col min="4367" max="4367" width="12" style="822" customWidth="1"/>
    <col min="4368" max="4368" width="10" style="822" hidden="1" customWidth="1"/>
    <col min="4369" max="4369" width="9.5" style="822" customWidth="1"/>
    <col min="4370" max="4370" width="5.6640625" style="822" customWidth="1"/>
    <col min="4371" max="4602" width="10" style="822"/>
    <col min="4603" max="4603" width="5" style="822" customWidth="1"/>
    <col min="4604" max="4604" width="9" style="822" customWidth="1"/>
    <col min="4605" max="4605" width="14.83203125" style="822" customWidth="1"/>
    <col min="4606" max="4610" width="13.5" style="822" customWidth="1"/>
    <col min="4611" max="4611" width="14.6640625" style="822" customWidth="1"/>
    <col min="4612" max="4612" width="11" style="822" customWidth="1"/>
    <col min="4613" max="4613" width="13.6640625" style="822" customWidth="1"/>
    <col min="4614" max="4614" width="13.5" style="822" customWidth="1"/>
    <col min="4615" max="4615" width="14.83203125" style="822" customWidth="1"/>
    <col min="4616" max="4616" width="13.33203125" style="822" customWidth="1"/>
    <col min="4617" max="4618" width="10" style="822" hidden="1" customWidth="1"/>
    <col min="4619" max="4619" width="11.5" style="822" customWidth="1"/>
    <col min="4620" max="4620" width="12.6640625" style="822" customWidth="1"/>
    <col min="4621" max="4621" width="12.1640625" style="822" customWidth="1"/>
    <col min="4622" max="4622" width="13.33203125" style="822" customWidth="1"/>
    <col min="4623" max="4623" width="12" style="822" customWidth="1"/>
    <col min="4624" max="4624" width="10" style="822" hidden="1" customWidth="1"/>
    <col min="4625" max="4625" width="9.5" style="822" customWidth="1"/>
    <col min="4626" max="4626" width="5.6640625" style="822" customWidth="1"/>
    <col min="4627" max="4858" width="10" style="822"/>
    <col min="4859" max="4859" width="5" style="822" customWidth="1"/>
    <col min="4860" max="4860" width="9" style="822" customWidth="1"/>
    <col min="4861" max="4861" width="14.83203125" style="822" customWidth="1"/>
    <col min="4862" max="4866" width="13.5" style="822" customWidth="1"/>
    <col min="4867" max="4867" width="14.6640625" style="822" customWidth="1"/>
    <col min="4868" max="4868" width="11" style="822" customWidth="1"/>
    <col min="4869" max="4869" width="13.6640625" style="822" customWidth="1"/>
    <col min="4870" max="4870" width="13.5" style="822" customWidth="1"/>
    <col min="4871" max="4871" width="14.83203125" style="822" customWidth="1"/>
    <col min="4872" max="4872" width="13.33203125" style="822" customWidth="1"/>
    <col min="4873" max="4874" width="10" style="822" hidden="1" customWidth="1"/>
    <col min="4875" max="4875" width="11.5" style="822" customWidth="1"/>
    <col min="4876" max="4876" width="12.6640625" style="822" customWidth="1"/>
    <col min="4877" max="4877" width="12.1640625" style="822" customWidth="1"/>
    <col min="4878" max="4878" width="13.33203125" style="822" customWidth="1"/>
    <col min="4879" max="4879" width="12" style="822" customWidth="1"/>
    <col min="4880" max="4880" width="10" style="822" hidden="1" customWidth="1"/>
    <col min="4881" max="4881" width="9.5" style="822" customWidth="1"/>
    <col min="4882" max="4882" width="5.6640625" style="822" customWidth="1"/>
    <col min="4883" max="5114" width="10" style="822"/>
    <col min="5115" max="5115" width="5" style="822" customWidth="1"/>
    <col min="5116" max="5116" width="9" style="822" customWidth="1"/>
    <col min="5117" max="5117" width="14.83203125" style="822" customWidth="1"/>
    <col min="5118" max="5122" width="13.5" style="822" customWidth="1"/>
    <col min="5123" max="5123" width="14.6640625" style="822" customWidth="1"/>
    <col min="5124" max="5124" width="11" style="822" customWidth="1"/>
    <col min="5125" max="5125" width="13.6640625" style="822" customWidth="1"/>
    <col min="5126" max="5126" width="13.5" style="822" customWidth="1"/>
    <col min="5127" max="5127" width="14.83203125" style="822" customWidth="1"/>
    <col min="5128" max="5128" width="13.33203125" style="822" customWidth="1"/>
    <col min="5129" max="5130" width="10" style="822" hidden="1" customWidth="1"/>
    <col min="5131" max="5131" width="11.5" style="822" customWidth="1"/>
    <col min="5132" max="5132" width="12.6640625" style="822" customWidth="1"/>
    <col min="5133" max="5133" width="12.1640625" style="822" customWidth="1"/>
    <col min="5134" max="5134" width="13.33203125" style="822" customWidth="1"/>
    <col min="5135" max="5135" width="12" style="822" customWidth="1"/>
    <col min="5136" max="5136" width="10" style="822" hidden="1" customWidth="1"/>
    <col min="5137" max="5137" width="9.5" style="822" customWidth="1"/>
    <col min="5138" max="5138" width="5.6640625" style="822" customWidth="1"/>
    <col min="5139" max="5370" width="10" style="822"/>
    <col min="5371" max="5371" width="5" style="822" customWidth="1"/>
    <col min="5372" max="5372" width="9" style="822" customWidth="1"/>
    <col min="5373" max="5373" width="14.83203125" style="822" customWidth="1"/>
    <col min="5374" max="5378" width="13.5" style="822" customWidth="1"/>
    <col min="5379" max="5379" width="14.6640625" style="822" customWidth="1"/>
    <col min="5380" max="5380" width="11" style="822" customWidth="1"/>
    <col min="5381" max="5381" width="13.6640625" style="822" customWidth="1"/>
    <col min="5382" max="5382" width="13.5" style="822" customWidth="1"/>
    <col min="5383" max="5383" width="14.83203125" style="822" customWidth="1"/>
    <col min="5384" max="5384" width="13.33203125" style="822" customWidth="1"/>
    <col min="5385" max="5386" width="10" style="822" hidden="1" customWidth="1"/>
    <col min="5387" max="5387" width="11.5" style="822" customWidth="1"/>
    <col min="5388" max="5388" width="12.6640625" style="822" customWidth="1"/>
    <col min="5389" max="5389" width="12.1640625" style="822" customWidth="1"/>
    <col min="5390" max="5390" width="13.33203125" style="822" customWidth="1"/>
    <col min="5391" max="5391" width="12" style="822" customWidth="1"/>
    <col min="5392" max="5392" width="10" style="822" hidden="1" customWidth="1"/>
    <col min="5393" max="5393" width="9.5" style="822" customWidth="1"/>
    <col min="5394" max="5394" width="5.6640625" style="822" customWidth="1"/>
    <col min="5395" max="5626" width="10" style="822"/>
    <col min="5627" max="5627" width="5" style="822" customWidth="1"/>
    <col min="5628" max="5628" width="9" style="822" customWidth="1"/>
    <col min="5629" max="5629" width="14.83203125" style="822" customWidth="1"/>
    <col min="5630" max="5634" width="13.5" style="822" customWidth="1"/>
    <col min="5635" max="5635" width="14.6640625" style="822" customWidth="1"/>
    <col min="5636" max="5636" width="11" style="822" customWidth="1"/>
    <col min="5637" max="5637" width="13.6640625" style="822" customWidth="1"/>
    <col min="5638" max="5638" width="13.5" style="822" customWidth="1"/>
    <col min="5639" max="5639" width="14.83203125" style="822" customWidth="1"/>
    <col min="5640" max="5640" width="13.33203125" style="822" customWidth="1"/>
    <col min="5641" max="5642" width="10" style="822" hidden="1" customWidth="1"/>
    <col min="5643" max="5643" width="11.5" style="822" customWidth="1"/>
    <col min="5644" max="5644" width="12.6640625" style="822" customWidth="1"/>
    <col min="5645" max="5645" width="12.1640625" style="822" customWidth="1"/>
    <col min="5646" max="5646" width="13.33203125" style="822" customWidth="1"/>
    <col min="5647" max="5647" width="12" style="822" customWidth="1"/>
    <col min="5648" max="5648" width="10" style="822" hidden="1" customWidth="1"/>
    <col min="5649" max="5649" width="9.5" style="822" customWidth="1"/>
    <col min="5650" max="5650" width="5.6640625" style="822" customWidth="1"/>
    <col min="5651" max="5882" width="10" style="822"/>
    <col min="5883" max="5883" width="5" style="822" customWidth="1"/>
    <col min="5884" max="5884" width="9" style="822" customWidth="1"/>
    <col min="5885" max="5885" width="14.83203125" style="822" customWidth="1"/>
    <col min="5886" max="5890" width="13.5" style="822" customWidth="1"/>
    <col min="5891" max="5891" width="14.6640625" style="822" customWidth="1"/>
    <col min="5892" max="5892" width="11" style="822" customWidth="1"/>
    <col min="5893" max="5893" width="13.6640625" style="822" customWidth="1"/>
    <col min="5894" max="5894" width="13.5" style="822" customWidth="1"/>
    <col min="5895" max="5895" width="14.83203125" style="822" customWidth="1"/>
    <col min="5896" max="5896" width="13.33203125" style="822" customWidth="1"/>
    <col min="5897" max="5898" width="10" style="822" hidden="1" customWidth="1"/>
    <col min="5899" max="5899" width="11.5" style="822" customWidth="1"/>
    <col min="5900" max="5900" width="12.6640625" style="822" customWidth="1"/>
    <col min="5901" max="5901" width="12.1640625" style="822" customWidth="1"/>
    <col min="5902" max="5902" width="13.33203125" style="822" customWidth="1"/>
    <col min="5903" max="5903" width="12" style="822" customWidth="1"/>
    <col min="5904" max="5904" width="10" style="822" hidden="1" customWidth="1"/>
    <col min="5905" max="5905" width="9.5" style="822" customWidth="1"/>
    <col min="5906" max="5906" width="5.6640625" style="822" customWidth="1"/>
    <col min="5907" max="6138" width="10" style="822"/>
    <col min="6139" max="6139" width="5" style="822" customWidth="1"/>
    <col min="6140" max="6140" width="9" style="822" customWidth="1"/>
    <col min="6141" max="6141" width="14.83203125" style="822" customWidth="1"/>
    <col min="6142" max="6146" width="13.5" style="822" customWidth="1"/>
    <col min="6147" max="6147" width="14.6640625" style="822" customWidth="1"/>
    <col min="6148" max="6148" width="11" style="822" customWidth="1"/>
    <col min="6149" max="6149" width="13.6640625" style="822" customWidth="1"/>
    <col min="6150" max="6150" width="13.5" style="822" customWidth="1"/>
    <col min="6151" max="6151" width="14.83203125" style="822" customWidth="1"/>
    <col min="6152" max="6152" width="13.33203125" style="822" customWidth="1"/>
    <col min="6153" max="6154" width="10" style="822" hidden="1" customWidth="1"/>
    <col min="6155" max="6155" width="11.5" style="822" customWidth="1"/>
    <col min="6156" max="6156" width="12.6640625" style="822" customWidth="1"/>
    <col min="6157" max="6157" width="12.1640625" style="822" customWidth="1"/>
    <col min="6158" max="6158" width="13.33203125" style="822" customWidth="1"/>
    <col min="6159" max="6159" width="12" style="822" customWidth="1"/>
    <col min="6160" max="6160" width="10" style="822" hidden="1" customWidth="1"/>
    <col min="6161" max="6161" width="9.5" style="822" customWidth="1"/>
    <col min="6162" max="6162" width="5.6640625" style="822" customWidth="1"/>
    <col min="6163" max="6394" width="10" style="822"/>
    <col min="6395" max="6395" width="5" style="822" customWidth="1"/>
    <col min="6396" max="6396" width="9" style="822" customWidth="1"/>
    <col min="6397" max="6397" width="14.83203125" style="822" customWidth="1"/>
    <col min="6398" max="6402" width="13.5" style="822" customWidth="1"/>
    <col min="6403" max="6403" width="14.6640625" style="822" customWidth="1"/>
    <col min="6404" max="6404" width="11" style="822" customWidth="1"/>
    <col min="6405" max="6405" width="13.6640625" style="822" customWidth="1"/>
    <col min="6406" max="6406" width="13.5" style="822" customWidth="1"/>
    <col min="6407" max="6407" width="14.83203125" style="822" customWidth="1"/>
    <col min="6408" max="6408" width="13.33203125" style="822" customWidth="1"/>
    <col min="6409" max="6410" width="10" style="822" hidden="1" customWidth="1"/>
    <col min="6411" max="6411" width="11.5" style="822" customWidth="1"/>
    <col min="6412" max="6412" width="12.6640625" style="822" customWidth="1"/>
    <col min="6413" max="6413" width="12.1640625" style="822" customWidth="1"/>
    <col min="6414" max="6414" width="13.33203125" style="822" customWidth="1"/>
    <col min="6415" max="6415" width="12" style="822" customWidth="1"/>
    <col min="6416" max="6416" width="10" style="822" hidden="1" customWidth="1"/>
    <col min="6417" max="6417" width="9.5" style="822" customWidth="1"/>
    <col min="6418" max="6418" width="5.6640625" style="822" customWidth="1"/>
    <col min="6419" max="6650" width="10" style="822"/>
    <col min="6651" max="6651" width="5" style="822" customWidth="1"/>
    <col min="6652" max="6652" width="9" style="822" customWidth="1"/>
    <col min="6653" max="6653" width="14.83203125" style="822" customWidth="1"/>
    <col min="6654" max="6658" width="13.5" style="822" customWidth="1"/>
    <col min="6659" max="6659" width="14.6640625" style="822" customWidth="1"/>
    <col min="6660" max="6660" width="11" style="822" customWidth="1"/>
    <col min="6661" max="6661" width="13.6640625" style="822" customWidth="1"/>
    <col min="6662" max="6662" width="13.5" style="822" customWidth="1"/>
    <col min="6663" max="6663" width="14.83203125" style="822" customWidth="1"/>
    <col min="6664" max="6664" width="13.33203125" style="822" customWidth="1"/>
    <col min="6665" max="6666" width="10" style="822" hidden="1" customWidth="1"/>
    <col min="6667" max="6667" width="11.5" style="822" customWidth="1"/>
    <col min="6668" max="6668" width="12.6640625" style="822" customWidth="1"/>
    <col min="6669" max="6669" width="12.1640625" style="822" customWidth="1"/>
    <col min="6670" max="6670" width="13.33203125" style="822" customWidth="1"/>
    <col min="6671" max="6671" width="12" style="822" customWidth="1"/>
    <col min="6672" max="6672" width="10" style="822" hidden="1" customWidth="1"/>
    <col min="6673" max="6673" width="9.5" style="822" customWidth="1"/>
    <col min="6674" max="6674" width="5.6640625" style="822" customWidth="1"/>
    <col min="6675" max="6906" width="10" style="822"/>
    <col min="6907" max="6907" width="5" style="822" customWidth="1"/>
    <col min="6908" max="6908" width="9" style="822" customWidth="1"/>
    <col min="6909" max="6909" width="14.83203125" style="822" customWidth="1"/>
    <col min="6910" max="6914" width="13.5" style="822" customWidth="1"/>
    <col min="6915" max="6915" width="14.6640625" style="822" customWidth="1"/>
    <col min="6916" max="6916" width="11" style="822" customWidth="1"/>
    <col min="6917" max="6917" width="13.6640625" style="822" customWidth="1"/>
    <col min="6918" max="6918" width="13.5" style="822" customWidth="1"/>
    <col min="6919" max="6919" width="14.83203125" style="822" customWidth="1"/>
    <col min="6920" max="6920" width="13.33203125" style="822" customWidth="1"/>
    <col min="6921" max="6922" width="10" style="822" hidden="1" customWidth="1"/>
    <col min="6923" max="6923" width="11.5" style="822" customWidth="1"/>
    <col min="6924" max="6924" width="12.6640625" style="822" customWidth="1"/>
    <col min="6925" max="6925" width="12.1640625" style="822" customWidth="1"/>
    <col min="6926" max="6926" width="13.33203125" style="822" customWidth="1"/>
    <col min="6927" max="6927" width="12" style="822" customWidth="1"/>
    <col min="6928" max="6928" width="10" style="822" hidden="1" customWidth="1"/>
    <col min="6929" max="6929" width="9.5" style="822" customWidth="1"/>
    <col min="6930" max="6930" width="5.6640625" style="822" customWidth="1"/>
    <col min="6931" max="7162" width="10" style="822"/>
    <col min="7163" max="7163" width="5" style="822" customWidth="1"/>
    <col min="7164" max="7164" width="9" style="822" customWidth="1"/>
    <col min="7165" max="7165" width="14.83203125" style="822" customWidth="1"/>
    <col min="7166" max="7170" width="13.5" style="822" customWidth="1"/>
    <col min="7171" max="7171" width="14.6640625" style="822" customWidth="1"/>
    <col min="7172" max="7172" width="11" style="822" customWidth="1"/>
    <col min="7173" max="7173" width="13.6640625" style="822" customWidth="1"/>
    <col min="7174" max="7174" width="13.5" style="822" customWidth="1"/>
    <col min="7175" max="7175" width="14.83203125" style="822" customWidth="1"/>
    <col min="7176" max="7176" width="13.33203125" style="822" customWidth="1"/>
    <col min="7177" max="7178" width="10" style="822" hidden="1" customWidth="1"/>
    <col min="7179" max="7179" width="11.5" style="822" customWidth="1"/>
    <col min="7180" max="7180" width="12.6640625" style="822" customWidth="1"/>
    <col min="7181" max="7181" width="12.1640625" style="822" customWidth="1"/>
    <col min="7182" max="7182" width="13.33203125" style="822" customWidth="1"/>
    <col min="7183" max="7183" width="12" style="822" customWidth="1"/>
    <col min="7184" max="7184" width="10" style="822" hidden="1" customWidth="1"/>
    <col min="7185" max="7185" width="9.5" style="822" customWidth="1"/>
    <col min="7186" max="7186" width="5.6640625" style="822" customWidth="1"/>
    <col min="7187" max="7418" width="10" style="822"/>
    <col min="7419" max="7419" width="5" style="822" customWidth="1"/>
    <col min="7420" max="7420" width="9" style="822" customWidth="1"/>
    <col min="7421" max="7421" width="14.83203125" style="822" customWidth="1"/>
    <col min="7422" max="7426" width="13.5" style="822" customWidth="1"/>
    <col min="7427" max="7427" width="14.6640625" style="822" customWidth="1"/>
    <col min="7428" max="7428" width="11" style="822" customWidth="1"/>
    <col min="7429" max="7429" width="13.6640625" style="822" customWidth="1"/>
    <col min="7430" max="7430" width="13.5" style="822" customWidth="1"/>
    <col min="7431" max="7431" width="14.83203125" style="822" customWidth="1"/>
    <col min="7432" max="7432" width="13.33203125" style="822" customWidth="1"/>
    <col min="7433" max="7434" width="10" style="822" hidden="1" customWidth="1"/>
    <col min="7435" max="7435" width="11.5" style="822" customWidth="1"/>
    <col min="7436" max="7436" width="12.6640625" style="822" customWidth="1"/>
    <col min="7437" max="7437" width="12.1640625" style="822" customWidth="1"/>
    <col min="7438" max="7438" width="13.33203125" style="822" customWidth="1"/>
    <col min="7439" max="7439" width="12" style="822" customWidth="1"/>
    <col min="7440" max="7440" width="10" style="822" hidden="1" customWidth="1"/>
    <col min="7441" max="7441" width="9.5" style="822" customWidth="1"/>
    <col min="7442" max="7442" width="5.6640625" style="822" customWidth="1"/>
    <col min="7443" max="7674" width="10" style="822"/>
    <col min="7675" max="7675" width="5" style="822" customWidth="1"/>
    <col min="7676" max="7676" width="9" style="822" customWidth="1"/>
    <col min="7677" max="7677" width="14.83203125" style="822" customWidth="1"/>
    <col min="7678" max="7682" width="13.5" style="822" customWidth="1"/>
    <col min="7683" max="7683" width="14.6640625" style="822" customWidth="1"/>
    <col min="7684" max="7684" width="11" style="822" customWidth="1"/>
    <col min="7685" max="7685" width="13.6640625" style="822" customWidth="1"/>
    <col min="7686" max="7686" width="13.5" style="822" customWidth="1"/>
    <col min="7687" max="7687" width="14.83203125" style="822" customWidth="1"/>
    <col min="7688" max="7688" width="13.33203125" style="822" customWidth="1"/>
    <col min="7689" max="7690" width="10" style="822" hidden="1" customWidth="1"/>
    <col min="7691" max="7691" width="11.5" style="822" customWidth="1"/>
    <col min="7692" max="7692" width="12.6640625" style="822" customWidth="1"/>
    <col min="7693" max="7693" width="12.1640625" style="822" customWidth="1"/>
    <col min="7694" max="7694" width="13.33203125" style="822" customWidth="1"/>
    <col min="7695" max="7695" width="12" style="822" customWidth="1"/>
    <col min="7696" max="7696" width="10" style="822" hidden="1" customWidth="1"/>
    <col min="7697" max="7697" width="9.5" style="822" customWidth="1"/>
    <col min="7698" max="7698" width="5.6640625" style="822" customWidth="1"/>
    <col min="7699" max="7930" width="10" style="822"/>
    <col min="7931" max="7931" width="5" style="822" customWidth="1"/>
    <col min="7932" max="7932" width="9" style="822" customWidth="1"/>
    <col min="7933" max="7933" width="14.83203125" style="822" customWidth="1"/>
    <col min="7934" max="7938" width="13.5" style="822" customWidth="1"/>
    <col min="7939" max="7939" width="14.6640625" style="822" customWidth="1"/>
    <col min="7940" max="7940" width="11" style="822" customWidth="1"/>
    <col min="7941" max="7941" width="13.6640625" style="822" customWidth="1"/>
    <col min="7942" max="7942" width="13.5" style="822" customWidth="1"/>
    <col min="7943" max="7943" width="14.83203125" style="822" customWidth="1"/>
    <col min="7944" max="7944" width="13.33203125" style="822" customWidth="1"/>
    <col min="7945" max="7946" width="10" style="822" hidden="1" customWidth="1"/>
    <col min="7947" max="7947" width="11.5" style="822" customWidth="1"/>
    <col min="7948" max="7948" width="12.6640625" style="822" customWidth="1"/>
    <col min="7949" max="7949" width="12.1640625" style="822" customWidth="1"/>
    <col min="7950" max="7950" width="13.33203125" style="822" customWidth="1"/>
    <col min="7951" max="7951" width="12" style="822" customWidth="1"/>
    <col min="7952" max="7952" width="10" style="822" hidden="1" customWidth="1"/>
    <col min="7953" max="7953" width="9.5" style="822" customWidth="1"/>
    <col min="7954" max="7954" width="5.6640625" style="822" customWidth="1"/>
    <col min="7955" max="8186" width="10" style="822"/>
    <col min="8187" max="8187" width="5" style="822" customWidth="1"/>
    <col min="8188" max="8188" width="9" style="822" customWidth="1"/>
    <col min="8189" max="8189" width="14.83203125" style="822" customWidth="1"/>
    <col min="8190" max="8194" width="13.5" style="822" customWidth="1"/>
    <col min="8195" max="8195" width="14.6640625" style="822" customWidth="1"/>
    <col min="8196" max="8196" width="11" style="822" customWidth="1"/>
    <col min="8197" max="8197" width="13.6640625" style="822" customWidth="1"/>
    <col min="8198" max="8198" width="13.5" style="822" customWidth="1"/>
    <col min="8199" max="8199" width="14.83203125" style="822" customWidth="1"/>
    <col min="8200" max="8200" width="13.33203125" style="822" customWidth="1"/>
    <col min="8201" max="8202" width="10" style="822" hidden="1" customWidth="1"/>
    <col min="8203" max="8203" width="11.5" style="822" customWidth="1"/>
    <col min="8204" max="8204" width="12.6640625" style="822" customWidth="1"/>
    <col min="8205" max="8205" width="12.1640625" style="822" customWidth="1"/>
    <col min="8206" max="8206" width="13.33203125" style="822" customWidth="1"/>
    <col min="8207" max="8207" width="12" style="822" customWidth="1"/>
    <col min="8208" max="8208" width="10" style="822" hidden="1" customWidth="1"/>
    <col min="8209" max="8209" width="9.5" style="822" customWidth="1"/>
    <col min="8210" max="8210" width="5.6640625" style="822" customWidth="1"/>
    <col min="8211" max="8442" width="10" style="822"/>
    <col min="8443" max="8443" width="5" style="822" customWidth="1"/>
    <col min="8444" max="8444" width="9" style="822" customWidth="1"/>
    <col min="8445" max="8445" width="14.83203125" style="822" customWidth="1"/>
    <col min="8446" max="8450" width="13.5" style="822" customWidth="1"/>
    <col min="8451" max="8451" width="14.6640625" style="822" customWidth="1"/>
    <col min="8452" max="8452" width="11" style="822" customWidth="1"/>
    <col min="8453" max="8453" width="13.6640625" style="822" customWidth="1"/>
    <col min="8454" max="8454" width="13.5" style="822" customWidth="1"/>
    <col min="8455" max="8455" width="14.83203125" style="822" customWidth="1"/>
    <col min="8456" max="8456" width="13.33203125" style="822" customWidth="1"/>
    <col min="8457" max="8458" width="10" style="822" hidden="1" customWidth="1"/>
    <col min="8459" max="8459" width="11.5" style="822" customWidth="1"/>
    <col min="8460" max="8460" width="12.6640625" style="822" customWidth="1"/>
    <col min="8461" max="8461" width="12.1640625" style="822" customWidth="1"/>
    <col min="8462" max="8462" width="13.33203125" style="822" customWidth="1"/>
    <col min="8463" max="8463" width="12" style="822" customWidth="1"/>
    <col min="8464" max="8464" width="10" style="822" hidden="1" customWidth="1"/>
    <col min="8465" max="8465" width="9.5" style="822" customWidth="1"/>
    <col min="8466" max="8466" width="5.6640625" style="822" customWidth="1"/>
    <col min="8467" max="8698" width="10" style="822"/>
    <col min="8699" max="8699" width="5" style="822" customWidth="1"/>
    <col min="8700" max="8700" width="9" style="822" customWidth="1"/>
    <col min="8701" max="8701" width="14.83203125" style="822" customWidth="1"/>
    <col min="8702" max="8706" width="13.5" style="822" customWidth="1"/>
    <col min="8707" max="8707" width="14.6640625" style="822" customWidth="1"/>
    <col min="8708" max="8708" width="11" style="822" customWidth="1"/>
    <col min="8709" max="8709" width="13.6640625" style="822" customWidth="1"/>
    <col min="8710" max="8710" width="13.5" style="822" customWidth="1"/>
    <col min="8711" max="8711" width="14.83203125" style="822" customWidth="1"/>
    <col min="8712" max="8712" width="13.33203125" style="822" customWidth="1"/>
    <col min="8713" max="8714" width="10" style="822" hidden="1" customWidth="1"/>
    <col min="8715" max="8715" width="11.5" style="822" customWidth="1"/>
    <col min="8716" max="8716" width="12.6640625" style="822" customWidth="1"/>
    <col min="8717" max="8717" width="12.1640625" style="822" customWidth="1"/>
    <col min="8718" max="8718" width="13.33203125" style="822" customWidth="1"/>
    <col min="8719" max="8719" width="12" style="822" customWidth="1"/>
    <col min="8720" max="8720" width="10" style="822" hidden="1" customWidth="1"/>
    <col min="8721" max="8721" width="9.5" style="822" customWidth="1"/>
    <col min="8722" max="8722" width="5.6640625" style="822" customWidth="1"/>
    <col min="8723" max="8954" width="10" style="822"/>
    <col min="8955" max="8955" width="5" style="822" customWidth="1"/>
    <col min="8956" max="8956" width="9" style="822" customWidth="1"/>
    <col min="8957" max="8957" width="14.83203125" style="822" customWidth="1"/>
    <col min="8958" max="8962" width="13.5" style="822" customWidth="1"/>
    <col min="8963" max="8963" width="14.6640625" style="822" customWidth="1"/>
    <col min="8964" max="8964" width="11" style="822" customWidth="1"/>
    <col min="8965" max="8965" width="13.6640625" style="822" customWidth="1"/>
    <col min="8966" max="8966" width="13.5" style="822" customWidth="1"/>
    <col min="8967" max="8967" width="14.83203125" style="822" customWidth="1"/>
    <col min="8968" max="8968" width="13.33203125" style="822" customWidth="1"/>
    <col min="8969" max="8970" width="10" style="822" hidden="1" customWidth="1"/>
    <col min="8971" max="8971" width="11.5" style="822" customWidth="1"/>
    <col min="8972" max="8972" width="12.6640625" style="822" customWidth="1"/>
    <col min="8973" max="8973" width="12.1640625" style="822" customWidth="1"/>
    <col min="8974" max="8974" width="13.33203125" style="822" customWidth="1"/>
    <col min="8975" max="8975" width="12" style="822" customWidth="1"/>
    <col min="8976" max="8976" width="10" style="822" hidden="1" customWidth="1"/>
    <col min="8977" max="8977" width="9.5" style="822" customWidth="1"/>
    <col min="8978" max="8978" width="5.6640625" style="822" customWidth="1"/>
    <col min="8979" max="9210" width="10" style="822"/>
    <col min="9211" max="9211" width="5" style="822" customWidth="1"/>
    <col min="9212" max="9212" width="9" style="822" customWidth="1"/>
    <col min="9213" max="9213" width="14.83203125" style="822" customWidth="1"/>
    <col min="9214" max="9218" width="13.5" style="822" customWidth="1"/>
    <col min="9219" max="9219" width="14.6640625" style="822" customWidth="1"/>
    <col min="9220" max="9220" width="11" style="822" customWidth="1"/>
    <col min="9221" max="9221" width="13.6640625" style="822" customWidth="1"/>
    <col min="9222" max="9222" width="13.5" style="822" customWidth="1"/>
    <col min="9223" max="9223" width="14.83203125" style="822" customWidth="1"/>
    <col min="9224" max="9224" width="13.33203125" style="822" customWidth="1"/>
    <col min="9225" max="9226" width="10" style="822" hidden="1" customWidth="1"/>
    <col min="9227" max="9227" width="11.5" style="822" customWidth="1"/>
    <col min="9228" max="9228" width="12.6640625" style="822" customWidth="1"/>
    <col min="9229" max="9229" width="12.1640625" style="822" customWidth="1"/>
    <col min="9230" max="9230" width="13.33203125" style="822" customWidth="1"/>
    <col min="9231" max="9231" width="12" style="822" customWidth="1"/>
    <col min="9232" max="9232" width="10" style="822" hidden="1" customWidth="1"/>
    <col min="9233" max="9233" width="9.5" style="822" customWidth="1"/>
    <col min="9234" max="9234" width="5.6640625" style="822" customWidth="1"/>
    <col min="9235" max="9466" width="10" style="822"/>
    <col min="9467" max="9467" width="5" style="822" customWidth="1"/>
    <col min="9468" max="9468" width="9" style="822" customWidth="1"/>
    <col min="9469" max="9469" width="14.83203125" style="822" customWidth="1"/>
    <col min="9470" max="9474" width="13.5" style="822" customWidth="1"/>
    <col min="9475" max="9475" width="14.6640625" style="822" customWidth="1"/>
    <col min="9476" max="9476" width="11" style="822" customWidth="1"/>
    <col min="9477" max="9477" width="13.6640625" style="822" customWidth="1"/>
    <col min="9478" max="9478" width="13.5" style="822" customWidth="1"/>
    <col min="9479" max="9479" width="14.83203125" style="822" customWidth="1"/>
    <col min="9480" max="9480" width="13.33203125" style="822" customWidth="1"/>
    <col min="9481" max="9482" width="10" style="822" hidden="1" customWidth="1"/>
    <col min="9483" max="9483" width="11.5" style="822" customWidth="1"/>
    <col min="9484" max="9484" width="12.6640625" style="822" customWidth="1"/>
    <col min="9485" max="9485" width="12.1640625" style="822" customWidth="1"/>
    <col min="9486" max="9486" width="13.33203125" style="822" customWidth="1"/>
    <col min="9487" max="9487" width="12" style="822" customWidth="1"/>
    <col min="9488" max="9488" width="10" style="822" hidden="1" customWidth="1"/>
    <col min="9489" max="9489" width="9.5" style="822" customWidth="1"/>
    <col min="9490" max="9490" width="5.6640625" style="822" customWidth="1"/>
    <col min="9491" max="9722" width="10" style="822"/>
    <col min="9723" max="9723" width="5" style="822" customWidth="1"/>
    <col min="9724" max="9724" width="9" style="822" customWidth="1"/>
    <col min="9725" max="9725" width="14.83203125" style="822" customWidth="1"/>
    <col min="9726" max="9730" width="13.5" style="822" customWidth="1"/>
    <col min="9731" max="9731" width="14.6640625" style="822" customWidth="1"/>
    <col min="9732" max="9732" width="11" style="822" customWidth="1"/>
    <col min="9733" max="9733" width="13.6640625" style="822" customWidth="1"/>
    <col min="9734" max="9734" width="13.5" style="822" customWidth="1"/>
    <col min="9735" max="9735" width="14.83203125" style="822" customWidth="1"/>
    <col min="9736" max="9736" width="13.33203125" style="822" customWidth="1"/>
    <col min="9737" max="9738" width="10" style="822" hidden="1" customWidth="1"/>
    <col min="9739" max="9739" width="11.5" style="822" customWidth="1"/>
    <col min="9740" max="9740" width="12.6640625" style="822" customWidth="1"/>
    <col min="9741" max="9741" width="12.1640625" style="822" customWidth="1"/>
    <col min="9742" max="9742" width="13.33203125" style="822" customWidth="1"/>
    <col min="9743" max="9743" width="12" style="822" customWidth="1"/>
    <col min="9744" max="9744" width="10" style="822" hidden="1" customWidth="1"/>
    <col min="9745" max="9745" width="9.5" style="822" customWidth="1"/>
    <col min="9746" max="9746" width="5.6640625" style="822" customWidth="1"/>
    <col min="9747" max="9978" width="10" style="822"/>
    <col min="9979" max="9979" width="5" style="822" customWidth="1"/>
    <col min="9980" max="9980" width="9" style="822" customWidth="1"/>
    <col min="9981" max="9981" width="14.83203125" style="822" customWidth="1"/>
    <col min="9982" max="9986" width="13.5" style="822" customWidth="1"/>
    <col min="9987" max="9987" width="14.6640625" style="822" customWidth="1"/>
    <col min="9988" max="9988" width="11" style="822" customWidth="1"/>
    <col min="9989" max="9989" width="13.6640625" style="822" customWidth="1"/>
    <col min="9990" max="9990" width="13.5" style="822" customWidth="1"/>
    <col min="9991" max="9991" width="14.83203125" style="822" customWidth="1"/>
    <col min="9992" max="9992" width="13.33203125" style="822" customWidth="1"/>
    <col min="9993" max="9994" width="10" style="822" hidden="1" customWidth="1"/>
    <col min="9995" max="9995" width="11.5" style="822" customWidth="1"/>
    <col min="9996" max="9996" width="12.6640625" style="822" customWidth="1"/>
    <col min="9997" max="9997" width="12.1640625" style="822" customWidth="1"/>
    <col min="9998" max="9998" width="13.33203125" style="822" customWidth="1"/>
    <col min="9999" max="9999" width="12" style="822" customWidth="1"/>
    <col min="10000" max="10000" width="10" style="822" hidden="1" customWidth="1"/>
    <col min="10001" max="10001" width="9.5" style="822" customWidth="1"/>
    <col min="10002" max="10002" width="5.6640625" style="822" customWidth="1"/>
    <col min="10003" max="10234" width="10" style="822"/>
    <col min="10235" max="10235" width="5" style="822" customWidth="1"/>
    <col min="10236" max="10236" width="9" style="822" customWidth="1"/>
    <col min="10237" max="10237" width="14.83203125" style="822" customWidth="1"/>
    <col min="10238" max="10242" width="13.5" style="822" customWidth="1"/>
    <col min="10243" max="10243" width="14.6640625" style="822" customWidth="1"/>
    <col min="10244" max="10244" width="11" style="822" customWidth="1"/>
    <col min="10245" max="10245" width="13.6640625" style="822" customWidth="1"/>
    <col min="10246" max="10246" width="13.5" style="822" customWidth="1"/>
    <col min="10247" max="10247" width="14.83203125" style="822" customWidth="1"/>
    <col min="10248" max="10248" width="13.33203125" style="822" customWidth="1"/>
    <col min="10249" max="10250" width="10" style="822" hidden="1" customWidth="1"/>
    <col min="10251" max="10251" width="11.5" style="822" customWidth="1"/>
    <col min="10252" max="10252" width="12.6640625" style="822" customWidth="1"/>
    <col min="10253" max="10253" width="12.1640625" style="822" customWidth="1"/>
    <col min="10254" max="10254" width="13.33203125" style="822" customWidth="1"/>
    <col min="10255" max="10255" width="12" style="822" customWidth="1"/>
    <col min="10256" max="10256" width="10" style="822" hidden="1" customWidth="1"/>
    <col min="10257" max="10257" width="9.5" style="822" customWidth="1"/>
    <col min="10258" max="10258" width="5.6640625" style="822" customWidth="1"/>
    <col min="10259" max="10490" width="10" style="822"/>
    <col min="10491" max="10491" width="5" style="822" customWidth="1"/>
    <col min="10492" max="10492" width="9" style="822" customWidth="1"/>
    <col min="10493" max="10493" width="14.83203125" style="822" customWidth="1"/>
    <col min="10494" max="10498" width="13.5" style="822" customWidth="1"/>
    <col min="10499" max="10499" width="14.6640625" style="822" customWidth="1"/>
    <col min="10500" max="10500" width="11" style="822" customWidth="1"/>
    <col min="10501" max="10501" width="13.6640625" style="822" customWidth="1"/>
    <col min="10502" max="10502" width="13.5" style="822" customWidth="1"/>
    <col min="10503" max="10503" width="14.83203125" style="822" customWidth="1"/>
    <col min="10504" max="10504" width="13.33203125" style="822" customWidth="1"/>
    <col min="10505" max="10506" width="10" style="822" hidden="1" customWidth="1"/>
    <col min="10507" max="10507" width="11.5" style="822" customWidth="1"/>
    <col min="10508" max="10508" width="12.6640625" style="822" customWidth="1"/>
    <col min="10509" max="10509" width="12.1640625" style="822" customWidth="1"/>
    <col min="10510" max="10510" width="13.33203125" style="822" customWidth="1"/>
    <col min="10511" max="10511" width="12" style="822" customWidth="1"/>
    <col min="10512" max="10512" width="10" style="822" hidden="1" customWidth="1"/>
    <col min="10513" max="10513" width="9.5" style="822" customWidth="1"/>
    <col min="10514" max="10514" width="5.6640625" style="822" customWidth="1"/>
    <col min="10515" max="10746" width="10" style="822"/>
    <col min="10747" max="10747" width="5" style="822" customWidth="1"/>
    <col min="10748" max="10748" width="9" style="822" customWidth="1"/>
    <col min="10749" max="10749" width="14.83203125" style="822" customWidth="1"/>
    <col min="10750" max="10754" width="13.5" style="822" customWidth="1"/>
    <col min="10755" max="10755" width="14.6640625" style="822" customWidth="1"/>
    <col min="10756" max="10756" width="11" style="822" customWidth="1"/>
    <col min="10757" max="10757" width="13.6640625" style="822" customWidth="1"/>
    <col min="10758" max="10758" width="13.5" style="822" customWidth="1"/>
    <col min="10759" max="10759" width="14.83203125" style="822" customWidth="1"/>
    <col min="10760" max="10760" width="13.33203125" style="822" customWidth="1"/>
    <col min="10761" max="10762" width="10" style="822" hidden="1" customWidth="1"/>
    <col min="10763" max="10763" width="11.5" style="822" customWidth="1"/>
    <col min="10764" max="10764" width="12.6640625" style="822" customWidth="1"/>
    <col min="10765" max="10765" width="12.1640625" style="822" customWidth="1"/>
    <col min="10766" max="10766" width="13.33203125" style="822" customWidth="1"/>
    <col min="10767" max="10767" width="12" style="822" customWidth="1"/>
    <col min="10768" max="10768" width="10" style="822" hidden="1" customWidth="1"/>
    <col min="10769" max="10769" width="9.5" style="822" customWidth="1"/>
    <col min="10770" max="10770" width="5.6640625" style="822" customWidth="1"/>
    <col min="10771" max="11002" width="10" style="822"/>
    <col min="11003" max="11003" width="5" style="822" customWidth="1"/>
    <col min="11004" max="11004" width="9" style="822" customWidth="1"/>
    <col min="11005" max="11005" width="14.83203125" style="822" customWidth="1"/>
    <col min="11006" max="11010" width="13.5" style="822" customWidth="1"/>
    <col min="11011" max="11011" width="14.6640625" style="822" customWidth="1"/>
    <col min="11012" max="11012" width="11" style="822" customWidth="1"/>
    <col min="11013" max="11013" width="13.6640625" style="822" customWidth="1"/>
    <col min="11014" max="11014" width="13.5" style="822" customWidth="1"/>
    <col min="11015" max="11015" width="14.83203125" style="822" customWidth="1"/>
    <col min="11016" max="11016" width="13.33203125" style="822" customWidth="1"/>
    <col min="11017" max="11018" width="10" style="822" hidden="1" customWidth="1"/>
    <col min="11019" max="11019" width="11.5" style="822" customWidth="1"/>
    <col min="11020" max="11020" width="12.6640625" style="822" customWidth="1"/>
    <col min="11021" max="11021" width="12.1640625" style="822" customWidth="1"/>
    <col min="11022" max="11022" width="13.33203125" style="822" customWidth="1"/>
    <col min="11023" max="11023" width="12" style="822" customWidth="1"/>
    <col min="11024" max="11024" width="10" style="822" hidden="1" customWidth="1"/>
    <col min="11025" max="11025" width="9.5" style="822" customWidth="1"/>
    <col min="11026" max="11026" width="5.6640625" style="822" customWidth="1"/>
    <col min="11027" max="11258" width="10" style="822"/>
    <col min="11259" max="11259" width="5" style="822" customWidth="1"/>
    <col min="11260" max="11260" width="9" style="822" customWidth="1"/>
    <col min="11261" max="11261" width="14.83203125" style="822" customWidth="1"/>
    <col min="11262" max="11266" width="13.5" style="822" customWidth="1"/>
    <col min="11267" max="11267" width="14.6640625" style="822" customWidth="1"/>
    <col min="11268" max="11268" width="11" style="822" customWidth="1"/>
    <col min="11269" max="11269" width="13.6640625" style="822" customWidth="1"/>
    <col min="11270" max="11270" width="13.5" style="822" customWidth="1"/>
    <col min="11271" max="11271" width="14.83203125" style="822" customWidth="1"/>
    <col min="11272" max="11272" width="13.33203125" style="822" customWidth="1"/>
    <col min="11273" max="11274" width="10" style="822" hidden="1" customWidth="1"/>
    <col min="11275" max="11275" width="11.5" style="822" customWidth="1"/>
    <col min="11276" max="11276" width="12.6640625" style="822" customWidth="1"/>
    <col min="11277" max="11277" width="12.1640625" style="822" customWidth="1"/>
    <col min="11278" max="11278" width="13.33203125" style="822" customWidth="1"/>
    <col min="11279" max="11279" width="12" style="822" customWidth="1"/>
    <col min="11280" max="11280" width="10" style="822" hidden="1" customWidth="1"/>
    <col min="11281" max="11281" width="9.5" style="822" customWidth="1"/>
    <col min="11282" max="11282" width="5.6640625" style="822" customWidth="1"/>
    <col min="11283" max="11514" width="10" style="822"/>
    <col min="11515" max="11515" width="5" style="822" customWidth="1"/>
    <col min="11516" max="11516" width="9" style="822" customWidth="1"/>
    <col min="11517" max="11517" width="14.83203125" style="822" customWidth="1"/>
    <col min="11518" max="11522" width="13.5" style="822" customWidth="1"/>
    <col min="11523" max="11523" width="14.6640625" style="822" customWidth="1"/>
    <col min="11524" max="11524" width="11" style="822" customWidth="1"/>
    <col min="11525" max="11525" width="13.6640625" style="822" customWidth="1"/>
    <col min="11526" max="11526" width="13.5" style="822" customWidth="1"/>
    <col min="11527" max="11527" width="14.83203125" style="822" customWidth="1"/>
    <col min="11528" max="11528" width="13.33203125" style="822" customWidth="1"/>
    <col min="11529" max="11530" width="10" style="822" hidden="1" customWidth="1"/>
    <col min="11531" max="11531" width="11.5" style="822" customWidth="1"/>
    <col min="11532" max="11532" width="12.6640625" style="822" customWidth="1"/>
    <col min="11533" max="11533" width="12.1640625" style="822" customWidth="1"/>
    <col min="11534" max="11534" width="13.33203125" style="822" customWidth="1"/>
    <col min="11535" max="11535" width="12" style="822" customWidth="1"/>
    <col min="11536" max="11536" width="10" style="822" hidden="1" customWidth="1"/>
    <col min="11537" max="11537" width="9.5" style="822" customWidth="1"/>
    <col min="11538" max="11538" width="5.6640625" style="822" customWidth="1"/>
    <col min="11539" max="11770" width="10" style="822"/>
    <col min="11771" max="11771" width="5" style="822" customWidth="1"/>
    <col min="11772" max="11772" width="9" style="822" customWidth="1"/>
    <col min="11773" max="11773" width="14.83203125" style="822" customWidth="1"/>
    <col min="11774" max="11778" width="13.5" style="822" customWidth="1"/>
    <col min="11779" max="11779" width="14.6640625" style="822" customWidth="1"/>
    <col min="11780" max="11780" width="11" style="822" customWidth="1"/>
    <col min="11781" max="11781" width="13.6640625" style="822" customWidth="1"/>
    <col min="11782" max="11782" width="13.5" style="822" customWidth="1"/>
    <col min="11783" max="11783" width="14.83203125" style="822" customWidth="1"/>
    <col min="11784" max="11784" width="13.33203125" style="822" customWidth="1"/>
    <col min="11785" max="11786" width="10" style="822" hidden="1" customWidth="1"/>
    <col min="11787" max="11787" width="11.5" style="822" customWidth="1"/>
    <col min="11788" max="11788" width="12.6640625" style="822" customWidth="1"/>
    <col min="11789" max="11789" width="12.1640625" style="822" customWidth="1"/>
    <col min="11790" max="11790" width="13.33203125" style="822" customWidth="1"/>
    <col min="11791" max="11791" width="12" style="822" customWidth="1"/>
    <col min="11792" max="11792" width="10" style="822" hidden="1" customWidth="1"/>
    <col min="11793" max="11793" width="9.5" style="822" customWidth="1"/>
    <col min="11794" max="11794" width="5.6640625" style="822" customWidth="1"/>
    <col min="11795" max="12026" width="10" style="822"/>
    <col min="12027" max="12027" width="5" style="822" customWidth="1"/>
    <col min="12028" max="12028" width="9" style="822" customWidth="1"/>
    <col min="12029" max="12029" width="14.83203125" style="822" customWidth="1"/>
    <col min="12030" max="12034" width="13.5" style="822" customWidth="1"/>
    <col min="12035" max="12035" width="14.6640625" style="822" customWidth="1"/>
    <col min="12036" max="12036" width="11" style="822" customWidth="1"/>
    <col min="12037" max="12037" width="13.6640625" style="822" customWidth="1"/>
    <col min="12038" max="12038" width="13.5" style="822" customWidth="1"/>
    <col min="12039" max="12039" width="14.83203125" style="822" customWidth="1"/>
    <col min="12040" max="12040" width="13.33203125" style="822" customWidth="1"/>
    <col min="12041" max="12042" width="10" style="822" hidden="1" customWidth="1"/>
    <col min="12043" max="12043" width="11.5" style="822" customWidth="1"/>
    <col min="12044" max="12044" width="12.6640625" style="822" customWidth="1"/>
    <col min="12045" max="12045" width="12.1640625" style="822" customWidth="1"/>
    <col min="12046" max="12046" width="13.33203125" style="822" customWidth="1"/>
    <col min="12047" max="12047" width="12" style="822" customWidth="1"/>
    <col min="12048" max="12048" width="10" style="822" hidden="1" customWidth="1"/>
    <col min="12049" max="12049" width="9.5" style="822" customWidth="1"/>
    <col min="12050" max="12050" width="5.6640625" style="822" customWidth="1"/>
    <col min="12051" max="12282" width="10" style="822"/>
    <col min="12283" max="12283" width="5" style="822" customWidth="1"/>
    <col min="12284" max="12284" width="9" style="822" customWidth="1"/>
    <col min="12285" max="12285" width="14.83203125" style="822" customWidth="1"/>
    <col min="12286" max="12290" width="13.5" style="822" customWidth="1"/>
    <col min="12291" max="12291" width="14.6640625" style="822" customWidth="1"/>
    <col min="12292" max="12292" width="11" style="822" customWidth="1"/>
    <col min="12293" max="12293" width="13.6640625" style="822" customWidth="1"/>
    <col min="12294" max="12294" width="13.5" style="822" customWidth="1"/>
    <col min="12295" max="12295" width="14.83203125" style="822" customWidth="1"/>
    <col min="12296" max="12296" width="13.33203125" style="822" customWidth="1"/>
    <col min="12297" max="12298" width="10" style="822" hidden="1" customWidth="1"/>
    <col min="12299" max="12299" width="11.5" style="822" customWidth="1"/>
    <col min="12300" max="12300" width="12.6640625" style="822" customWidth="1"/>
    <col min="12301" max="12301" width="12.1640625" style="822" customWidth="1"/>
    <col min="12302" max="12302" width="13.33203125" style="822" customWidth="1"/>
    <col min="12303" max="12303" width="12" style="822" customWidth="1"/>
    <col min="12304" max="12304" width="10" style="822" hidden="1" customWidth="1"/>
    <col min="12305" max="12305" width="9.5" style="822" customWidth="1"/>
    <col min="12306" max="12306" width="5.6640625" style="822" customWidth="1"/>
    <col min="12307" max="12538" width="10" style="822"/>
    <col min="12539" max="12539" width="5" style="822" customWidth="1"/>
    <col min="12540" max="12540" width="9" style="822" customWidth="1"/>
    <col min="12541" max="12541" width="14.83203125" style="822" customWidth="1"/>
    <col min="12542" max="12546" width="13.5" style="822" customWidth="1"/>
    <col min="12547" max="12547" width="14.6640625" style="822" customWidth="1"/>
    <col min="12548" max="12548" width="11" style="822" customWidth="1"/>
    <col min="12549" max="12549" width="13.6640625" style="822" customWidth="1"/>
    <col min="12550" max="12550" width="13.5" style="822" customWidth="1"/>
    <col min="12551" max="12551" width="14.83203125" style="822" customWidth="1"/>
    <col min="12552" max="12552" width="13.33203125" style="822" customWidth="1"/>
    <col min="12553" max="12554" width="10" style="822" hidden="1" customWidth="1"/>
    <col min="12555" max="12555" width="11.5" style="822" customWidth="1"/>
    <col min="12556" max="12556" width="12.6640625" style="822" customWidth="1"/>
    <col min="12557" max="12557" width="12.1640625" style="822" customWidth="1"/>
    <col min="12558" max="12558" width="13.33203125" style="822" customWidth="1"/>
    <col min="12559" max="12559" width="12" style="822" customWidth="1"/>
    <col min="12560" max="12560" width="10" style="822" hidden="1" customWidth="1"/>
    <col min="12561" max="12561" width="9.5" style="822" customWidth="1"/>
    <col min="12562" max="12562" width="5.6640625" style="822" customWidth="1"/>
    <col min="12563" max="12794" width="10" style="822"/>
    <col min="12795" max="12795" width="5" style="822" customWidth="1"/>
    <col min="12796" max="12796" width="9" style="822" customWidth="1"/>
    <col min="12797" max="12797" width="14.83203125" style="822" customWidth="1"/>
    <col min="12798" max="12802" width="13.5" style="822" customWidth="1"/>
    <col min="12803" max="12803" width="14.6640625" style="822" customWidth="1"/>
    <col min="12804" max="12804" width="11" style="822" customWidth="1"/>
    <col min="12805" max="12805" width="13.6640625" style="822" customWidth="1"/>
    <col min="12806" max="12806" width="13.5" style="822" customWidth="1"/>
    <col min="12807" max="12807" width="14.83203125" style="822" customWidth="1"/>
    <col min="12808" max="12808" width="13.33203125" style="822" customWidth="1"/>
    <col min="12809" max="12810" width="10" style="822" hidden="1" customWidth="1"/>
    <col min="12811" max="12811" width="11.5" style="822" customWidth="1"/>
    <col min="12812" max="12812" width="12.6640625" style="822" customWidth="1"/>
    <col min="12813" max="12813" width="12.1640625" style="822" customWidth="1"/>
    <col min="12814" max="12814" width="13.33203125" style="822" customWidth="1"/>
    <col min="12815" max="12815" width="12" style="822" customWidth="1"/>
    <col min="12816" max="12816" width="10" style="822" hidden="1" customWidth="1"/>
    <col min="12817" max="12817" width="9.5" style="822" customWidth="1"/>
    <col min="12818" max="12818" width="5.6640625" style="822" customWidth="1"/>
    <col min="12819" max="13050" width="10" style="822"/>
    <col min="13051" max="13051" width="5" style="822" customWidth="1"/>
    <col min="13052" max="13052" width="9" style="822" customWidth="1"/>
    <col min="13053" max="13053" width="14.83203125" style="822" customWidth="1"/>
    <col min="13054" max="13058" width="13.5" style="822" customWidth="1"/>
    <col min="13059" max="13059" width="14.6640625" style="822" customWidth="1"/>
    <col min="13060" max="13060" width="11" style="822" customWidth="1"/>
    <col min="13061" max="13061" width="13.6640625" style="822" customWidth="1"/>
    <col min="13062" max="13062" width="13.5" style="822" customWidth="1"/>
    <col min="13063" max="13063" width="14.83203125" style="822" customWidth="1"/>
    <col min="13064" max="13064" width="13.33203125" style="822" customWidth="1"/>
    <col min="13065" max="13066" width="10" style="822" hidden="1" customWidth="1"/>
    <col min="13067" max="13067" width="11.5" style="822" customWidth="1"/>
    <col min="13068" max="13068" width="12.6640625" style="822" customWidth="1"/>
    <col min="13069" max="13069" width="12.1640625" style="822" customWidth="1"/>
    <col min="13070" max="13070" width="13.33203125" style="822" customWidth="1"/>
    <col min="13071" max="13071" width="12" style="822" customWidth="1"/>
    <col min="13072" max="13072" width="10" style="822" hidden="1" customWidth="1"/>
    <col min="13073" max="13073" width="9.5" style="822" customWidth="1"/>
    <col min="13074" max="13074" width="5.6640625" style="822" customWidth="1"/>
    <col min="13075" max="13306" width="10" style="822"/>
    <col min="13307" max="13307" width="5" style="822" customWidth="1"/>
    <col min="13308" max="13308" width="9" style="822" customWidth="1"/>
    <col min="13309" max="13309" width="14.83203125" style="822" customWidth="1"/>
    <col min="13310" max="13314" width="13.5" style="822" customWidth="1"/>
    <col min="13315" max="13315" width="14.6640625" style="822" customWidth="1"/>
    <col min="13316" max="13316" width="11" style="822" customWidth="1"/>
    <col min="13317" max="13317" width="13.6640625" style="822" customWidth="1"/>
    <col min="13318" max="13318" width="13.5" style="822" customWidth="1"/>
    <col min="13319" max="13319" width="14.83203125" style="822" customWidth="1"/>
    <col min="13320" max="13320" width="13.33203125" style="822" customWidth="1"/>
    <col min="13321" max="13322" width="10" style="822" hidden="1" customWidth="1"/>
    <col min="13323" max="13323" width="11.5" style="822" customWidth="1"/>
    <col min="13324" max="13324" width="12.6640625" style="822" customWidth="1"/>
    <col min="13325" max="13325" width="12.1640625" style="822" customWidth="1"/>
    <col min="13326" max="13326" width="13.33203125" style="822" customWidth="1"/>
    <col min="13327" max="13327" width="12" style="822" customWidth="1"/>
    <col min="13328" max="13328" width="10" style="822" hidden="1" customWidth="1"/>
    <col min="13329" max="13329" width="9.5" style="822" customWidth="1"/>
    <col min="13330" max="13330" width="5.6640625" style="822" customWidth="1"/>
    <col min="13331" max="13562" width="10" style="822"/>
    <col min="13563" max="13563" width="5" style="822" customWidth="1"/>
    <col min="13564" max="13564" width="9" style="822" customWidth="1"/>
    <col min="13565" max="13565" width="14.83203125" style="822" customWidth="1"/>
    <col min="13566" max="13570" width="13.5" style="822" customWidth="1"/>
    <col min="13571" max="13571" width="14.6640625" style="822" customWidth="1"/>
    <col min="13572" max="13572" width="11" style="822" customWidth="1"/>
    <col min="13573" max="13573" width="13.6640625" style="822" customWidth="1"/>
    <col min="13574" max="13574" width="13.5" style="822" customWidth="1"/>
    <col min="13575" max="13575" width="14.83203125" style="822" customWidth="1"/>
    <col min="13576" max="13576" width="13.33203125" style="822" customWidth="1"/>
    <col min="13577" max="13578" width="10" style="822" hidden="1" customWidth="1"/>
    <col min="13579" max="13579" width="11.5" style="822" customWidth="1"/>
    <col min="13580" max="13580" width="12.6640625" style="822" customWidth="1"/>
    <col min="13581" max="13581" width="12.1640625" style="822" customWidth="1"/>
    <col min="13582" max="13582" width="13.33203125" style="822" customWidth="1"/>
    <col min="13583" max="13583" width="12" style="822" customWidth="1"/>
    <col min="13584" max="13584" width="10" style="822" hidden="1" customWidth="1"/>
    <col min="13585" max="13585" width="9.5" style="822" customWidth="1"/>
    <col min="13586" max="13586" width="5.6640625" style="822" customWidth="1"/>
    <col min="13587" max="13818" width="10" style="822"/>
    <col min="13819" max="13819" width="5" style="822" customWidth="1"/>
    <col min="13820" max="13820" width="9" style="822" customWidth="1"/>
    <col min="13821" max="13821" width="14.83203125" style="822" customWidth="1"/>
    <col min="13822" max="13826" width="13.5" style="822" customWidth="1"/>
    <col min="13827" max="13827" width="14.6640625" style="822" customWidth="1"/>
    <col min="13828" max="13828" width="11" style="822" customWidth="1"/>
    <col min="13829" max="13829" width="13.6640625" style="822" customWidth="1"/>
    <col min="13830" max="13830" width="13.5" style="822" customWidth="1"/>
    <col min="13831" max="13831" width="14.83203125" style="822" customWidth="1"/>
    <col min="13832" max="13832" width="13.33203125" style="822" customWidth="1"/>
    <col min="13833" max="13834" width="10" style="822" hidden="1" customWidth="1"/>
    <col min="13835" max="13835" width="11.5" style="822" customWidth="1"/>
    <col min="13836" max="13836" width="12.6640625" style="822" customWidth="1"/>
    <col min="13837" max="13837" width="12.1640625" style="822" customWidth="1"/>
    <col min="13838" max="13838" width="13.33203125" style="822" customWidth="1"/>
    <col min="13839" max="13839" width="12" style="822" customWidth="1"/>
    <col min="13840" max="13840" width="10" style="822" hidden="1" customWidth="1"/>
    <col min="13841" max="13841" width="9.5" style="822" customWidth="1"/>
    <col min="13842" max="13842" width="5.6640625" style="822" customWidth="1"/>
    <col min="13843" max="14074" width="10" style="822"/>
    <col min="14075" max="14075" width="5" style="822" customWidth="1"/>
    <col min="14076" max="14076" width="9" style="822" customWidth="1"/>
    <col min="14077" max="14077" width="14.83203125" style="822" customWidth="1"/>
    <col min="14078" max="14082" width="13.5" style="822" customWidth="1"/>
    <col min="14083" max="14083" width="14.6640625" style="822" customWidth="1"/>
    <col min="14084" max="14084" width="11" style="822" customWidth="1"/>
    <col min="14085" max="14085" width="13.6640625" style="822" customWidth="1"/>
    <col min="14086" max="14086" width="13.5" style="822" customWidth="1"/>
    <col min="14087" max="14087" width="14.83203125" style="822" customWidth="1"/>
    <col min="14088" max="14088" width="13.33203125" style="822" customWidth="1"/>
    <col min="14089" max="14090" width="10" style="822" hidden="1" customWidth="1"/>
    <col min="14091" max="14091" width="11.5" style="822" customWidth="1"/>
    <col min="14092" max="14092" width="12.6640625" style="822" customWidth="1"/>
    <col min="14093" max="14093" width="12.1640625" style="822" customWidth="1"/>
    <col min="14094" max="14094" width="13.33203125" style="822" customWidth="1"/>
    <col min="14095" max="14095" width="12" style="822" customWidth="1"/>
    <col min="14096" max="14096" width="10" style="822" hidden="1" customWidth="1"/>
    <col min="14097" max="14097" width="9.5" style="822" customWidth="1"/>
    <col min="14098" max="14098" width="5.6640625" style="822" customWidth="1"/>
    <col min="14099" max="14330" width="10" style="822"/>
    <col min="14331" max="14331" width="5" style="822" customWidth="1"/>
    <col min="14332" max="14332" width="9" style="822" customWidth="1"/>
    <col min="14333" max="14333" width="14.83203125" style="822" customWidth="1"/>
    <col min="14334" max="14338" width="13.5" style="822" customWidth="1"/>
    <col min="14339" max="14339" width="14.6640625" style="822" customWidth="1"/>
    <col min="14340" max="14340" width="11" style="822" customWidth="1"/>
    <col min="14341" max="14341" width="13.6640625" style="822" customWidth="1"/>
    <col min="14342" max="14342" width="13.5" style="822" customWidth="1"/>
    <col min="14343" max="14343" width="14.83203125" style="822" customWidth="1"/>
    <col min="14344" max="14344" width="13.33203125" style="822" customWidth="1"/>
    <col min="14345" max="14346" width="10" style="822" hidden="1" customWidth="1"/>
    <col min="14347" max="14347" width="11.5" style="822" customWidth="1"/>
    <col min="14348" max="14348" width="12.6640625" style="822" customWidth="1"/>
    <col min="14349" max="14349" width="12.1640625" style="822" customWidth="1"/>
    <col min="14350" max="14350" width="13.33203125" style="822" customWidth="1"/>
    <col min="14351" max="14351" width="12" style="822" customWidth="1"/>
    <col min="14352" max="14352" width="10" style="822" hidden="1" customWidth="1"/>
    <col min="14353" max="14353" width="9.5" style="822" customWidth="1"/>
    <col min="14354" max="14354" width="5.6640625" style="822" customWidth="1"/>
    <col min="14355" max="14586" width="10" style="822"/>
    <col min="14587" max="14587" width="5" style="822" customWidth="1"/>
    <col min="14588" max="14588" width="9" style="822" customWidth="1"/>
    <col min="14589" max="14589" width="14.83203125" style="822" customWidth="1"/>
    <col min="14590" max="14594" width="13.5" style="822" customWidth="1"/>
    <col min="14595" max="14595" width="14.6640625" style="822" customWidth="1"/>
    <col min="14596" max="14596" width="11" style="822" customWidth="1"/>
    <col min="14597" max="14597" width="13.6640625" style="822" customWidth="1"/>
    <col min="14598" max="14598" width="13.5" style="822" customWidth="1"/>
    <col min="14599" max="14599" width="14.83203125" style="822" customWidth="1"/>
    <col min="14600" max="14600" width="13.33203125" style="822" customWidth="1"/>
    <col min="14601" max="14602" width="10" style="822" hidden="1" customWidth="1"/>
    <col min="14603" max="14603" width="11.5" style="822" customWidth="1"/>
    <col min="14604" max="14604" width="12.6640625" style="822" customWidth="1"/>
    <col min="14605" max="14605" width="12.1640625" style="822" customWidth="1"/>
    <col min="14606" max="14606" width="13.33203125" style="822" customWidth="1"/>
    <col min="14607" max="14607" width="12" style="822" customWidth="1"/>
    <col min="14608" max="14608" width="10" style="822" hidden="1" customWidth="1"/>
    <col min="14609" max="14609" width="9.5" style="822" customWidth="1"/>
    <col min="14610" max="14610" width="5.6640625" style="822" customWidth="1"/>
    <col min="14611" max="14842" width="10" style="822"/>
    <col min="14843" max="14843" width="5" style="822" customWidth="1"/>
    <col min="14844" max="14844" width="9" style="822" customWidth="1"/>
    <col min="14845" max="14845" width="14.83203125" style="822" customWidth="1"/>
    <col min="14846" max="14850" width="13.5" style="822" customWidth="1"/>
    <col min="14851" max="14851" width="14.6640625" style="822" customWidth="1"/>
    <col min="14852" max="14852" width="11" style="822" customWidth="1"/>
    <col min="14853" max="14853" width="13.6640625" style="822" customWidth="1"/>
    <col min="14854" max="14854" width="13.5" style="822" customWidth="1"/>
    <col min="14855" max="14855" width="14.83203125" style="822" customWidth="1"/>
    <col min="14856" max="14856" width="13.33203125" style="822" customWidth="1"/>
    <col min="14857" max="14858" width="10" style="822" hidden="1" customWidth="1"/>
    <col min="14859" max="14859" width="11.5" style="822" customWidth="1"/>
    <col min="14860" max="14860" width="12.6640625" style="822" customWidth="1"/>
    <col min="14861" max="14861" width="12.1640625" style="822" customWidth="1"/>
    <col min="14862" max="14862" width="13.33203125" style="822" customWidth="1"/>
    <col min="14863" max="14863" width="12" style="822" customWidth="1"/>
    <col min="14864" max="14864" width="10" style="822" hidden="1" customWidth="1"/>
    <col min="14865" max="14865" width="9.5" style="822" customWidth="1"/>
    <col min="14866" max="14866" width="5.6640625" style="822" customWidth="1"/>
    <col min="14867" max="15098" width="10" style="822"/>
    <col min="15099" max="15099" width="5" style="822" customWidth="1"/>
    <col min="15100" max="15100" width="9" style="822" customWidth="1"/>
    <col min="15101" max="15101" width="14.83203125" style="822" customWidth="1"/>
    <col min="15102" max="15106" width="13.5" style="822" customWidth="1"/>
    <col min="15107" max="15107" width="14.6640625" style="822" customWidth="1"/>
    <col min="15108" max="15108" width="11" style="822" customWidth="1"/>
    <col min="15109" max="15109" width="13.6640625" style="822" customWidth="1"/>
    <col min="15110" max="15110" width="13.5" style="822" customWidth="1"/>
    <col min="15111" max="15111" width="14.83203125" style="822" customWidth="1"/>
    <col min="15112" max="15112" width="13.33203125" style="822" customWidth="1"/>
    <col min="15113" max="15114" width="10" style="822" hidden="1" customWidth="1"/>
    <col min="15115" max="15115" width="11.5" style="822" customWidth="1"/>
    <col min="15116" max="15116" width="12.6640625" style="822" customWidth="1"/>
    <col min="15117" max="15117" width="12.1640625" style="822" customWidth="1"/>
    <col min="15118" max="15118" width="13.33203125" style="822" customWidth="1"/>
    <col min="15119" max="15119" width="12" style="822" customWidth="1"/>
    <col min="15120" max="15120" width="10" style="822" hidden="1" customWidth="1"/>
    <col min="15121" max="15121" width="9.5" style="822" customWidth="1"/>
    <col min="15122" max="15122" width="5.6640625" style="822" customWidth="1"/>
    <col min="15123" max="15354" width="10" style="822"/>
    <col min="15355" max="15355" width="5" style="822" customWidth="1"/>
    <col min="15356" max="15356" width="9" style="822" customWidth="1"/>
    <col min="15357" max="15357" width="14.83203125" style="822" customWidth="1"/>
    <col min="15358" max="15362" width="13.5" style="822" customWidth="1"/>
    <col min="15363" max="15363" width="14.6640625" style="822" customWidth="1"/>
    <col min="15364" max="15364" width="11" style="822" customWidth="1"/>
    <col min="15365" max="15365" width="13.6640625" style="822" customWidth="1"/>
    <col min="15366" max="15366" width="13.5" style="822" customWidth="1"/>
    <col min="15367" max="15367" width="14.83203125" style="822" customWidth="1"/>
    <col min="15368" max="15368" width="13.33203125" style="822" customWidth="1"/>
    <col min="15369" max="15370" width="10" style="822" hidden="1" customWidth="1"/>
    <col min="15371" max="15371" width="11.5" style="822" customWidth="1"/>
    <col min="15372" max="15372" width="12.6640625" style="822" customWidth="1"/>
    <col min="15373" max="15373" width="12.1640625" style="822" customWidth="1"/>
    <col min="15374" max="15374" width="13.33203125" style="822" customWidth="1"/>
    <col min="15375" max="15375" width="12" style="822" customWidth="1"/>
    <col min="15376" max="15376" width="10" style="822" hidden="1" customWidth="1"/>
    <col min="15377" max="15377" width="9.5" style="822" customWidth="1"/>
    <col min="15378" max="15378" width="5.6640625" style="822" customWidth="1"/>
    <col min="15379" max="15610" width="10" style="822"/>
    <col min="15611" max="15611" width="5" style="822" customWidth="1"/>
    <col min="15612" max="15612" width="9" style="822" customWidth="1"/>
    <col min="15613" max="15613" width="14.83203125" style="822" customWidth="1"/>
    <col min="15614" max="15618" width="13.5" style="822" customWidth="1"/>
    <col min="15619" max="15619" width="14.6640625" style="822" customWidth="1"/>
    <col min="15620" max="15620" width="11" style="822" customWidth="1"/>
    <col min="15621" max="15621" width="13.6640625" style="822" customWidth="1"/>
    <col min="15622" max="15622" width="13.5" style="822" customWidth="1"/>
    <col min="15623" max="15623" width="14.83203125" style="822" customWidth="1"/>
    <col min="15624" max="15624" width="13.33203125" style="822" customWidth="1"/>
    <col min="15625" max="15626" width="10" style="822" hidden="1" customWidth="1"/>
    <col min="15627" max="15627" width="11.5" style="822" customWidth="1"/>
    <col min="15628" max="15628" width="12.6640625" style="822" customWidth="1"/>
    <col min="15629" max="15629" width="12.1640625" style="822" customWidth="1"/>
    <col min="15630" max="15630" width="13.33203125" style="822" customWidth="1"/>
    <col min="15631" max="15631" width="12" style="822" customWidth="1"/>
    <col min="15632" max="15632" width="10" style="822" hidden="1" customWidth="1"/>
    <col min="15633" max="15633" width="9.5" style="822" customWidth="1"/>
    <col min="15634" max="15634" width="5.6640625" style="822" customWidth="1"/>
    <col min="15635" max="15866" width="10" style="822"/>
    <col min="15867" max="15867" width="5" style="822" customWidth="1"/>
    <col min="15868" max="15868" width="9" style="822" customWidth="1"/>
    <col min="15869" max="15869" width="14.83203125" style="822" customWidth="1"/>
    <col min="15870" max="15874" width="13.5" style="822" customWidth="1"/>
    <col min="15875" max="15875" width="14.6640625" style="822" customWidth="1"/>
    <col min="15876" max="15876" width="11" style="822" customWidth="1"/>
    <col min="15877" max="15877" width="13.6640625" style="822" customWidth="1"/>
    <col min="15878" max="15878" width="13.5" style="822" customWidth="1"/>
    <col min="15879" max="15879" width="14.83203125" style="822" customWidth="1"/>
    <col min="15880" max="15880" width="13.33203125" style="822" customWidth="1"/>
    <col min="15881" max="15882" width="10" style="822" hidden="1" customWidth="1"/>
    <col min="15883" max="15883" width="11.5" style="822" customWidth="1"/>
    <col min="15884" max="15884" width="12.6640625" style="822" customWidth="1"/>
    <col min="15885" max="15885" width="12.1640625" style="822" customWidth="1"/>
    <col min="15886" max="15886" width="13.33203125" style="822" customWidth="1"/>
    <col min="15887" max="15887" width="12" style="822" customWidth="1"/>
    <col min="15888" max="15888" width="10" style="822" hidden="1" customWidth="1"/>
    <col min="15889" max="15889" width="9.5" style="822" customWidth="1"/>
    <col min="15890" max="15890" width="5.6640625" style="822" customWidth="1"/>
    <col min="15891" max="16122" width="10" style="822"/>
    <col min="16123" max="16123" width="5" style="822" customWidth="1"/>
    <col min="16124" max="16124" width="9" style="822" customWidth="1"/>
    <col min="16125" max="16125" width="14.83203125" style="822" customWidth="1"/>
    <col min="16126" max="16130" width="13.5" style="822" customWidth="1"/>
    <col min="16131" max="16131" width="14.6640625" style="822" customWidth="1"/>
    <col min="16132" max="16132" width="11" style="822" customWidth="1"/>
    <col min="16133" max="16133" width="13.6640625" style="822" customWidth="1"/>
    <col min="16134" max="16134" width="13.5" style="822" customWidth="1"/>
    <col min="16135" max="16135" width="14.83203125" style="822" customWidth="1"/>
    <col min="16136" max="16136" width="13.33203125" style="822" customWidth="1"/>
    <col min="16137" max="16138" width="10" style="822" hidden="1" customWidth="1"/>
    <col min="16139" max="16139" width="11.5" style="822" customWidth="1"/>
    <col min="16140" max="16140" width="12.6640625" style="822" customWidth="1"/>
    <col min="16141" max="16141" width="12.1640625" style="822" customWidth="1"/>
    <col min="16142" max="16142" width="13.33203125" style="822" customWidth="1"/>
    <col min="16143" max="16143" width="12" style="822" customWidth="1"/>
    <col min="16144" max="16144" width="10" style="822" hidden="1" customWidth="1"/>
    <col min="16145" max="16145" width="9.5" style="822" customWidth="1"/>
    <col min="16146" max="16146" width="5.6640625" style="822" customWidth="1"/>
    <col min="16147" max="16384" width="10" style="822"/>
  </cols>
  <sheetData>
    <row r="1" spans="1:23" ht="19">
      <c r="A1" s="821" t="s">
        <v>7518</v>
      </c>
      <c r="B1" s="821"/>
      <c r="C1" s="821"/>
      <c r="D1" s="821"/>
      <c r="E1" s="821"/>
      <c r="F1" s="821"/>
      <c r="G1" s="821"/>
      <c r="H1" s="821"/>
      <c r="I1" s="821"/>
      <c r="J1" s="821"/>
      <c r="K1" s="821"/>
      <c r="L1" s="821"/>
      <c r="M1" s="821"/>
      <c r="N1" s="821"/>
      <c r="O1" s="821"/>
      <c r="P1" s="821"/>
      <c r="Q1" s="822"/>
    </row>
    <row r="2" spans="1:23" s="911" customFormat="1" ht="42">
      <c r="A2" s="907" t="s">
        <v>7519</v>
      </c>
      <c r="B2" s="908" t="s">
        <v>7520</v>
      </c>
      <c r="C2" s="908" t="s">
        <v>6807</v>
      </c>
      <c r="D2" s="908" t="s">
        <v>7521</v>
      </c>
      <c r="E2" s="909" t="s">
        <v>7522</v>
      </c>
      <c r="F2" s="908" t="s">
        <v>7523</v>
      </c>
      <c r="G2" s="908" t="s">
        <v>7450</v>
      </c>
      <c r="H2" s="908" t="s">
        <v>7524</v>
      </c>
      <c r="I2" s="909" t="s">
        <v>7451</v>
      </c>
      <c r="J2" s="908" t="s">
        <v>1402</v>
      </c>
      <c r="K2" s="908" t="s">
        <v>74</v>
      </c>
      <c r="L2" s="908" t="s">
        <v>730</v>
      </c>
      <c r="M2" s="910" t="s">
        <v>7453</v>
      </c>
      <c r="N2" s="909" t="s">
        <v>7454</v>
      </c>
      <c r="O2" s="909" t="s">
        <v>7472</v>
      </c>
      <c r="P2" s="909" t="s">
        <v>7525</v>
      </c>
    </row>
    <row r="3" spans="1:23" s="842" customFormat="1" ht="23" customHeight="1">
      <c r="A3" s="1726" t="s">
        <v>7519</v>
      </c>
      <c r="B3" s="1744" t="s">
        <v>7526</v>
      </c>
      <c r="C3" s="1745"/>
      <c r="D3" s="1746"/>
      <c r="E3" s="912">
        <v>23200</v>
      </c>
      <c r="F3" s="912">
        <f>F4+F8</f>
        <v>861</v>
      </c>
      <c r="G3" s="832"/>
      <c r="H3" s="832"/>
      <c r="I3" s="832"/>
      <c r="J3" s="846">
        <f>G3*I3*3.14*(D3/1000/2)*(D3/1000/2)</f>
        <v>0</v>
      </c>
      <c r="K3" s="832"/>
      <c r="L3" s="832"/>
      <c r="M3" s="836">
        <f>J3*L3/10000</f>
        <v>0</v>
      </c>
      <c r="N3" s="913">
        <f>'02 项目基础信息（输入）'!C69</f>
        <v>74626.7546</v>
      </c>
      <c r="O3" s="838">
        <f>M3/N3*10000</f>
        <v>0</v>
      </c>
      <c r="P3" s="838">
        <f>M3*10000/F3</f>
        <v>0</v>
      </c>
      <c r="Q3" s="914"/>
    </row>
    <row r="4" spans="1:23" s="842" customFormat="1" ht="28" customHeight="1">
      <c r="A4" s="1727"/>
      <c r="B4" s="1728" t="s">
        <v>8060</v>
      </c>
      <c r="C4" s="1725" t="s">
        <v>7684</v>
      </c>
      <c r="D4" s="1717"/>
      <c r="E4" s="846">
        <f t="shared" ref="E4:E20" si="0">$E$3</f>
        <v>23200</v>
      </c>
      <c r="F4" s="846">
        <v>357</v>
      </c>
      <c r="G4" s="1074">
        <f>ROUNDUP(F4/1.2+1,0)</f>
        <v>299</v>
      </c>
      <c r="H4" s="832" t="s">
        <v>7685</v>
      </c>
      <c r="I4" s="1074">
        <v>15</v>
      </c>
      <c r="J4" s="832">
        <f t="shared" ref="J4:J9" si="1">G4*I4</f>
        <v>4485</v>
      </c>
      <c r="K4" s="832" t="s">
        <v>7686</v>
      </c>
      <c r="L4" s="832">
        <v>199.94</v>
      </c>
      <c r="M4" s="836">
        <f>J4*L4/10000</f>
        <v>89.673090000000002</v>
      </c>
      <c r="N4" s="836">
        <f>$N$3</f>
        <v>74626.7546</v>
      </c>
      <c r="O4" s="838">
        <f>M4/N4*10000</f>
        <v>12.016211944449211</v>
      </c>
      <c r="P4" s="838">
        <f>M4*10000/F4</f>
        <v>2511.8512605042019</v>
      </c>
      <c r="Q4" s="914"/>
    </row>
    <row r="5" spans="1:23" s="842" customFormat="1" ht="32" customHeight="1">
      <c r="A5" s="1727"/>
      <c r="B5" s="1729"/>
      <c r="C5" s="1725" t="s">
        <v>7687</v>
      </c>
      <c r="D5" s="1717"/>
      <c r="E5" s="846">
        <f t="shared" si="0"/>
        <v>23200</v>
      </c>
      <c r="F5" s="846">
        <v>357</v>
      </c>
      <c r="G5" s="1074">
        <f>ROUND(F5/1+1,0)</f>
        <v>358</v>
      </c>
      <c r="H5" s="832" t="s">
        <v>7688</v>
      </c>
      <c r="I5" s="1074">
        <v>10</v>
      </c>
      <c r="J5" s="832">
        <f t="shared" si="1"/>
        <v>3580</v>
      </c>
      <c r="K5" s="832" t="s">
        <v>7686</v>
      </c>
      <c r="L5" s="915">
        <v>709.57</v>
      </c>
      <c r="M5" s="836">
        <f t="shared" ref="M5:M20" si="2">J5*L5/10000</f>
        <v>254.02606</v>
      </c>
      <c r="N5" s="836">
        <f t="shared" ref="N5:N20" si="3">$N$3</f>
        <v>74626.7546</v>
      </c>
      <c r="O5" s="838">
        <f t="shared" ref="O5:O23" si="4">M5/N5*10000</f>
        <v>34.039542703093773</v>
      </c>
      <c r="P5" s="838">
        <f t="shared" ref="P5:P20" si="5">M5*10000/F5</f>
        <v>7115.5759103641458</v>
      </c>
    </row>
    <row r="6" spans="1:23" s="842" customFormat="1" ht="14">
      <c r="A6" s="1727"/>
      <c r="B6" s="1730"/>
      <c r="C6" s="1716" t="s">
        <v>7689</v>
      </c>
      <c r="D6" s="1717"/>
      <c r="E6" s="846">
        <f t="shared" si="0"/>
        <v>23200</v>
      </c>
      <c r="F6" s="846">
        <v>357</v>
      </c>
      <c r="G6" s="1074">
        <f>ROUND(F6/1+1,0)</f>
        <v>358</v>
      </c>
      <c r="H6" s="832" t="s">
        <v>7688</v>
      </c>
      <c r="I6" s="1074">
        <v>3</v>
      </c>
      <c r="J6" s="832">
        <f t="shared" si="1"/>
        <v>1074</v>
      </c>
      <c r="K6" s="832" t="s">
        <v>7686</v>
      </c>
      <c r="L6" s="915">
        <v>30</v>
      </c>
      <c r="M6" s="836">
        <f t="shared" si="2"/>
        <v>3.222</v>
      </c>
      <c r="N6" s="836">
        <f t="shared" si="3"/>
        <v>74626.7546</v>
      </c>
      <c r="O6" s="838">
        <f t="shared" si="4"/>
        <v>0.43174864259740964</v>
      </c>
      <c r="P6" s="838">
        <f t="shared" si="5"/>
        <v>90.252100840336141</v>
      </c>
      <c r="Q6" s="916"/>
    </row>
    <row r="7" spans="1:23" s="842" customFormat="1" ht="28" customHeight="1">
      <c r="A7" s="1727"/>
      <c r="B7" s="1728" t="s">
        <v>8061</v>
      </c>
      <c r="C7" s="1716" t="s">
        <v>7690</v>
      </c>
      <c r="D7" s="1717"/>
      <c r="E7" s="846">
        <f t="shared" si="0"/>
        <v>23200</v>
      </c>
      <c r="F7" s="846">
        <f>364+140</f>
        <v>504</v>
      </c>
      <c r="G7" s="1074">
        <f>ROUNDUP(F7/1.2+1,0)</f>
        <v>421</v>
      </c>
      <c r="H7" s="832" t="s">
        <v>7685</v>
      </c>
      <c r="I7" s="1074">
        <v>11.5</v>
      </c>
      <c r="J7" s="832">
        <f t="shared" si="1"/>
        <v>4841.5</v>
      </c>
      <c r="K7" s="832" t="s">
        <v>7686</v>
      </c>
      <c r="L7" s="832">
        <v>199.94</v>
      </c>
      <c r="M7" s="836">
        <f t="shared" si="2"/>
        <v>96.800950999999998</v>
      </c>
      <c r="N7" s="836">
        <f t="shared" si="3"/>
        <v>74626.7546</v>
      </c>
      <c r="O7" s="838">
        <f t="shared" si="4"/>
        <v>12.971346740033635</v>
      </c>
      <c r="P7" s="838">
        <f t="shared" si="5"/>
        <v>1920.6537896825398</v>
      </c>
      <c r="Q7" s="916"/>
    </row>
    <row r="8" spans="1:23" s="842" customFormat="1" ht="28" customHeight="1">
      <c r="A8" s="1727"/>
      <c r="B8" s="1729"/>
      <c r="C8" s="1716" t="s">
        <v>7691</v>
      </c>
      <c r="D8" s="1717"/>
      <c r="E8" s="846">
        <f t="shared" si="0"/>
        <v>23200</v>
      </c>
      <c r="F8" s="846">
        <f>364+140</f>
        <v>504</v>
      </c>
      <c r="G8" s="1074">
        <f>ROUNDUP(F8/1.2+1,0)</f>
        <v>421</v>
      </c>
      <c r="H8" s="832" t="s">
        <v>7685</v>
      </c>
      <c r="I8" s="1074">
        <v>12</v>
      </c>
      <c r="J8" s="832">
        <f t="shared" si="1"/>
        <v>5052</v>
      </c>
      <c r="K8" s="832" t="s">
        <v>7686</v>
      </c>
      <c r="L8" s="832">
        <v>186.8</v>
      </c>
      <c r="M8" s="836">
        <f t="shared" si="2"/>
        <v>94.37136000000001</v>
      </c>
      <c r="N8" s="836">
        <f t="shared" si="3"/>
        <v>74626.7546</v>
      </c>
      <c r="O8" s="838">
        <f t="shared" si="4"/>
        <v>12.645781061474702</v>
      </c>
      <c r="P8" s="838">
        <f t="shared" si="5"/>
        <v>1872.4476190476191</v>
      </c>
      <c r="Q8" s="916" t="s">
        <v>7692</v>
      </c>
    </row>
    <row r="9" spans="1:23" s="842" customFormat="1" ht="28" customHeight="1">
      <c r="A9" s="1727"/>
      <c r="B9" s="1730"/>
      <c r="C9" s="1716" t="s">
        <v>7689</v>
      </c>
      <c r="D9" s="1717"/>
      <c r="E9" s="846">
        <f t="shared" si="0"/>
        <v>23200</v>
      </c>
      <c r="F9" s="846">
        <f>364+140</f>
        <v>504</v>
      </c>
      <c r="G9" s="1074">
        <f>ROUNDUP(F9/1+1,0)</f>
        <v>505</v>
      </c>
      <c r="H9" s="832" t="s">
        <v>7688</v>
      </c>
      <c r="I9" s="1074">
        <v>3</v>
      </c>
      <c r="J9" s="832">
        <f t="shared" si="1"/>
        <v>1515</v>
      </c>
      <c r="K9" s="832" t="s">
        <v>7686</v>
      </c>
      <c r="L9" s="915">
        <v>30</v>
      </c>
      <c r="M9" s="836">
        <f t="shared" si="2"/>
        <v>4.5449999999999999</v>
      </c>
      <c r="N9" s="836">
        <f t="shared" si="3"/>
        <v>74626.7546</v>
      </c>
      <c r="O9" s="838">
        <f t="shared" si="4"/>
        <v>0.6090309064572399</v>
      </c>
      <c r="P9" s="838">
        <f t="shared" si="5"/>
        <v>90.178571428571431</v>
      </c>
      <c r="Q9" s="914"/>
    </row>
    <row r="10" spans="1:23" s="842" customFormat="1" ht="28" customHeight="1">
      <c r="A10" s="1727"/>
      <c r="B10" s="1731" t="s">
        <v>7693</v>
      </c>
      <c r="C10" s="1732"/>
      <c r="D10" s="1733"/>
      <c r="E10" s="846">
        <f t="shared" si="0"/>
        <v>23200</v>
      </c>
      <c r="F10" s="846">
        <f t="shared" ref="F10:F12" si="6">$F$4</f>
        <v>357</v>
      </c>
      <c r="G10" s="874"/>
      <c r="H10" s="1713" t="s">
        <v>7694</v>
      </c>
      <c r="I10" s="1075" t="s">
        <v>7695</v>
      </c>
      <c r="J10" s="832">
        <f>F10*0.8</f>
        <v>285.60000000000002</v>
      </c>
      <c r="K10" s="832" t="s">
        <v>1511</v>
      </c>
      <c r="L10" s="832">
        <v>713.35</v>
      </c>
      <c r="M10" s="836">
        <f t="shared" si="2"/>
        <v>20.373276000000001</v>
      </c>
      <c r="N10" s="836">
        <f t="shared" si="3"/>
        <v>74626.7546</v>
      </c>
      <c r="O10" s="838">
        <f t="shared" si="4"/>
        <v>2.7300230472571028</v>
      </c>
      <c r="P10" s="838">
        <f t="shared" si="5"/>
        <v>570.68000000000006</v>
      </c>
      <c r="Q10" s="914"/>
    </row>
    <row r="11" spans="1:23" s="842" customFormat="1" ht="28" customHeight="1">
      <c r="A11" s="1727"/>
      <c r="B11" s="1734"/>
      <c r="C11" s="1735"/>
      <c r="D11" s="1736"/>
      <c r="E11" s="846">
        <f t="shared" si="0"/>
        <v>23200</v>
      </c>
      <c r="F11" s="846">
        <f t="shared" si="6"/>
        <v>357</v>
      </c>
      <c r="G11" s="874"/>
      <c r="H11" s="1714"/>
      <c r="I11" s="1075" t="s">
        <v>7696</v>
      </c>
      <c r="J11" s="832">
        <v>489.45</v>
      </c>
      <c r="K11" s="832" t="s">
        <v>7697</v>
      </c>
      <c r="L11" s="917">
        <v>60.69</v>
      </c>
      <c r="M11" s="836">
        <f t="shared" si="2"/>
        <v>2.9704720500000001</v>
      </c>
      <c r="N11" s="836">
        <f t="shared" si="3"/>
        <v>74626.7546</v>
      </c>
      <c r="O11" s="838">
        <f t="shared" si="4"/>
        <v>0.39804384713254032</v>
      </c>
      <c r="P11" s="838">
        <f t="shared" si="5"/>
        <v>83.206500000000005</v>
      </c>
      <c r="Q11" s="914"/>
    </row>
    <row r="12" spans="1:23" s="842" customFormat="1" ht="24" customHeight="1">
      <c r="A12" s="1727"/>
      <c r="B12" s="1737"/>
      <c r="C12" s="1738"/>
      <c r="D12" s="1739"/>
      <c r="E12" s="846">
        <f t="shared" si="0"/>
        <v>23200</v>
      </c>
      <c r="F12" s="846">
        <f t="shared" si="6"/>
        <v>357</v>
      </c>
      <c r="G12" s="874"/>
      <c r="H12" s="1715"/>
      <c r="I12" s="1075" t="s">
        <v>7698</v>
      </c>
      <c r="J12" s="832">
        <v>34096.007333333298</v>
      </c>
      <c r="K12" s="832" t="s">
        <v>1617</v>
      </c>
      <c r="L12" s="832">
        <v>4.78</v>
      </c>
      <c r="M12" s="836">
        <f t="shared" si="2"/>
        <v>16.297891505333318</v>
      </c>
      <c r="N12" s="836">
        <f t="shared" si="3"/>
        <v>74626.7546</v>
      </c>
      <c r="O12" s="838">
        <f t="shared" si="4"/>
        <v>2.183920712174896</v>
      </c>
      <c r="P12" s="838">
        <f t="shared" si="5"/>
        <v>456.52357157796411</v>
      </c>
      <c r="Q12" s="914"/>
    </row>
    <row r="13" spans="1:23" s="842" customFormat="1" ht="24" customHeight="1">
      <c r="A13" s="1727"/>
      <c r="B13" s="1731" t="s">
        <v>7699</v>
      </c>
      <c r="C13" s="1732"/>
      <c r="D13" s="1733"/>
      <c r="E13" s="846">
        <f t="shared" si="0"/>
        <v>23200</v>
      </c>
      <c r="F13" s="846">
        <f t="shared" ref="F13:F15" si="7">$F$7</f>
        <v>504</v>
      </c>
      <c r="G13" s="874"/>
      <c r="H13" s="1713" t="s">
        <v>7700</v>
      </c>
      <c r="I13" s="1075" t="s">
        <v>7695</v>
      </c>
      <c r="J13" s="832">
        <f>F13*0.96</f>
        <v>483.84</v>
      </c>
      <c r="K13" s="832" t="s">
        <v>1511</v>
      </c>
      <c r="L13" s="832">
        <v>713.35</v>
      </c>
      <c r="M13" s="836">
        <f t="shared" si="2"/>
        <v>34.514726399999994</v>
      </c>
      <c r="N13" s="836">
        <f t="shared" si="3"/>
        <v>74626.7546</v>
      </c>
      <c r="O13" s="838">
        <f t="shared" si="4"/>
        <v>4.6249802212355613</v>
      </c>
      <c r="P13" s="838">
        <f t="shared" si="5"/>
        <v>684.8159999999998</v>
      </c>
      <c r="Q13" s="914"/>
    </row>
    <row r="14" spans="1:23" s="842" customFormat="1" ht="24" customHeight="1">
      <c r="A14" s="1727"/>
      <c r="B14" s="1734"/>
      <c r="C14" s="1735"/>
      <c r="D14" s="1736"/>
      <c r="E14" s="846">
        <f t="shared" si="0"/>
        <v>23200</v>
      </c>
      <c r="F14" s="846">
        <f t="shared" si="7"/>
        <v>504</v>
      </c>
      <c r="G14" s="874"/>
      <c r="H14" s="1714"/>
      <c r="I14" s="1075" t="s">
        <v>7696</v>
      </c>
      <c r="J14" s="832">
        <v>916.5</v>
      </c>
      <c r="K14" s="832" t="s">
        <v>7697</v>
      </c>
      <c r="L14" s="917">
        <v>60.69</v>
      </c>
      <c r="M14" s="836">
        <f t="shared" si="2"/>
        <v>5.5622384999999994</v>
      </c>
      <c r="N14" s="836">
        <f t="shared" si="3"/>
        <v>74626.7546</v>
      </c>
      <c r="O14" s="838">
        <f t="shared" si="4"/>
        <v>0.74534106833583247</v>
      </c>
      <c r="P14" s="838">
        <f t="shared" si="5"/>
        <v>110.36187499999998</v>
      </c>
      <c r="Q14" s="914"/>
    </row>
    <row r="15" spans="1:23" s="842" customFormat="1" ht="38" customHeight="1">
      <c r="A15" s="1727"/>
      <c r="B15" s="1737"/>
      <c r="C15" s="1738"/>
      <c r="D15" s="1739"/>
      <c r="E15" s="846">
        <f t="shared" si="0"/>
        <v>23200</v>
      </c>
      <c r="F15" s="846">
        <f t="shared" si="7"/>
        <v>504</v>
      </c>
      <c r="G15" s="874"/>
      <c r="H15" s="1715"/>
      <c r="I15" s="1075" t="s">
        <v>7698</v>
      </c>
      <c r="J15" s="832">
        <v>64618.42</v>
      </c>
      <c r="K15" s="832" t="s">
        <v>1617</v>
      </c>
      <c r="L15" s="832">
        <v>4.78</v>
      </c>
      <c r="M15" s="836">
        <f t="shared" si="2"/>
        <v>30.887604759999999</v>
      </c>
      <c r="N15" s="836">
        <f t="shared" si="3"/>
        <v>74626.7546</v>
      </c>
      <c r="O15" s="838">
        <f t="shared" si="4"/>
        <v>4.1389451980804743</v>
      </c>
      <c r="P15" s="838">
        <f t="shared" si="5"/>
        <v>612.84930079365074</v>
      </c>
      <c r="Q15" s="914"/>
    </row>
    <row r="16" spans="1:23" s="842" customFormat="1" ht="26" customHeight="1">
      <c r="A16" s="1727"/>
      <c r="B16" s="1719" t="s">
        <v>7701</v>
      </c>
      <c r="C16" s="1719"/>
      <c r="D16" s="1719"/>
      <c r="E16" s="846">
        <f t="shared" si="0"/>
        <v>23200</v>
      </c>
      <c r="F16" s="846">
        <f>$F$3</f>
        <v>861</v>
      </c>
      <c r="G16" s="874"/>
      <c r="H16" s="832" t="s">
        <v>43</v>
      </c>
      <c r="I16" s="874"/>
      <c r="J16" s="832">
        <f>J13+J10</f>
        <v>769.44</v>
      </c>
      <c r="K16" s="832" t="s">
        <v>1511</v>
      </c>
      <c r="L16" s="832">
        <v>120</v>
      </c>
      <c r="M16" s="836">
        <f t="shared" si="2"/>
        <v>9.2332800000000006</v>
      </c>
      <c r="N16" s="836">
        <f t="shared" si="3"/>
        <v>74626.7546</v>
      </c>
      <c r="O16" s="838">
        <f t="shared" si="4"/>
        <v>1.2372613614903203</v>
      </c>
      <c r="P16" s="838">
        <f t="shared" si="5"/>
        <v>107.23902439024391</v>
      </c>
      <c r="R16" s="822"/>
      <c r="S16" s="822"/>
      <c r="T16" s="822"/>
      <c r="U16" s="822"/>
      <c r="V16" s="822"/>
      <c r="W16" s="822"/>
    </row>
    <row r="17" spans="1:16146" s="842" customFormat="1" ht="35" customHeight="1">
      <c r="A17" s="1727"/>
      <c r="B17" s="1719" t="s">
        <v>7527</v>
      </c>
      <c r="C17" s="1719"/>
      <c r="D17" s="1719"/>
      <c r="E17" s="846">
        <f t="shared" si="0"/>
        <v>23200</v>
      </c>
      <c r="F17" s="846">
        <f t="shared" ref="F17:F23" si="8">$F$3</f>
        <v>861</v>
      </c>
      <c r="G17" s="874"/>
      <c r="H17" s="832" t="s">
        <v>7528</v>
      </c>
      <c r="I17" s="874"/>
      <c r="J17" s="832">
        <f>F17</f>
        <v>861</v>
      </c>
      <c r="K17" s="832" t="s">
        <v>1659</v>
      </c>
      <c r="L17" s="915">
        <v>300</v>
      </c>
      <c r="M17" s="836">
        <f t="shared" si="2"/>
        <v>25.83</v>
      </c>
      <c r="N17" s="836">
        <f t="shared" si="3"/>
        <v>74626.7546</v>
      </c>
      <c r="O17" s="838">
        <f t="shared" si="4"/>
        <v>3.461225151549066</v>
      </c>
      <c r="P17" s="838">
        <f t="shared" si="5"/>
        <v>299.99999999999994</v>
      </c>
      <c r="R17" s="888"/>
      <c r="S17" s="822"/>
      <c r="T17" s="822"/>
      <c r="U17" s="822"/>
      <c r="V17" s="822"/>
      <c r="W17" s="822"/>
    </row>
    <row r="18" spans="1:16146" s="842" customFormat="1" ht="35" customHeight="1">
      <c r="A18" s="1727"/>
      <c r="B18" s="1725" t="s">
        <v>7529</v>
      </c>
      <c r="C18" s="1716"/>
      <c r="D18" s="1717"/>
      <c r="E18" s="846">
        <f t="shared" si="0"/>
        <v>23200</v>
      </c>
      <c r="F18" s="846">
        <f t="shared" si="8"/>
        <v>861</v>
      </c>
      <c r="G18" s="874"/>
      <c r="H18" s="832" t="s">
        <v>7702</v>
      </c>
      <c r="I18" s="874"/>
      <c r="J18" s="832">
        <f>F18*0.12</f>
        <v>103.32</v>
      </c>
      <c r="K18" s="832" t="s">
        <v>1511</v>
      </c>
      <c r="L18" s="832">
        <v>800</v>
      </c>
      <c r="M18" s="836">
        <f t="shared" si="2"/>
        <v>8.2655999999999992</v>
      </c>
      <c r="N18" s="836">
        <f t="shared" si="3"/>
        <v>74626.7546</v>
      </c>
      <c r="O18" s="838">
        <f t="shared" si="4"/>
        <v>1.1075920484957011</v>
      </c>
      <c r="P18" s="838">
        <f t="shared" si="5"/>
        <v>95.999999999999986</v>
      </c>
      <c r="R18" s="888"/>
      <c r="S18" s="822"/>
      <c r="T18" s="822"/>
      <c r="U18" s="822"/>
      <c r="V18" s="822"/>
      <c r="W18" s="822"/>
    </row>
    <row r="19" spans="1:16146" s="842" customFormat="1" ht="23" customHeight="1">
      <c r="A19" s="1727"/>
      <c r="B19" s="1719" t="s">
        <v>7530</v>
      </c>
      <c r="C19" s="1719"/>
      <c r="D19" s="1719"/>
      <c r="E19" s="846">
        <f t="shared" si="0"/>
        <v>23200</v>
      </c>
      <c r="F19" s="846">
        <f t="shared" si="8"/>
        <v>861</v>
      </c>
      <c r="G19" s="874"/>
      <c r="H19" s="832" t="s">
        <v>7531</v>
      </c>
      <c r="I19" s="874"/>
      <c r="J19" s="832">
        <f>E19</f>
        <v>23200</v>
      </c>
      <c r="K19" s="832" t="s">
        <v>1659</v>
      </c>
      <c r="L19" s="832">
        <v>10</v>
      </c>
      <c r="M19" s="836">
        <f t="shared" si="2"/>
        <v>23.2</v>
      </c>
      <c r="N19" s="918">
        <f t="shared" si="3"/>
        <v>74626.7546</v>
      </c>
      <c r="O19" s="838">
        <f t="shared" si="4"/>
        <v>3.1088046270204543</v>
      </c>
      <c r="P19" s="838">
        <f t="shared" si="5"/>
        <v>269.45412311265972</v>
      </c>
      <c r="R19" s="888"/>
      <c r="S19" s="822"/>
      <c r="T19" s="822"/>
      <c r="U19" s="822"/>
      <c r="V19" s="822"/>
      <c r="W19" s="822"/>
    </row>
    <row r="20" spans="1:16146" s="842" customFormat="1" ht="23" customHeight="1">
      <c r="A20" s="1727"/>
      <c r="B20" s="1719" t="s">
        <v>7532</v>
      </c>
      <c r="C20" s="1719"/>
      <c r="D20" s="1719"/>
      <c r="E20" s="846">
        <f t="shared" si="0"/>
        <v>23200</v>
      </c>
      <c r="F20" s="846">
        <f t="shared" si="8"/>
        <v>861</v>
      </c>
      <c r="G20" s="874"/>
      <c r="H20" s="845"/>
      <c r="I20" s="874"/>
      <c r="J20" s="832">
        <f>E20</f>
        <v>23200</v>
      </c>
      <c r="K20" s="832"/>
      <c r="L20" s="832">
        <v>5</v>
      </c>
      <c r="M20" s="836">
        <f t="shared" si="2"/>
        <v>11.6</v>
      </c>
      <c r="N20" s="918">
        <f t="shared" si="3"/>
        <v>74626.7546</v>
      </c>
      <c r="O20" s="838">
        <f t="shared" si="4"/>
        <v>1.5544023135102272</v>
      </c>
      <c r="P20" s="838">
        <f t="shared" si="5"/>
        <v>134.72706155632986</v>
      </c>
      <c r="R20" s="888"/>
      <c r="S20" s="822"/>
      <c r="T20" s="822"/>
      <c r="U20" s="822"/>
      <c r="V20" s="822"/>
      <c r="W20" s="822"/>
    </row>
    <row r="21" spans="1:16146" ht="23" customHeight="1">
      <c r="A21" s="1727"/>
      <c r="B21" s="1718" t="s">
        <v>7533</v>
      </c>
      <c r="C21" s="1718"/>
      <c r="D21" s="1718"/>
      <c r="E21" s="919"/>
      <c r="F21" s="920">
        <f t="shared" si="8"/>
        <v>861</v>
      </c>
      <c r="G21" s="921"/>
      <c r="H21" s="921"/>
      <c r="I21" s="921"/>
      <c r="J21" s="921"/>
      <c r="K21" s="921"/>
      <c r="L21" s="921"/>
      <c r="M21" s="836">
        <f>SUM(M3:M20)</f>
        <v>731.37355021533347</v>
      </c>
      <c r="N21" s="922">
        <f>N3</f>
        <v>74626.7546</v>
      </c>
      <c r="O21" s="921">
        <f t="shared" si="4"/>
        <v>98.004201594388164</v>
      </c>
      <c r="P21" s="921">
        <f>M21/F21*10000</f>
        <v>8494.4663207355807</v>
      </c>
      <c r="Q21" s="822"/>
      <c r="R21" s="888"/>
    </row>
    <row r="22" spans="1:16146">
      <c r="A22" s="1727"/>
      <c r="B22" s="1718" t="s">
        <v>7534</v>
      </c>
      <c r="C22" s="1718"/>
      <c r="D22" s="1718"/>
      <c r="E22" s="919"/>
      <c r="F22" s="920">
        <f t="shared" si="8"/>
        <v>861</v>
      </c>
      <c r="G22" s="921"/>
      <c r="H22" s="921"/>
      <c r="I22" s="921"/>
      <c r="J22" s="923">
        <v>0.12</v>
      </c>
      <c r="K22" s="921"/>
      <c r="L22" s="921"/>
      <c r="M22" s="836">
        <f>J22*M21</f>
        <v>87.764826025840009</v>
      </c>
      <c r="N22" s="922">
        <f>N3</f>
        <v>74626.7546</v>
      </c>
      <c r="O22" s="921">
        <f t="shared" si="4"/>
        <v>11.760504191326579</v>
      </c>
      <c r="P22" s="921">
        <f>M22/F22*10000</f>
        <v>1019.3359584882695</v>
      </c>
      <c r="Q22" s="822"/>
      <c r="R22" s="888"/>
    </row>
    <row r="23" spans="1:16146">
      <c r="A23" s="1727"/>
      <c r="B23" s="1718" t="s">
        <v>7517</v>
      </c>
      <c r="C23" s="1718"/>
      <c r="D23" s="1718"/>
      <c r="E23" s="919"/>
      <c r="F23" s="920">
        <f t="shared" si="8"/>
        <v>861</v>
      </c>
      <c r="G23" s="921"/>
      <c r="H23" s="921"/>
      <c r="I23" s="921"/>
      <c r="J23" s="921"/>
      <c r="K23" s="921"/>
      <c r="L23" s="921"/>
      <c r="M23" s="836">
        <f>M21+M22</f>
        <v>819.13837624117343</v>
      </c>
      <c r="N23" s="922">
        <f>N22</f>
        <v>74626.7546</v>
      </c>
      <c r="O23" s="921">
        <f t="shared" si="4"/>
        <v>109.76470578571474</v>
      </c>
      <c r="P23" s="924">
        <f>M23/F23*10000</f>
        <v>9513.8022792238498</v>
      </c>
      <c r="Q23" s="822"/>
      <c r="R23" s="888"/>
    </row>
    <row r="24" spans="1:16146">
      <c r="A24" s="1720" t="s">
        <v>6768</v>
      </c>
      <c r="B24" s="1721" t="s">
        <v>11</v>
      </c>
      <c r="C24" s="1721" t="s">
        <v>6941</v>
      </c>
      <c r="D24" s="1740" t="s">
        <v>7704</v>
      </c>
      <c r="E24" s="1742"/>
      <c r="R24" s="888"/>
    </row>
    <row r="25" spans="1:16146">
      <c r="A25" s="1720"/>
      <c r="B25" s="1721"/>
      <c r="C25" s="1721"/>
      <c r="D25" s="1741"/>
      <c r="E25" s="1743"/>
      <c r="F25" s="925"/>
      <c r="G25" s="925"/>
      <c r="H25" s="925"/>
      <c r="I25" s="925"/>
      <c r="J25" s="925"/>
      <c r="K25" s="925"/>
      <c r="L25" s="925"/>
      <c r="M25" s="925"/>
      <c r="N25" s="925"/>
      <c r="O25" s="925"/>
      <c r="Q25" s="926"/>
      <c r="R25" s="888"/>
    </row>
    <row r="26" spans="1:16146">
      <c r="A26" s="1722" t="s">
        <v>7535</v>
      </c>
      <c r="B26" s="1072" t="s">
        <v>7536</v>
      </c>
      <c r="C26" s="1073" t="s">
        <v>7703</v>
      </c>
      <c r="D26" s="927"/>
      <c r="R26" s="888"/>
    </row>
    <row r="27" spans="1:16146">
      <c r="A27" s="1723"/>
      <c r="B27" s="928"/>
      <c r="C27" s="928" t="s">
        <v>7537</v>
      </c>
      <c r="D27" s="1076">
        <v>642610</v>
      </c>
      <c r="S27" s="888"/>
      <c r="T27" s="888"/>
      <c r="U27" s="888"/>
      <c r="V27" s="888"/>
      <c r="W27" s="888"/>
    </row>
    <row r="28" spans="1:16146">
      <c r="A28" s="1723"/>
      <c r="B28" s="929"/>
      <c r="C28" s="927" t="s">
        <v>216</v>
      </c>
      <c r="D28" s="1076">
        <v>42000</v>
      </c>
      <c r="S28" s="888"/>
      <c r="T28" s="888"/>
      <c r="U28" s="888"/>
      <c r="V28" s="888"/>
      <c r="W28" s="888"/>
    </row>
    <row r="29" spans="1:16146">
      <c r="A29" s="1724"/>
      <c r="B29" s="929"/>
      <c r="C29" s="927" t="s">
        <v>7538</v>
      </c>
      <c r="D29" s="1076">
        <f>D27/D28</f>
        <v>15.300238095238095</v>
      </c>
      <c r="S29" s="888"/>
      <c r="T29" s="888"/>
      <c r="U29" s="888"/>
      <c r="V29" s="888"/>
      <c r="W29" s="888"/>
    </row>
    <row r="30" spans="1:16146" s="888" customFormat="1">
      <c r="D30" s="926"/>
      <c r="R30" s="822"/>
      <c r="X30" s="822"/>
      <c r="Y30" s="822"/>
      <c r="Z30" s="822"/>
      <c r="AA30" s="822"/>
      <c r="AB30" s="822"/>
      <c r="AC30" s="822"/>
      <c r="AD30" s="822"/>
      <c r="AE30" s="822"/>
      <c r="AF30" s="822"/>
      <c r="AG30" s="822"/>
      <c r="AH30" s="822"/>
      <c r="AI30" s="822"/>
      <c r="AJ30" s="822"/>
      <c r="AK30" s="822"/>
      <c r="AL30" s="822"/>
      <c r="AM30" s="822"/>
      <c r="AN30" s="822"/>
      <c r="AO30" s="822"/>
      <c r="AP30" s="822"/>
      <c r="AQ30" s="822"/>
      <c r="AR30" s="822"/>
      <c r="AS30" s="822"/>
      <c r="AT30" s="822"/>
      <c r="AU30" s="822"/>
      <c r="AV30" s="822"/>
      <c r="AW30" s="822"/>
      <c r="AX30" s="822"/>
      <c r="AY30" s="822"/>
      <c r="AZ30" s="822"/>
      <c r="BA30" s="822"/>
      <c r="BB30" s="822"/>
      <c r="BC30" s="822"/>
      <c r="BD30" s="822"/>
      <c r="BE30" s="822"/>
      <c r="BF30" s="822"/>
      <c r="BG30" s="822"/>
      <c r="BH30" s="822"/>
      <c r="BI30" s="822"/>
      <c r="BJ30" s="822"/>
      <c r="BK30" s="822"/>
      <c r="BL30" s="822"/>
      <c r="BM30" s="822"/>
      <c r="BN30" s="822"/>
      <c r="BO30" s="822"/>
      <c r="BP30" s="822"/>
      <c r="BQ30" s="822"/>
      <c r="BR30" s="822"/>
      <c r="BS30" s="822"/>
      <c r="BT30" s="822"/>
      <c r="BU30" s="822"/>
      <c r="BV30" s="822"/>
      <c r="BW30" s="822"/>
      <c r="BX30" s="822"/>
      <c r="BY30" s="822"/>
      <c r="BZ30" s="822"/>
      <c r="CA30" s="822"/>
      <c r="CB30" s="822"/>
      <c r="CC30" s="822"/>
      <c r="CD30" s="822"/>
      <c r="CE30" s="822"/>
      <c r="CF30" s="822"/>
      <c r="CG30" s="822"/>
      <c r="CH30" s="822"/>
      <c r="CI30" s="822"/>
      <c r="CJ30" s="822"/>
      <c r="CK30" s="822"/>
      <c r="CL30" s="822"/>
      <c r="CM30" s="822"/>
      <c r="CN30" s="822"/>
      <c r="CO30" s="822"/>
      <c r="CP30" s="822"/>
      <c r="CQ30" s="822"/>
      <c r="CR30" s="822"/>
      <c r="CS30" s="822"/>
      <c r="CT30" s="822"/>
      <c r="CU30" s="822"/>
      <c r="CV30" s="822"/>
      <c r="CW30" s="822"/>
      <c r="CX30" s="822"/>
      <c r="CY30" s="822"/>
      <c r="CZ30" s="822"/>
      <c r="DA30" s="822"/>
      <c r="DB30" s="822"/>
      <c r="DC30" s="822"/>
      <c r="DD30" s="822"/>
      <c r="DE30" s="822"/>
      <c r="DF30" s="822"/>
      <c r="DG30" s="822"/>
      <c r="DH30" s="822"/>
      <c r="DI30" s="822"/>
      <c r="DJ30" s="822"/>
      <c r="DK30" s="822"/>
      <c r="DL30" s="822"/>
      <c r="DM30" s="822"/>
      <c r="DN30" s="822"/>
      <c r="DO30" s="822"/>
      <c r="DP30" s="822"/>
      <c r="DQ30" s="822"/>
      <c r="DR30" s="822"/>
      <c r="DS30" s="822"/>
      <c r="DT30" s="822"/>
      <c r="DU30" s="822"/>
      <c r="DV30" s="822"/>
      <c r="DW30" s="822"/>
      <c r="DX30" s="822"/>
      <c r="DY30" s="822"/>
      <c r="DZ30" s="822"/>
      <c r="EA30" s="822"/>
      <c r="EB30" s="822"/>
      <c r="EC30" s="822"/>
      <c r="ED30" s="822"/>
      <c r="EE30" s="822"/>
      <c r="EF30" s="822"/>
      <c r="EG30" s="822"/>
      <c r="EH30" s="822"/>
      <c r="EI30" s="822"/>
      <c r="EJ30" s="822"/>
      <c r="EK30" s="822"/>
      <c r="EL30" s="822"/>
      <c r="EM30" s="822"/>
      <c r="EN30" s="822"/>
      <c r="EO30" s="822"/>
      <c r="EP30" s="822"/>
      <c r="EQ30" s="822"/>
      <c r="ER30" s="822"/>
      <c r="ES30" s="822"/>
      <c r="ET30" s="822"/>
      <c r="EU30" s="822"/>
      <c r="EV30" s="822"/>
      <c r="EW30" s="822"/>
      <c r="EX30" s="822"/>
      <c r="EY30" s="822"/>
      <c r="EZ30" s="822"/>
      <c r="FA30" s="822"/>
      <c r="FB30" s="822"/>
      <c r="FC30" s="822"/>
      <c r="FD30" s="822"/>
      <c r="FE30" s="822"/>
      <c r="FF30" s="822"/>
      <c r="FG30" s="822"/>
      <c r="FH30" s="822"/>
      <c r="FI30" s="822"/>
      <c r="FJ30" s="822"/>
      <c r="FK30" s="822"/>
      <c r="FL30" s="822"/>
      <c r="FM30" s="822"/>
      <c r="FN30" s="822"/>
      <c r="FO30" s="822"/>
      <c r="FP30" s="822"/>
      <c r="FQ30" s="822"/>
      <c r="FR30" s="822"/>
      <c r="FS30" s="822"/>
      <c r="FT30" s="822"/>
      <c r="FU30" s="822"/>
      <c r="FV30" s="822"/>
      <c r="FW30" s="822"/>
      <c r="FX30" s="822"/>
      <c r="FY30" s="822"/>
      <c r="FZ30" s="822"/>
      <c r="GA30" s="822"/>
      <c r="GB30" s="822"/>
      <c r="GC30" s="822"/>
      <c r="GD30" s="822"/>
      <c r="GE30" s="822"/>
      <c r="GF30" s="822"/>
      <c r="GG30" s="822"/>
      <c r="GH30" s="822"/>
      <c r="GI30" s="822"/>
      <c r="GJ30" s="822"/>
      <c r="GK30" s="822"/>
      <c r="GL30" s="822"/>
      <c r="GM30" s="822"/>
      <c r="GN30" s="822"/>
      <c r="GO30" s="822"/>
      <c r="GP30" s="822"/>
      <c r="GQ30" s="822"/>
      <c r="GR30" s="822"/>
      <c r="GS30" s="822"/>
      <c r="GT30" s="822"/>
      <c r="GU30" s="822"/>
      <c r="GV30" s="822"/>
      <c r="GW30" s="822"/>
      <c r="GX30" s="822"/>
      <c r="GY30" s="822"/>
      <c r="GZ30" s="822"/>
      <c r="HA30" s="822"/>
      <c r="HB30" s="822"/>
      <c r="HC30" s="822"/>
      <c r="HD30" s="822"/>
      <c r="HE30" s="822"/>
      <c r="HF30" s="822"/>
      <c r="HG30" s="822"/>
      <c r="HH30" s="822"/>
      <c r="HI30" s="822"/>
      <c r="HJ30" s="822"/>
      <c r="HK30" s="822"/>
      <c r="HL30" s="822"/>
      <c r="HM30" s="822"/>
      <c r="HN30" s="822"/>
      <c r="HO30" s="822"/>
      <c r="HP30" s="822"/>
      <c r="HQ30" s="822"/>
      <c r="HR30" s="822"/>
      <c r="HS30" s="822"/>
      <c r="HT30" s="822"/>
      <c r="HU30" s="822"/>
      <c r="HV30" s="822"/>
      <c r="HW30" s="822"/>
      <c r="HX30" s="822"/>
      <c r="HY30" s="822"/>
      <c r="HZ30" s="822"/>
      <c r="IA30" s="822"/>
      <c r="IB30" s="822"/>
      <c r="IC30" s="822"/>
      <c r="ID30" s="822"/>
      <c r="IE30" s="822"/>
      <c r="IF30" s="822"/>
      <c r="IG30" s="822"/>
      <c r="IH30" s="822"/>
      <c r="II30" s="822"/>
      <c r="IJ30" s="822"/>
      <c r="IK30" s="822"/>
      <c r="IL30" s="822"/>
      <c r="IM30" s="822"/>
      <c r="IN30" s="822"/>
      <c r="IO30" s="822"/>
      <c r="IP30" s="822"/>
      <c r="IQ30" s="822"/>
      <c r="IR30" s="822"/>
      <c r="IS30" s="822"/>
      <c r="IT30" s="822"/>
      <c r="IU30" s="822"/>
      <c r="IV30" s="822"/>
      <c r="IW30" s="822"/>
      <c r="IX30" s="822"/>
      <c r="IY30" s="822"/>
      <c r="IZ30" s="822"/>
      <c r="JA30" s="822"/>
      <c r="JB30" s="822"/>
      <c r="JC30" s="822"/>
      <c r="JD30" s="822"/>
      <c r="JE30" s="822"/>
      <c r="JF30" s="822"/>
      <c r="JG30" s="822"/>
      <c r="JH30" s="822"/>
      <c r="JI30" s="822"/>
      <c r="JJ30" s="822"/>
      <c r="JK30" s="822"/>
      <c r="JL30" s="822"/>
      <c r="JM30" s="822"/>
      <c r="JN30" s="822"/>
      <c r="JO30" s="822"/>
      <c r="JP30" s="822"/>
      <c r="JQ30" s="822"/>
      <c r="JR30" s="822"/>
      <c r="JS30" s="822"/>
      <c r="JT30" s="822"/>
      <c r="JU30" s="822"/>
      <c r="JV30" s="822"/>
      <c r="JW30" s="822"/>
      <c r="JX30" s="822"/>
      <c r="JY30" s="822"/>
      <c r="JZ30" s="822"/>
      <c r="KA30" s="822"/>
      <c r="KB30" s="822"/>
      <c r="KC30" s="822"/>
      <c r="KD30" s="822"/>
      <c r="KE30" s="822"/>
      <c r="KF30" s="822"/>
      <c r="KG30" s="822"/>
      <c r="KH30" s="822"/>
      <c r="KI30" s="822"/>
      <c r="KJ30" s="822"/>
      <c r="KK30" s="822"/>
      <c r="KL30" s="822"/>
      <c r="KM30" s="822"/>
      <c r="KN30" s="822"/>
      <c r="KO30" s="822"/>
      <c r="KP30" s="822"/>
      <c r="KQ30" s="822"/>
      <c r="KR30" s="822"/>
      <c r="KS30" s="822"/>
      <c r="KT30" s="822"/>
      <c r="KU30" s="822"/>
      <c r="KV30" s="822"/>
      <c r="KW30" s="822"/>
      <c r="KX30" s="822"/>
      <c r="KY30" s="822"/>
      <c r="KZ30" s="822"/>
      <c r="LA30" s="822"/>
      <c r="LB30" s="822"/>
      <c r="LC30" s="822"/>
      <c r="LD30" s="822"/>
      <c r="LE30" s="822"/>
      <c r="LF30" s="822"/>
      <c r="LG30" s="822"/>
      <c r="LH30" s="822"/>
      <c r="LI30" s="822"/>
      <c r="LJ30" s="822"/>
      <c r="LK30" s="822"/>
      <c r="LL30" s="822"/>
      <c r="LM30" s="822"/>
      <c r="LN30" s="822"/>
      <c r="LO30" s="822"/>
      <c r="LP30" s="822"/>
      <c r="LQ30" s="822"/>
      <c r="LR30" s="822"/>
      <c r="LS30" s="822"/>
      <c r="LT30" s="822"/>
      <c r="LU30" s="822"/>
      <c r="LV30" s="822"/>
      <c r="LW30" s="822"/>
      <c r="LX30" s="822"/>
      <c r="LY30" s="822"/>
      <c r="LZ30" s="822"/>
      <c r="MA30" s="822"/>
      <c r="MB30" s="822"/>
      <c r="MC30" s="822"/>
      <c r="MD30" s="822"/>
      <c r="ME30" s="822"/>
      <c r="MF30" s="822"/>
      <c r="MG30" s="822"/>
      <c r="MH30" s="822"/>
      <c r="MI30" s="822"/>
      <c r="MJ30" s="822"/>
      <c r="MK30" s="822"/>
      <c r="ML30" s="822"/>
      <c r="MM30" s="822"/>
      <c r="MN30" s="822"/>
      <c r="MO30" s="822"/>
      <c r="MP30" s="822"/>
      <c r="MQ30" s="822"/>
      <c r="MR30" s="822"/>
      <c r="MS30" s="822"/>
      <c r="MT30" s="822"/>
      <c r="MU30" s="822"/>
      <c r="MV30" s="822"/>
      <c r="MW30" s="822"/>
      <c r="MX30" s="822"/>
      <c r="MY30" s="822"/>
      <c r="MZ30" s="822"/>
      <c r="NA30" s="822"/>
      <c r="NB30" s="822"/>
      <c r="NC30" s="822"/>
      <c r="ND30" s="822"/>
      <c r="NE30" s="822"/>
      <c r="NF30" s="822"/>
      <c r="NG30" s="822"/>
      <c r="NH30" s="822"/>
      <c r="NI30" s="822"/>
      <c r="NJ30" s="822"/>
      <c r="NK30" s="822"/>
      <c r="NL30" s="822"/>
      <c r="NM30" s="822"/>
      <c r="NN30" s="822"/>
      <c r="NO30" s="822"/>
      <c r="NP30" s="822"/>
      <c r="NQ30" s="822"/>
      <c r="NR30" s="822"/>
      <c r="NS30" s="822"/>
      <c r="NT30" s="822"/>
      <c r="NU30" s="822"/>
      <c r="NV30" s="822"/>
      <c r="NW30" s="822"/>
      <c r="NX30" s="822"/>
      <c r="NY30" s="822"/>
      <c r="NZ30" s="822"/>
      <c r="OA30" s="822"/>
      <c r="OB30" s="822"/>
      <c r="OC30" s="822"/>
      <c r="OD30" s="822"/>
      <c r="OE30" s="822"/>
      <c r="OF30" s="822"/>
      <c r="OG30" s="822"/>
      <c r="OH30" s="822"/>
      <c r="OI30" s="822"/>
      <c r="OJ30" s="822"/>
      <c r="OK30" s="822"/>
      <c r="OL30" s="822"/>
      <c r="OM30" s="822"/>
      <c r="ON30" s="822"/>
      <c r="OO30" s="822"/>
      <c r="OP30" s="822"/>
      <c r="OQ30" s="822"/>
      <c r="OR30" s="822"/>
      <c r="OS30" s="822"/>
      <c r="OT30" s="822"/>
      <c r="OU30" s="822"/>
      <c r="OV30" s="822"/>
      <c r="OW30" s="822"/>
      <c r="OX30" s="822"/>
      <c r="OY30" s="822"/>
      <c r="OZ30" s="822"/>
      <c r="PA30" s="822"/>
      <c r="PB30" s="822"/>
      <c r="PC30" s="822"/>
      <c r="PD30" s="822"/>
      <c r="PE30" s="822"/>
      <c r="PF30" s="822"/>
      <c r="PG30" s="822"/>
      <c r="PH30" s="822"/>
      <c r="PI30" s="822"/>
      <c r="PJ30" s="822"/>
      <c r="PK30" s="822"/>
      <c r="PL30" s="822"/>
      <c r="PM30" s="822"/>
      <c r="PN30" s="822"/>
      <c r="PO30" s="822"/>
      <c r="PP30" s="822"/>
      <c r="PQ30" s="822"/>
      <c r="PR30" s="822"/>
      <c r="PS30" s="822"/>
      <c r="PT30" s="822"/>
      <c r="PU30" s="822"/>
      <c r="PV30" s="822"/>
      <c r="PW30" s="822"/>
      <c r="PX30" s="822"/>
      <c r="PY30" s="822"/>
      <c r="PZ30" s="822"/>
      <c r="QA30" s="822"/>
      <c r="QB30" s="822"/>
      <c r="QC30" s="822"/>
      <c r="QD30" s="822"/>
      <c r="QE30" s="822"/>
      <c r="QF30" s="822"/>
      <c r="QG30" s="822"/>
      <c r="QH30" s="822"/>
      <c r="QI30" s="822"/>
      <c r="QJ30" s="822"/>
      <c r="QK30" s="822"/>
      <c r="QL30" s="822"/>
      <c r="QM30" s="822"/>
      <c r="QN30" s="822"/>
      <c r="QO30" s="822"/>
      <c r="QP30" s="822"/>
      <c r="QQ30" s="822"/>
      <c r="QR30" s="822"/>
      <c r="QS30" s="822"/>
      <c r="QT30" s="822"/>
      <c r="QU30" s="822"/>
      <c r="QV30" s="822"/>
      <c r="QW30" s="822"/>
      <c r="QX30" s="822"/>
      <c r="QY30" s="822"/>
      <c r="QZ30" s="822"/>
      <c r="RA30" s="822"/>
      <c r="RB30" s="822"/>
      <c r="RC30" s="822"/>
      <c r="RD30" s="822"/>
      <c r="RE30" s="822"/>
      <c r="RF30" s="822"/>
      <c r="RG30" s="822"/>
      <c r="RH30" s="822"/>
      <c r="RI30" s="822"/>
      <c r="RJ30" s="822"/>
      <c r="RK30" s="822"/>
      <c r="RL30" s="822"/>
      <c r="RM30" s="822"/>
      <c r="RN30" s="822"/>
      <c r="RO30" s="822"/>
      <c r="RP30" s="822"/>
      <c r="RQ30" s="822"/>
      <c r="RR30" s="822"/>
      <c r="RS30" s="822"/>
      <c r="RT30" s="822"/>
      <c r="RU30" s="822"/>
      <c r="RV30" s="822"/>
      <c r="RW30" s="822"/>
      <c r="RX30" s="822"/>
      <c r="RY30" s="822"/>
      <c r="RZ30" s="822"/>
      <c r="SA30" s="822"/>
      <c r="SB30" s="822"/>
      <c r="SC30" s="822"/>
      <c r="SD30" s="822"/>
      <c r="SE30" s="822"/>
      <c r="SF30" s="822"/>
      <c r="SG30" s="822"/>
      <c r="SH30" s="822"/>
      <c r="SI30" s="822"/>
      <c r="SJ30" s="822"/>
      <c r="SK30" s="822"/>
      <c r="SL30" s="822"/>
      <c r="SM30" s="822"/>
      <c r="SN30" s="822"/>
      <c r="SO30" s="822"/>
      <c r="SP30" s="822"/>
      <c r="SQ30" s="822"/>
      <c r="SR30" s="822"/>
      <c r="SS30" s="822"/>
      <c r="ST30" s="822"/>
      <c r="SU30" s="822"/>
      <c r="SV30" s="822"/>
      <c r="SW30" s="822"/>
      <c r="SX30" s="822"/>
      <c r="SY30" s="822"/>
      <c r="SZ30" s="822"/>
      <c r="TA30" s="822"/>
      <c r="TB30" s="822"/>
      <c r="TC30" s="822"/>
      <c r="TD30" s="822"/>
      <c r="TE30" s="822"/>
      <c r="TF30" s="822"/>
      <c r="TG30" s="822"/>
      <c r="TH30" s="822"/>
      <c r="TI30" s="822"/>
      <c r="TJ30" s="822"/>
      <c r="TK30" s="822"/>
      <c r="TL30" s="822"/>
      <c r="TM30" s="822"/>
      <c r="TN30" s="822"/>
      <c r="TO30" s="822"/>
      <c r="TP30" s="822"/>
      <c r="TQ30" s="822"/>
      <c r="TR30" s="822"/>
      <c r="TS30" s="822"/>
      <c r="TT30" s="822"/>
      <c r="TU30" s="822"/>
      <c r="TV30" s="822"/>
      <c r="TW30" s="822"/>
      <c r="TX30" s="822"/>
      <c r="TY30" s="822"/>
      <c r="TZ30" s="822"/>
      <c r="UA30" s="822"/>
      <c r="UB30" s="822"/>
      <c r="UC30" s="822"/>
      <c r="UD30" s="822"/>
      <c r="UE30" s="822"/>
      <c r="UF30" s="822"/>
      <c r="UG30" s="822"/>
      <c r="UH30" s="822"/>
      <c r="UI30" s="822"/>
      <c r="UJ30" s="822"/>
      <c r="UK30" s="822"/>
      <c r="UL30" s="822"/>
      <c r="UM30" s="822"/>
      <c r="UN30" s="822"/>
      <c r="UO30" s="822"/>
      <c r="UP30" s="822"/>
      <c r="UQ30" s="822"/>
      <c r="UR30" s="822"/>
      <c r="US30" s="822"/>
      <c r="UT30" s="822"/>
      <c r="UU30" s="822"/>
      <c r="UV30" s="822"/>
      <c r="UW30" s="822"/>
      <c r="UX30" s="822"/>
      <c r="UY30" s="822"/>
      <c r="UZ30" s="822"/>
      <c r="VA30" s="822"/>
      <c r="VB30" s="822"/>
      <c r="VC30" s="822"/>
      <c r="VD30" s="822"/>
      <c r="VE30" s="822"/>
      <c r="VF30" s="822"/>
      <c r="VG30" s="822"/>
      <c r="VH30" s="822"/>
      <c r="VI30" s="822"/>
      <c r="VJ30" s="822"/>
      <c r="VK30" s="822"/>
      <c r="VL30" s="822"/>
      <c r="VM30" s="822"/>
      <c r="VN30" s="822"/>
      <c r="VO30" s="822"/>
      <c r="VP30" s="822"/>
      <c r="VQ30" s="822"/>
      <c r="VR30" s="822"/>
      <c r="VS30" s="822"/>
      <c r="VT30" s="822"/>
      <c r="VU30" s="822"/>
      <c r="VV30" s="822"/>
      <c r="VW30" s="822"/>
      <c r="VX30" s="822"/>
      <c r="VY30" s="822"/>
      <c r="VZ30" s="822"/>
      <c r="WA30" s="822"/>
      <c r="WB30" s="822"/>
      <c r="WC30" s="822"/>
      <c r="WD30" s="822"/>
      <c r="WE30" s="822"/>
      <c r="WF30" s="822"/>
      <c r="WG30" s="822"/>
      <c r="WH30" s="822"/>
      <c r="WI30" s="822"/>
      <c r="WJ30" s="822"/>
      <c r="WK30" s="822"/>
      <c r="WL30" s="822"/>
      <c r="WM30" s="822"/>
      <c r="WN30" s="822"/>
      <c r="WO30" s="822"/>
      <c r="WP30" s="822"/>
      <c r="WQ30" s="822"/>
      <c r="WR30" s="822"/>
      <c r="WS30" s="822"/>
      <c r="WT30" s="822"/>
      <c r="WU30" s="822"/>
      <c r="WV30" s="822"/>
      <c r="WW30" s="822"/>
      <c r="WX30" s="822"/>
      <c r="WY30" s="822"/>
      <c r="WZ30" s="822"/>
      <c r="XA30" s="822"/>
      <c r="XB30" s="822"/>
      <c r="XC30" s="822"/>
      <c r="XD30" s="822"/>
      <c r="XE30" s="822"/>
      <c r="XF30" s="822"/>
      <c r="XG30" s="822"/>
      <c r="XH30" s="822"/>
      <c r="XI30" s="822"/>
      <c r="XJ30" s="822"/>
      <c r="XK30" s="822"/>
      <c r="XL30" s="822"/>
      <c r="XM30" s="822"/>
      <c r="XN30" s="822"/>
      <c r="XO30" s="822"/>
      <c r="XP30" s="822"/>
      <c r="XQ30" s="822"/>
      <c r="XR30" s="822"/>
      <c r="XS30" s="822"/>
      <c r="XT30" s="822"/>
      <c r="XU30" s="822"/>
      <c r="XV30" s="822"/>
      <c r="XW30" s="822"/>
      <c r="XX30" s="822"/>
      <c r="XY30" s="822"/>
      <c r="XZ30" s="822"/>
      <c r="YA30" s="822"/>
      <c r="YB30" s="822"/>
      <c r="YC30" s="822"/>
      <c r="YD30" s="822"/>
      <c r="YE30" s="822"/>
      <c r="YF30" s="822"/>
      <c r="YG30" s="822"/>
      <c r="YH30" s="822"/>
      <c r="YI30" s="822"/>
      <c r="YJ30" s="822"/>
      <c r="YK30" s="822"/>
      <c r="YL30" s="822"/>
      <c r="YM30" s="822"/>
      <c r="YN30" s="822"/>
      <c r="YO30" s="822"/>
      <c r="YP30" s="822"/>
      <c r="YQ30" s="822"/>
      <c r="YR30" s="822"/>
      <c r="YS30" s="822"/>
      <c r="YT30" s="822"/>
      <c r="YU30" s="822"/>
      <c r="YV30" s="822"/>
      <c r="YW30" s="822"/>
      <c r="YX30" s="822"/>
      <c r="YY30" s="822"/>
      <c r="YZ30" s="822"/>
      <c r="ZA30" s="822"/>
      <c r="ZB30" s="822"/>
      <c r="ZC30" s="822"/>
      <c r="ZD30" s="822"/>
      <c r="ZE30" s="822"/>
      <c r="ZF30" s="822"/>
      <c r="ZG30" s="822"/>
      <c r="ZH30" s="822"/>
      <c r="ZI30" s="822"/>
      <c r="ZJ30" s="822"/>
      <c r="ZK30" s="822"/>
      <c r="ZL30" s="822"/>
      <c r="ZM30" s="822"/>
      <c r="ZN30" s="822"/>
      <c r="ZO30" s="822"/>
      <c r="ZP30" s="822"/>
      <c r="ZQ30" s="822"/>
      <c r="ZR30" s="822"/>
      <c r="ZS30" s="822"/>
      <c r="ZT30" s="822"/>
      <c r="ZU30" s="822"/>
      <c r="ZV30" s="822"/>
      <c r="ZW30" s="822"/>
      <c r="ZX30" s="822"/>
      <c r="ZY30" s="822"/>
      <c r="ZZ30" s="822"/>
      <c r="AAA30" s="822"/>
      <c r="AAB30" s="822"/>
      <c r="AAC30" s="822"/>
      <c r="AAD30" s="822"/>
      <c r="AAE30" s="822"/>
      <c r="AAF30" s="822"/>
      <c r="AAG30" s="822"/>
      <c r="AAH30" s="822"/>
      <c r="AAI30" s="822"/>
      <c r="AAJ30" s="822"/>
      <c r="AAK30" s="822"/>
      <c r="AAL30" s="822"/>
      <c r="AAM30" s="822"/>
      <c r="AAN30" s="822"/>
      <c r="AAO30" s="822"/>
      <c r="AAP30" s="822"/>
      <c r="AAQ30" s="822"/>
      <c r="AAR30" s="822"/>
      <c r="AAS30" s="822"/>
      <c r="AAT30" s="822"/>
      <c r="AAU30" s="822"/>
      <c r="AAV30" s="822"/>
      <c r="AAW30" s="822"/>
      <c r="AAX30" s="822"/>
      <c r="AAY30" s="822"/>
      <c r="AAZ30" s="822"/>
      <c r="ABA30" s="822"/>
      <c r="ABB30" s="822"/>
      <c r="ABC30" s="822"/>
      <c r="ABD30" s="822"/>
      <c r="ABE30" s="822"/>
      <c r="ABF30" s="822"/>
      <c r="ABG30" s="822"/>
      <c r="ABH30" s="822"/>
      <c r="ABI30" s="822"/>
      <c r="ABJ30" s="822"/>
      <c r="ABK30" s="822"/>
      <c r="ABL30" s="822"/>
      <c r="ABM30" s="822"/>
      <c r="ABN30" s="822"/>
      <c r="ABO30" s="822"/>
      <c r="ABP30" s="822"/>
      <c r="ABQ30" s="822"/>
      <c r="ABR30" s="822"/>
      <c r="ABS30" s="822"/>
      <c r="ABT30" s="822"/>
      <c r="ABU30" s="822"/>
      <c r="ABV30" s="822"/>
      <c r="ABW30" s="822"/>
      <c r="ABX30" s="822"/>
      <c r="ABY30" s="822"/>
      <c r="ABZ30" s="822"/>
      <c r="ACA30" s="822"/>
      <c r="ACB30" s="822"/>
      <c r="ACC30" s="822"/>
      <c r="ACD30" s="822"/>
      <c r="ACE30" s="822"/>
      <c r="ACF30" s="822"/>
      <c r="ACG30" s="822"/>
      <c r="ACH30" s="822"/>
      <c r="ACI30" s="822"/>
      <c r="ACJ30" s="822"/>
      <c r="ACK30" s="822"/>
      <c r="ACL30" s="822"/>
      <c r="ACM30" s="822"/>
      <c r="ACN30" s="822"/>
      <c r="ACO30" s="822"/>
      <c r="ACP30" s="822"/>
      <c r="ACQ30" s="822"/>
      <c r="ACR30" s="822"/>
      <c r="ACS30" s="822"/>
      <c r="ACT30" s="822"/>
      <c r="ACU30" s="822"/>
      <c r="ACV30" s="822"/>
      <c r="ACW30" s="822"/>
      <c r="ACX30" s="822"/>
      <c r="ACY30" s="822"/>
      <c r="ACZ30" s="822"/>
      <c r="ADA30" s="822"/>
      <c r="ADB30" s="822"/>
      <c r="ADC30" s="822"/>
      <c r="ADD30" s="822"/>
      <c r="ADE30" s="822"/>
      <c r="ADF30" s="822"/>
      <c r="ADG30" s="822"/>
      <c r="ADH30" s="822"/>
      <c r="ADI30" s="822"/>
      <c r="ADJ30" s="822"/>
      <c r="ADK30" s="822"/>
      <c r="ADL30" s="822"/>
      <c r="ADM30" s="822"/>
      <c r="ADN30" s="822"/>
      <c r="ADO30" s="822"/>
      <c r="ADP30" s="822"/>
      <c r="ADQ30" s="822"/>
      <c r="ADR30" s="822"/>
      <c r="ADS30" s="822"/>
      <c r="ADT30" s="822"/>
      <c r="ADU30" s="822"/>
      <c r="ADV30" s="822"/>
      <c r="ADW30" s="822"/>
      <c r="ADX30" s="822"/>
      <c r="ADY30" s="822"/>
      <c r="ADZ30" s="822"/>
      <c r="AEA30" s="822"/>
      <c r="AEB30" s="822"/>
      <c r="AEC30" s="822"/>
      <c r="AED30" s="822"/>
      <c r="AEE30" s="822"/>
      <c r="AEF30" s="822"/>
      <c r="AEG30" s="822"/>
      <c r="AEH30" s="822"/>
      <c r="AEI30" s="822"/>
      <c r="AEJ30" s="822"/>
      <c r="AEK30" s="822"/>
      <c r="AEL30" s="822"/>
      <c r="AEM30" s="822"/>
      <c r="AEN30" s="822"/>
      <c r="AEO30" s="822"/>
      <c r="AEP30" s="822"/>
      <c r="AEQ30" s="822"/>
      <c r="AER30" s="822"/>
      <c r="AES30" s="822"/>
      <c r="AET30" s="822"/>
      <c r="AEU30" s="822"/>
      <c r="AEV30" s="822"/>
      <c r="AEW30" s="822"/>
      <c r="AEX30" s="822"/>
      <c r="AEY30" s="822"/>
      <c r="AEZ30" s="822"/>
      <c r="AFA30" s="822"/>
      <c r="AFB30" s="822"/>
      <c r="AFC30" s="822"/>
      <c r="AFD30" s="822"/>
      <c r="AFE30" s="822"/>
      <c r="AFF30" s="822"/>
      <c r="AFG30" s="822"/>
      <c r="AFH30" s="822"/>
      <c r="AFI30" s="822"/>
      <c r="AFJ30" s="822"/>
      <c r="AFK30" s="822"/>
      <c r="AFL30" s="822"/>
      <c r="AFM30" s="822"/>
      <c r="AFN30" s="822"/>
      <c r="AFO30" s="822"/>
      <c r="AFP30" s="822"/>
      <c r="AFQ30" s="822"/>
      <c r="AFR30" s="822"/>
      <c r="AFS30" s="822"/>
      <c r="AFT30" s="822"/>
      <c r="AFU30" s="822"/>
      <c r="AFV30" s="822"/>
      <c r="AFW30" s="822"/>
      <c r="AFX30" s="822"/>
      <c r="AFY30" s="822"/>
      <c r="AFZ30" s="822"/>
      <c r="AGA30" s="822"/>
      <c r="AGB30" s="822"/>
      <c r="AGC30" s="822"/>
      <c r="AGD30" s="822"/>
      <c r="AGE30" s="822"/>
      <c r="AGF30" s="822"/>
      <c r="AGG30" s="822"/>
      <c r="AGH30" s="822"/>
      <c r="AGI30" s="822"/>
      <c r="AGJ30" s="822"/>
      <c r="AGK30" s="822"/>
      <c r="AGL30" s="822"/>
      <c r="AGM30" s="822"/>
      <c r="AGN30" s="822"/>
      <c r="AGO30" s="822"/>
      <c r="AGP30" s="822"/>
      <c r="AGQ30" s="822"/>
      <c r="AGR30" s="822"/>
      <c r="AGS30" s="822"/>
      <c r="AGT30" s="822"/>
      <c r="AGU30" s="822"/>
      <c r="AGV30" s="822"/>
      <c r="AGW30" s="822"/>
      <c r="AGX30" s="822"/>
      <c r="AGY30" s="822"/>
      <c r="AGZ30" s="822"/>
      <c r="AHA30" s="822"/>
      <c r="AHB30" s="822"/>
      <c r="AHC30" s="822"/>
      <c r="AHD30" s="822"/>
      <c r="AHE30" s="822"/>
      <c r="AHF30" s="822"/>
      <c r="AHG30" s="822"/>
      <c r="AHH30" s="822"/>
      <c r="AHI30" s="822"/>
      <c r="AHJ30" s="822"/>
      <c r="AHK30" s="822"/>
      <c r="AHL30" s="822"/>
      <c r="AHM30" s="822"/>
      <c r="AHN30" s="822"/>
      <c r="AHO30" s="822"/>
      <c r="AHP30" s="822"/>
      <c r="AHQ30" s="822"/>
      <c r="AHR30" s="822"/>
      <c r="AHS30" s="822"/>
      <c r="AHT30" s="822"/>
      <c r="AHU30" s="822"/>
      <c r="AHV30" s="822"/>
      <c r="AHW30" s="822"/>
      <c r="AHX30" s="822"/>
      <c r="AHY30" s="822"/>
      <c r="AHZ30" s="822"/>
      <c r="AIA30" s="822"/>
      <c r="AIB30" s="822"/>
      <c r="AIC30" s="822"/>
      <c r="AID30" s="822"/>
      <c r="AIE30" s="822"/>
      <c r="AIF30" s="822"/>
      <c r="AIG30" s="822"/>
      <c r="AIH30" s="822"/>
      <c r="AII30" s="822"/>
      <c r="AIJ30" s="822"/>
      <c r="AIK30" s="822"/>
      <c r="AIL30" s="822"/>
      <c r="AIM30" s="822"/>
      <c r="AIN30" s="822"/>
      <c r="AIO30" s="822"/>
      <c r="AIP30" s="822"/>
      <c r="AIQ30" s="822"/>
      <c r="AIR30" s="822"/>
      <c r="AIS30" s="822"/>
      <c r="AIT30" s="822"/>
      <c r="AIU30" s="822"/>
      <c r="AIV30" s="822"/>
      <c r="AIW30" s="822"/>
      <c r="AIX30" s="822"/>
      <c r="AIY30" s="822"/>
      <c r="AIZ30" s="822"/>
      <c r="AJA30" s="822"/>
      <c r="AJB30" s="822"/>
      <c r="AJC30" s="822"/>
      <c r="AJD30" s="822"/>
      <c r="AJE30" s="822"/>
      <c r="AJF30" s="822"/>
      <c r="AJG30" s="822"/>
      <c r="AJH30" s="822"/>
      <c r="AJI30" s="822"/>
      <c r="AJJ30" s="822"/>
      <c r="AJK30" s="822"/>
      <c r="AJL30" s="822"/>
      <c r="AJM30" s="822"/>
      <c r="AJN30" s="822"/>
      <c r="AJO30" s="822"/>
      <c r="AJP30" s="822"/>
      <c r="AJQ30" s="822"/>
      <c r="AJR30" s="822"/>
      <c r="AJS30" s="822"/>
      <c r="AJT30" s="822"/>
      <c r="AJU30" s="822"/>
      <c r="AJV30" s="822"/>
      <c r="AJW30" s="822"/>
      <c r="AJX30" s="822"/>
      <c r="AJY30" s="822"/>
      <c r="AJZ30" s="822"/>
      <c r="AKA30" s="822"/>
      <c r="AKB30" s="822"/>
      <c r="AKC30" s="822"/>
      <c r="AKD30" s="822"/>
      <c r="AKE30" s="822"/>
      <c r="AKF30" s="822"/>
      <c r="AKG30" s="822"/>
      <c r="AKH30" s="822"/>
      <c r="AKI30" s="822"/>
      <c r="AKJ30" s="822"/>
      <c r="AKK30" s="822"/>
      <c r="AKL30" s="822"/>
      <c r="AKM30" s="822"/>
      <c r="AKN30" s="822"/>
      <c r="AKO30" s="822"/>
      <c r="AKP30" s="822"/>
      <c r="AKQ30" s="822"/>
      <c r="AKR30" s="822"/>
      <c r="AKS30" s="822"/>
      <c r="AKT30" s="822"/>
      <c r="AKU30" s="822"/>
      <c r="AKV30" s="822"/>
      <c r="AKW30" s="822"/>
      <c r="AKX30" s="822"/>
      <c r="AKY30" s="822"/>
      <c r="AKZ30" s="822"/>
      <c r="ALA30" s="822"/>
      <c r="ALB30" s="822"/>
      <c r="ALC30" s="822"/>
      <c r="ALD30" s="822"/>
      <c r="ALE30" s="822"/>
      <c r="ALF30" s="822"/>
      <c r="ALG30" s="822"/>
      <c r="ALH30" s="822"/>
      <c r="ALI30" s="822"/>
      <c r="ALJ30" s="822"/>
      <c r="ALK30" s="822"/>
      <c r="ALL30" s="822"/>
      <c r="ALM30" s="822"/>
      <c r="ALN30" s="822"/>
      <c r="ALO30" s="822"/>
      <c r="ALP30" s="822"/>
      <c r="ALQ30" s="822"/>
      <c r="ALR30" s="822"/>
      <c r="ALS30" s="822"/>
      <c r="ALT30" s="822"/>
      <c r="ALU30" s="822"/>
      <c r="ALV30" s="822"/>
      <c r="ALW30" s="822"/>
      <c r="ALX30" s="822"/>
      <c r="ALY30" s="822"/>
      <c r="ALZ30" s="822"/>
      <c r="AMA30" s="822"/>
      <c r="AMB30" s="822"/>
      <c r="AMC30" s="822"/>
      <c r="AMD30" s="822"/>
      <c r="AME30" s="822"/>
      <c r="AMF30" s="822"/>
      <c r="AMG30" s="822"/>
      <c r="AMH30" s="822"/>
      <c r="AMI30" s="822"/>
      <c r="AMJ30" s="822"/>
      <c r="AMK30" s="822"/>
      <c r="AML30" s="822"/>
      <c r="AMM30" s="822"/>
      <c r="AMN30" s="822"/>
      <c r="AMO30" s="822"/>
      <c r="AMP30" s="822"/>
      <c r="AMQ30" s="822"/>
      <c r="AMR30" s="822"/>
      <c r="AMS30" s="822"/>
      <c r="AMT30" s="822"/>
      <c r="AMU30" s="822"/>
      <c r="AMV30" s="822"/>
      <c r="AMW30" s="822"/>
      <c r="AMX30" s="822"/>
      <c r="AMY30" s="822"/>
      <c r="AMZ30" s="822"/>
      <c r="ANA30" s="822"/>
      <c r="ANB30" s="822"/>
      <c r="ANC30" s="822"/>
      <c r="AND30" s="822"/>
      <c r="ANE30" s="822"/>
      <c r="ANF30" s="822"/>
      <c r="ANG30" s="822"/>
      <c r="ANH30" s="822"/>
      <c r="ANI30" s="822"/>
      <c r="ANJ30" s="822"/>
      <c r="ANK30" s="822"/>
      <c r="ANL30" s="822"/>
      <c r="ANM30" s="822"/>
      <c r="ANN30" s="822"/>
      <c r="ANO30" s="822"/>
      <c r="ANP30" s="822"/>
      <c r="ANQ30" s="822"/>
      <c r="ANR30" s="822"/>
      <c r="ANS30" s="822"/>
      <c r="ANT30" s="822"/>
      <c r="ANU30" s="822"/>
      <c r="ANV30" s="822"/>
      <c r="ANW30" s="822"/>
      <c r="ANX30" s="822"/>
      <c r="ANY30" s="822"/>
      <c r="ANZ30" s="822"/>
      <c r="AOA30" s="822"/>
      <c r="AOB30" s="822"/>
      <c r="AOC30" s="822"/>
      <c r="AOD30" s="822"/>
      <c r="AOE30" s="822"/>
      <c r="AOF30" s="822"/>
      <c r="AOG30" s="822"/>
      <c r="AOH30" s="822"/>
      <c r="AOI30" s="822"/>
      <c r="AOJ30" s="822"/>
      <c r="AOK30" s="822"/>
      <c r="AOL30" s="822"/>
      <c r="AOM30" s="822"/>
      <c r="AON30" s="822"/>
      <c r="AOO30" s="822"/>
      <c r="AOP30" s="822"/>
      <c r="AOQ30" s="822"/>
      <c r="AOR30" s="822"/>
      <c r="AOS30" s="822"/>
      <c r="AOT30" s="822"/>
      <c r="AOU30" s="822"/>
      <c r="AOV30" s="822"/>
      <c r="AOW30" s="822"/>
      <c r="AOX30" s="822"/>
      <c r="AOY30" s="822"/>
      <c r="AOZ30" s="822"/>
      <c r="APA30" s="822"/>
      <c r="APB30" s="822"/>
      <c r="APC30" s="822"/>
      <c r="APD30" s="822"/>
      <c r="APE30" s="822"/>
      <c r="APF30" s="822"/>
      <c r="APG30" s="822"/>
      <c r="APH30" s="822"/>
      <c r="API30" s="822"/>
      <c r="APJ30" s="822"/>
      <c r="APK30" s="822"/>
      <c r="APL30" s="822"/>
      <c r="APM30" s="822"/>
      <c r="APN30" s="822"/>
      <c r="APO30" s="822"/>
      <c r="APP30" s="822"/>
      <c r="APQ30" s="822"/>
      <c r="APR30" s="822"/>
      <c r="APS30" s="822"/>
      <c r="APT30" s="822"/>
      <c r="APU30" s="822"/>
      <c r="APV30" s="822"/>
      <c r="APW30" s="822"/>
      <c r="APX30" s="822"/>
      <c r="APY30" s="822"/>
      <c r="APZ30" s="822"/>
      <c r="AQA30" s="822"/>
      <c r="AQB30" s="822"/>
      <c r="AQC30" s="822"/>
      <c r="AQD30" s="822"/>
      <c r="AQE30" s="822"/>
      <c r="AQF30" s="822"/>
      <c r="AQG30" s="822"/>
      <c r="AQH30" s="822"/>
      <c r="AQI30" s="822"/>
      <c r="AQJ30" s="822"/>
      <c r="AQK30" s="822"/>
      <c r="AQL30" s="822"/>
      <c r="AQM30" s="822"/>
      <c r="AQN30" s="822"/>
      <c r="AQO30" s="822"/>
      <c r="AQP30" s="822"/>
      <c r="AQQ30" s="822"/>
      <c r="AQR30" s="822"/>
      <c r="AQS30" s="822"/>
      <c r="AQT30" s="822"/>
      <c r="AQU30" s="822"/>
      <c r="AQV30" s="822"/>
      <c r="AQW30" s="822"/>
      <c r="AQX30" s="822"/>
      <c r="AQY30" s="822"/>
      <c r="AQZ30" s="822"/>
      <c r="ARA30" s="822"/>
      <c r="ARB30" s="822"/>
      <c r="ARC30" s="822"/>
      <c r="ARD30" s="822"/>
      <c r="ARE30" s="822"/>
      <c r="ARF30" s="822"/>
      <c r="ARG30" s="822"/>
      <c r="ARH30" s="822"/>
      <c r="ARI30" s="822"/>
      <c r="ARJ30" s="822"/>
      <c r="ARK30" s="822"/>
      <c r="ARL30" s="822"/>
      <c r="ARM30" s="822"/>
      <c r="ARN30" s="822"/>
      <c r="ARO30" s="822"/>
      <c r="ARP30" s="822"/>
      <c r="ARQ30" s="822"/>
      <c r="ARR30" s="822"/>
      <c r="ARS30" s="822"/>
      <c r="ART30" s="822"/>
      <c r="ARU30" s="822"/>
      <c r="ARV30" s="822"/>
      <c r="ARW30" s="822"/>
      <c r="ARX30" s="822"/>
      <c r="ARY30" s="822"/>
      <c r="ARZ30" s="822"/>
      <c r="ASA30" s="822"/>
      <c r="ASB30" s="822"/>
      <c r="ASC30" s="822"/>
      <c r="ASD30" s="822"/>
      <c r="ASE30" s="822"/>
      <c r="ASF30" s="822"/>
      <c r="ASG30" s="822"/>
      <c r="ASH30" s="822"/>
      <c r="ASI30" s="822"/>
      <c r="ASJ30" s="822"/>
      <c r="ASK30" s="822"/>
      <c r="ASL30" s="822"/>
      <c r="ASM30" s="822"/>
      <c r="ASN30" s="822"/>
      <c r="ASO30" s="822"/>
      <c r="ASP30" s="822"/>
      <c r="ASQ30" s="822"/>
      <c r="ASR30" s="822"/>
      <c r="ASS30" s="822"/>
      <c r="AST30" s="822"/>
      <c r="ASU30" s="822"/>
      <c r="ASV30" s="822"/>
      <c r="ASW30" s="822"/>
      <c r="ASX30" s="822"/>
      <c r="ASY30" s="822"/>
      <c r="ASZ30" s="822"/>
      <c r="ATA30" s="822"/>
      <c r="ATB30" s="822"/>
      <c r="ATC30" s="822"/>
      <c r="ATD30" s="822"/>
      <c r="ATE30" s="822"/>
      <c r="ATF30" s="822"/>
      <c r="ATG30" s="822"/>
      <c r="ATH30" s="822"/>
      <c r="ATI30" s="822"/>
      <c r="ATJ30" s="822"/>
      <c r="ATK30" s="822"/>
      <c r="ATL30" s="822"/>
      <c r="ATM30" s="822"/>
      <c r="ATN30" s="822"/>
      <c r="ATO30" s="822"/>
      <c r="ATP30" s="822"/>
      <c r="ATQ30" s="822"/>
      <c r="ATR30" s="822"/>
      <c r="ATS30" s="822"/>
      <c r="ATT30" s="822"/>
      <c r="ATU30" s="822"/>
      <c r="ATV30" s="822"/>
      <c r="ATW30" s="822"/>
      <c r="ATX30" s="822"/>
      <c r="ATY30" s="822"/>
      <c r="ATZ30" s="822"/>
      <c r="AUA30" s="822"/>
      <c r="AUB30" s="822"/>
      <c r="AUC30" s="822"/>
      <c r="AUD30" s="822"/>
      <c r="AUE30" s="822"/>
      <c r="AUF30" s="822"/>
      <c r="AUG30" s="822"/>
      <c r="AUH30" s="822"/>
      <c r="AUI30" s="822"/>
      <c r="AUJ30" s="822"/>
      <c r="AUK30" s="822"/>
      <c r="AUL30" s="822"/>
      <c r="AUM30" s="822"/>
      <c r="AUN30" s="822"/>
      <c r="AUO30" s="822"/>
      <c r="AUP30" s="822"/>
      <c r="AUQ30" s="822"/>
      <c r="AUR30" s="822"/>
      <c r="AUS30" s="822"/>
      <c r="AUT30" s="822"/>
      <c r="AUU30" s="822"/>
      <c r="AUV30" s="822"/>
      <c r="AUW30" s="822"/>
      <c r="AUX30" s="822"/>
      <c r="AUY30" s="822"/>
      <c r="AUZ30" s="822"/>
      <c r="AVA30" s="822"/>
      <c r="AVB30" s="822"/>
      <c r="AVC30" s="822"/>
      <c r="AVD30" s="822"/>
      <c r="AVE30" s="822"/>
      <c r="AVF30" s="822"/>
      <c r="AVG30" s="822"/>
      <c r="AVH30" s="822"/>
      <c r="AVI30" s="822"/>
      <c r="AVJ30" s="822"/>
      <c r="AVK30" s="822"/>
      <c r="AVL30" s="822"/>
      <c r="AVM30" s="822"/>
      <c r="AVN30" s="822"/>
      <c r="AVO30" s="822"/>
      <c r="AVP30" s="822"/>
      <c r="AVQ30" s="822"/>
      <c r="AVR30" s="822"/>
      <c r="AVS30" s="822"/>
      <c r="AVT30" s="822"/>
      <c r="AVU30" s="822"/>
      <c r="AVV30" s="822"/>
      <c r="AVW30" s="822"/>
      <c r="AVX30" s="822"/>
      <c r="AVY30" s="822"/>
      <c r="AVZ30" s="822"/>
      <c r="AWA30" s="822"/>
      <c r="AWB30" s="822"/>
      <c r="AWC30" s="822"/>
      <c r="AWD30" s="822"/>
      <c r="AWE30" s="822"/>
      <c r="AWF30" s="822"/>
      <c r="AWG30" s="822"/>
      <c r="AWH30" s="822"/>
      <c r="AWI30" s="822"/>
      <c r="AWJ30" s="822"/>
      <c r="AWK30" s="822"/>
      <c r="AWL30" s="822"/>
      <c r="AWM30" s="822"/>
      <c r="AWN30" s="822"/>
      <c r="AWO30" s="822"/>
      <c r="AWP30" s="822"/>
      <c r="AWQ30" s="822"/>
      <c r="AWR30" s="822"/>
      <c r="AWS30" s="822"/>
      <c r="AWT30" s="822"/>
      <c r="AWU30" s="822"/>
      <c r="AWV30" s="822"/>
      <c r="AWW30" s="822"/>
      <c r="AWX30" s="822"/>
      <c r="AWY30" s="822"/>
      <c r="AWZ30" s="822"/>
      <c r="AXA30" s="822"/>
      <c r="AXB30" s="822"/>
      <c r="AXC30" s="822"/>
      <c r="AXD30" s="822"/>
      <c r="AXE30" s="822"/>
      <c r="AXF30" s="822"/>
      <c r="AXG30" s="822"/>
      <c r="AXH30" s="822"/>
      <c r="AXI30" s="822"/>
      <c r="AXJ30" s="822"/>
      <c r="AXK30" s="822"/>
      <c r="AXL30" s="822"/>
      <c r="AXM30" s="822"/>
      <c r="AXN30" s="822"/>
      <c r="AXO30" s="822"/>
      <c r="AXP30" s="822"/>
      <c r="AXQ30" s="822"/>
      <c r="AXR30" s="822"/>
      <c r="AXS30" s="822"/>
      <c r="AXT30" s="822"/>
      <c r="AXU30" s="822"/>
      <c r="AXV30" s="822"/>
      <c r="AXW30" s="822"/>
      <c r="AXX30" s="822"/>
      <c r="AXY30" s="822"/>
      <c r="AXZ30" s="822"/>
      <c r="AYA30" s="822"/>
      <c r="AYB30" s="822"/>
      <c r="AYC30" s="822"/>
      <c r="AYD30" s="822"/>
      <c r="AYE30" s="822"/>
      <c r="AYF30" s="822"/>
      <c r="AYG30" s="822"/>
      <c r="AYH30" s="822"/>
      <c r="AYI30" s="822"/>
      <c r="AYJ30" s="822"/>
      <c r="AYK30" s="822"/>
      <c r="AYL30" s="822"/>
      <c r="AYM30" s="822"/>
      <c r="AYN30" s="822"/>
      <c r="AYO30" s="822"/>
      <c r="AYP30" s="822"/>
      <c r="AYQ30" s="822"/>
      <c r="AYR30" s="822"/>
      <c r="AYS30" s="822"/>
      <c r="AYT30" s="822"/>
      <c r="AYU30" s="822"/>
      <c r="AYV30" s="822"/>
      <c r="AYW30" s="822"/>
      <c r="AYX30" s="822"/>
      <c r="AYY30" s="822"/>
      <c r="AYZ30" s="822"/>
      <c r="AZA30" s="822"/>
      <c r="AZB30" s="822"/>
      <c r="AZC30" s="822"/>
      <c r="AZD30" s="822"/>
      <c r="AZE30" s="822"/>
      <c r="AZF30" s="822"/>
      <c r="AZG30" s="822"/>
      <c r="AZH30" s="822"/>
      <c r="AZI30" s="822"/>
      <c r="AZJ30" s="822"/>
      <c r="AZK30" s="822"/>
      <c r="AZL30" s="822"/>
      <c r="AZM30" s="822"/>
      <c r="AZN30" s="822"/>
      <c r="AZO30" s="822"/>
      <c r="AZP30" s="822"/>
      <c r="AZQ30" s="822"/>
      <c r="AZR30" s="822"/>
      <c r="AZS30" s="822"/>
      <c r="AZT30" s="822"/>
      <c r="AZU30" s="822"/>
      <c r="AZV30" s="822"/>
      <c r="AZW30" s="822"/>
      <c r="AZX30" s="822"/>
      <c r="AZY30" s="822"/>
      <c r="AZZ30" s="822"/>
      <c r="BAA30" s="822"/>
      <c r="BAB30" s="822"/>
      <c r="BAC30" s="822"/>
      <c r="BAD30" s="822"/>
      <c r="BAE30" s="822"/>
      <c r="BAF30" s="822"/>
      <c r="BAG30" s="822"/>
      <c r="BAH30" s="822"/>
      <c r="BAI30" s="822"/>
      <c r="BAJ30" s="822"/>
      <c r="BAK30" s="822"/>
      <c r="BAL30" s="822"/>
      <c r="BAM30" s="822"/>
      <c r="BAN30" s="822"/>
      <c r="BAO30" s="822"/>
      <c r="BAP30" s="822"/>
      <c r="BAQ30" s="822"/>
      <c r="BAR30" s="822"/>
      <c r="BAS30" s="822"/>
      <c r="BAT30" s="822"/>
      <c r="BAU30" s="822"/>
      <c r="BAV30" s="822"/>
      <c r="BAW30" s="822"/>
      <c r="BAX30" s="822"/>
      <c r="BAY30" s="822"/>
      <c r="BAZ30" s="822"/>
      <c r="BBA30" s="822"/>
      <c r="BBB30" s="822"/>
      <c r="BBC30" s="822"/>
      <c r="BBD30" s="822"/>
      <c r="BBE30" s="822"/>
      <c r="BBF30" s="822"/>
      <c r="BBG30" s="822"/>
      <c r="BBH30" s="822"/>
      <c r="BBI30" s="822"/>
      <c r="BBJ30" s="822"/>
      <c r="BBK30" s="822"/>
      <c r="BBL30" s="822"/>
      <c r="BBM30" s="822"/>
      <c r="BBN30" s="822"/>
      <c r="BBO30" s="822"/>
      <c r="BBP30" s="822"/>
      <c r="BBQ30" s="822"/>
      <c r="BBR30" s="822"/>
      <c r="BBS30" s="822"/>
      <c r="BBT30" s="822"/>
      <c r="BBU30" s="822"/>
      <c r="BBV30" s="822"/>
      <c r="BBW30" s="822"/>
      <c r="BBX30" s="822"/>
      <c r="BBY30" s="822"/>
      <c r="BBZ30" s="822"/>
      <c r="BCA30" s="822"/>
      <c r="BCB30" s="822"/>
      <c r="BCC30" s="822"/>
      <c r="BCD30" s="822"/>
      <c r="BCE30" s="822"/>
      <c r="BCF30" s="822"/>
      <c r="BCG30" s="822"/>
      <c r="BCH30" s="822"/>
      <c r="BCI30" s="822"/>
      <c r="BCJ30" s="822"/>
      <c r="BCK30" s="822"/>
      <c r="BCL30" s="822"/>
      <c r="BCM30" s="822"/>
      <c r="BCN30" s="822"/>
      <c r="BCO30" s="822"/>
      <c r="BCP30" s="822"/>
      <c r="BCQ30" s="822"/>
      <c r="BCR30" s="822"/>
      <c r="BCS30" s="822"/>
      <c r="BCT30" s="822"/>
      <c r="BCU30" s="822"/>
      <c r="BCV30" s="822"/>
      <c r="BCW30" s="822"/>
      <c r="BCX30" s="822"/>
      <c r="BCY30" s="822"/>
      <c r="BCZ30" s="822"/>
      <c r="BDA30" s="822"/>
      <c r="BDB30" s="822"/>
      <c r="BDC30" s="822"/>
      <c r="BDD30" s="822"/>
      <c r="BDE30" s="822"/>
      <c r="BDF30" s="822"/>
      <c r="BDG30" s="822"/>
      <c r="BDH30" s="822"/>
      <c r="BDI30" s="822"/>
      <c r="BDJ30" s="822"/>
      <c r="BDK30" s="822"/>
      <c r="BDL30" s="822"/>
      <c r="BDM30" s="822"/>
      <c r="BDN30" s="822"/>
      <c r="BDO30" s="822"/>
      <c r="BDP30" s="822"/>
      <c r="BDQ30" s="822"/>
      <c r="BDR30" s="822"/>
      <c r="BDS30" s="822"/>
      <c r="BDT30" s="822"/>
      <c r="BDU30" s="822"/>
      <c r="BDV30" s="822"/>
      <c r="BDW30" s="822"/>
      <c r="BDX30" s="822"/>
      <c r="BDY30" s="822"/>
      <c r="BDZ30" s="822"/>
      <c r="BEA30" s="822"/>
      <c r="BEB30" s="822"/>
      <c r="BEC30" s="822"/>
      <c r="BED30" s="822"/>
      <c r="BEE30" s="822"/>
      <c r="BEF30" s="822"/>
      <c r="BEG30" s="822"/>
      <c r="BEH30" s="822"/>
      <c r="BEI30" s="822"/>
      <c r="BEJ30" s="822"/>
      <c r="BEK30" s="822"/>
      <c r="BEL30" s="822"/>
      <c r="BEM30" s="822"/>
      <c r="BEN30" s="822"/>
      <c r="BEO30" s="822"/>
      <c r="BEP30" s="822"/>
      <c r="BEQ30" s="822"/>
      <c r="BER30" s="822"/>
      <c r="BES30" s="822"/>
      <c r="BET30" s="822"/>
      <c r="BEU30" s="822"/>
      <c r="BEV30" s="822"/>
      <c r="BEW30" s="822"/>
      <c r="BEX30" s="822"/>
      <c r="BEY30" s="822"/>
      <c r="BEZ30" s="822"/>
      <c r="BFA30" s="822"/>
      <c r="BFB30" s="822"/>
      <c r="BFC30" s="822"/>
      <c r="BFD30" s="822"/>
      <c r="BFE30" s="822"/>
      <c r="BFF30" s="822"/>
      <c r="BFG30" s="822"/>
      <c r="BFH30" s="822"/>
      <c r="BFI30" s="822"/>
      <c r="BFJ30" s="822"/>
      <c r="BFK30" s="822"/>
      <c r="BFL30" s="822"/>
      <c r="BFM30" s="822"/>
      <c r="BFN30" s="822"/>
      <c r="BFO30" s="822"/>
      <c r="BFP30" s="822"/>
      <c r="BFQ30" s="822"/>
      <c r="BFR30" s="822"/>
      <c r="BFS30" s="822"/>
      <c r="BFT30" s="822"/>
      <c r="BFU30" s="822"/>
      <c r="BFV30" s="822"/>
      <c r="BFW30" s="822"/>
      <c r="BFX30" s="822"/>
      <c r="BFY30" s="822"/>
      <c r="BFZ30" s="822"/>
      <c r="BGA30" s="822"/>
      <c r="BGB30" s="822"/>
      <c r="BGC30" s="822"/>
      <c r="BGD30" s="822"/>
      <c r="BGE30" s="822"/>
      <c r="BGF30" s="822"/>
      <c r="BGG30" s="822"/>
      <c r="BGH30" s="822"/>
      <c r="BGI30" s="822"/>
      <c r="BGJ30" s="822"/>
      <c r="BGK30" s="822"/>
      <c r="BGL30" s="822"/>
      <c r="BGM30" s="822"/>
      <c r="BGN30" s="822"/>
      <c r="BGO30" s="822"/>
      <c r="BGP30" s="822"/>
      <c r="BGQ30" s="822"/>
      <c r="BGR30" s="822"/>
      <c r="BGS30" s="822"/>
      <c r="BGT30" s="822"/>
      <c r="BGU30" s="822"/>
      <c r="BGV30" s="822"/>
      <c r="BGW30" s="822"/>
      <c r="BGX30" s="822"/>
      <c r="BGY30" s="822"/>
      <c r="BGZ30" s="822"/>
      <c r="BHA30" s="822"/>
      <c r="BHB30" s="822"/>
      <c r="BHC30" s="822"/>
      <c r="BHD30" s="822"/>
      <c r="BHE30" s="822"/>
      <c r="BHF30" s="822"/>
      <c r="BHG30" s="822"/>
      <c r="BHH30" s="822"/>
      <c r="BHI30" s="822"/>
      <c r="BHJ30" s="822"/>
      <c r="BHK30" s="822"/>
      <c r="BHL30" s="822"/>
      <c r="BHM30" s="822"/>
      <c r="BHN30" s="822"/>
      <c r="BHO30" s="822"/>
      <c r="BHP30" s="822"/>
      <c r="BHQ30" s="822"/>
      <c r="BHR30" s="822"/>
      <c r="BHS30" s="822"/>
      <c r="BHT30" s="822"/>
      <c r="BHU30" s="822"/>
      <c r="BHV30" s="822"/>
      <c r="BHW30" s="822"/>
      <c r="BHX30" s="822"/>
      <c r="BHY30" s="822"/>
      <c r="BHZ30" s="822"/>
      <c r="BIA30" s="822"/>
      <c r="BIB30" s="822"/>
      <c r="BIC30" s="822"/>
      <c r="BID30" s="822"/>
      <c r="BIE30" s="822"/>
      <c r="BIF30" s="822"/>
      <c r="BIG30" s="822"/>
      <c r="BIH30" s="822"/>
      <c r="BII30" s="822"/>
      <c r="BIJ30" s="822"/>
      <c r="BIK30" s="822"/>
      <c r="BIL30" s="822"/>
      <c r="BIM30" s="822"/>
      <c r="BIN30" s="822"/>
      <c r="BIO30" s="822"/>
      <c r="BIP30" s="822"/>
      <c r="BIQ30" s="822"/>
      <c r="BIR30" s="822"/>
      <c r="BIS30" s="822"/>
      <c r="BIT30" s="822"/>
      <c r="BIU30" s="822"/>
      <c r="BIV30" s="822"/>
      <c r="BIW30" s="822"/>
      <c r="BIX30" s="822"/>
      <c r="BIY30" s="822"/>
      <c r="BIZ30" s="822"/>
      <c r="BJA30" s="822"/>
      <c r="BJB30" s="822"/>
      <c r="BJC30" s="822"/>
      <c r="BJD30" s="822"/>
      <c r="BJE30" s="822"/>
      <c r="BJF30" s="822"/>
      <c r="BJG30" s="822"/>
      <c r="BJH30" s="822"/>
      <c r="BJI30" s="822"/>
      <c r="BJJ30" s="822"/>
      <c r="BJK30" s="822"/>
      <c r="BJL30" s="822"/>
      <c r="BJM30" s="822"/>
      <c r="BJN30" s="822"/>
      <c r="BJO30" s="822"/>
      <c r="BJP30" s="822"/>
      <c r="BJQ30" s="822"/>
      <c r="BJR30" s="822"/>
      <c r="BJS30" s="822"/>
      <c r="BJT30" s="822"/>
      <c r="BJU30" s="822"/>
      <c r="BJV30" s="822"/>
      <c r="BJW30" s="822"/>
      <c r="BJX30" s="822"/>
      <c r="BJY30" s="822"/>
      <c r="BJZ30" s="822"/>
      <c r="BKA30" s="822"/>
      <c r="BKB30" s="822"/>
      <c r="BKC30" s="822"/>
      <c r="BKD30" s="822"/>
      <c r="BKE30" s="822"/>
      <c r="BKF30" s="822"/>
      <c r="BKG30" s="822"/>
      <c r="BKH30" s="822"/>
      <c r="BKI30" s="822"/>
      <c r="BKJ30" s="822"/>
      <c r="BKK30" s="822"/>
      <c r="BKL30" s="822"/>
      <c r="BKM30" s="822"/>
      <c r="BKN30" s="822"/>
      <c r="BKO30" s="822"/>
      <c r="BKP30" s="822"/>
      <c r="BKQ30" s="822"/>
      <c r="BKR30" s="822"/>
      <c r="BKS30" s="822"/>
      <c r="BKT30" s="822"/>
      <c r="BKU30" s="822"/>
      <c r="BKV30" s="822"/>
      <c r="BKW30" s="822"/>
      <c r="BKX30" s="822"/>
      <c r="BKY30" s="822"/>
      <c r="BKZ30" s="822"/>
      <c r="BLA30" s="822"/>
      <c r="BLB30" s="822"/>
      <c r="BLC30" s="822"/>
      <c r="BLD30" s="822"/>
      <c r="BLE30" s="822"/>
      <c r="BLF30" s="822"/>
      <c r="BLG30" s="822"/>
      <c r="BLH30" s="822"/>
      <c r="BLI30" s="822"/>
      <c r="BLJ30" s="822"/>
      <c r="BLK30" s="822"/>
      <c r="BLL30" s="822"/>
      <c r="BLM30" s="822"/>
      <c r="BLN30" s="822"/>
      <c r="BLO30" s="822"/>
      <c r="BLP30" s="822"/>
      <c r="BLQ30" s="822"/>
      <c r="BLR30" s="822"/>
      <c r="BLS30" s="822"/>
      <c r="BLT30" s="822"/>
      <c r="BLU30" s="822"/>
      <c r="BLV30" s="822"/>
      <c r="BLW30" s="822"/>
      <c r="BLX30" s="822"/>
      <c r="BLY30" s="822"/>
      <c r="BLZ30" s="822"/>
      <c r="BMA30" s="822"/>
      <c r="BMB30" s="822"/>
      <c r="BMC30" s="822"/>
      <c r="BMD30" s="822"/>
      <c r="BME30" s="822"/>
      <c r="BMF30" s="822"/>
      <c r="BMG30" s="822"/>
      <c r="BMH30" s="822"/>
      <c r="BMI30" s="822"/>
      <c r="BMJ30" s="822"/>
      <c r="BMK30" s="822"/>
      <c r="BML30" s="822"/>
      <c r="BMM30" s="822"/>
      <c r="BMN30" s="822"/>
      <c r="BMO30" s="822"/>
      <c r="BMP30" s="822"/>
      <c r="BMQ30" s="822"/>
      <c r="BMR30" s="822"/>
      <c r="BMS30" s="822"/>
      <c r="BMT30" s="822"/>
      <c r="BMU30" s="822"/>
      <c r="BMV30" s="822"/>
      <c r="BMW30" s="822"/>
      <c r="BMX30" s="822"/>
      <c r="BMY30" s="822"/>
      <c r="BMZ30" s="822"/>
      <c r="BNA30" s="822"/>
      <c r="BNB30" s="822"/>
      <c r="BNC30" s="822"/>
      <c r="BND30" s="822"/>
      <c r="BNE30" s="822"/>
      <c r="BNF30" s="822"/>
      <c r="BNG30" s="822"/>
      <c r="BNH30" s="822"/>
      <c r="BNI30" s="822"/>
      <c r="BNJ30" s="822"/>
      <c r="BNK30" s="822"/>
      <c r="BNL30" s="822"/>
      <c r="BNM30" s="822"/>
      <c r="BNN30" s="822"/>
      <c r="BNO30" s="822"/>
      <c r="BNP30" s="822"/>
      <c r="BNQ30" s="822"/>
      <c r="BNR30" s="822"/>
      <c r="BNS30" s="822"/>
      <c r="BNT30" s="822"/>
      <c r="BNU30" s="822"/>
      <c r="BNV30" s="822"/>
      <c r="BNW30" s="822"/>
      <c r="BNX30" s="822"/>
      <c r="BNY30" s="822"/>
      <c r="BNZ30" s="822"/>
      <c r="BOA30" s="822"/>
      <c r="BOB30" s="822"/>
      <c r="BOC30" s="822"/>
      <c r="BOD30" s="822"/>
      <c r="BOE30" s="822"/>
      <c r="BOF30" s="822"/>
      <c r="BOG30" s="822"/>
      <c r="BOH30" s="822"/>
      <c r="BOI30" s="822"/>
      <c r="BOJ30" s="822"/>
      <c r="BOK30" s="822"/>
      <c r="BOL30" s="822"/>
      <c r="BOM30" s="822"/>
      <c r="BON30" s="822"/>
      <c r="BOO30" s="822"/>
      <c r="BOP30" s="822"/>
      <c r="BOQ30" s="822"/>
      <c r="BOR30" s="822"/>
      <c r="BOS30" s="822"/>
      <c r="BOT30" s="822"/>
      <c r="BOU30" s="822"/>
      <c r="BOV30" s="822"/>
      <c r="BOW30" s="822"/>
      <c r="BOX30" s="822"/>
      <c r="BOY30" s="822"/>
      <c r="BOZ30" s="822"/>
      <c r="BPA30" s="822"/>
      <c r="BPB30" s="822"/>
      <c r="BPC30" s="822"/>
      <c r="BPD30" s="822"/>
      <c r="BPE30" s="822"/>
      <c r="BPF30" s="822"/>
      <c r="BPG30" s="822"/>
      <c r="BPH30" s="822"/>
      <c r="BPI30" s="822"/>
      <c r="BPJ30" s="822"/>
      <c r="BPK30" s="822"/>
      <c r="BPL30" s="822"/>
      <c r="BPM30" s="822"/>
      <c r="BPN30" s="822"/>
      <c r="BPO30" s="822"/>
      <c r="BPP30" s="822"/>
      <c r="BPQ30" s="822"/>
      <c r="BPR30" s="822"/>
      <c r="BPS30" s="822"/>
      <c r="BPT30" s="822"/>
      <c r="BPU30" s="822"/>
      <c r="BPV30" s="822"/>
      <c r="BPW30" s="822"/>
      <c r="BPX30" s="822"/>
      <c r="BPY30" s="822"/>
      <c r="BPZ30" s="822"/>
      <c r="BQA30" s="822"/>
      <c r="BQB30" s="822"/>
      <c r="BQC30" s="822"/>
      <c r="BQD30" s="822"/>
      <c r="BQE30" s="822"/>
      <c r="BQF30" s="822"/>
      <c r="BQG30" s="822"/>
      <c r="BQH30" s="822"/>
      <c r="BQI30" s="822"/>
      <c r="BQJ30" s="822"/>
      <c r="BQK30" s="822"/>
      <c r="BQL30" s="822"/>
      <c r="BQM30" s="822"/>
      <c r="BQN30" s="822"/>
      <c r="BQO30" s="822"/>
      <c r="BQP30" s="822"/>
      <c r="BQQ30" s="822"/>
      <c r="BQR30" s="822"/>
      <c r="BQS30" s="822"/>
      <c r="BQT30" s="822"/>
      <c r="BQU30" s="822"/>
      <c r="BQV30" s="822"/>
      <c r="BQW30" s="822"/>
      <c r="BQX30" s="822"/>
      <c r="BQY30" s="822"/>
      <c r="BQZ30" s="822"/>
      <c r="BRA30" s="822"/>
      <c r="BRB30" s="822"/>
      <c r="BRC30" s="822"/>
      <c r="BRD30" s="822"/>
      <c r="BRE30" s="822"/>
      <c r="BRF30" s="822"/>
      <c r="BRG30" s="822"/>
      <c r="BRH30" s="822"/>
      <c r="BRI30" s="822"/>
      <c r="BRJ30" s="822"/>
      <c r="BRK30" s="822"/>
      <c r="BRL30" s="822"/>
      <c r="BRM30" s="822"/>
      <c r="BRN30" s="822"/>
      <c r="BRO30" s="822"/>
      <c r="BRP30" s="822"/>
      <c r="BRQ30" s="822"/>
      <c r="BRR30" s="822"/>
      <c r="BRS30" s="822"/>
      <c r="BRT30" s="822"/>
      <c r="BRU30" s="822"/>
      <c r="BRV30" s="822"/>
      <c r="BRW30" s="822"/>
      <c r="BRX30" s="822"/>
      <c r="BRY30" s="822"/>
      <c r="BRZ30" s="822"/>
      <c r="BSA30" s="822"/>
      <c r="BSB30" s="822"/>
      <c r="BSC30" s="822"/>
      <c r="BSD30" s="822"/>
      <c r="BSE30" s="822"/>
      <c r="BSF30" s="822"/>
      <c r="BSG30" s="822"/>
      <c r="BSH30" s="822"/>
      <c r="BSI30" s="822"/>
      <c r="BSJ30" s="822"/>
      <c r="BSK30" s="822"/>
      <c r="BSL30" s="822"/>
      <c r="BSM30" s="822"/>
      <c r="BSN30" s="822"/>
      <c r="BSO30" s="822"/>
      <c r="BSP30" s="822"/>
      <c r="BSQ30" s="822"/>
      <c r="BSR30" s="822"/>
      <c r="BSS30" s="822"/>
      <c r="BST30" s="822"/>
      <c r="BSU30" s="822"/>
      <c r="BSV30" s="822"/>
      <c r="BSW30" s="822"/>
      <c r="BSX30" s="822"/>
      <c r="BSY30" s="822"/>
      <c r="BSZ30" s="822"/>
      <c r="BTA30" s="822"/>
      <c r="BTB30" s="822"/>
      <c r="BTC30" s="822"/>
      <c r="BTD30" s="822"/>
      <c r="BTE30" s="822"/>
      <c r="BTF30" s="822"/>
      <c r="BTG30" s="822"/>
      <c r="BTH30" s="822"/>
      <c r="BTI30" s="822"/>
      <c r="BTJ30" s="822"/>
      <c r="BTK30" s="822"/>
      <c r="BTL30" s="822"/>
      <c r="BTM30" s="822"/>
      <c r="BTN30" s="822"/>
      <c r="BTO30" s="822"/>
      <c r="BTP30" s="822"/>
      <c r="BTQ30" s="822"/>
      <c r="BTR30" s="822"/>
      <c r="BTS30" s="822"/>
      <c r="BTT30" s="822"/>
      <c r="BTU30" s="822"/>
      <c r="BTV30" s="822"/>
      <c r="BTW30" s="822"/>
      <c r="BTX30" s="822"/>
      <c r="BTY30" s="822"/>
      <c r="BTZ30" s="822"/>
      <c r="BUA30" s="822"/>
      <c r="BUB30" s="822"/>
      <c r="BUC30" s="822"/>
      <c r="BUD30" s="822"/>
      <c r="BUE30" s="822"/>
      <c r="BUF30" s="822"/>
      <c r="BUG30" s="822"/>
      <c r="BUH30" s="822"/>
      <c r="BUI30" s="822"/>
      <c r="BUJ30" s="822"/>
      <c r="BUK30" s="822"/>
      <c r="BUL30" s="822"/>
      <c r="BUM30" s="822"/>
      <c r="BUN30" s="822"/>
      <c r="BUO30" s="822"/>
      <c r="BUP30" s="822"/>
      <c r="BUQ30" s="822"/>
      <c r="BUR30" s="822"/>
      <c r="BUS30" s="822"/>
      <c r="BUT30" s="822"/>
      <c r="BUU30" s="822"/>
      <c r="BUV30" s="822"/>
      <c r="BUW30" s="822"/>
      <c r="BUX30" s="822"/>
      <c r="BUY30" s="822"/>
      <c r="BUZ30" s="822"/>
      <c r="BVA30" s="822"/>
      <c r="BVB30" s="822"/>
      <c r="BVC30" s="822"/>
      <c r="BVD30" s="822"/>
      <c r="BVE30" s="822"/>
      <c r="BVF30" s="822"/>
      <c r="BVG30" s="822"/>
      <c r="BVH30" s="822"/>
      <c r="BVI30" s="822"/>
      <c r="BVJ30" s="822"/>
      <c r="BVK30" s="822"/>
      <c r="BVL30" s="822"/>
      <c r="BVM30" s="822"/>
      <c r="BVN30" s="822"/>
      <c r="BVO30" s="822"/>
      <c r="BVP30" s="822"/>
      <c r="BVQ30" s="822"/>
      <c r="BVR30" s="822"/>
      <c r="BVS30" s="822"/>
      <c r="BVT30" s="822"/>
      <c r="BVU30" s="822"/>
      <c r="BVV30" s="822"/>
      <c r="BVW30" s="822"/>
      <c r="BVX30" s="822"/>
      <c r="BVY30" s="822"/>
      <c r="BVZ30" s="822"/>
      <c r="BWA30" s="822"/>
      <c r="BWB30" s="822"/>
      <c r="BWC30" s="822"/>
      <c r="BWD30" s="822"/>
      <c r="BWE30" s="822"/>
      <c r="BWF30" s="822"/>
      <c r="BWG30" s="822"/>
      <c r="BWH30" s="822"/>
      <c r="BWI30" s="822"/>
      <c r="BWJ30" s="822"/>
      <c r="BWK30" s="822"/>
      <c r="BWL30" s="822"/>
      <c r="BWM30" s="822"/>
      <c r="BWN30" s="822"/>
      <c r="BWO30" s="822"/>
      <c r="BWP30" s="822"/>
      <c r="BWQ30" s="822"/>
      <c r="BWR30" s="822"/>
      <c r="BWS30" s="822"/>
      <c r="BWT30" s="822"/>
      <c r="BWU30" s="822"/>
      <c r="BWV30" s="822"/>
      <c r="BWW30" s="822"/>
      <c r="BWX30" s="822"/>
      <c r="BWY30" s="822"/>
      <c r="BWZ30" s="822"/>
      <c r="BXA30" s="822"/>
      <c r="BXB30" s="822"/>
      <c r="BXC30" s="822"/>
      <c r="BXD30" s="822"/>
      <c r="BXE30" s="822"/>
      <c r="BXF30" s="822"/>
      <c r="BXG30" s="822"/>
      <c r="BXH30" s="822"/>
      <c r="BXI30" s="822"/>
      <c r="BXJ30" s="822"/>
      <c r="BXK30" s="822"/>
      <c r="BXL30" s="822"/>
      <c r="BXM30" s="822"/>
      <c r="BXN30" s="822"/>
      <c r="BXO30" s="822"/>
      <c r="BXP30" s="822"/>
      <c r="BXQ30" s="822"/>
      <c r="BXR30" s="822"/>
      <c r="BXS30" s="822"/>
      <c r="BXT30" s="822"/>
      <c r="BXU30" s="822"/>
      <c r="BXV30" s="822"/>
      <c r="BXW30" s="822"/>
      <c r="BXX30" s="822"/>
      <c r="BXY30" s="822"/>
      <c r="BXZ30" s="822"/>
      <c r="BYA30" s="822"/>
      <c r="BYB30" s="822"/>
      <c r="BYC30" s="822"/>
      <c r="BYD30" s="822"/>
      <c r="BYE30" s="822"/>
      <c r="BYF30" s="822"/>
      <c r="BYG30" s="822"/>
      <c r="BYH30" s="822"/>
      <c r="BYI30" s="822"/>
      <c r="BYJ30" s="822"/>
      <c r="BYK30" s="822"/>
      <c r="BYL30" s="822"/>
      <c r="BYM30" s="822"/>
      <c r="BYN30" s="822"/>
      <c r="BYO30" s="822"/>
      <c r="BYP30" s="822"/>
      <c r="BYQ30" s="822"/>
      <c r="BYR30" s="822"/>
      <c r="BYS30" s="822"/>
      <c r="BYT30" s="822"/>
      <c r="BYU30" s="822"/>
      <c r="BYV30" s="822"/>
      <c r="BYW30" s="822"/>
      <c r="BYX30" s="822"/>
      <c r="BYY30" s="822"/>
      <c r="BYZ30" s="822"/>
      <c r="BZA30" s="822"/>
      <c r="BZB30" s="822"/>
      <c r="BZC30" s="822"/>
      <c r="BZD30" s="822"/>
      <c r="BZE30" s="822"/>
      <c r="BZF30" s="822"/>
      <c r="BZG30" s="822"/>
      <c r="BZH30" s="822"/>
      <c r="BZI30" s="822"/>
      <c r="BZJ30" s="822"/>
      <c r="BZK30" s="822"/>
      <c r="BZL30" s="822"/>
      <c r="BZM30" s="822"/>
      <c r="BZN30" s="822"/>
      <c r="BZO30" s="822"/>
      <c r="BZP30" s="822"/>
      <c r="BZQ30" s="822"/>
      <c r="BZR30" s="822"/>
      <c r="BZS30" s="822"/>
      <c r="BZT30" s="822"/>
      <c r="BZU30" s="822"/>
      <c r="BZV30" s="822"/>
      <c r="BZW30" s="822"/>
      <c r="BZX30" s="822"/>
      <c r="BZY30" s="822"/>
      <c r="BZZ30" s="822"/>
      <c r="CAA30" s="822"/>
      <c r="CAB30" s="822"/>
      <c r="CAC30" s="822"/>
      <c r="CAD30" s="822"/>
      <c r="CAE30" s="822"/>
      <c r="CAF30" s="822"/>
      <c r="CAG30" s="822"/>
      <c r="CAH30" s="822"/>
      <c r="CAI30" s="822"/>
      <c r="CAJ30" s="822"/>
      <c r="CAK30" s="822"/>
      <c r="CAL30" s="822"/>
      <c r="CAM30" s="822"/>
      <c r="CAN30" s="822"/>
      <c r="CAO30" s="822"/>
      <c r="CAP30" s="822"/>
      <c r="CAQ30" s="822"/>
      <c r="CAR30" s="822"/>
      <c r="CAS30" s="822"/>
      <c r="CAT30" s="822"/>
      <c r="CAU30" s="822"/>
      <c r="CAV30" s="822"/>
      <c r="CAW30" s="822"/>
      <c r="CAX30" s="822"/>
      <c r="CAY30" s="822"/>
      <c r="CAZ30" s="822"/>
      <c r="CBA30" s="822"/>
      <c r="CBB30" s="822"/>
      <c r="CBC30" s="822"/>
      <c r="CBD30" s="822"/>
      <c r="CBE30" s="822"/>
      <c r="CBF30" s="822"/>
      <c r="CBG30" s="822"/>
      <c r="CBH30" s="822"/>
      <c r="CBI30" s="822"/>
      <c r="CBJ30" s="822"/>
      <c r="CBK30" s="822"/>
      <c r="CBL30" s="822"/>
      <c r="CBM30" s="822"/>
      <c r="CBN30" s="822"/>
      <c r="CBO30" s="822"/>
      <c r="CBP30" s="822"/>
      <c r="CBQ30" s="822"/>
      <c r="CBR30" s="822"/>
      <c r="CBS30" s="822"/>
      <c r="CBT30" s="822"/>
      <c r="CBU30" s="822"/>
      <c r="CBV30" s="822"/>
      <c r="CBW30" s="822"/>
      <c r="CBX30" s="822"/>
      <c r="CBY30" s="822"/>
      <c r="CBZ30" s="822"/>
      <c r="CCA30" s="822"/>
      <c r="CCB30" s="822"/>
      <c r="CCC30" s="822"/>
      <c r="CCD30" s="822"/>
      <c r="CCE30" s="822"/>
      <c r="CCF30" s="822"/>
      <c r="CCG30" s="822"/>
      <c r="CCH30" s="822"/>
      <c r="CCI30" s="822"/>
      <c r="CCJ30" s="822"/>
      <c r="CCK30" s="822"/>
      <c r="CCL30" s="822"/>
      <c r="CCM30" s="822"/>
      <c r="CCN30" s="822"/>
      <c r="CCO30" s="822"/>
      <c r="CCP30" s="822"/>
      <c r="CCQ30" s="822"/>
      <c r="CCR30" s="822"/>
      <c r="CCS30" s="822"/>
      <c r="CCT30" s="822"/>
      <c r="CCU30" s="822"/>
      <c r="CCV30" s="822"/>
      <c r="CCW30" s="822"/>
      <c r="CCX30" s="822"/>
      <c r="CCY30" s="822"/>
      <c r="CCZ30" s="822"/>
      <c r="CDA30" s="822"/>
      <c r="CDB30" s="822"/>
      <c r="CDC30" s="822"/>
      <c r="CDD30" s="822"/>
      <c r="CDE30" s="822"/>
      <c r="CDF30" s="822"/>
      <c r="CDG30" s="822"/>
      <c r="CDH30" s="822"/>
      <c r="CDI30" s="822"/>
      <c r="CDJ30" s="822"/>
      <c r="CDK30" s="822"/>
      <c r="CDL30" s="822"/>
      <c r="CDM30" s="822"/>
      <c r="CDN30" s="822"/>
      <c r="CDO30" s="822"/>
      <c r="CDP30" s="822"/>
      <c r="CDQ30" s="822"/>
      <c r="CDR30" s="822"/>
      <c r="CDS30" s="822"/>
      <c r="CDT30" s="822"/>
      <c r="CDU30" s="822"/>
      <c r="CDV30" s="822"/>
      <c r="CDW30" s="822"/>
      <c r="CDX30" s="822"/>
      <c r="CDY30" s="822"/>
      <c r="CDZ30" s="822"/>
      <c r="CEA30" s="822"/>
      <c r="CEB30" s="822"/>
      <c r="CEC30" s="822"/>
      <c r="CED30" s="822"/>
      <c r="CEE30" s="822"/>
      <c r="CEF30" s="822"/>
      <c r="CEG30" s="822"/>
      <c r="CEH30" s="822"/>
      <c r="CEI30" s="822"/>
      <c r="CEJ30" s="822"/>
      <c r="CEK30" s="822"/>
      <c r="CEL30" s="822"/>
      <c r="CEM30" s="822"/>
      <c r="CEN30" s="822"/>
      <c r="CEO30" s="822"/>
      <c r="CEP30" s="822"/>
      <c r="CEQ30" s="822"/>
      <c r="CER30" s="822"/>
      <c r="CES30" s="822"/>
      <c r="CET30" s="822"/>
      <c r="CEU30" s="822"/>
      <c r="CEV30" s="822"/>
      <c r="CEW30" s="822"/>
      <c r="CEX30" s="822"/>
      <c r="CEY30" s="822"/>
      <c r="CEZ30" s="822"/>
      <c r="CFA30" s="822"/>
      <c r="CFB30" s="822"/>
      <c r="CFC30" s="822"/>
      <c r="CFD30" s="822"/>
      <c r="CFE30" s="822"/>
      <c r="CFF30" s="822"/>
      <c r="CFG30" s="822"/>
      <c r="CFH30" s="822"/>
      <c r="CFI30" s="822"/>
      <c r="CFJ30" s="822"/>
      <c r="CFK30" s="822"/>
      <c r="CFL30" s="822"/>
      <c r="CFM30" s="822"/>
      <c r="CFN30" s="822"/>
      <c r="CFO30" s="822"/>
      <c r="CFP30" s="822"/>
      <c r="CFQ30" s="822"/>
      <c r="CFR30" s="822"/>
      <c r="CFS30" s="822"/>
      <c r="CFT30" s="822"/>
      <c r="CFU30" s="822"/>
      <c r="CFV30" s="822"/>
      <c r="CFW30" s="822"/>
      <c r="CFX30" s="822"/>
      <c r="CFY30" s="822"/>
      <c r="CFZ30" s="822"/>
      <c r="CGA30" s="822"/>
      <c r="CGB30" s="822"/>
      <c r="CGC30" s="822"/>
      <c r="CGD30" s="822"/>
      <c r="CGE30" s="822"/>
      <c r="CGF30" s="822"/>
      <c r="CGG30" s="822"/>
      <c r="CGH30" s="822"/>
      <c r="CGI30" s="822"/>
      <c r="CGJ30" s="822"/>
      <c r="CGK30" s="822"/>
      <c r="CGL30" s="822"/>
      <c r="CGM30" s="822"/>
      <c r="CGN30" s="822"/>
      <c r="CGO30" s="822"/>
      <c r="CGP30" s="822"/>
      <c r="CGQ30" s="822"/>
      <c r="CGR30" s="822"/>
      <c r="CGS30" s="822"/>
      <c r="CGT30" s="822"/>
      <c r="CGU30" s="822"/>
      <c r="CGV30" s="822"/>
      <c r="CGW30" s="822"/>
      <c r="CGX30" s="822"/>
      <c r="CGY30" s="822"/>
      <c r="CGZ30" s="822"/>
      <c r="CHA30" s="822"/>
      <c r="CHB30" s="822"/>
      <c r="CHC30" s="822"/>
      <c r="CHD30" s="822"/>
      <c r="CHE30" s="822"/>
      <c r="CHF30" s="822"/>
      <c r="CHG30" s="822"/>
      <c r="CHH30" s="822"/>
      <c r="CHI30" s="822"/>
      <c r="CHJ30" s="822"/>
      <c r="CHK30" s="822"/>
      <c r="CHL30" s="822"/>
      <c r="CHM30" s="822"/>
      <c r="CHN30" s="822"/>
      <c r="CHO30" s="822"/>
      <c r="CHP30" s="822"/>
      <c r="CHQ30" s="822"/>
      <c r="CHR30" s="822"/>
      <c r="CHS30" s="822"/>
      <c r="CHT30" s="822"/>
      <c r="CHU30" s="822"/>
      <c r="CHV30" s="822"/>
      <c r="CHW30" s="822"/>
      <c r="CHX30" s="822"/>
      <c r="CHY30" s="822"/>
      <c r="CHZ30" s="822"/>
      <c r="CIA30" s="822"/>
      <c r="CIB30" s="822"/>
      <c r="CIC30" s="822"/>
      <c r="CID30" s="822"/>
      <c r="CIE30" s="822"/>
      <c r="CIF30" s="822"/>
      <c r="CIG30" s="822"/>
      <c r="CIH30" s="822"/>
      <c r="CII30" s="822"/>
      <c r="CIJ30" s="822"/>
      <c r="CIK30" s="822"/>
      <c r="CIL30" s="822"/>
      <c r="CIM30" s="822"/>
      <c r="CIN30" s="822"/>
      <c r="CIO30" s="822"/>
      <c r="CIP30" s="822"/>
      <c r="CIQ30" s="822"/>
      <c r="CIR30" s="822"/>
      <c r="CIS30" s="822"/>
      <c r="CIT30" s="822"/>
      <c r="CIU30" s="822"/>
      <c r="CIV30" s="822"/>
      <c r="CIW30" s="822"/>
      <c r="CIX30" s="822"/>
      <c r="CIY30" s="822"/>
      <c r="CIZ30" s="822"/>
      <c r="CJA30" s="822"/>
      <c r="CJB30" s="822"/>
      <c r="CJC30" s="822"/>
      <c r="CJD30" s="822"/>
      <c r="CJE30" s="822"/>
      <c r="CJF30" s="822"/>
      <c r="CJG30" s="822"/>
      <c r="CJH30" s="822"/>
      <c r="CJI30" s="822"/>
      <c r="CJJ30" s="822"/>
      <c r="CJK30" s="822"/>
      <c r="CJL30" s="822"/>
      <c r="CJM30" s="822"/>
      <c r="CJN30" s="822"/>
      <c r="CJO30" s="822"/>
      <c r="CJP30" s="822"/>
      <c r="CJQ30" s="822"/>
      <c r="CJR30" s="822"/>
      <c r="CJS30" s="822"/>
      <c r="CJT30" s="822"/>
      <c r="CJU30" s="822"/>
      <c r="CJV30" s="822"/>
      <c r="CJW30" s="822"/>
      <c r="CJX30" s="822"/>
      <c r="CJY30" s="822"/>
      <c r="CJZ30" s="822"/>
      <c r="CKA30" s="822"/>
      <c r="CKB30" s="822"/>
      <c r="CKC30" s="822"/>
      <c r="CKD30" s="822"/>
      <c r="CKE30" s="822"/>
      <c r="CKF30" s="822"/>
      <c r="CKG30" s="822"/>
      <c r="CKH30" s="822"/>
      <c r="CKI30" s="822"/>
      <c r="CKJ30" s="822"/>
      <c r="CKK30" s="822"/>
      <c r="CKL30" s="822"/>
      <c r="CKM30" s="822"/>
      <c r="CKN30" s="822"/>
      <c r="CKO30" s="822"/>
      <c r="CKP30" s="822"/>
      <c r="CKQ30" s="822"/>
      <c r="CKR30" s="822"/>
      <c r="CKS30" s="822"/>
      <c r="CKT30" s="822"/>
      <c r="CKU30" s="822"/>
      <c r="CKV30" s="822"/>
      <c r="CKW30" s="822"/>
      <c r="CKX30" s="822"/>
      <c r="CKY30" s="822"/>
      <c r="CKZ30" s="822"/>
      <c r="CLA30" s="822"/>
      <c r="CLB30" s="822"/>
      <c r="CLC30" s="822"/>
      <c r="CLD30" s="822"/>
      <c r="CLE30" s="822"/>
      <c r="CLF30" s="822"/>
      <c r="CLG30" s="822"/>
      <c r="CLH30" s="822"/>
      <c r="CLI30" s="822"/>
      <c r="CLJ30" s="822"/>
      <c r="CLK30" s="822"/>
      <c r="CLL30" s="822"/>
      <c r="CLM30" s="822"/>
      <c r="CLN30" s="822"/>
      <c r="CLO30" s="822"/>
      <c r="CLP30" s="822"/>
      <c r="CLQ30" s="822"/>
      <c r="CLR30" s="822"/>
      <c r="CLS30" s="822"/>
      <c r="CLT30" s="822"/>
      <c r="CLU30" s="822"/>
      <c r="CLV30" s="822"/>
      <c r="CLW30" s="822"/>
      <c r="CLX30" s="822"/>
      <c r="CLY30" s="822"/>
      <c r="CLZ30" s="822"/>
      <c r="CMA30" s="822"/>
      <c r="CMB30" s="822"/>
      <c r="CMC30" s="822"/>
      <c r="CMD30" s="822"/>
      <c r="CME30" s="822"/>
      <c r="CMF30" s="822"/>
      <c r="CMG30" s="822"/>
      <c r="CMH30" s="822"/>
      <c r="CMI30" s="822"/>
      <c r="CMJ30" s="822"/>
      <c r="CMK30" s="822"/>
      <c r="CML30" s="822"/>
      <c r="CMM30" s="822"/>
      <c r="CMN30" s="822"/>
      <c r="CMO30" s="822"/>
      <c r="CMP30" s="822"/>
      <c r="CMQ30" s="822"/>
      <c r="CMR30" s="822"/>
      <c r="CMS30" s="822"/>
      <c r="CMT30" s="822"/>
      <c r="CMU30" s="822"/>
      <c r="CMV30" s="822"/>
      <c r="CMW30" s="822"/>
      <c r="CMX30" s="822"/>
      <c r="CMY30" s="822"/>
      <c r="CMZ30" s="822"/>
      <c r="CNA30" s="822"/>
      <c r="CNB30" s="822"/>
      <c r="CNC30" s="822"/>
      <c r="CND30" s="822"/>
      <c r="CNE30" s="822"/>
      <c r="CNF30" s="822"/>
      <c r="CNG30" s="822"/>
      <c r="CNH30" s="822"/>
      <c r="CNI30" s="822"/>
      <c r="CNJ30" s="822"/>
      <c r="CNK30" s="822"/>
      <c r="CNL30" s="822"/>
      <c r="CNM30" s="822"/>
      <c r="CNN30" s="822"/>
      <c r="CNO30" s="822"/>
      <c r="CNP30" s="822"/>
      <c r="CNQ30" s="822"/>
      <c r="CNR30" s="822"/>
      <c r="CNS30" s="822"/>
      <c r="CNT30" s="822"/>
      <c r="CNU30" s="822"/>
      <c r="CNV30" s="822"/>
      <c r="CNW30" s="822"/>
      <c r="CNX30" s="822"/>
      <c r="CNY30" s="822"/>
      <c r="CNZ30" s="822"/>
      <c r="COA30" s="822"/>
      <c r="COB30" s="822"/>
      <c r="COC30" s="822"/>
      <c r="COD30" s="822"/>
      <c r="COE30" s="822"/>
      <c r="COF30" s="822"/>
      <c r="COG30" s="822"/>
      <c r="COH30" s="822"/>
      <c r="COI30" s="822"/>
      <c r="COJ30" s="822"/>
      <c r="COK30" s="822"/>
      <c r="COL30" s="822"/>
      <c r="COM30" s="822"/>
      <c r="CON30" s="822"/>
      <c r="COO30" s="822"/>
      <c r="COP30" s="822"/>
      <c r="COQ30" s="822"/>
      <c r="COR30" s="822"/>
      <c r="COS30" s="822"/>
      <c r="COT30" s="822"/>
      <c r="COU30" s="822"/>
      <c r="COV30" s="822"/>
      <c r="COW30" s="822"/>
      <c r="COX30" s="822"/>
      <c r="COY30" s="822"/>
      <c r="COZ30" s="822"/>
      <c r="CPA30" s="822"/>
      <c r="CPB30" s="822"/>
      <c r="CPC30" s="822"/>
      <c r="CPD30" s="822"/>
      <c r="CPE30" s="822"/>
      <c r="CPF30" s="822"/>
      <c r="CPG30" s="822"/>
      <c r="CPH30" s="822"/>
      <c r="CPI30" s="822"/>
      <c r="CPJ30" s="822"/>
      <c r="CPK30" s="822"/>
      <c r="CPL30" s="822"/>
      <c r="CPM30" s="822"/>
      <c r="CPN30" s="822"/>
      <c r="CPO30" s="822"/>
      <c r="CPP30" s="822"/>
      <c r="CPQ30" s="822"/>
      <c r="CPR30" s="822"/>
      <c r="CPS30" s="822"/>
      <c r="CPT30" s="822"/>
      <c r="CPU30" s="822"/>
      <c r="CPV30" s="822"/>
      <c r="CPW30" s="822"/>
      <c r="CPX30" s="822"/>
      <c r="CPY30" s="822"/>
      <c r="CPZ30" s="822"/>
      <c r="CQA30" s="822"/>
      <c r="CQB30" s="822"/>
      <c r="CQC30" s="822"/>
      <c r="CQD30" s="822"/>
      <c r="CQE30" s="822"/>
      <c r="CQF30" s="822"/>
      <c r="CQG30" s="822"/>
      <c r="CQH30" s="822"/>
      <c r="CQI30" s="822"/>
      <c r="CQJ30" s="822"/>
      <c r="CQK30" s="822"/>
      <c r="CQL30" s="822"/>
      <c r="CQM30" s="822"/>
      <c r="CQN30" s="822"/>
      <c r="CQO30" s="822"/>
      <c r="CQP30" s="822"/>
      <c r="CQQ30" s="822"/>
      <c r="CQR30" s="822"/>
      <c r="CQS30" s="822"/>
      <c r="CQT30" s="822"/>
      <c r="CQU30" s="822"/>
      <c r="CQV30" s="822"/>
      <c r="CQW30" s="822"/>
      <c r="CQX30" s="822"/>
      <c r="CQY30" s="822"/>
      <c r="CQZ30" s="822"/>
      <c r="CRA30" s="822"/>
      <c r="CRB30" s="822"/>
      <c r="CRC30" s="822"/>
      <c r="CRD30" s="822"/>
      <c r="CRE30" s="822"/>
      <c r="CRF30" s="822"/>
      <c r="CRG30" s="822"/>
      <c r="CRH30" s="822"/>
      <c r="CRI30" s="822"/>
      <c r="CRJ30" s="822"/>
      <c r="CRK30" s="822"/>
      <c r="CRL30" s="822"/>
      <c r="CRM30" s="822"/>
      <c r="CRN30" s="822"/>
      <c r="CRO30" s="822"/>
      <c r="CRP30" s="822"/>
      <c r="CRQ30" s="822"/>
      <c r="CRR30" s="822"/>
      <c r="CRS30" s="822"/>
      <c r="CRT30" s="822"/>
      <c r="CRU30" s="822"/>
      <c r="CRV30" s="822"/>
      <c r="CRW30" s="822"/>
      <c r="CRX30" s="822"/>
      <c r="CRY30" s="822"/>
      <c r="CRZ30" s="822"/>
      <c r="CSA30" s="822"/>
      <c r="CSB30" s="822"/>
      <c r="CSC30" s="822"/>
      <c r="CSD30" s="822"/>
      <c r="CSE30" s="822"/>
      <c r="CSF30" s="822"/>
      <c r="CSG30" s="822"/>
      <c r="CSH30" s="822"/>
      <c r="CSI30" s="822"/>
      <c r="CSJ30" s="822"/>
      <c r="CSK30" s="822"/>
      <c r="CSL30" s="822"/>
      <c r="CSM30" s="822"/>
      <c r="CSN30" s="822"/>
      <c r="CSO30" s="822"/>
      <c r="CSP30" s="822"/>
      <c r="CSQ30" s="822"/>
      <c r="CSR30" s="822"/>
      <c r="CSS30" s="822"/>
      <c r="CST30" s="822"/>
      <c r="CSU30" s="822"/>
      <c r="CSV30" s="822"/>
      <c r="CSW30" s="822"/>
      <c r="CSX30" s="822"/>
      <c r="CSY30" s="822"/>
      <c r="CSZ30" s="822"/>
      <c r="CTA30" s="822"/>
      <c r="CTB30" s="822"/>
      <c r="CTC30" s="822"/>
      <c r="CTD30" s="822"/>
      <c r="CTE30" s="822"/>
      <c r="CTF30" s="822"/>
      <c r="CTG30" s="822"/>
      <c r="CTH30" s="822"/>
      <c r="CTI30" s="822"/>
      <c r="CTJ30" s="822"/>
      <c r="CTK30" s="822"/>
      <c r="CTL30" s="822"/>
      <c r="CTM30" s="822"/>
      <c r="CTN30" s="822"/>
      <c r="CTO30" s="822"/>
      <c r="CTP30" s="822"/>
      <c r="CTQ30" s="822"/>
      <c r="CTR30" s="822"/>
      <c r="CTS30" s="822"/>
      <c r="CTT30" s="822"/>
      <c r="CTU30" s="822"/>
      <c r="CTV30" s="822"/>
      <c r="CTW30" s="822"/>
      <c r="CTX30" s="822"/>
      <c r="CTY30" s="822"/>
      <c r="CTZ30" s="822"/>
      <c r="CUA30" s="822"/>
      <c r="CUB30" s="822"/>
      <c r="CUC30" s="822"/>
      <c r="CUD30" s="822"/>
      <c r="CUE30" s="822"/>
      <c r="CUF30" s="822"/>
      <c r="CUG30" s="822"/>
      <c r="CUH30" s="822"/>
      <c r="CUI30" s="822"/>
      <c r="CUJ30" s="822"/>
      <c r="CUK30" s="822"/>
      <c r="CUL30" s="822"/>
      <c r="CUM30" s="822"/>
      <c r="CUN30" s="822"/>
      <c r="CUO30" s="822"/>
      <c r="CUP30" s="822"/>
      <c r="CUQ30" s="822"/>
      <c r="CUR30" s="822"/>
      <c r="CUS30" s="822"/>
      <c r="CUT30" s="822"/>
      <c r="CUU30" s="822"/>
      <c r="CUV30" s="822"/>
      <c r="CUW30" s="822"/>
      <c r="CUX30" s="822"/>
      <c r="CUY30" s="822"/>
      <c r="CUZ30" s="822"/>
      <c r="CVA30" s="822"/>
      <c r="CVB30" s="822"/>
      <c r="CVC30" s="822"/>
      <c r="CVD30" s="822"/>
      <c r="CVE30" s="822"/>
      <c r="CVF30" s="822"/>
      <c r="CVG30" s="822"/>
      <c r="CVH30" s="822"/>
      <c r="CVI30" s="822"/>
      <c r="CVJ30" s="822"/>
      <c r="CVK30" s="822"/>
      <c r="CVL30" s="822"/>
      <c r="CVM30" s="822"/>
      <c r="CVN30" s="822"/>
      <c r="CVO30" s="822"/>
      <c r="CVP30" s="822"/>
      <c r="CVQ30" s="822"/>
      <c r="CVR30" s="822"/>
      <c r="CVS30" s="822"/>
      <c r="CVT30" s="822"/>
      <c r="CVU30" s="822"/>
      <c r="CVV30" s="822"/>
      <c r="CVW30" s="822"/>
      <c r="CVX30" s="822"/>
      <c r="CVY30" s="822"/>
      <c r="CVZ30" s="822"/>
      <c r="CWA30" s="822"/>
      <c r="CWB30" s="822"/>
      <c r="CWC30" s="822"/>
      <c r="CWD30" s="822"/>
      <c r="CWE30" s="822"/>
      <c r="CWF30" s="822"/>
      <c r="CWG30" s="822"/>
      <c r="CWH30" s="822"/>
      <c r="CWI30" s="822"/>
      <c r="CWJ30" s="822"/>
      <c r="CWK30" s="822"/>
      <c r="CWL30" s="822"/>
      <c r="CWM30" s="822"/>
      <c r="CWN30" s="822"/>
      <c r="CWO30" s="822"/>
      <c r="CWP30" s="822"/>
      <c r="CWQ30" s="822"/>
      <c r="CWR30" s="822"/>
      <c r="CWS30" s="822"/>
      <c r="CWT30" s="822"/>
      <c r="CWU30" s="822"/>
      <c r="CWV30" s="822"/>
      <c r="CWW30" s="822"/>
      <c r="CWX30" s="822"/>
      <c r="CWY30" s="822"/>
      <c r="CWZ30" s="822"/>
      <c r="CXA30" s="822"/>
      <c r="CXB30" s="822"/>
      <c r="CXC30" s="822"/>
      <c r="CXD30" s="822"/>
      <c r="CXE30" s="822"/>
      <c r="CXF30" s="822"/>
      <c r="CXG30" s="822"/>
      <c r="CXH30" s="822"/>
      <c r="CXI30" s="822"/>
      <c r="CXJ30" s="822"/>
      <c r="CXK30" s="822"/>
      <c r="CXL30" s="822"/>
      <c r="CXM30" s="822"/>
      <c r="CXN30" s="822"/>
      <c r="CXO30" s="822"/>
      <c r="CXP30" s="822"/>
      <c r="CXQ30" s="822"/>
      <c r="CXR30" s="822"/>
      <c r="CXS30" s="822"/>
      <c r="CXT30" s="822"/>
      <c r="CXU30" s="822"/>
      <c r="CXV30" s="822"/>
      <c r="CXW30" s="822"/>
      <c r="CXX30" s="822"/>
      <c r="CXY30" s="822"/>
      <c r="CXZ30" s="822"/>
      <c r="CYA30" s="822"/>
      <c r="CYB30" s="822"/>
      <c r="CYC30" s="822"/>
      <c r="CYD30" s="822"/>
      <c r="CYE30" s="822"/>
      <c r="CYF30" s="822"/>
      <c r="CYG30" s="822"/>
      <c r="CYH30" s="822"/>
      <c r="CYI30" s="822"/>
      <c r="CYJ30" s="822"/>
      <c r="CYK30" s="822"/>
      <c r="CYL30" s="822"/>
      <c r="CYM30" s="822"/>
      <c r="CYN30" s="822"/>
      <c r="CYO30" s="822"/>
      <c r="CYP30" s="822"/>
      <c r="CYQ30" s="822"/>
      <c r="CYR30" s="822"/>
      <c r="CYS30" s="822"/>
      <c r="CYT30" s="822"/>
      <c r="CYU30" s="822"/>
      <c r="CYV30" s="822"/>
      <c r="CYW30" s="822"/>
      <c r="CYX30" s="822"/>
      <c r="CYY30" s="822"/>
      <c r="CYZ30" s="822"/>
      <c r="CZA30" s="822"/>
      <c r="CZB30" s="822"/>
      <c r="CZC30" s="822"/>
      <c r="CZD30" s="822"/>
      <c r="CZE30" s="822"/>
      <c r="CZF30" s="822"/>
      <c r="CZG30" s="822"/>
      <c r="CZH30" s="822"/>
      <c r="CZI30" s="822"/>
      <c r="CZJ30" s="822"/>
      <c r="CZK30" s="822"/>
      <c r="CZL30" s="822"/>
      <c r="CZM30" s="822"/>
      <c r="CZN30" s="822"/>
      <c r="CZO30" s="822"/>
      <c r="CZP30" s="822"/>
      <c r="CZQ30" s="822"/>
      <c r="CZR30" s="822"/>
      <c r="CZS30" s="822"/>
      <c r="CZT30" s="822"/>
      <c r="CZU30" s="822"/>
      <c r="CZV30" s="822"/>
      <c r="CZW30" s="822"/>
      <c r="CZX30" s="822"/>
      <c r="CZY30" s="822"/>
      <c r="CZZ30" s="822"/>
      <c r="DAA30" s="822"/>
      <c r="DAB30" s="822"/>
      <c r="DAC30" s="822"/>
      <c r="DAD30" s="822"/>
      <c r="DAE30" s="822"/>
      <c r="DAF30" s="822"/>
      <c r="DAG30" s="822"/>
      <c r="DAH30" s="822"/>
      <c r="DAI30" s="822"/>
      <c r="DAJ30" s="822"/>
      <c r="DAK30" s="822"/>
      <c r="DAL30" s="822"/>
      <c r="DAM30" s="822"/>
      <c r="DAN30" s="822"/>
      <c r="DAO30" s="822"/>
      <c r="DAP30" s="822"/>
      <c r="DAQ30" s="822"/>
      <c r="DAR30" s="822"/>
      <c r="DAS30" s="822"/>
      <c r="DAT30" s="822"/>
      <c r="DAU30" s="822"/>
      <c r="DAV30" s="822"/>
      <c r="DAW30" s="822"/>
      <c r="DAX30" s="822"/>
      <c r="DAY30" s="822"/>
      <c r="DAZ30" s="822"/>
      <c r="DBA30" s="822"/>
      <c r="DBB30" s="822"/>
      <c r="DBC30" s="822"/>
      <c r="DBD30" s="822"/>
      <c r="DBE30" s="822"/>
      <c r="DBF30" s="822"/>
      <c r="DBG30" s="822"/>
      <c r="DBH30" s="822"/>
      <c r="DBI30" s="822"/>
      <c r="DBJ30" s="822"/>
      <c r="DBK30" s="822"/>
      <c r="DBL30" s="822"/>
      <c r="DBM30" s="822"/>
      <c r="DBN30" s="822"/>
      <c r="DBO30" s="822"/>
      <c r="DBP30" s="822"/>
      <c r="DBQ30" s="822"/>
      <c r="DBR30" s="822"/>
      <c r="DBS30" s="822"/>
      <c r="DBT30" s="822"/>
      <c r="DBU30" s="822"/>
      <c r="DBV30" s="822"/>
      <c r="DBW30" s="822"/>
      <c r="DBX30" s="822"/>
      <c r="DBY30" s="822"/>
      <c r="DBZ30" s="822"/>
      <c r="DCA30" s="822"/>
      <c r="DCB30" s="822"/>
      <c r="DCC30" s="822"/>
      <c r="DCD30" s="822"/>
      <c r="DCE30" s="822"/>
      <c r="DCF30" s="822"/>
      <c r="DCG30" s="822"/>
      <c r="DCH30" s="822"/>
      <c r="DCI30" s="822"/>
      <c r="DCJ30" s="822"/>
      <c r="DCK30" s="822"/>
      <c r="DCL30" s="822"/>
      <c r="DCM30" s="822"/>
      <c r="DCN30" s="822"/>
      <c r="DCO30" s="822"/>
      <c r="DCP30" s="822"/>
      <c r="DCQ30" s="822"/>
      <c r="DCR30" s="822"/>
      <c r="DCS30" s="822"/>
      <c r="DCT30" s="822"/>
      <c r="DCU30" s="822"/>
      <c r="DCV30" s="822"/>
      <c r="DCW30" s="822"/>
      <c r="DCX30" s="822"/>
      <c r="DCY30" s="822"/>
      <c r="DCZ30" s="822"/>
      <c r="DDA30" s="822"/>
      <c r="DDB30" s="822"/>
      <c r="DDC30" s="822"/>
      <c r="DDD30" s="822"/>
      <c r="DDE30" s="822"/>
      <c r="DDF30" s="822"/>
      <c r="DDG30" s="822"/>
      <c r="DDH30" s="822"/>
      <c r="DDI30" s="822"/>
      <c r="DDJ30" s="822"/>
      <c r="DDK30" s="822"/>
      <c r="DDL30" s="822"/>
      <c r="DDM30" s="822"/>
      <c r="DDN30" s="822"/>
      <c r="DDO30" s="822"/>
      <c r="DDP30" s="822"/>
      <c r="DDQ30" s="822"/>
      <c r="DDR30" s="822"/>
      <c r="DDS30" s="822"/>
      <c r="DDT30" s="822"/>
      <c r="DDU30" s="822"/>
      <c r="DDV30" s="822"/>
      <c r="DDW30" s="822"/>
      <c r="DDX30" s="822"/>
      <c r="DDY30" s="822"/>
      <c r="DDZ30" s="822"/>
      <c r="DEA30" s="822"/>
      <c r="DEB30" s="822"/>
      <c r="DEC30" s="822"/>
      <c r="DED30" s="822"/>
      <c r="DEE30" s="822"/>
      <c r="DEF30" s="822"/>
      <c r="DEG30" s="822"/>
      <c r="DEH30" s="822"/>
      <c r="DEI30" s="822"/>
      <c r="DEJ30" s="822"/>
      <c r="DEK30" s="822"/>
      <c r="DEL30" s="822"/>
      <c r="DEM30" s="822"/>
      <c r="DEN30" s="822"/>
      <c r="DEO30" s="822"/>
      <c r="DEP30" s="822"/>
      <c r="DEQ30" s="822"/>
      <c r="DER30" s="822"/>
      <c r="DES30" s="822"/>
      <c r="DET30" s="822"/>
      <c r="DEU30" s="822"/>
      <c r="DEV30" s="822"/>
      <c r="DEW30" s="822"/>
      <c r="DEX30" s="822"/>
      <c r="DEY30" s="822"/>
      <c r="DEZ30" s="822"/>
      <c r="DFA30" s="822"/>
      <c r="DFB30" s="822"/>
      <c r="DFC30" s="822"/>
      <c r="DFD30" s="822"/>
      <c r="DFE30" s="822"/>
      <c r="DFF30" s="822"/>
      <c r="DFG30" s="822"/>
      <c r="DFH30" s="822"/>
      <c r="DFI30" s="822"/>
      <c r="DFJ30" s="822"/>
      <c r="DFK30" s="822"/>
      <c r="DFL30" s="822"/>
      <c r="DFM30" s="822"/>
      <c r="DFN30" s="822"/>
      <c r="DFO30" s="822"/>
      <c r="DFP30" s="822"/>
      <c r="DFQ30" s="822"/>
      <c r="DFR30" s="822"/>
      <c r="DFS30" s="822"/>
      <c r="DFT30" s="822"/>
      <c r="DFU30" s="822"/>
      <c r="DFV30" s="822"/>
      <c r="DFW30" s="822"/>
      <c r="DFX30" s="822"/>
      <c r="DFY30" s="822"/>
      <c r="DFZ30" s="822"/>
      <c r="DGA30" s="822"/>
      <c r="DGB30" s="822"/>
      <c r="DGC30" s="822"/>
      <c r="DGD30" s="822"/>
      <c r="DGE30" s="822"/>
      <c r="DGF30" s="822"/>
      <c r="DGG30" s="822"/>
      <c r="DGH30" s="822"/>
      <c r="DGI30" s="822"/>
      <c r="DGJ30" s="822"/>
      <c r="DGK30" s="822"/>
      <c r="DGL30" s="822"/>
      <c r="DGM30" s="822"/>
      <c r="DGN30" s="822"/>
      <c r="DGO30" s="822"/>
      <c r="DGP30" s="822"/>
      <c r="DGQ30" s="822"/>
      <c r="DGR30" s="822"/>
      <c r="DGS30" s="822"/>
      <c r="DGT30" s="822"/>
      <c r="DGU30" s="822"/>
      <c r="DGV30" s="822"/>
      <c r="DGW30" s="822"/>
      <c r="DGX30" s="822"/>
      <c r="DGY30" s="822"/>
      <c r="DGZ30" s="822"/>
      <c r="DHA30" s="822"/>
      <c r="DHB30" s="822"/>
      <c r="DHC30" s="822"/>
      <c r="DHD30" s="822"/>
      <c r="DHE30" s="822"/>
      <c r="DHF30" s="822"/>
      <c r="DHG30" s="822"/>
      <c r="DHH30" s="822"/>
      <c r="DHI30" s="822"/>
      <c r="DHJ30" s="822"/>
      <c r="DHK30" s="822"/>
      <c r="DHL30" s="822"/>
      <c r="DHM30" s="822"/>
      <c r="DHN30" s="822"/>
      <c r="DHO30" s="822"/>
      <c r="DHP30" s="822"/>
      <c r="DHQ30" s="822"/>
      <c r="DHR30" s="822"/>
      <c r="DHS30" s="822"/>
      <c r="DHT30" s="822"/>
      <c r="DHU30" s="822"/>
      <c r="DHV30" s="822"/>
      <c r="DHW30" s="822"/>
      <c r="DHX30" s="822"/>
      <c r="DHY30" s="822"/>
      <c r="DHZ30" s="822"/>
      <c r="DIA30" s="822"/>
      <c r="DIB30" s="822"/>
      <c r="DIC30" s="822"/>
      <c r="DID30" s="822"/>
      <c r="DIE30" s="822"/>
      <c r="DIF30" s="822"/>
      <c r="DIG30" s="822"/>
      <c r="DIH30" s="822"/>
      <c r="DII30" s="822"/>
      <c r="DIJ30" s="822"/>
      <c r="DIK30" s="822"/>
      <c r="DIL30" s="822"/>
      <c r="DIM30" s="822"/>
      <c r="DIN30" s="822"/>
      <c r="DIO30" s="822"/>
      <c r="DIP30" s="822"/>
      <c r="DIQ30" s="822"/>
      <c r="DIR30" s="822"/>
      <c r="DIS30" s="822"/>
      <c r="DIT30" s="822"/>
      <c r="DIU30" s="822"/>
      <c r="DIV30" s="822"/>
      <c r="DIW30" s="822"/>
      <c r="DIX30" s="822"/>
      <c r="DIY30" s="822"/>
      <c r="DIZ30" s="822"/>
      <c r="DJA30" s="822"/>
      <c r="DJB30" s="822"/>
      <c r="DJC30" s="822"/>
      <c r="DJD30" s="822"/>
      <c r="DJE30" s="822"/>
      <c r="DJF30" s="822"/>
      <c r="DJG30" s="822"/>
      <c r="DJH30" s="822"/>
      <c r="DJI30" s="822"/>
      <c r="DJJ30" s="822"/>
      <c r="DJK30" s="822"/>
      <c r="DJL30" s="822"/>
      <c r="DJM30" s="822"/>
      <c r="DJN30" s="822"/>
      <c r="DJO30" s="822"/>
      <c r="DJP30" s="822"/>
      <c r="DJQ30" s="822"/>
      <c r="DJR30" s="822"/>
      <c r="DJS30" s="822"/>
      <c r="DJT30" s="822"/>
      <c r="DJU30" s="822"/>
      <c r="DJV30" s="822"/>
      <c r="DJW30" s="822"/>
      <c r="DJX30" s="822"/>
      <c r="DJY30" s="822"/>
      <c r="DJZ30" s="822"/>
      <c r="DKA30" s="822"/>
      <c r="DKB30" s="822"/>
      <c r="DKC30" s="822"/>
      <c r="DKD30" s="822"/>
      <c r="DKE30" s="822"/>
      <c r="DKF30" s="822"/>
      <c r="DKG30" s="822"/>
      <c r="DKH30" s="822"/>
      <c r="DKI30" s="822"/>
      <c r="DKJ30" s="822"/>
      <c r="DKK30" s="822"/>
      <c r="DKL30" s="822"/>
      <c r="DKM30" s="822"/>
      <c r="DKN30" s="822"/>
      <c r="DKO30" s="822"/>
      <c r="DKP30" s="822"/>
      <c r="DKQ30" s="822"/>
      <c r="DKR30" s="822"/>
      <c r="DKS30" s="822"/>
      <c r="DKT30" s="822"/>
      <c r="DKU30" s="822"/>
      <c r="DKV30" s="822"/>
      <c r="DKW30" s="822"/>
      <c r="DKX30" s="822"/>
      <c r="DKY30" s="822"/>
      <c r="DKZ30" s="822"/>
      <c r="DLA30" s="822"/>
      <c r="DLB30" s="822"/>
      <c r="DLC30" s="822"/>
      <c r="DLD30" s="822"/>
      <c r="DLE30" s="822"/>
      <c r="DLF30" s="822"/>
      <c r="DLG30" s="822"/>
      <c r="DLH30" s="822"/>
      <c r="DLI30" s="822"/>
      <c r="DLJ30" s="822"/>
      <c r="DLK30" s="822"/>
      <c r="DLL30" s="822"/>
      <c r="DLM30" s="822"/>
      <c r="DLN30" s="822"/>
      <c r="DLO30" s="822"/>
      <c r="DLP30" s="822"/>
      <c r="DLQ30" s="822"/>
      <c r="DLR30" s="822"/>
      <c r="DLS30" s="822"/>
      <c r="DLT30" s="822"/>
      <c r="DLU30" s="822"/>
      <c r="DLV30" s="822"/>
      <c r="DLW30" s="822"/>
      <c r="DLX30" s="822"/>
      <c r="DLY30" s="822"/>
      <c r="DLZ30" s="822"/>
      <c r="DMA30" s="822"/>
      <c r="DMB30" s="822"/>
      <c r="DMC30" s="822"/>
      <c r="DMD30" s="822"/>
      <c r="DME30" s="822"/>
      <c r="DMF30" s="822"/>
      <c r="DMG30" s="822"/>
      <c r="DMH30" s="822"/>
      <c r="DMI30" s="822"/>
      <c r="DMJ30" s="822"/>
      <c r="DMK30" s="822"/>
      <c r="DML30" s="822"/>
      <c r="DMM30" s="822"/>
      <c r="DMN30" s="822"/>
      <c r="DMO30" s="822"/>
      <c r="DMP30" s="822"/>
      <c r="DMQ30" s="822"/>
      <c r="DMR30" s="822"/>
      <c r="DMS30" s="822"/>
      <c r="DMT30" s="822"/>
      <c r="DMU30" s="822"/>
      <c r="DMV30" s="822"/>
      <c r="DMW30" s="822"/>
      <c r="DMX30" s="822"/>
      <c r="DMY30" s="822"/>
      <c r="DMZ30" s="822"/>
      <c r="DNA30" s="822"/>
      <c r="DNB30" s="822"/>
      <c r="DNC30" s="822"/>
      <c r="DND30" s="822"/>
      <c r="DNE30" s="822"/>
      <c r="DNF30" s="822"/>
      <c r="DNG30" s="822"/>
      <c r="DNH30" s="822"/>
      <c r="DNI30" s="822"/>
      <c r="DNJ30" s="822"/>
      <c r="DNK30" s="822"/>
      <c r="DNL30" s="822"/>
      <c r="DNM30" s="822"/>
      <c r="DNN30" s="822"/>
      <c r="DNO30" s="822"/>
      <c r="DNP30" s="822"/>
      <c r="DNQ30" s="822"/>
      <c r="DNR30" s="822"/>
      <c r="DNS30" s="822"/>
      <c r="DNT30" s="822"/>
      <c r="DNU30" s="822"/>
      <c r="DNV30" s="822"/>
      <c r="DNW30" s="822"/>
      <c r="DNX30" s="822"/>
      <c r="DNY30" s="822"/>
      <c r="DNZ30" s="822"/>
      <c r="DOA30" s="822"/>
      <c r="DOB30" s="822"/>
      <c r="DOC30" s="822"/>
      <c r="DOD30" s="822"/>
      <c r="DOE30" s="822"/>
      <c r="DOF30" s="822"/>
      <c r="DOG30" s="822"/>
      <c r="DOH30" s="822"/>
      <c r="DOI30" s="822"/>
      <c r="DOJ30" s="822"/>
      <c r="DOK30" s="822"/>
      <c r="DOL30" s="822"/>
      <c r="DOM30" s="822"/>
      <c r="DON30" s="822"/>
      <c r="DOO30" s="822"/>
      <c r="DOP30" s="822"/>
      <c r="DOQ30" s="822"/>
      <c r="DOR30" s="822"/>
      <c r="DOS30" s="822"/>
      <c r="DOT30" s="822"/>
      <c r="DOU30" s="822"/>
      <c r="DOV30" s="822"/>
      <c r="DOW30" s="822"/>
      <c r="DOX30" s="822"/>
      <c r="DOY30" s="822"/>
      <c r="DOZ30" s="822"/>
      <c r="DPA30" s="822"/>
      <c r="DPB30" s="822"/>
      <c r="DPC30" s="822"/>
      <c r="DPD30" s="822"/>
      <c r="DPE30" s="822"/>
      <c r="DPF30" s="822"/>
      <c r="DPG30" s="822"/>
      <c r="DPH30" s="822"/>
      <c r="DPI30" s="822"/>
      <c r="DPJ30" s="822"/>
      <c r="DPK30" s="822"/>
      <c r="DPL30" s="822"/>
      <c r="DPM30" s="822"/>
      <c r="DPN30" s="822"/>
      <c r="DPO30" s="822"/>
      <c r="DPP30" s="822"/>
      <c r="DPQ30" s="822"/>
      <c r="DPR30" s="822"/>
      <c r="DPS30" s="822"/>
      <c r="DPT30" s="822"/>
      <c r="DPU30" s="822"/>
      <c r="DPV30" s="822"/>
      <c r="DPW30" s="822"/>
      <c r="DPX30" s="822"/>
      <c r="DPY30" s="822"/>
      <c r="DPZ30" s="822"/>
      <c r="DQA30" s="822"/>
      <c r="DQB30" s="822"/>
      <c r="DQC30" s="822"/>
      <c r="DQD30" s="822"/>
      <c r="DQE30" s="822"/>
      <c r="DQF30" s="822"/>
      <c r="DQG30" s="822"/>
      <c r="DQH30" s="822"/>
      <c r="DQI30" s="822"/>
      <c r="DQJ30" s="822"/>
      <c r="DQK30" s="822"/>
      <c r="DQL30" s="822"/>
      <c r="DQM30" s="822"/>
      <c r="DQN30" s="822"/>
      <c r="DQO30" s="822"/>
      <c r="DQP30" s="822"/>
      <c r="DQQ30" s="822"/>
      <c r="DQR30" s="822"/>
      <c r="DQS30" s="822"/>
      <c r="DQT30" s="822"/>
      <c r="DQU30" s="822"/>
      <c r="DQV30" s="822"/>
      <c r="DQW30" s="822"/>
      <c r="DQX30" s="822"/>
      <c r="DQY30" s="822"/>
      <c r="DQZ30" s="822"/>
      <c r="DRA30" s="822"/>
      <c r="DRB30" s="822"/>
      <c r="DRC30" s="822"/>
      <c r="DRD30" s="822"/>
      <c r="DRE30" s="822"/>
      <c r="DRF30" s="822"/>
      <c r="DRG30" s="822"/>
      <c r="DRH30" s="822"/>
      <c r="DRI30" s="822"/>
      <c r="DRJ30" s="822"/>
      <c r="DRK30" s="822"/>
      <c r="DRL30" s="822"/>
      <c r="DRM30" s="822"/>
      <c r="DRN30" s="822"/>
      <c r="DRO30" s="822"/>
      <c r="DRP30" s="822"/>
      <c r="DRQ30" s="822"/>
      <c r="DRR30" s="822"/>
      <c r="DRS30" s="822"/>
      <c r="DRT30" s="822"/>
      <c r="DRU30" s="822"/>
      <c r="DRV30" s="822"/>
      <c r="DRW30" s="822"/>
      <c r="DRX30" s="822"/>
      <c r="DRY30" s="822"/>
      <c r="DRZ30" s="822"/>
      <c r="DSA30" s="822"/>
      <c r="DSB30" s="822"/>
      <c r="DSC30" s="822"/>
      <c r="DSD30" s="822"/>
      <c r="DSE30" s="822"/>
      <c r="DSF30" s="822"/>
      <c r="DSG30" s="822"/>
      <c r="DSH30" s="822"/>
      <c r="DSI30" s="822"/>
      <c r="DSJ30" s="822"/>
      <c r="DSK30" s="822"/>
      <c r="DSL30" s="822"/>
      <c r="DSM30" s="822"/>
      <c r="DSN30" s="822"/>
      <c r="DSO30" s="822"/>
      <c r="DSP30" s="822"/>
      <c r="DSQ30" s="822"/>
      <c r="DSR30" s="822"/>
      <c r="DSS30" s="822"/>
      <c r="DST30" s="822"/>
      <c r="DSU30" s="822"/>
      <c r="DSV30" s="822"/>
      <c r="DSW30" s="822"/>
      <c r="DSX30" s="822"/>
      <c r="DSY30" s="822"/>
      <c r="DSZ30" s="822"/>
      <c r="DTA30" s="822"/>
      <c r="DTB30" s="822"/>
      <c r="DTC30" s="822"/>
      <c r="DTD30" s="822"/>
      <c r="DTE30" s="822"/>
      <c r="DTF30" s="822"/>
      <c r="DTG30" s="822"/>
      <c r="DTH30" s="822"/>
      <c r="DTI30" s="822"/>
      <c r="DTJ30" s="822"/>
      <c r="DTK30" s="822"/>
      <c r="DTL30" s="822"/>
      <c r="DTM30" s="822"/>
      <c r="DTN30" s="822"/>
      <c r="DTO30" s="822"/>
      <c r="DTP30" s="822"/>
      <c r="DTQ30" s="822"/>
      <c r="DTR30" s="822"/>
      <c r="DTS30" s="822"/>
      <c r="DTT30" s="822"/>
      <c r="DTU30" s="822"/>
      <c r="DTV30" s="822"/>
      <c r="DTW30" s="822"/>
      <c r="DTX30" s="822"/>
      <c r="DTY30" s="822"/>
      <c r="DTZ30" s="822"/>
      <c r="DUA30" s="822"/>
      <c r="DUB30" s="822"/>
      <c r="DUC30" s="822"/>
      <c r="DUD30" s="822"/>
      <c r="DUE30" s="822"/>
      <c r="DUF30" s="822"/>
      <c r="DUG30" s="822"/>
      <c r="DUH30" s="822"/>
      <c r="DUI30" s="822"/>
      <c r="DUJ30" s="822"/>
      <c r="DUK30" s="822"/>
      <c r="DUL30" s="822"/>
      <c r="DUM30" s="822"/>
      <c r="DUN30" s="822"/>
      <c r="DUO30" s="822"/>
      <c r="DUP30" s="822"/>
      <c r="DUQ30" s="822"/>
      <c r="DUR30" s="822"/>
      <c r="DUS30" s="822"/>
      <c r="DUT30" s="822"/>
      <c r="DUU30" s="822"/>
      <c r="DUV30" s="822"/>
      <c r="DUW30" s="822"/>
      <c r="DUX30" s="822"/>
      <c r="DUY30" s="822"/>
      <c r="DUZ30" s="822"/>
      <c r="DVA30" s="822"/>
      <c r="DVB30" s="822"/>
      <c r="DVC30" s="822"/>
      <c r="DVD30" s="822"/>
      <c r="DVE30" s="822"/>
      <c r="DVF30" s="822"/>
      <c r="DVG30" s="822"/>
      <c r="DVH30" s="822"/>
      <c r="DVI30" s="822"/>
      <c r="DVJ30" s="822"/>
      <c r="DVK30" s="822"/>
      <c r="DVL30" s="822"/>
      <c r="DVM30" s="822"/>
      <c r="DVN30" s="822"/>
      <c r="DVO30" s="822"/>
      <c r="DVP30" s="822"/>
      <c r="DVQ30" s="822"/>
      <c r="DVR30" s="822"/>
      <c r="DVS30" s="822"/>
      <c r="DVT30" s="822"/>
      <c r="DVU30" s="822"/>
      <c r="DVV30" s="822"/>
      <c r="DVW30" s="822"/>
      <c r="DVX30" s="822"/>
      <c r="DVY30" s="822"/>
      <c r="DVZ30" s="822"/>
      <c r="DWA30" s="822"/>
      <c r="DWB30" s="822"/>
      <c r="DWC30" s="822"/>
      <c r="DWD30" s="822"/>
      <c r="DWE30" s="822"/>
      <c r="DWF30" s="822"/>
      <c r="DWG30" s="822"/>
      <c r="DWH30" s="822"/>
      <c r="DWI30" s="822"/>
      <c r="DWJ30" s="822"/>
      <c r="DWK30" s="822"/>
      <c r="DWL30" s="822"/>
      <c r="DWM30" s="822"/>
      <c r="DWN30" s="822"/>
      <c r="DWO30" s="822"/>
      <c r="DWP30" s="822"/>
      <c r="DWQ30" s="822"/>
      <c r="DWR30" s="822"/>
      <c r="DWS30" s="822"/>
      <c r="DWT30" s="822"/>
      <c r="DWU30" s="822"/>
      <c r="DWV30" s="822"/>
      <c r="DWW30" s="822"/>
      <c r="DWX30" s="822"/>
      <c r="DWY30" s="822"/>
      <c r="DWZ30" s="822"/>
      <c r="DXA30" s="822"/>
      <c r="DXB30" s="822"/>
      <c r="DXC30" s="822"/>
      <c r="DXD30" s="822"/>
      <c r="DXE30" s="822"/>
      <c r="DXF30" s="822"/>
      <c r="DXG30" s="822"/>
      <c r="DXH30" s="822"/>
      <c r="DXI30" s="822"/>
      <c r="DXJ30" s="822"/>
      <c r="DXK30" s="822"/>
      <c r="DXL30" s="822"/>
      <c r="DXM30" s="822"/>
      <c r="DXN30" s="822"/>
      <c r="DXO30" s="822"/>
      <c r="DXP30" s="822"/>
      <c r="DXQ30" s="822"/>
      <c r="DXR30" s="822"/>
      <c r="DXS30" s="822"/>
      <c r="DXT30" s="822"/>
      <c r="DXU30" s="822"/>
      <c r="DXV30" s="822"/>
      <c r="DXW30" s="822"/>
      <c r="DXX30" s="822"/>
      <c r="DXY30" s="822"/>
      <c r="DXZ30" s="822"/>
      <c r="DYA30" s="822"/>
      <c r="DYB30" s="822"/>
      <c r="DYC30" s="822"/>
      <c r="DYD30" s="822"/>
      <c r="DYE30" s="822"/>
      <c r="DYF30" s="822"/>
      <c r="DYG30" s="822"/>
      <c r="DYH30" s="822"/>
      <c r="DYI30" s="822"/>
      <c r="DYJ30" s="822"/>
      <c r="DYK30" s="822"/>
      <c r="DYL30" s="822"/>
      <c r="DYM30" s="822"/>
      <c r="DYN30" s="822"/>
      <c r="DYO30" s="822"/>
      <c r="DYP30" s="822"/>
      <c r="DYQ30" s="822"/>
      <c r="DYR30" s="822"/>
      <c r="DYS30" s="822"/>
      <c r="DYT30" s="822"/>
      <c r="DYU30" s="822"/>
      <c r="DYV30" s="822"/>
      <c r="DYW30" s="822"/>
      <c r="DYX30" s="822"/>
      <c r="DYY30" s="822"/>
      <c r="DYZ30" s="822"/>
      <c r="DZA30" s="822"/>
      <c r="DZB30" s="822"/>
      <c r="DZC30" s="822"/>
      <c r="DZD30" s="822"/>
      <c r="DZE30" s="822"/>
      <c r="DZF30" s="822"/>
      <c r="DZG30" s="822"/>
      <c r="DZH30" s="822"/>
      <c r="DZI30" s="822"/>
      <c r="DZJ30" s="822"/>
      <c r="DZK30" s="822"/>
      <c r="DZL30" s="822"/>
      <c r="DZM30" s="822"/>
      <c r="DZN30" s="822"/>
      <c r="DZO30" s="822"/>
      <c r="DZP30" s="822"/>
      <c r="DZQ30" s="822"/>
      <c r="DZR30" s="822"/>
      <c r="DZS30" s="822"/>
      <c r="DZT30" s="822"/>
      <c r="DZU30" s="822"/>
      <c r="DZV30" s="822"/>
      <c r="DZW30" s="822"/>
      <c r="DZX30" s="822"/>
      <c r="DZY30" s="822"/>
      <c r="DZZ30" s="822"/>
      <c r="EAA30" s="822"/>
      <c r="EAB30" s="822"/>
      <c r="EAC30" s="822"/>
      <c r="EAD30" s="822"/>
      <c r="EAE30" s="822"/>
      <c r="EAF30" s="822"/>
      <c r="EAG30" s="822"/>
      <c r="EAH30" s="822"/>
      <c r="EAI30" s="822"/>
      <c r="EAJ30" s="822"/>
      <c r="EAK30" s="822"/>
      <c r="EAL30" s="822"/>
      <c r="EAM30" s="822"/>
      <c r="EAN30" s="822"/>
      <c r="EAO30" s="822"/>
      <c r="EAP30" s="822"/>
      <c r="EAQ30" s="822"/>
      <c r="EAR30" s="822"/>
      <c r="EAS30" s="822"/>
      <c r="EAT30" s="822"/>
      <c r="EAU30" s="822"/>
      <c r="EAV30" s="822"/>
      <c r="EAW30" s="822"/>
      <c r="EAX30" s="822"/>
      <c r="EAY30" s="822"/>
      <c r="EAZ30" s="822"/>
      <c r="EBA30" s="822"/>
      <c r="EBB30" s="822"/>
      <c r="EBC30" s="822"/>
      <c r="EBD30" s="822"/>
      <c r="EBE30" s="822"/>
      <c r="EBF30" s="822"/>
      <c r="EBG30" s="822"/>
      <c r="EBH30" s="822"/>
      <c r="EBI30" s="822"/>
      <c r="EBJ30" s="822"/>
      <c r="EBK30" s="822"/>
      <c r="EBL30" s="822"/>
      <c r="EBM30" s="822"/>
      <c r="EBN30" s="822"/>
      <c r="EBO30" s="822"/>
      <c r="EBP30" s="822"/>
      <c r="EBQ30" s="822"/>
      <c r="EBR30" s="822"/>
      <c r="EBS30" s="822"/>
      <c r="EBT30" s="822"/>
      <c r="EBU30" s="822"/>
      <c r="EBV30" s="822"/>
      <c r="EBW30" s="822"/>
      <c r="EBX30" s="822"/>
      <c r="EBY30" s="822"/>
      <c r="EBZ30" s="822"/>
      <c r="ECA30" s="822"/>
      <c r="ECB30" s="822"/>
      <c r="ECC30" s="822"/>
      <c r="ECD30" s="822"/>
      <c r="ECE30" s="822"/>
      <c r="ECF30" s="822"/>
      <c r="ECG30" s="822"/>
      <c r="ECH30" s="822"/>
      <c r="ECI30" s="822"/>
      <c r="ECJ30" s="822"/>
      <c r="ECK30" s="822"/>
      <c r="ECL30" s="822"/>
      <c r="ECM30" s="822"/>
      <c r="ECN30" s="822"/>
      <c r="ECO30" s="822"/>
      <c r="ECP30" s="822"/>
      <c r="ECQ30" s="822"/>
      <c r="ECR30" s="822"/>
      <c r="ECS30" s="822"/>
      <c r="ECT30" s="822"/>
      <c r="ECU30" s="822"/>
      <c r="ECV30" s="822"/>
      <c r="ECW30" s="822"/>
      <c r="ECX30" s="822"/>
      <c r="ECY30" s="822"/>
      <c r="ECZ30" s="822"/>
      <c r="EDA30" s="822"/>
      <c r="EDB30" s="822"/>
      <c r="EDC30" s="822"/>
      <c r="EDD30" s="822"/>
      <c r="EDE30" s="822"/>
      <c r="EDF30" s="822"/>
      <c r="EDG30" s="822"/>
      <c r="EDH30" s="822"/>
      <c r="EDI30" s="822"/>
      <c r="EDJ30" s="822"/>
      <c r="EDK30" s="822"/>
      <c r="EDL30" s="822"/>
      <c r="EDM30" s="822"/>
      <c r="EDN30" s="822"/>
      <c r="EDO30" s="822"/>
      <c r="EDP30" s="822"/>
      <c r="EDQ30" s="822"/>
      <c r="EDR30" s="822"/>
      <c r="EDS30" s="822"/>
      <c r="EDT30" s="822"/>
      <c r="EDU30" s="822"/>
      <c r="EDV30" s="822"/>
      <c r="EDW30" s="822"/>
      <c r="EDX30" s="822"/>
      <c r="EDY30" s="822"/>
      <c r="EDZ30" s="822"/>
      <c r="EEA30" s="822"/>
      <c r="EEB30" s="822"/>
      <c r="EEC30" s="822"/>
      <c r="EED30" s="822"/>
      <c r="EEE30" s="822"/>
      <c r="EEF30" s="822"/>
      <c r="EEG30" s="822"/>
      <c r="EEH30" s="822"/>
      <c r="EEI30" s="822"/>
      <c r="EEJ30" s="822"/>
      <c r="EEK30" s="822"/>
      <c r="EEL30" s="822"/>
      <c r="EEM30" s="822"/>
      <c r="EEN30" s="822"/>
      <c r="EEO30" s="822"/>
      <c r="EEP30" s="822"/>
      <c r="EEQ30" s="822"/>
      <c r="EER30" s="822"/>
      <c r="EES30" s="822"/>
      <c r="EET30" s="822"/>
      <c r="EEU30" s="822"/>
      <c r="EEV30" s="822"/>
      <c r="EEW30" s="822"/>
      <c r="EEX30" s="822"/>
      <c r="EEY30" s="822"/>
      <c r="EEZ30" s="822"/>
      <c r="EFA30" s="822"/>
      <c r="EFB30" s="822"/>
      <c r="EFC30" s="822"/>
      <c r="EFD30" s="822"/>
      <c r="EFE30" s="822"/>
      <c r="EFF30" s="822"/>
      <c r="EFG30" s="822"/>
      <c r="EFH30" s="822"/>
      <c r="EFI30" s="822"/>
      <c r="EFJ30" s="822"/>
      <c r="EFK30" s="822"/>
      <c r="EFL30" s="822"/>
      <c r="EFM30" s="822"/>
      <c r="EFN30" s="822"/>
      <c r="EFO30" s="822"/>
      <c r="EFP30" s="822"/>
      <c r="EFQ30" s="822"/>
      <c r="EFR30" s="822"/>
      <c r="EFS30" s="822"/>
      <c r="EFT30" s="822"/>
      <c r="EFU30" s="822"/>
      <c r="EFV30" s="822"/>
      <c r="EFW30" s="822"/>
      <c r="EFX30" s="822"/>
      <c r="EFY30" s="822"/>
      <c r="EFZ30" s="822"/>
      <c r="EGA30" s="822"/>
      <c r="EGB30" s="822"/>
      <c r="EGC30" s="822"/>
      <c r="EGD30" s="822"/>
      <c r="EGE30" s="822"/>
      <c r="EGF30" s="822"/>
      <c r="EGG30" s="822"/>
      <c r="EGH30" s="822"/>
      <c r="EGI30" s="822"/>
      <c r="EGJ30" s="822"/>
      <c r="EGK30" s="822"/>
      <c r="EGL30" s="822"/>
      <c r="EGM30" s="822"/>
      <c r="EGN30" s="822"/>
      <c r="EGO30" s="822"/>
      <c r="EGP30" s="822"/>
      <c r="EGQ30" s="822"/>
      <c r="EGR30" s="822"/>
      <c r="EGS30" s="822"/>
      <c r="EGT30" s="822"/>
      <c r="EGU30" s="822"/>
      <c r="EGV30" s="822"/>
      <c r="EGW30" s="822"/>
      <c r="EGX30" s="822"/>
      <c r="EGY30" s="822"/>
      <c r="EGZ30" s="822"/>
      <c r="EHA30" s="822"/>
      <c r="EHB30" s="822"/>
      <c r="EHC30" s="822"/>
      <c r="EHD30" s="822"/>
      <c r="EHE30" s="822"/>
      <c r="EHF30" s="822"/>
      <c r="EHG30" s="822"/>
      <c r="EHH30" s="822"/>
      <c r="EHI30" s="822"/>
      <c r="EHJ30" s="822"/>
      <c r="EHK30" s="822"/>
      <c r="EHL30" s="822"/>
      <c r="EHM30" s="822"/>
      <c r="EHN30" s="822"/>
      <c r="EHO30" s="822"/>
      <c r="EHP30" s="822"/>
      <c r="EHQ30" s="822"/>
      <c r="EHR30" s="822"/>
      <c r="EHS30" s="822"/>
      <c r="EHT30" s="822"/>
      <c r="EHU30" s="822"/>
      <c r="EHV30" s="822"/>
      <c r="EHW30" s="822"/>
      <c r="EHX30" s="822"/>
      <c r="EHY30" s="822"/>
      <c r="EHZ30" s="822"/>
      <c r="EIA30" s="822"/>
      <c r="EIB30" s="822"/>
      <c r="EIC30" s="822"/>
      <c r="EID30" s="822"/>
      <c r="EIE30" s="822"/>
      <c r="EIF30" s="822"/>
      <c r="EIG30" s="822"/>
      <c r="EIH30" s="822"/>
      <c r="EII30" s="822"/>
      <c r="EIJ30" s="822"/>
      <c r="EIK30" s="822"/>
      <c r="EIL30" s="822"/>
      <c r="EIM30" s="822"/>
      <c r="EIN30" s="822"/>
      <c r="EIO30" s="822"/>
      <c r="EIP30" s="822"/>
      <c r="EIQ30" s="822"/>
      <c r="EIR30" s="822"/>
      <c r="EIS30" s="822"/>
      <c r="EIT30" s="822"/>
      <c r="EIU30" s="822"/>
      <c r="EIV30" s="822"/>
      <c r="EIW30" s="822"/>
      <c r="EIX30" s="822"/>
      <c r="EIY30" s="822"/>
      <c r="EIZ30" s="822"/>
      <c r="EJA30" s="822"/>
      <c r="EJB30" s="822"/>
      <c r="EJC30" s="822"/>
      <c r="EJD30" s="822"/>
      <c r="EJE30" s="822"/>
      <c r="EJF30" s="822"/>
      <c r="EJG30" s="822"/>
      <c r="EJH30" s="822"/>
      <c r="EJI30" s="822"/>
      <c r="EJJ30" s="822"/>
      <c r="EJK30" s="822"/>
      <c r="EJL30" s="822"/>
      <c r="EJM30" s="822"/>
      <c r="EJN30" s="822"/>
      <c r="EJO30" s="822"/>
      <c r="EJP30" s="822"/>
      <c r="EJQ30" s="822"/>
      <c r="EJR30" s="822"/>
      <c r="EJS30" s="822"/>
      <c r="EJT30" s="822"/>
      <c r="EJU30" s="822"/>
      <c r="EJV30" s="822"/>
      <c r="EJW30" s="822"/>
      <c r="EJX30" s="822"/>
      <c r="EJY30" s="822"/>
      <c r="EJZ30" s="822"/>
      <c r="EKA30" s="822"/>
      <c r="EKB30" s="822"/>
      <c r="EKC30" s="822"/>
      <c r="EKD30" s="822"/>
      <c r="EKE30" s="822"/>
      <c r="EKF30" s="822"/>
      <c r="EKG30" s="822"/>
      <c r="EKH30" s="822"/>
      <c r="EKI30" s="822"/>
      <c r="EKJ30" s="822"/>
      <c r="EKK30" s="822"/>
      <c r="EKL30" s="822"/>
      <c r="EKM30" s="822"/>
      <c r="EKN30" s="822"/>
      <c r="EKO30" s="822"/>
      <c r="EKP30" s="822"/>
      <c r="EKQ30" s="822"/>
      <c r="EKR30" s="822"/>
      <c r="EKS30" s="822"/>
      <c r="EKT30" s="822"/>
      <c r="EKU30" s="822"/>
      <c r="EKV30" s="822"/>
      <c r="EKW30" s="822"/>
      <c r="EKX30" s="822"/>
      <c r="EKY30" s="822"/>
      <c r="EKZ30" s="822"/>
      <c r="ELA30" s="822"/>
      <c r="ELB30" s="822"/>
      <c r="ELC30" s="822"/>
      <c r="ELD30" s="822"/>
      <c r="ELE30" s="822"/>
      <c r="ELF30" s="822"/>
      <c r="ELG30" s="822"/>
      <c r="ELH30" s="822"/>
      <c r="ELI30" s="822"/>
      <c r="ELJ30" s="822"/>
      <c r="ELK30" s="822"/>
      <c r="ELL30" s="822"/>
      <c r="ELM30" s="822"/>
      <c r="ELN30" s="822"/>
      <c r="ELO30" s="822"/>
      <c r="ELP30" s="822"/>
      <c r="ELQ30" s="822"/>
      <c r="ELR30" s="822"/>
      <c r="ELS30" s="822"/>
      <c r="ELT30" s="822"/>
      <c r="ELU30" s="822"/>
      <c r="ELV30" s="822"/>
      <c r="ELW30" s="822"/>
      <c r="ELX30" s="822"/>
      <c r="ELY30" s="822"/>
      <c r="ELZ30" s="822"/>
      <c r="EMA30" s="822"/>
      <c r="EMB30" s="822"/>
      <c r="EMC30" s="822"/>
      <c r="EMD30" s="822"/>
      <c r="EME30" s="822"/>
      <c r="EMF30" s="822"/>
      <c r="EMG30" s="822"/>
      <c r="EMH30" s="822"/>
      <c r="EMI30" s="822"/>
      <c r="EMJ30" s="822"/>
      <c r="EMK30" s="822"/>
      <c r="EML30" s="822"/>
      <c r="EMM30" s="822"/>
      <c r="EMN30" s="822"/>
      <c r="EMO30" s="822"/>
      <c r="EMP30" s="822"/>
      <c r="EMQ30" s="822"/>
      <c r="EMR30" s="822"/>
      <c r="EMS30" s="822"/>
      <c r="EMT30" s="822"/>
      <c r="EMU30" s="822"/>
      <c r="EMV30" s="822"/>
      <c r="EMW30" s="822"/>
      <c r="EMX30" s="822"/>
      <c r="EMY30" s="822"/>
      <c r="EMZ30" s="822"/>
      <c r="ENA30" s="822"/>
      <c r="ENB30" s="822"/>
      <c r="ENC30" s="822"/>
      <c r="END30" s="822"/>
      <c r="ENE30" s="822"/>
      <c r="ENF30" s="822"/>
      <c r="ENG30" s="822"/>
      <c r="ENH30" s="822"/>
      <c r="ENI30" s="822"/>
      <c r="ENJ30" s="822"/>
      <c r="ENK30" s="822"/>
      <c r="ENL30" s="822"/>
      <c r="ENM30" s="822"/>
      <c r="ENN30" s="822"/>
      <c r="ENO30" s="822"/>
      <c r="ENP30" s="822"/>
      <c r="ENQ30" s="822"/>
      <c r="ENR30" s="822"/>
      <c r="ENS30" s="822"/>
      <c r="ENT30" s="822"/>
      <c r="ENU30" s="822"/>
      <c r="ENV30" s="822"/>
      <c r="ENW30" s="822"/>
      <c r="ENX30" s="822"/>
      <c r="ENY30" s="822"/>
      <c r="ENZ30" s="822"/>
      <c r="EOA30" s="822"/>
      <c r="EOB30" s="822"/>
      <c r="EOC30" s="822"/>
      <c r="EOD30" s="822"/>
      <c r="EOE30" s="822"/>
      <c r="EOF30" s="822"/>
      <c r="EOG30" s="822"/>
      <c r="EOH30" s="822"/>
      <c r="EOI30" s="822"/>
      <c r="EOJ30" s="822"/>
      <c r="EOK30" s="822"/>
      <c r="EOL30" s="822"/>
      <c r="EOM30" s="822"/>
      <c r="EON30" s="822"/>
      <c r="EOO30" s="822"/>
      <c r="EOP30" s="822"/>
      <c r="EOQ30" s="822"/>
      <c r="EOR30" s="822"/>
      <c r="EOS30" s="822"/>
      <c r="EOT30" s="822"/>
      <c r="EOU30" s="822"/>
      <c r="EOV30" s="822"/>
      <c r="EOW30" s="822"/>
      <c r="EOX30" s="822"/>
      <c r="EOY30" s="822"/>
      <c r="EOZ30" s="822"/>
      <c r="EPA30" s="822"/>
      <c r="EPB30" s="822"/>
      <c r="EPC30" s="822"/>
      <c r="EPD30" s="822"/>
      <c r="EPE30" s="822"/>
      <c r="EPF30" s="822"/>
      <c r="EPG30" s="822"/>
      <c r="EPH30" s="822"/>
      <c r="EPI30" s="822"/>
      <c r="EPJ30" s="822"/>
      <c r="EPK30" s="822"/>
      <c r="EPL30" s="822"/>
      <c r="EPM30" s="822"/>
      <c r="EPN30" s="822"/>
      <c r="EPO30" s="822"/>
      <c r="EPP30" s="822"/>
      <c r="EPQ30" s="822"/>
      <c r="EPR30" s="822"/>
      <c r="EPS30" s="822"/>
      <c r="EPT30" s="822"/>
      <c r="EPU30" s="822"/>
      <c r="EPV30" s="822"/>
      <c r="EPW30" s="822"/>
      <c r="EPX30" s="822"/>
      <c r="EPY30" s="822"/>
      <c r="EPZ30" s="822"/>
      <c r="EQA30" s="822"/>
      <c r="EQB30" s="822"/>
      <c r="EQC30" s="822"/>
      <c r="EQD30" s="822"/>
      <c r="EQE30" s="822"/>
      <c r="EQF30" s="822"/>
      <c r="EQG30" s="822"/>
      <c r="EQH30" s="822"/>
      <c r="EQI30" s="822"/>
      <c r="EQJ30" s="822"/>
      <c r="EQK30" s="822"/>
      <c r="EQL30" s="822"/>
      <c r="EQM30" s="822"/>
      <c r="EQN30" s="822"/>
      <c r="EQO30" s="822"/>
      <c r="EQP30" s="822"/>
      <c r="EQQ30" s="822"/>
      <c r="EQR30" s="822"/>
      <c r="EQS30" s="822"/>
      <c r="EQT30" s="822"/>
      <c r="EQU30" s="822"/>
      <c r="EQV30" s="822"/>
      <c r="EQW30" s="822"/>
      <c r="EQX30" s="822"/>
      <c r="EQY30" s="822"/>
      <c r="EQZ30" s="822"/>
      <c r="ERA30" s="822"/>
      <c r="ERB30" s="822"/>
      <c r="ERC30" s="822"/>
      <c r="ERD30" s="822"/>
      <c r="ERE30" s="822"/>
      <c r="ERF30" s="822"/>
      <c r="ERG30" s="822"/>
      <c r="ERH30" s="822"/>
      <c r="ERI30" s="822"/>
      <c r="ERJ30" s="822"/>
      <c r="ERK30" s="822"/>
      <c r="ERL30" s="822"/>
      <c r="ERM30" s="822"/>
      <c r="ERN30" s="822"/>
      <c r="ERO30" s="822"/>
      <c r="ERP30" s="822"/>
      <c r="ERQ30" s="822"/>
      <c r="ERR30" s="822"/>
      <c r="ERS30" s="822"/>
      <c r="ERT30" s="822"/>
      <c r="ERU30" s="822"/>
      <c r="ERV30" s="822"/>
      <c r="ERW30" s="822"/>
      <c r="ERX30" s="822"/>
      <c r="ERY30" s="822"/>
      <c r="ERZ30" s="822"/>
      <c r="ESA30" s="822"/>
      <c r="ESB30" s="822"/>
      <c r="ESC30" s="822"/>
      <c r="ESD30" s="822"/>
      <c r="ESE30" s="822"/>
      <c r="ESF30" s="822"/>
      <c r="ESG30" s="822"/>
      <c r="ESH30" s="822"/>
      <c r="ESI30" s="822"/>
      <c r="ESJ30" s="822"/>
      <c r="ESK30" s="822"/>
      <c r="ESL30" s="822"/>
      <c r="ESM30" s="822"/>
      <c r="ESN30" s="822"/>
      <c r="ESO30" s="822"/>
      <c r="ESP30" s="822"/>
      <c r="ESQ30" s="822"/>
      <c r="ESR30" s="822"/>
      <c r="ESS30" s="822"/>
      <c r="EST30" s="822"/>
      <c r="ESU30" s="822"/>
      <c r="ESV30" s="822"/>
      <c r="ESW30" s="822"/>
      <c r="ESX30" s="822"/>
      <c r="ESY30" s="822"/>
      <c r="ESZ30" s="822"/>
      <c r="ETA30" s="822"/>
      <c r="ETB30" s="822"/>
      <c r="ETC30" s="822"/>
      <c r="ETD30" s="822"/>
      <c r="ETE30" s="822"/>
      <c r="ETF30" s="822"/>
      <c r="ETG30" s="822"/>
      <c r="ETH30" s="822"/>
      <c r="ETI30" s="822"/>
      <c r="ETJ30" s="822"/>
      <c r="ETK30" s="822"/>
      <c r="ETL30" s="822"/>
      <c r="ETM30" s="822"/>
      <c r="ETN30" s="822"/>
      <c r="ETO30" s="822"/>
      <c r="ETP30" s="822"/>
      <c r="ETQ30" s="822"/>
      <c r="ETR30" s="822"/>
      <c r="ETS30" s="822"/>
      <c r="ETT30" s="822"/>
      <c r="ETU30" s="822"/>
      <c r="ETV30" s="822"/>
      <c r="ETW30" s="822"/>
      <c r="ETX30" s="822"/>
      <c r="ETY30" s="822"/>
      <c r="ETZ30" s="822"/>
      <c r="EUA30" s="822"/>
      <c r="EUB30" s="822"/>
      <c r="EUC30" s="822"/>
      <c r="EUD30" s="822"/>
      <c r="EUE30" s="822"/>
      <c r="EUF30" s="822"/>
      <c r="EUG30" s="822"/>
      <c r="EUH30" s="822"/>
      <c r="EUI30" s="822"/>
      <c r="EUJ30" s="822"/>
      <c r="EUK30" s="822"/>
      <c r="EUL30" s="822"/>
      <c r="EUM30" s="822"/>
      <c r="EUN30" s="822"/>
      <c r="EUO30" s="822"/>
      <c r="EUP30" s="822"/>
      <c r="EUQ30" s="822"/>
      <c r="EUR30" s="822"/>
      <c r="EUS30" s="822"/>
      <c r="EUT30" s="822"/>
      <c r="EUU30" s="822"/>
      <c r="EUV30" s="822"/>
      <c r="EUW30" s="822"/>
      <c r="EUX30" s="822"/>
      <c r="EUY30" s="822"/>
      <c r="EUZ30" s="822"/>
      <c r="EVA30" s="822"/>
      <c r="EVB30" s="822"/>
      <c r="EVC30" s="822"/>
      <c r="EVD30" s="822"/>
      <c r="EVE30" s="822"/>
      <c r="EVF30" s="822"/>
      <c r="EVG30" s="822"/>
      <c r="EVH30" s="822"/>
      <c r="EVI30" s="822"/>
      <c r="EVJ30" s="822"/>
      <c r="EVK30" s="822"/>
      <c r="EVL30" s="822"/>
      <c r="EVM30" s="822"/>
      <c r="EVN30" s="822"/>
      <c r="EVO30" s="822"/>
      <c r="EVP30" s="822"/>
      <c r="EVQ30" s="822"/>
      <c r="EVR30" s="822"/>
      <c r="EVS30" s="822"/>
      <c r="EVT30" s="822"/>
      <c r="EVU30" s="822"/>
      <c r="EVV30" s="822"/>
      <c r="EVW30" s="822"/>
      <c r="EVX30" s="822"/>
      <c r="EVY30" s="822"/>
      <c r="EVZ30" s="822"/>
      <c r="EWA30" s="822"/>
      <c r="EWB30" s="822"/>
      <c r="EWC30" s="822"/>
      <c r="EWD30" s="822"/>
      <c r="EWE30" s="822"/>
      <c r="EWF30" s="822"/>
      <c r="EWG30" s="822"/>
      <c r="EWH30" s="822"/>
      <c r="EWI30" s="822"/>
      <c r="EWJ30" s="822"/>
      <c r="EWK30" s="822"/>
      <c r="EWL30" s="822"/>
      <c r="EWM30" s="822"/>
      <c r="EWN30" s="822"/>
      <c r="EWO30" s="822"/>
      <c r="EWP30" s="822"/>
      <c r="EWQ30" s="822"/>
      <c r="EWR30" s="822"/>
      <c r="EWS30" s="822"/>
      <c r="EWT30" s="822"/>
      <c r="EWU30" s="822"/>
      <c r="EWV30" s="822"/>
      <c r="EWW30" s="822"/>
      <c r="EWX30" s="822"/>
      <c r="EWY30" s="822"/>
      <c r="EWZ30" s="822"/>
      <c r="EXA30" s="822"/>
      <c r="EXB30" s="822"/>
      <c r="EXC30" s="822"/>
      <c r="EXD30" s="822"/>
      <c r="EXE30" s="822"/>
      <c r="EXF30" s="822"/>
      <c r="EXG30" s="822"/>
      <c r="EXH30" s="822"/>
      <c r="EXI30" s="822"/>
      <c r="EXJ30" s="822"/>
      <c r="EXK30" s="822"/>
      <c r="EXL30" s="822"/>
      <c r="EXM30" s="822"/>
      <c r="EXN30" s="822"/>
      <c r="EXO30" s="822"/>
      <c r="EXP30" s="822"/>
      <c r="EXQ30" s="822"/>
      <c r="EXR30" s="822"/>
      <c r="EXS30" s="822"/>
      <c r="EXT30" s="822"/>
      <c r="EXU30" s="822"/>
      <c r="EXV30" s="822"/>
      <c r="EXW30" s="822"/>
      <c r="EXX30" s="822"/>
      <c r="EXY30" s="822"/>
      <c r="EXZ30" s="822"/>
      <c r="EYA30" s="822"/>
      <c r="EYB30" s="822"/>
      <c r="EYC30" s="822"/>
      <c r="EYD30" s="822"/>
      <c r="EYE30" s="822"/>
      <c r="EYF30" s="822"/>
      <c r="EYG30" s="822"/>
      <c r="EYH30" s="822"/>
      <c r="EYI30" s="822"/>
      <c r="EYJ30" s="822"/>
      <c r="EYK30" s="822"/>
      <c r="EYL30" s="822"/>
      <c r="EYM30" s="822"/>
      <c r="EYN30" s="822"/>
      <c r="EYO30" s="822"/>
      <c r="EYP30" s="822"/>
      <c r="EYQ30" s="822"/>
      <c r="EYR30" s="822"/>
      <c r="EYS30" s="822"/>
      <c r="EYT30" s="822"/>
      <c r="EYU30" s="822"/>
      <c r="EYV30" s="822"/>
      <c r="EYW30" s="822"/>
      <c r="EYX30" s="822"/>
      <c r="EYY30" s="822"/>
      <c r="EYZ30" s="822"/>
      <c r="EZA30" s="822"/>
      <c r="EZB30" s="822"/>
      <c r="EZC30" s="822"/>
      <c r="EZD30" s="822"/>
      <c r="EZE30" s="822"/>
      <c r="EZF30" s="822"/>
      <c r="EZG30" s="822"/>
      <c r="EZH30" s="822"/>
      <c r="EZI30" s="822"/>
      <c r="EZJ30" s="822"/>
      <c r="EZK30" s="822"/>
      <c r="EZL30" s="822"/>
      <c r="EZM30" s="822"/>
      <c r="EZN30" s="822"/>
      <c r="EZO30" s="822"/>
      <c r="EZP30" s="822"/>
      <c r="EZQ30" s="822"/>
      <c r="EZR30" s="822"/>
      <c r="EZS30" s="822"/>
      <c r="EZT30" s="822"/>
      <c r="EZU30" s="822"/>
      <c r="EZV30" s="822"/>
      <c r="EZW30" s="822"/>
      <c r="EZX30" s="822"/>
      <c r="EZY30" s="822"/>
      <c r="EZZ30" s="822"/>
      <c r="FAA30" s="822"/>
      <c r="FAB30" s="822"/>
      <c r="FAC30" s="822"/>
      <c r="FAD30" s="822"/>
      <c r="FAE30" s="822"/>
      <c r="FAF30" s="822"/>
      <c r="FAG30" s="822"/>
      <c r="FAH30" s="822"/>
      <c r="FAI30" s="822"/>
      <c r="FAJ30" s="822"/>
      <c r="FAK30" s="822"/>
      <c r="FAL30" s="822"/>
      <c r="FAM30" s="822"/>
      <c r="FAN30" s="822"/>
      <c r="FAO30" s="822"/>
      <c r="FAP30" s="822"/>
      <c r="FAQ30" s="822"/>
      <c r="FAR30" s="822"/>
      <c r="FAS30" s="822"/>
      <c r="FAT30" s="822"/>
      <c r="FAU30" s="822"/>
      <c r="FAV30" s="822"/>
      <c r="FAW30" s="822"/>
      <c r="FAX30" s="822"/>
      <c r="FAY30" s="822"/>
      <c r="FAZ30" s="822"/>
      <c r="FBA30" s="822"/>
      <c r="FBB30" s="822"/>
      <c r="FBC30" s="822"/>
      <c r="FBD30" s="822"/>
      <c r="FBE30" s="822"/>
      <c r="FBF30" s="822"/>
      <c r="FBG30" s="822"/>
      <c r="FBH30" s="822"/>
      <c r="FBI30" s="822"/>
      <c r="FBJ30" s="822"/>
      <c r="FBK30" s="822"/>
      <c r="FBL30" s="822"/>
      <c r="FBM30" s="822"/>
      <c r="FBN30" s="822"/>
      <c r="FBO30" s="822"/>
      <c r="FBP30" s="822"/>
      <c r="FBQ30" s="822"/>
      <c r="FBR30" s="822"/>
      <c r="FBS30" s="822"/>
      <c r="FBT30" s="822"/>
      <c r="FBU30" s="822"/>
      <c r="FBV30" s="822"/>
      <c r="FBW30" s="822"/>
      <c r="FBX30" s="822"/>
      <c r="FBY30" s="822"/>
      <c r="FBZ30" s="822"/>
      <c r="FCA30" s="822"/>
      <c r="FCB30" s="822"/>
      <c r="FCC30" s="822"/>
      <c r="FCD30" s="822"/>
      <c r="FCE30" s="822"/>
      <c r="FCF30" s="822"/>
      <c r="FCG30" s="822"/>
      <c r="FCH30" s="822"/>
      <c r="FCI30" s="822"/>
      <c r="FCJ30" s="822"/>
      <c r="FCK30" s="822"/>
      <c r="FCL30" s="822"/>
      <c r="FCM30" s="822"/>
      <c r="FCN30" s="822"/>
      <c r="FCO30" s="822"/>
      <c r="FCP30" s="822"/>
      <c r="FCQ30" s="822"/>
      <c r="FCR30" s="822"/>
      <c r="FCS30" s="822"/>
      <c r="FCT30" s="822"/>
      <c r="FCU30" s="822"/>
      <c r="FCV30" s="822"/>
      <c r="FCW30" s="822"/>
      <c r="FCX30" s="822"/>
      <c r="FCY30" s="822"/>
      <c r="FCZ30" s="822"/>
      <c r="FDA30" s="822"/>
      <c r="FDB30" s="822"/>
      <c r="FDC30" s="822"/>
      <c r="FDD30" s="822"/>
      <c r="FDE30" s="822"/>
      <c r="FDF30" s="822"/>
      <c r="FDG30" s="822"/>
      <c r="FDH30" s="822"/>
      <c r="FDI30" s="822"/>
      <c r="FDJ30" s="822"/>
      <c r="FDK30" s="822"/>
      <c r="FDL30" s="822"/>
      <c r="FDM30" s="822"/>
      <c r="FDN30" s="822"/>
      <c r="FDO30" s="822"/>
      <c r="FDP30" s="822"/>
      <c r="FDQ30" s="822"/>
      <c r="FDR30" s="822"/>
      <c r="FDS30" s="822"/>
      <c r="FDT30" s="822"/>
      <c r="FDU30" s="822"/>
      <c r="FDV30" s="822"/>
      <c r="FDW30" s="822"/>
      <c r="FDX30" s="822"/>
      <c r="FDY30" s="822"/>
      <c r="FDZ30" s="822"/>
      <c r="FEA30" s="822"/>
      <c r="FEB30" s="822"/>
      <c r="FEC30" s="822"/>
      <c r="FED30" s="822"/>
      <c r="FEE30" s="822"/>
      <c r="FEF30" s="822"/>
      <c r="FEG30" s="822"/>
      <c r="FEH30" s="822"/>
      <c r="FEI30" s="822"/>
      <c r="FEJ30" s="822"/>
      <c r="FEK30" s="822"/>
      <c r="FEL30" s="822"/>
      <c r="FEM30" s="822"/>
      <c r="FEN30" s="822"/>
      <c r="FEO30" s="822"/>
      <c r="FEP30" s="822"/>
      <c r="FEQ30" s="822"/>
      <c r="FER30" s="822"/>
      <c r="FES30" s="822"/>
      <c r="FET30" s="822"/>
      <c r="FEU30" s="822"/>
      <c r="FEV30" s="822"/>
      <c r="FEW30" s="822"/>
      <c r="FEX30" s="822"/>
      <c r="FEY30" s="822"/>
      <c r="FEZ30" s="822"/>
      <c r="FFA30" s="822"/>
      <c r="FFB30" s="822"/>
      <c r="FFC30" s="822"/>
      <c r="FFD30" s="822"/>
      <c r="FFE30" s="822"/>
      <c r="FFF30" s="822"/>
      <c r="FFG30" s="822"/>
      <c r="FFH30" s="822"/>
      <c r="FFI30" s="822"/>
      <c r="FFJ30" s="822"/>
      <c r="FFK30" s="822"/>
      <c r="FFL30" s="822"/>
      <c r="FFM30" s="822"/>
      <c r="FFN30" s="822"/>
      <c r="FFO30" s="822"/>
      <c r="FFP30" s="822"/>
      <c r="FFQ30" s="822"/>
      <c r="FFR30" s="822"/>
      <c r="FFS30" s="822"/>
      <c r="FFT30" s="822"/>
      <c r="FFU30" s="822"/>
      <c r="FFV30" s="822"/>
      <c r="FFW30" s="822"/>
      <c r="FFX30" s="822"/>
      <c r="FFY30" s="822"/>
      <c r="FFZ30" s="822"/>
      <c r="FGA30" s="822"/>
      <c r="FGB30" s="822"/>
      <c r="FGC30" s="822"/>
      <c r="FGD30" s="822"/>
      <c r="FGE30" s="822"/>
      <c r="FGF30" s="822"/>
      <c r="FGG30" s="822"/>
      <c r="FGH30" s="822"/>
      <c r="FGI30" s="822"/>
      <c r="FGJ30" s="822"/>
      <c r="FGK30" s="822"/>
      <c r="FGL30" s="822"/>
      <c r="FGM30" s="822"/>
      <c r="FGN30" s="822"/>
      <c r="FGO30" s="822"/>
      <c r="FGP30" s="822"/>
      <c r="FGQ30" s="822"/>
      <c r="FGR30" s="822"/>
      <c r="FGS30" s="822"/>
      <c r="FGT30" s="822"/>
      <c r="FGU30" s="822"/>
      <c r="FGV30" s="822"/>
      <c r="FGW30" s="822"/>
      <c r="FGX30" s="822"/>
      <c r="FGY30" s="822"/>
      <c r="FGZ30" s="822"/>
      <c r="FHA30" s="822"/>
      <c r="FHB30" s="822"/>
      <c r="FHC30" s="822"/>
      <c r="FHD30" s="822"/>
      <c r="FHE30" s="822"/>
      <c r="FHF30" s="822"/>
      <c r="FHG30" s="822"/>
      <c r="FHH30" s="822"/>
      <c r="FHI30" s="822"/>
      <c r="FHJ30" s="822"/>
      <c r="FHK30" s="822"/>
      <c r="FHL30" s="822"/>
      <c r="FHM30" s="822"/>
      <c r="FHN30" s="822"/>
      <c r="FHO30" s="822"/>
      <c r="FHP30" s="822"/>
      <c r="FHQ30" s="822"/>
      <c r="FHR30" s="822"/>
      <c r="FHS30" s="822"/>
      <c r="FHT30" s="822"/>
      <c r="FHU30" s="822"/>
      <c r="FHV30" s="822"/>
      <c r="FHW30" s="822"/>
      <c r="FHX30" s="822"/>
      <c r="FHY30" s="822"/>
      <c r="FHZ30" s="822"/>
      <c r="FIA30" s="822"/>
      <c r="FIB30" s="822"/>
      <c r="FIC30" s="822"/>
      <c r="FID30" s="822"/>
      <c r="FIE30" s="822"/>
      <c r="FIF30" s="822"/>
      <c r="FIG30" s="822"/>
      <c r="FIH30" s="822"/>
      <c r="FII30" s="822"/>
      <c r="FIJ30" s="822"/>
      <c r="FIK30" s="822"/>
      <c r="FIL30" s="822"/>
      <c r="FIM30" s="822"/>
      <c r="FIN30" s="822"/>
      <c r="FIO30" s="822"/>
      <c r="FIP30" s="822"/>
      <c r="FIQ30" s="822"/>
      <c r="FIR30" s="822"/>
      <c r="FIS30" s="822"/>
      <c r="FIT30" s="822"/>
      <c r="FIU30" s="822"/>
      <c r="FIV30" s="822"/>
      <c r="FIW30" s="822"/>
      <c r="FIX30" s="822"/>
      <c r="FIY30" s="822"/>
      <c r="FIZ30" s="822"/>
      <c r="FJA30" s="822"/>
      <c r="FJB30" s="822"/>
      <c r="FJC30" s="822"/>
      <c r="FJD30" s="822"/>
      <c r="FJE30" s="822"/>
      <c r="FJF30" s="822"/>
      <c r="FJG30" s="822"/>
      <c r="FJH30" s="822"/>
      <c r="FJI30" s="822"/>
      <c r="FJJ30" s="822"/>
      <c r="FJK30" s="822"/>
      <c r="FJL30" s="822"/>
      <c r="FJM30" s="822"/>
      <c r="FJN30" s="822"/>
      <c r="FJO30" s="822"/>
      <c r="FJP30" s="822"/>
      <c r="FJQ30" s="822"/>
      <c r="FJR30" s="822"/>
      <c r="FJS30" s="822"/>
      <c r="FJT30" s="822"/>
      <c r="FJU30" s="822"/>
      <c r="FJV30" s="822"/>
      <c r="FJW30" s="822"/>
      <c r="FJX30" s="822"/>
      <c r="FJY30" s="822"/>
      <c r="FJZ30" s="822"/>
      <c r="FKA30" s="822"/>
      <c r="FKB30" s="822"/>
      <c r="FKC30" s="822"/>
      <c r="FKD30" s="822"/>
      <c r="FKE30" s="822"/>
      <c r="FKF30" s="822"/>
      <c r="FKG30" s="822"/>
      <c r="FKH30" s="822"/>
      <c r="FKI30" s="822"/>
      <c r="FKJ30" s="822"/>
      <c r="FKK30" s="822"/>
      <c r="FKL30" s="822"/>
      <c r="FKM30" s="822"/>
      <c r="FKN30" s="822"/>
      <c r="FKO30" s="822"/>
      <c r="FKP30" s="822"/>
      <c r="FKQ30" s="822"/>
      <c r="FKR30" s="822"/>
      <c r="FKS30" s="822"/>
      <c r="FKT30" s="822"/>
      <c r="FKU30" s="822"/>
      <c r="FKV30" s="822"/>
      <c r="FKW30" s="822"/>
      <c r="FKX30" s="822"/>
      <c r="FKY30" s="822"/>
      <c r="FKZ30" s="822"/>
      <c r="FLA30" s="822"/>
      <c r="FLB30" s="822"/>
      <c r="FLC30" s="822"/>
      <c r="FLD30" s="822"/>
      <c r="FLE30" s="822"/>
      <c r="FLF30" s="822"/>
      <c r="FLG30" s="822"/>
      <c r="FLH30" s="822"/>
      <c r="FLI30" s="822"/>
      <c r="FLJ30" s="822"/>
      <c r="FLK30" s="822"/>
      <c r="FLL30" s="822"/>
      <c r="FLM30" s="822"/>
      <c r="FLN30" s="822"/>
      <c r="FLO30" s="822"/>
      <c r="FLP30" s="822"/>
      <c r="FLQ30" s="822"/>
      <c r="FLR30" s="822"/>
      <c r="FLS30" s="822"/>
      <c r="FLT30" s="822"/>
      <c r="FLU30" s="822"/>
      <c r="FLV30" s="822"/>
      <c r="FLW30" s="822"/>
      <c r="FLX30" s="822"/>
      <c r="FLY30" s="822"/>
      <c r="FLZ30" s="822"/>
      <c r="FMA30" s="822"/>
      <c r="FMB30" s="822"/>
      <c r="FMC30" s="822"/>
      <c r="FMD30" s="822"/>
      <c r="FME30" s="822"/>
      <c r="FMF30" s="822"/>
      <c r="FMG30" s="822"/>
      <c r="FMH30" s="822"/>
      <c r="FMI30" s="822"/>
      <c r="FMJ30" s="822"/>
      <c r="FMK30" s="822"/>
      <c r="FML30" s="822"/>
      <c r="FMM30" s="822"/>
      <c r="FMN30" s="822"/>
      <c r="FMO30" s="822"/>
      <c r="FMP30" s="822"/>
      <c r="FMQ30" s="822"/>
      <c r="FMR30" s="822"/>
      <c r="FMS30" s="822"/>
      <c r="FMT30" s="822"/>
      <c r="FMU30" s="822"/>
      <c r="FMV30" s="822"/>
      <c r="FMW30" s="822"/>
      <c r="FMX30" s="822"/>
      <c r="FMY30" s="822"/>
      <c r="FMZ30" s="822"/>
      <c r="FNA30" s="822"/>
      <c r="FNB30" s="822"/>
      <c r="FNC30" s="822"/>
      <c r="FND30" s="822"/>
      <c r="FNE30" s="822"/>
      <c r="FNF30" s="822"/>
      <c r="FNG30" s="822"/>
      <c r="FNH30" s="822"/>
      <c r="FNI30" s="822"/>
      <c r="FNJ30" s="822"/>
      <c r="FNK30" s="822"/>
      <c r="FNL30" s="822"/>
      <c r="FNM30" s="822"/>
      <c r="FNN30" s="822"/>
      <c r="FNO30" s="822"/>
      <c r="FNP30" s="822"/>
      <c r="FNQ30" s="822"/>
      <c r="FNR30" s="822"/>
      <c r="FNS30" s="822"/>
      <c r="FNT30" s="822"/>
      <c r="FNU30" s="822"/>
      <c r="FNV30" s="822"/>
      <c r="FNW30" s="822"/>
      <c r="FNX30" s="822"/>
      <c r="FNY30" s="822"/>
      <c r="FNZ30" s="822"/>
      <c r="FOA30" s="822"/>
      <c r="FOB30" s="822"/>
      <c r="FOC30" s="822"/>
      <c r="FOD30" s="822"/>
      <c r="FOE30" s="822"/>
      <c r="FOF30" s="822"/>
      <c r="FOG30" s="822"/>
      <c r="FOH30" s="822"/>
      <c r="FOI30" s="822"/>
      <c r="FOJ30" s="822"/>
      <c r="FOK30" s="822"/>
      <c r="FOL30" s="822"/>
      <c r="FOM30" s="822"/>
      <c r="FON30" s="822"/>
      <c r="FOO30" s="822"/>
      <c r="FOP30" s="822"/>
      <c r="FOQ30" s="822"/>
      <c r="FOR30" s="822"/>
      <c r="FOS30" s="822"/>
      <c r="FOT30" s="822"/>
      <c r="FOU30" s="822"/>
      <c r="FOV30" s="822"/>
      <c r="FOW30" s="822"/>
      <c r="FOX30" s="822"/>
      <c r="FOY30" s="822"/>
      <c r="FOZ30" s="822"/>
      <c r="FPA30" s="822"/>
      <c r="FPB30" s="822"/>
      <c r="FPC30" s="822"/>
      <c r="FPD30" s="822"/>
      <c r="FPE30" s="822"/>
      <c r="FPF30" s="822"/>
      <c r="FPG30" s="822"/>
      <c r="FPH30" s="822"/>
      <c r="FPI30" s="822"/>
      <c r="FPJ30" s="822"/>
      <c r="FPK30" s="822"/>
      <c r="FPL30" s="822"/>
      <c r="FPM30" s="822"/>
      <c r="FPN30" s="822"/>
      <c r="FPO30" s="822"/>
      <c r="FPP30" s="822"/>
      <c r="FPQ30" s="822"/>
      <c r="FPR30" s="822"/>
      <c r="FPS30" s="822"/>
      <c r="FPT30" s="822"/>
      <c r="FPU30" s="822"/>
      <c r="FPV30" s="822"/>
      <c r="FPW30" s="822"/>
      <c r="FPX30" s="822"/>
      <c r="FPY30" s="822"/>
      <c r="FPZ30" s="822"/>
      <c r="FQA30" s="822"/>
      <c r="FQB30" s="822"/>
      <c r="FQC30" s="822"/>
      <c r="FQD30" s="822"/>
      <c r="FQE30" s="822"/>
      <c r="FQF30" s="822"/>
      <c r="FQG30" s="822"/>
      <c r="FQH30" s="822"/>
      <c r="FQI30" s="822"/>
      <c r="FQJ30" s="822"/>
      <c r="FQK30" s="822"/>
      <c r="FQL30" s="822"/>
      <c r="FQM30" s="822"/>
      <c r="FQN30" s="822"/>
      <c r="FQO30" s="822"/>
      <c r="FQP30" s="822"/>
      <c r="FQQ30" s="822"/>
      <c r="FQR30" s="822"/>
      <c r="FQS30" s="822"/>
      <c r="FQT30" s="822"/>
      <c r="FQU30" s="822"/>
      <c r="FQV30" s="822"/>
      <c r="FQW30" s="822"/>
      <c r="FQX30" s="822"/>
      <c r="FQY30" s="822"/>
      <c r="FQZ30" s="822"/>
      <c r="FRA30" s="822"/>
      <c r="FRB30" s="822"/>
      <c r="FRC30" s="822"/>
      <c r="FRD30" s="822"/>
      <c r="FRE30" s="822"/>
      <c r="FRF30" s="822"/>
      <c r="FRG30" s="822"/>
      <c r="FRH30" s="822"/>
      <c r="FRI30" s="822"/>
      <c r="FRJ30" s="822"/>
      <c r="FRK30" s="822"/>
      <c r="FRL30" s="822"/>
      <c r="FRM30" s="822"/>
      <c r="FRN30" s="822"/>
      <c r="FRO30" s="822"/>
      <c r="FRP30" s="822"/>
      <c r="FRQ30" s="822"/>
      <c r="FRR30" s="822"/>
      <c r="FRS30" s="822"/>
      <c r="FRT30" s="822"/>
      <c r="FRU30" s="822"/>
      <c r="FRV30" s="822"/>
      <c r="FRW30" s="822"/>
      <c r="FRX30" s="822"/>
      <c r="FRY30" s="822"/>
      <c r="FRZ30" s="822"/>
      <c r="FSA30" s="822"/>
      <c r="FSB30" s="822"/>
      <c r="FSC30" s="822"/>
      <c r="FSD30" s="822"/>
      <c r="FSE30" s="822"/>
      <c r="FSF30" s="822"/>
      <c r="FSG30" s="822"/>
      <c r="FSH30" s="822"/>
      <c r="FSI30" s="822"/>
      <c r="FSJ30" s="822"/>
      <c r="FSK30" s="822"/>
      <c r="FSL30" s="822"/>
      <c r="FSM30" s="822"/>
      <c r="FSN30" s="822"/>
      <c r="FSO30" s="822"/>
      <c r="FSP30" s="822"/>
      <c r="FSQ30" s="822"/>
      <c r="FSR30" s="822"/>
      <c r="FSS30" s="822"/>
      <c r="FST30" s="822"/>
      <c r="FSU30" s="822"/>
      <c r="FSV30" s="822"/>
      <c r="FSW30" s="822"/>
      <c r="FSX30" s="822"/>
      <c r="FSY30" s="822"/>
      <c r="FSZ30" s="822"/>
      <c r="FTA30" s="822"/>
      <c r="FTB30" s="822"/>
      <c r="FTC30" s="822"/>
      <c r="FTD30" s="822"/>
      <c r="FTE30" s="822"/>
      <c r="FTF30" s="822"/>
      <c r="FTG30" s="822"/>
      <c r="FTH30" s="822"/>
      <c r="FTI30" s="822"/>
      <c r="FTJ30" s="822"/>
      <c r="FTK30" s="822"/>
      <c r="FTL30" s="822"/>
      <c r="FTM30" s="822"/>
      <c r="FTN30" s="822"/>
      <c r="FTO30" s="822"/>
      <c r="FTP30" s="822"/>
      <c r="FTQ30" s="822"/>
      <c r="FTR30" s="822"/>
      <c r="FTS30" s="822"/>
      <c r="FTT30" s="822"/>
      <c r="FTU30" s="822"/>
      <c r="FTV30" s="822"/>
      <c r="FTW30" s="822"/>
      <c r="FTX30" s="822"/>
      <c r="FTY30" s="822"/>
      <c r="FTZ30" s="822"/>
      <c r="FUA30" s="822"/>
      <c r="FUB30" s="822"/>
      <c r="FUC30" s="822"/>
      <c r="FUD30" s="822"/>
      <c r="FUE30" s="822"/>
      <c r="FUF30" s="822"/>
      <c r="FUG30" s="822"/>
      <c r="FUH30" s="822"/>
      <c r="FUI30" s="822"/>
      <c r="FUJ30" s="822"/>
      <c r="FUK30" s="822"/>
      <c r="FUL30" s="822"/>
      <c r="FUM30" s="822"/>
      <c r="FUN30" s="822"/>
      <c r="FUO30" s="822"/>
      <c r="FUP30" s="822"/>
      <c r="FUQ30" s="822"/>
      <c r="FUR30" s="822"/>
      <c r="FUS30" s="822"/>
      <c r="FUT30" s="822"/>
      <c r="FUU30" s="822"/>
      <c r="FUV30" s="822"/>
      <c r="FUW30" s="822"/>
      <c r="FUX30" s="822"/>
      <c r="FUY30" s="822"/>
      <c r="FUZ30" s="822"/>
      <c r="FVA30" s="822"/>
      <c r="FVB30" s="822"/>
      <c r="FVC30" s="822"/>
      <c r="FVD30" s="822"/>
      <c r="FVE30" s="822"/>
      <c r="FVF30" s="822"/>
      <c r="FVG30" s="822"/>
      <c r="FVH30" s="822"/>
      <c r="FVI30" s="822"/>
      <c r="FVJ30" s="822"/>
      <c r="FVK30" s="822"/>
      <c r="FVL30" s="822"/>
      <c r="FVM30" s="822"/>
      <c r="FVN30" s="822"/>
      <c r="FVO30" s="822"/>
      <c r="FVP30" s="822"/>
      <c r="FVQ30" s="822"/>
      <c r="FVR30" s="822"/>
      <c r="FVS30" s="822"/>
      <c r="FVT30" s="822"/>
      <c r="FVU30" s="822"/>
      <c r="FVV30" s="822"/>
      <c r="FVW30" s="822"/>
      <c r="FVX30" s="822"/>
      <c r="FVY30" s="822"/>
      <c r="FVZ30" s="822"/>
      <c r="FWA30" s="822"/>
      <c r="FWB30" s="822"/>
      <c r="FWC30" s="822"/>
      <c r="FWD30" s="822"/>
      <c r="FWE30" s="822"/>
      <c r="FWF30" s="822"/>
      <c r="FWG30" s="822"/>
      <c r="FWH30" s="822"/>
      <c r="FWI30" s="822"/>
      <c r="FWJ30" s="822"/>
      <c r="FWK30" s="822"/>
      <c r="FWL30" s="822"/>
      <c r="FWM30" s="822"/>
      <c r="FWN30" s="822"/>
      <c r="FWO30" s="822"/>
      <c r="FWP30" s="822"/>
      <c r="FWQ30" s="822"/>
      <c r="FWR30" s="822"/>
      <c r="FWS30" s="822"/>
      <c r="FWT30" s="822"/>
      <c r="FWU30" s="822"/>
      <c r="FWV30" s="822"/>
      <c r="FWW30" s="822"/>
      <c r="FWX30" s="822"/>
      <c r="FWY30" s="822"/>
      <c r="FWZ30" s="822"/>
      <c r="FXA30" s="822"/>
      <c r="FXB30" s="822"/>
      <c r="FXC30" s="822"/>
      <c r="FXD30" s="822"/>
      <c r="FXE30" s="822"/>
      <c r="FXF30" s="822"/>
      <c r="FXG30" s="822"/>
      <c r="FXH30" s="822"/>
      <c r="FXI30" s="822"/>
      <c r="FXJ30" s="822"/>
      <c r="FXK30" s="822"/>
      <c r="FXL30" s="822"/>
      <c r="FXM30" s="822"/>
      <c r="FXN30" s="822"/>
      <c r="FXO30" s="822"/>
      <c r="FXP30" s="822"/>
      <c r="FXQ30" s="822"/>
      <c r="FXR30" s="822"/>
      <c r="FXS30" s="822"/>
      <c r="FXT30" s="822"/>
      <c r="FXU30" s="822"/>
      <c r="FXV30" s="822"/>
      <c r="FXW30" s="822"/>
      <c r="FXX30" s="822"/>
      <c r="FXY30" s="822"/>
      <c r="FXZ30" s="822"/>
      <c r="FYA30" s="822"/>
      <c r="FYB30" s="822"/>
      <c r="FYC30" s="822"/>
      <c r="FYD30" s="822"/>
      <c r="FYE30" s="822"/>
      <c r="FYF30" s="822"/>
      <c r="FYG30" s="822"/>
      <c r="FYH30" s="822"/>
      <c r="FYI30" s="822"/>
      <c r="FYJ30" s="822"/>
      <c r="FYK30" s="822"/>
      <c r="FYL30" s="822"/>
      <c r="FYM30" s="822"/>
      <c r="FYN30" s="822"/>
      <c r="FYO30" s="822"/>
      <c r="FYP30" s="822"/>
      <c r="FYQ30" s="822"/>
      <c r="FYR30" s="822"/>
      <c r="FYS30" s="822"/>
      <c r="FYT30" s="822"/>
      <c r="FYU30" s="822"/>
      <c r="FYV30" s="822"/>
      <c r="FYW30" s="822"/>
      <c r="FYX30" s="822"/>
      <c r="FYY30" s="822"/>
      <c r="FYZ30" s="822"/>
      <c r="FZA30" s="822"/>
      <c r="FZB30" s="822"/>
      <c r="FZC30" s="822"/>
      <c r="FZD30" s="822"/>
      <c r="FZE30" s="822"/>
      <c r="FZF30" s="822"/>
      <c r="FZG30" s="822"/>
      <c r="FZH30" s="822"/>
      <c r="FZI30" s="822"/>
      <c r="FZJ30" s="822"/>
      <c r="FZK30" s="822"/>
      <c r="FZL30" s="822"/>
      <c r="FZM30" s="822"/>
      <c r="FZN30" s="822"/>
      <c r="FZO30" s="822"/>
      <c r="FZP30" s="822"/>
      <c r="FZQ30" s="822"/>
      <c r="FZR30" s="822"/>
      <c r="FZS30" s="822"/>
      <c r="FZT30" s="822"/>
      <c r="FZU30" s="822"/>
      <c r="FZV30" s="822"/>
      <c r="FZW30" s="822"/>
      <c r="FZX30" s="822"/>
      <c r="FZY30" s="822"/>
      <c r="FZZ30" s="822"/>
      <c r="GAA30" s="822"/>
      <c r="GAB30" s="822"/>
      <c r="GAC30" s="822"/>
      <c r="GAD30" s="822"/>
      <c r="GAE30" s="822"/>
      <c r="GAF30" s="822"/>
      <c r="GAG30" s="822"/>
      <c r="GAH30" s="822"/>
      <c r="GAI30" s="822"/>
      <c r="GAJ30" s="822"/>
      <c r="GAK30" s="822"/>
      <c r="GAL30" s="822"/>
      <c r="GAM30" s="822"/>
      <c r="GAN30" s="822"/>
      <c r="GAO30" s="822"/>
      <c r="GAP30" s="822"/>
      <c r="GAQ30" s="822"/>
      <c r="GAR30" s="822"/>
      <c r="GAS30" s="822"/>
      <c r="GAT30" s="822"/>
      <c r="GAU30" s="822"/>
      <c r="GAV30" s="822"/>
      <c r="GAW30" s="822"/>
      <c r="GAX30" s="822"/>
      <c r="GAY30" s="822"/>
      <c r="GAZ30" s="822"/>
      <c r="GBA30" s="822"/>
      <c r="GBB30" s="822"/>
      <c r="GBC30" s="822"/>
      <c r="GBD30" s="822"/>
      <c r="GBE30" s="822"/>
      <c r="GBF30" s="822"/>
      <c r="GBG30" s="822"/>
      <c r="GBH30" s="822"/>
      <c r="GBI30" s="822"/>
      <c r="GBJ30" s="822"/>
      <c r="GBK30" s="822"/>
      <c r="GBL30" s="822"/>
      <c r="GBM30" s="822"/>
      <c r="GBN30" s="822"/>
      <c r="GBO30" s="822"/>
      <c r="GBP30" s="822"/>
      <c r="GBQ30" s="822"/>
      <c r="GBR30" s="822"/>
      <c r="GBS30" s="822"/>
      <c r="GBT30" s="822"/>
      <c r="GBU30" s="822"/>
      <c r="GBV30" s="822"/>
      <c r="GBW30" s="822"/>
      <c r="GBX30" s="822"/>
      <c r="GBY30" s="822"/>
      <c r="GBZ30" s="822"/>
      <c r="GCA30" s="822"/>
      <c r="GCB30" s="822"/>
      <c r="GCC30" s="822"/>
      <c r="GCD30" s="822"/>
      <c r="GCE30" s="822"/>
      <c r="GCF30" s="822"/>
      <c r="GCG30" s="822"/>
      <c r="GCH30" s="822"/>
      <c r="GCI30" s="822"/>
      <c r="GCJ30" s="822"/>
      <c r="GCK30" s="822"/>
      <c r="GCL30" s="822"/>
      <c r="GCM30" s="822"/>
      <c r="GCN30" s="822"/>
      <c r="GCO30" s="822"/>
      <c r="GCP30" s="822"/>
      <c r="GCQ30" s="822"/>
      <c r="GCR30" s="822"/>
      <c r="GCS30" s="822"/>
      <c r="GCT30" s="822"/>
      <c r="GCU30" s="822"/>
      <c r="GCV30" s="822"/>
      <c r="GCW30" s="822"/>
      <c r="GCX30" s="822"/>
      <c r="GCY30" s="822"/>
      <c r="GCZ30" s="822"/>
      <c r="GDA30" s="822"/>
      <c r="GDB30" s="822"/>
      <c r="GDC30" s="822"/>
      <c r="GDD30" s="822"/>
      <c r="GDE30" s="822"/>
      <c r="GDF30" s="822"/>
      <c r="GDG30" s="822"/>
      <c r="GDH30" s="822"/>
      <c r="GDI30" s="822"/>
      <c r="GDJ30" s="822"/>
      <c r="GDK30" s="822"/>
      <c r="GDL30" s="822"/>
      <c r="GDM30" s="822"/>
      <c r="GDN30" s="822"/>
      <c r="GDO30" s="822"/>
      <c r="GDP30" s="822"/>
      <c r="GDQ30" s="822"/>
      <c r="GDR30" s="822"/>
      <c r="GDS30" s="822"/>
      <c r="GDT30" s="822"/>
      <c r="GDU30" s="822"/>
      <c r="GDV30" s="822"/>
      <c r="GDW30" s="822"/>
      <c r="GDX30" s="822"/>
      <c r="GDY30" s="822"/>
      <c r="GDZ30" s="822"/>
      <c r="GEA30" s="822"/>
      <c r="GEB30" s="822"/>
      <c r="GEC30" s="822"/>
      <c r="GED30" s="822"/>
      <c r="GEE30" s="822"/>
      <c r="GEF30" s="822"/>
      <c r="GEG30" s="822"/>
      <c r="GEH30" s="822"/>
      <c r="GEI30" s="822"/>
      <c r="GEJ30" s="822"/>
      <c r="GEK30" s="822"/>
      <c r="GEL30" s="822"/>
      <c r="GEM30" s="822"/>
      <c r="GEN30" s="822"/>
      <c r="GEO30" s="822"/>
      <c r="GEP30" s="822"/>
      <c r="GEQ30" s="822"/>
      <c r="GER30" s="822"/>
      <c r="GES30" s="822"/>
      <c r="GET30" s="822"/>
      <c r="GEU30" s="822"/>
      <c r="GEV30" s="822"/>
      <c r="GEW30" s="822"/>
      <c r="GEX30" s="822"/>
      <c r="GEY30" s="822"/>
      <c r="GEZ30" s="822"/>
      <c r="GFA30" s="822"/>
      <c r="GFB30" s="822"/>
      <c r="GFC30" s="822"/>
      <c r="GFD30" s="822"/>
      <c r="GFE30" s="822"/>
      <c r="GFF30" s="822"/>
      <c r="GFG30" s="822"/>
      <c r="GFH30" s="822"/>
      <c r="GFI30" s="822"/>
      <c r="GFJ30" s="822"/>
      <c r="GFK30" s="822"/>
      <c r="GFL30" s="822"/>
      <c r="GFM30" s="822"/>
      <c r="GFN30" s="822"/>
      <c r="GFO30" s="822"/>
      <c r="GFP30" s="822"/>
      <c r="GFQ30" s="822"/>
      <c r="GFR30" s="822"/>
      <c r="GFS30" s="822"/>
      <c r="GFT30" s="822"/>
      <c r="GFU30" s="822"/>
      <c r="GFV30" s="822"/>
      <c r="GFW30" s="822"/>
      <c r="GFX30" s="822"/>
      <c r="GFY30" s="822"/>
      <c r="GFZ30" s="822"/>
      <c r="GGA30" s="822"/>
      <c r="GGB30" s="822"/>
      <c r="GGC30" s="822"/>
      <c r="GGD30" s="822"/>
      <c r="GGE30" s="822"/>
      <c r="GGF30" s="822"/>
      <c r="GGG30" s="822"/>
      <c r="GGH30" s="822"/>
      <c r="GGI30" s="822"/>
      <c r="GGJ30" s="822"/>
      <c r="GGK30" s="822"/>
      <c r="GGL30" s="822"/>
      <c r="GGM30" s="822"/>
      <c r="GGN30" s="822"/>
      <c r="GGO30" s="822"/>
      <c r="GGP30" s="822"/>
      <c r="GGQ30" s="822"/>
      <c r="GGR30" s="822"/>
      <c r="GGS30" s="822"/>
      <c r="GGT30" s="822"/>
      <c r="GGU30" s="822"/>
      <c r="GGV30" s="822"/>
      <c r="GGW30" s="822"/>
      <c r="GGX30" s="822"/>
      <c r="GGY30" s="822"/>
      <c r="GGZ30" s="822"/>
      <c r="GHA30" s="822"/>
      <c r="GHB30" s="822"/>
      <c r="GHC30" s="822"/>
      <c r="GHD30" s="822"/>
      <c r="GHE30" s="822"/>
      <c r="GHF30" s="822"/>
      <c r="GHG30" s="822"/>
      <c r="GHH30" s="822"/>
      <c r="GHI30" s="822"/>
      <c r="GHJ30" s="822"/>
      <c r="GHK30" s="822"/>
      <c r="GHL30" s="822"/>
      <c r="GHM30" s="822"/>
      <c r="GHN30" s="822"/>
      <c r="GHO30" s="822"/>
      <c r="GHP30" s="822"/>
      <c r="GHQ30" s="822"/>
      <c r="GHR30" s="822"/>
      <c r="GHS30" s="822"/>
      <c r="GHT30" s="822"/>
      <c r="GHU30" s="822"/>
      <c r="GHV30" s="822"/>
      <c r="GHW30" s="822"/>
      <c r="GHX30" s="822"/>
      <c r="GHY30" s="822"/>
      <c r="GHZ30" s="822"/>
      <c r="GIA30" s="822"/>
      <c r="GIB30" s="822"/>
      <c r="GIC30" s="822"/>
      <c r="GID30" s="822"/>
      <c r="GIE30" s="822"/>
      <c r="GIF30" s="822"/>
      <c r="GIG30" s="822"/>
      <c r="GIH30" s="822"/>
      <c r="GII30" s="822"/>
      <c r="GIJ30" s="822"/>
      <c r="GIK30" s="822"/>
      <c r="GIL30" s="822"/>
      <c r="GIM30" s="822"/>
      <c r="GIN30" s="822"/>
      <c r="GIO30" s="822"/>
      <c r="GIP30" s="822"/>
      <c r="GIQ30" s="822"/>
      <c r="GIR30" s="822"/>
      <c r="GIS30" s="822"/>
      <c r="GIT30" s="822"/>
      <c r="GIU30" s="822"/>
      <c r="GIV30" s="822"/>
      <c r="GIW30" s="822"/>
      <c r="GIX30" s="822"/>
      <c r="GIY30" s="822"/>
      <c r="GIZ30" s="822"/>
      <c r="GJA30" s="822"/>
      <c r="GJB30" s="822"/>
      <c r="GJC30" s="822"/>
      <c r="GJD30" s="822"/>
      <c r="GJE30" s="822"/>
      <c r="GJF30" s="822"/>
      <c r="GJG30" s="822"/>
      <c r="GJH30" s="822"/>
      <c r="GJI30" s="822"/>
      <c r="GJJ30" s="822"/>
      <c r="GJK30" s="822"/>
      <c r="GJL30" s="822"/>
      <c r="GJM30" s="822"/>
      <c r="GJN30" s="822"/>
      <c r="GJO30" s="822"/>
      <c r="GJP30" s="822"/>
      <c r="GJQ30" s="822"/>
      <c r="GJR30" s="822"/>
      <c r="GJS30" s="822"/>
      <c r="GJT30" s="822"/>
      <c r="GJU30" s="822"/>
      <c r="GJV30" s="822"/>
      <c r="GJW30" s="822"/>
      <c r="GJX30" s="822"/>
      <c r="GJY30" s="822"/>
      <c r="GJZ30" s="822"/>
      <c r="GKA30" s="822"/>
      <c r="GKB30" s="822"/>
      <c r="GKC30" s="822"/>
      <c r="GKD30" s="822"/>
      <c r="GKE30" s="822"/>
      <c r="GKF30" s="822"/>
      <c r="GKG30" s="822"/>
      <c r="GKH30" s="822"/>
      <c r="GKI30" s="822"/>
      <c r="GKJ30" s="822"/>
      <c r="GKK30" s="822"/>
      <c r="GKL30" s="822"/>
      <c r="GKM30" s="822"/>
      <c r="GKN30" s="822"/>
      <c r="GKO30" s="822"/>
      <c r="GKP30" s="822"/>
      <c r="GKQ30" s="822"/>
      <c r="GKR30" s="822"/>
      <c r="GKS30" s="822"/>
      <c r="GKT30" s="822"/>
      <c r="GKU30" s="822"/>
      <c r="GKV30" s="822"/>
      <c r="GKW30" s="822"/>
      <c r="GKX30" s="822"/>
      <c r="GKY30" s="822"/>
      <c r="GKZ30" s="822"/>
      <c r="GLA30" s="822"/>
      <c r="GLB30" s="822"/>
      <c r="GLC30" s="822"/>
      <c r="GLD30" s="822"/>
      <c r="GLE30" s="822"/>
      <c r="GLF30" s="822"/>
      <c r="GLG30" s="822"/>
      <c r="GLH30" s="822"/>
      <c r="GLI30" s="822"/>
      <c r="GLJ30" s="822"/>
      <c r="GLK30" s="822"/>
      <c r="GLL30" s="822"/>
      <c r="GLM30" s="822"/>
      <c r="GLN30" s="822"/>
      <c r="GLO30" s="822"/>
      <c r="GLP30" s="822"/>
      <c r="GLQ30" s="822"/>
      <c r="GLR30" s="822"/>
      <c r="GLS30" s="822"/>
      <c r="GLT30" s="822"/>
      <c r="GLU30" s="822"/>
      <c r="GLV30" s="822"/>
      <c r="GLW30" s="822"/>
      <c r="GLX30" s="822"/>
      <c r="GLY30" s="822"/>
      <c r="GLZ30" s="822"/>
      <c r="GMA30" s="822"/>
      <c r="GMB30" s="822"/>
      <c r="GMC30" s="822"/>
      <c r="GMD30" s="822"/>
      <c r="GME30" s="822"/>
      <c r="GMF30" s="822"/>
      <c r="GMG30" s="822"/>
      <c r="GMH30" s="822"/>
      <c r="GMI30" s="822"/>
      <c r="GMJ30" s="822"/>
      <c r="GMK30" s="822"/>
      <c r="GML30" s="822"/>
      <c r="GMM30" s="822"/>
      <c r="GMN30" s="822"/>
      <c r="GMO30" s="822"/>
      <c r="GMP30" s="822"/>
      <c r="GMQ30" s="822"/>
      <c r="GMR30" s="822"/>
      <c r="GMS30" s="822"/>
      <c r="GMT30" s="822"/>
      <c r="GMU30" s="822"/>
      <c r="GMV30" s="822"/>
      <c r="GMW30" s="822"/>
      <c r="GMX30" s="822"/>
      <c r="GMY30" s="822"/>
      <c r="GMZ30" s="822"/>
      <c r="GNA30" s="822"/>
      <c r="GNB30" s="822"/>
      <c r="GNC30" s="822"/>
      <c r="GND30" s="822"/>
      <c r="GNE30" s="822"/>
      <c r="GNF30" s="822"/>
      <c r="GNG30" s="822"/>
      <c r="GNH30" s="822"/>
      <c r="GNI30" s="822"/>
      <c r="GNJ30" s="822"/>
      <c r="GNK30" s="822"/>
      <c r="GNL30" s="822"/>
      <c r="GNM30" s="822"/>
      <c r="GNN30" s="822"/>
      <c r="GNO30" s="822"/>
      <c r="GNP30" s="822"/>
      <c r="GNQ30" s="822"/>
      <c r="GNR30" s="822"/>
      <c r="GNS30" s="822"/>
      <c r="GNT30" s="822"/>
      <c r="GNU30" s="822"/>
      <c r="GNV30" s="822"/>
      <c r="GNW30" s="822"/>
      <c r="GNX30" s="822"/>
      <c r="GNY30" s="822"/>
      <c r="GNZ30" s="822"/>
      <c r="GOA30" s="822"/>
      <c r="GOB30" s="822"/>
      <c r="GOC30" s="822"/>
      <c r="GOD30" s="822"/>
      <c r="GOE30" s="822"/>
      <c r="GOF30" s="822"/>
      <c r="GOG30" s="822"/>
      <c r="GOH30" s="822"/>
      <c r="GOI30" s="822"/>
      <c r="GOJ30" s="822"/>
      <c r="GOK30" s="822"/>
      <c r="GOL30" s="822"/>
      <c r="GOM30" s="822"/>
      <c r="GON30" s="822"/>
      <c r="GOO30" s="822"/>
      <c r="GOP30" s="822"/>
      <c r="GOQ30" s="822"/>
      <c r="GOR30" s="822"/>
      <c r="GOS30" s="822"/>
      <c r="GOT30" s="822"/>
      <c r="GOU30" s="822"/>
      <c r="GOV30" s="822"/>
      <c r="GOW30" s="822"/>
      <c r="GOX30" s="822"/>
      <c r="GOY30" s="822"/>
      <c r="GOZ30" s="822"/>
      <c r="GPA30" s="822"/>
      <c r="GPB30" s="822"/>
      <c r="GPC30" s="822"/>
      <c r="GPD30" s="822"/>
      <c r="GPE30" s="822"/>
      <c r="GPF30" s="822"/>
      <c r="GPG30" s="822"/>
      <c r="GPH30" s="822"/>
      <c r="GPI30" s="822"/>
      <c r="GPJ30" s="822"/>
      <c r="GPK30" s="822"/>
      <c r="GPL30" s="822"/>
      <c r="GPM30" s="822"/>
      <c r="GPN30" s="822"/>
      <c r="GPO30" s="822"/>
      <c r="GPP30" s="822"/>
      <c r="GPQ30" s="822"/>
      <c r="GPR30" s="822"/>
      <c r="GPS30" s="822"/>
      <c r="GPT30" s="822"/>
      <c r="GPU30" s="822"/>
      <c r="GPV30" s="822"/>
      <c r="GPW30" s="822"/>
      <c r="GPX30" s="822"/>
      <c r="GPY30" s="822"/>
      <c r="GPZ30" s="822"/>
      <c r="GQA30" s="822"/>
      <c r="GQB30" s="822"/>
      <c r="GQC30" s="822"/>
      <c r="GQD30" s="822"/>
      <c r="GQE30" s="822"/>
      <c r="GQF30" s="822"/>
      <c r="GQG30" s="822"/>
      <c r="GQH30" s="822"/>
      <c r="GQI30" s="822"/>
      <c r="GQJ30" s="822"/>
      <c r="GQK30" s="822"/>
      <c r="GQL30" s="822"/>
      <c r="GQM30" s="822"/>
      <c r="GQN30" s="822"/>
      <c r="GQO30" s="822"/>
      <c r="GQP30" s="822"/>
      <c r="GQQ30" s="822"/>
      <c r="GQR30" s="822"/>
      <c r="GQS30" s="822"/>
      <c r="GQT30" s="822"/>
      <c r="GQU30" s="822"/>
      <c r="GQV30" s="822"/>
      <c r="GQW30" s="822"/>
      <c r="GQX30" s="822"/>
      <c r="GQY30" s="822"/>
      <c r="GQZ30" s="822"/>
      <c r="GRA30" s="822"/>
      <c r="GRB30" s="822"/>
      <c r="GRC30" s="822"/>
      <c r="GRD30" s="822"/>
      <c r="GRE30" s="822"/>
      <c r="GRF30" s="822"/>
      <c r="GRG30" s="822"/>
      <c r="GRH30" s="822"/>
      <c r="GRI30" s="822"/>
      <c r="GRJ30" s="822"/>
      <c r="GRK30" s="822"/>
      <c r="GRL30" s="822"/>
      <c r="GRM30" s="822"/>
      <c r="GRN30" s="822"/>
      <c r="GRO30" s="822"/>
      <c r="GRP30" s="822"/>
      <c r="GRQ30" s="822"/>
      <c r="GRR30" s="822"/>
      <c r="GRS30" s="822"/>
      <c r="GRT30" s="822"/>
      <c r="GRU30" s="822"/>
      <c r="GRV30" s="822"/>
      <c r="GRW30" s="822"/>
      <c r="GRX30" s="822"/>
      <c r="GRY30" s="822"/>
      <c r="GRZ30" s="822"/>
      <c r="GSA30" s="822"/>
      <c r="GSB30" s="822"/>
      <c r="GSC30" s="822"/>
      <c r="GSD30" s="822"/>
      <c r="GSE30" s="822"/>
      <c r="GSF30" s="822"/>
      <c r="GSG30" s="822"/>
      <c r="GSH30" s="822"/>
      <c r="GSI30" s="822"/>
      <c r="GSJ30" s="822"/>
      <c r="GSK30" s="822"/>
      <c r="GSL30" s="822"/>
      <c r="GSM30" s="822"/>
      <c r="GSN30" s="822"/>
      <c r="GSO30" s="822"/>
      <c r="GSP30" s="822"/>
      <c r="GSQ30" s="822"/>
      <c r="GSR30" s="822"/>
      <c r="GSS30" s="822"/>
      <c r="GST30" s="822"/>
      <c r="GSU30" s="822"/>
      <c r="GSV30" s="822"/>
      <c r="GSW30" s="822"/>
      <c r="GSX30" s="822"/>
      <c r="GSY30" s="822"/>
      <c r="GSZ30" s="822"/>
      <c r="GTA30" s="822"/>
      <c r="GTB30" s="822"/>
      <c r="GTC30" s="822"/>
      <c r="GTD30" s="822"/>
      <c r="GTE30" s="822"/>
      <c r="GTF30" s="822"/>
      <c r="GTG30" s="822"/>
      <c r="GTH30" s="822"/>
      <c r="GTI30" s="822"/>
      <c r="GTJ30" s="822"/>
      <c r="GTK30" s="822"/>
      <c r="GTL30" s="822"/>
      <c r="GTM30" s="822"/>
      <c r="GTN30" s="822"/>
      <c r="GTO30" s="822"/>
      <c r="GTP30" s="822"/>
      <c r="GTQ30" s="822"/>
      <c r="GTR30" s="822"/>
      <c r="GTS30" s="822"/>
      <c r="GTT30" s="822"/>
      <c r="GTU30" s="822"/>
      <c r="GTV30" s="822"/>
      <c r="GTW30" s="822"/>
      <c r="GTX30" s="822"/>
      <c r="GTY30" s="822"/>
      <c r="GTZ30" s="822"/>
      <c r="GUA30" s="822"/>
      <c r="GUB30" s="822"/>
      <c r="GUC30" s="822"/>
      <c r="GUD30" s="822"/>
      <c r="GUE30" s="822"/>
      <c r="GUF30" s="822"/>
      <c r="GUG30" s="822"/>
      <c r="GUH30" s="822"/>
      <c r="GUI30" s="822"/>
      <c r="GUJ30" s="822"/>
      <c r="GUK30" s="822"/>
      <c r="GUL30" s="822"/>
      <c r="GUM30" s="822"/>
      <c r="GUN30" s="822"/>
      <c r="GUO30" s="822"/>
      <c r="GUP30" s="822"/>
      <c r="GUQ30" s="822"/>
      <c r="GUR30" s="822"/>
      <c r="GUS30" s="822"/>
      <c r="GUT30" s="822"/>
      <c r="GUU30" s="822"/>
      <c r="GUV30" s="822"/>
      <c r="GUW30" s="822"/>
      <c r="GUX30" s="822"/>
      <c r="GUY30" s="822"/>
      <c r="GUZ30" s="822"/>
      <c r="GVA30" s="822"/>
      <c r="GVB30" s="822"/>
      <c r="GVC30" s="822"/>
      <c r="GVD30" s="822"/>
      <c r="GVE30" s="822"/>
      <c r="GVF30" s="822"/>
      <c r="GVG30" s="822"/>
      <c r="GVH30" s="822"/>
      <c r="GVI30" s="822"/>
      <c r="GVJ30" s="822"/>
      <c r="GVK30" s="822"/>
      <c r="GVL30" s="822"/>
      <c r="GVM30" s="822"/>
      <c r="GVN30" s="822"/>
      <c r="GVO30" s="822"/>
      <c r="GVP30" s="822"/>
      <c r="GVQ30" s="822"/>
      <c r="GVR30" s="822"/>
      <c r="GVS30" s="822"/>
      <c r="GVT30" s="822"/>
      <c r="GVU30" s="822"/>
      <c r="GVV30" s="822"/>
      <c r="GVW30" s="822"/>
      <c r="GVX30" s="822"/>
      <c r="GVY30" s="822"/>
      <c r="GVZ30" s="822"/>
      <c r="GWA30" s="822"/>
      <c r="GWB30" s="822"/>
      <c r="GWC30" s="822"/>
      <c r="GWD30" s="822"/>
      <c r="GWE30" s="822"/>
      <c r="GWF30" s="822"/>
      <c r="GWG30" s="822"/>
      <c r="GWH30" s="822"/>
      <c r="GWI30" s="822"/>
      <c r="GWJ30" s="822"/>
      <c r="GWK30" s="822"/>
      <c r="GWL30" s="822"/>
      <c r="GWM30" s="822"/>
      <c r="GWN30" s="822"/>
      <c r="GWO30" s="822"/>
      <c r="GWP30" s="822"/>
      <c r="GWQ30" s="822"/>
      <c r="GWR30" s="822"/>
      <c r="GWS30" s="822"/>
      <c r="GWT30" s="822"/>
      <c r="GWU30" s="822"/>
      <c r="GWV30" s="822"/>
      <c r="GWW30" s="822"/>
      <c r="GWX30" s="822"/>
      <c r="GWY30" s="822"/>
      <c r="GWZ30" s="822"/>
      <c r="GXA30" s="822"/>
      <c r="GXB30" s="822"/>
      <c r="GXC30" s="822"/>
      <c r="GXD30" s="822"/>
      <c r="GXE30" s="822"/>
      <c r="GXF30" s="822"/>
      <c r="GXG30" s="822"/>
      <c r="GXH30" s="822"/>
      <c r="GXI30" s="822"/>
      <c r="GXJ30" s="822"/>
      <c r="GXK30" s="822"/>
      <c r="GXL30" s="822"/>
      <c r="GXM30" s="822"/>
      <c r="GXN30" s="822"/>
      <c r="GXO30" s="822"/>
      <c r="GXP30" s="822"/>
      <c r="GXQ30" s="822"/>
      <c r="GXR30" s="822"/>
      <c r="GXS30" s="822"/>
      <c r="GXT30" s="822"/>
      <c r="GXU30" s="822"/>
      <c r="GXV30" s="822"/>
      <c r="GXW30" s="822"/>
      <c r="GXX30" s="822"/>
      <c r="GXY30" s="822"/>
      <c r="GXZ30" s="822"/>
      <c r="GYA30" s="822"/>
      <c r="GYB30" s="822"/>
      <c r="GYC30" s="822"/>
      <c r="GYD30" s="822"/>
      <c r="GYE30" s="822"/>
      <c r="GYF30" s="822"/>
      <c r="GYG30" s="822"/>
      <c r="GYH30" s="822"/>
      <c r="GYI30" s="822"/>
      <c r="GYJ30" s="822"/>
      <c r="GYK30" s="822"/>
      <c r="GYL30" s="822"/>
      <c r="GYM30" s="822"/>
      <c r="GYN30" s="822"/>
      <c r="GYO30" s="822"/>
      <c r="GYP30" s="822"/>
      <c r="GYQ30" s="822"/>
      <c r="GYR30" s="822"/>
      <c r="GYS30" s="822"/>
      <c r="GYT30" s="822"/>
      <c r="GYU30" s="822"/>
      <c r="GYV30" s="822"/>
      <c r="GYW30" s="822"/>
      <c r="GYX30" s="822"/>
      <c r="GYY30" s="822"/>
      <c r="GYZ30" s="822"/>
      <c r="GZA30" s="822"/>
      <c r="GZB30" s="822"/>
      <c r="GZC30" s="822"/>
      <c r="GZD30" s="822"/>
      <c r="GZE30" s="822"/>
      <c r="GZF30" s="822"/>
      <c r="GZG30" s="822"/>
      <c r="GZH30" s="822"/>
      <c r="GZI30" s="822"/>
      <c r="GZJ30" s="822"/>
      <c r="GZK30" s="822"/>
      <c r="GZL30" s="822"/>
      <c r="GZM30" s="822"/>
      <c r="GZN30" s="822"/>
      <c r="GZO30" s="822"/>
      <c r="GZP30" s="822"/>
      <c r="GZQ30" s="822"/>
      <c r="GZR30" s="822"/>
      <c r="GZS30" s="822"/>
      <c r="GZT30" s="822"/>
      <c r="GZU30" s="822"/>
      <c r="GZV30" s="822"/>
      <c r="GZW30" s="822"/>
      <c r="GZX30" s="822"/>
      <c r="GZY30" s="822"/>
      <c r="GZZ30" s="822"/>
      <c r="HAA30" s="822"/>
      <c r="HAB30" s="822"/>
      <c r="HAC30" s="822"/>
      <c r="HAD30" s="822"/>
      <c r="HAE30" s="822"/>
      <c r="HAF30" s="822"/>
      <c r="HAG30" s="822"/>
      <c r="HAH30" s="822"/>
      <c r="HAI30" s="822"/>
      <c r="HAJ30" s="822"/>
      <c r="HAK30" s="822"/>
      <c r="HAL30" s="822"/>
      <c r="HAM30" s="822"/>
      <c r="HAN30" s="822"/>
      <c r="HAO30" s="822"/>
      <c r="HAP30" s="822"/>
      <c r="HAQ30" s="822"/>
      <c r="HAR30" s="822"/>
      <c r="HAS30" s="822"/>
      <c r="HAT30" s="822"/>
      <c r="HAU30" s="822"/>
      <c r="HAV30" s="822"/>
      <c r="HAW30" s="822"/>
      <c r="HAX30" s="822"/>
      <c r="HAY30" s="822"/>
      <c r="HAZ30" s="822"/>
      <c r="HBA30" s="822"/>
      <c r="HBB30" s="822"/>
      <c r="HBC30" s="822"/>
      <c r="HBD30" s="822"/>
      <c r="HBE30" s="822"/>
      <c r="HBF30" s="822"/>
      <c r="HBG30" s="822"/>
      <c r="HBH30" s="822"/>
      <c r="HBI30" s="822"/>
      <c r="HBJ30" s="822"/>
      <c r="HBK30" s="822"/>
      <c r="HBL30" s="822"/>
      <c r="HBM30" s="822"/>
      <c r="HBN30" s="822"/>
      <c r="HBO30" s="822"/>
      <c r="HBP30" s="822"/>
      <c r="HBQ30" s="822"/>
      <c r="HBR30" s="822"/>
      <c r="HBS30" s="822"/>
      <c r="HBT30" s="822"/>
      <c r="HBU30" s="822"/>
      <c r="HBV30" s="822"/>
      <c r="HBW30" s="822"/>
      <c r="HBX30" s="822"/>
      <c r="HBY30" s="822"/>
      <c r="HBZ30" s="822"/>
      <c r="HCA30" s="822"/>
      <c r="HCB30" s="822"/>
      <c r="HCC30" s="822"/>
      <c r="HCD30" s="822"/>
      <c r="HCE30" s="822"/>
      <c r="HCF30" s="822"/>
      <c r="HCG30" s="822"/>
      <c r="HCH30" s="822"/>
      <c r="HCI30" s="822"/>
      <c r="HCJ30" s="822"/>
      <c r="HCK30" s="822"/>
      <c r="HCL30" s="822"/>
      <c r="HCM30" s="822"/>
      <c r="HCN30" s="822"/>
      <c r="HCO30" s="822"/>
      <c r="HCP30" s="822"/>
      <c r="HCQ30" s="822"/>
      <c r="HCR30" s="822"/>
      <c r="HCS30" s="822"/>
      <c r="HCT30" s="822"/>
      <c r="HCU30" s="822"/>
      <c r="HCV30" s="822"/>
      <c r="HCW30" s="822"/>
      <c r="HCX30" s="822"/>
      <c r="HCY30" s="822"/>
      <c r="HCZ30" s="822"/>
      <c r="HDA30" s="822"/>
      <c r="HDB30" s="822"/>
      <c r="HDC30" s="822"/>
      <c r="HDD30" s="822"/>
      <c r="HDE30" s="822"/>
      <c r="HDF30" s="822"/>
      <c r="HDG30" s="822"/>
      <c r="HDH30" s="822"/>
      <c r="HDI30" s="822"/>
      <c r="HDJ30" s="822"/>
      <c r="HDK30" s="822"/>
      <c r="HDL30" s="822"/>
      <c r="HDM30" s="822"/>
      <c r="HDN30" s="822"/>
      <c r="HDO30" s="822"/>
      <c r="HDP30" s="822"/>
      <c r="HDQ30" s="822"/>
      <c r="HDR30" s="822"/>
      <c r="HDS30" s="822"/>
      <c r="HDT30" s="822"/>
      <c r="HDU30" s="822"/>
      <c r="HDV30" s="822"/>
      <c r="HDW30" s="822"/>
      <c r="HDX30" s="822"/>
      <c r="HDY30" s="822"/>
      <c r="HDZ30" s="822"/>
      <c r="HEA30" s="822"/>
      <c r="HEB30" s="822"/>
      <c r="HEC30" s="822"/>
      <c r="HED30" s="822"/>
      <c r="HEE30" s="822"/>
      <c r="HEF30" s="822"/>
      <c r="HEG30" s="822"/>
      <c r="HEH30" s="822"/>
      <c r="HEI30" s="822"/>
      <c r="HEJ30" s="822"/>
      <c r="HEK30" s="822"/>
      <c r="HEL30" s="822"/>
      <c r="HEM30" s="822"/>
      <c r="HEN30" s="822"/>
      <c r="HEO30" s="822"/>
      <c r="HEP30" s="822"/>
      <c r="HEQ30" s="822"/>
      <c r="HER30" s="822"/>
      <c r="HES30" s="822"/>
      <c r="HET30" s="822"/>
      <c r="HEU30" s="822"/>
      <c r="HEV30" s="822"/>
      <c r="HEW30" s="822"/>
      <c r="HEX30" s="822"/>
      <c r="HEY30" s="822"/>
      <c r="HEZ30" s="822"/>
      <c r="HFA30" s="822"/>
      <c r="HFB30" s="822"/>
      <c r="HFC30" s="822"/>
      <c r="HFD30" s="822"/>
      <c r="HFE30" s="822"/>
      <c r="HFF30" s="822"/>
      <c r="HFG30" s="822"/>
      <c r="HFH30" s="822"/>
      <c r="HFI30" s="822"/>
      <c r="HFJ30" s="822"/>
      <c r="HFK30" s="822"/>
      <c r="HFL30" s="822"/>
      <c r="HFM30" s="822"/>
      <c r="HFN30" s="822"/>
      <c r="HFO30" s="822"/>
      <c r="HFP30" s="822"/>
      <c r="HFQ30" s="822"/>
      <c r="HFR30" s="822"/>
      <c r="HFS30" s="822"/>
      <c r="HFT30" s="822"/>
      <c r="HFU30" s="822"/>
      <c r="HFV30" s="822"/>
      <c r="HFW30" s="822"/>
      <c r="HFX30" s="822"/>
      <c r="HFY30" s="822"/>
      <c r="HFZ30" s="822"/>
      <c r="HGA30" s="822"/>
      <c r="HGB30" s="822"/>
      <c r="HGC30" s="822"/>
      <c r="HGD30" s="822"/>
      <c r="HGE30" s="822"/>
      <c r="HGF30" s="822"/>
      <c r="HGG30" s="822"/>
      <c r="HGH30" s="822"/>
      <c r="HGI30" s="822"/>
      <c r="HGJ30" s="822"/>
      <c r="HGK30" s="822"/>
      <c r="HGL30" s="822"/>
      <c r="HGM30" s="822"/>
      <c r="HGN30" s="822"/>
      <c r="HGO30" s="822"/>
      <c r="HGP30" s="822"/>
      <c r="HGQ30" s="822"/>
      <c r="HGR30" s="822"/>
      <c r="HGS30" s="822"/>
      <c r="HGT30" s="822"/>
      <c r="HGU30" s="822"/>
      <c r="HGV30" s="822"/>
      <c r="HGW30" s="822"/>
      <c r="HGX30" s="822"/>
      <c r="HGY30" s="822"/>
      <c r="HGZ30" s="822"/>
      <c r="HHA30" s="822"/>
      <c r="HHB30" s="822"/>
      <c r="HHC30" s="822"/>
      <c r="HHD30" s="822"/>
      <c r="HHE30" s="822"/>
      <c r="HHF30" s="822"/>
      <c r="HHG30" s="822"/>
      <c r="HHH30" s="822"/>
      <c r="HHI30" s="822"/>
      <c r="HHJ30" s="822"/>
      <c r="HHK30" s="822"/>
      <c r="HHL30" s="822"/>
      <c r="HHM30" s="822"/>
      <c r="HHN30" s="822"/>
      <c r="HHO30" s="822"/>
      <c r="HHP30" s="822"/>
      <c r="HHQ30" s="822"/>
      <c r="HHR30" s="822"/>
      <c r="HHS30" s="822"/>
      <c r="HHT30" s="822"/>
      <c r="HHU30" s="822"/>
      <c r="HHV30" s="822"/>
      <c r="HHW30" s="822"/>
      <c r="HHX30" s="822"/>
      <c r="HHY30" s="822"/>
      <c r="HHZ30" s="822"/>
      <c r="HIA30" s="822"/>
      <c r="HIB30" s="822"/>
      <c r="HIC30" s="822"/>
      <c r="HID30" s="822"/>
      <c r="HIE30" s="822"/>
      <c r="HIF30" s="822"/>
      <c r="HIG30" s="822"/>
      <c r="HIH30" s="822"/>
      <c r="HII30" s="822"/>
      <c r="HIJ30" s="822"/>
      <c r="HIK30" s="822"/>
      <c r="HIL30" s="822"/>
      <c r="HIM30" s="822"/>
      <c r="HIN30" s="822"/>
      <c r="HIO30" s="822"/>
      <c r="HIP30" s="822"/>
      <c r="HIQ30" s="822"/>
      <c r="HIR30" s="822"/>
      <c r="HIS30" s="822"/>
      <c r="HIT30" s="822"/>
      <c r="HIU30" s="822"/>
      <c r="HIV30" s="822"/>
      <c r="HIW30" s="822"/>
      <c r="HIX30" s="822"/>
      <c r="HIY30" s="822"/>
      <c r="HIZ30" s="822"/>
      <c r="HJA30" s="822"/>
      <c r="HJB30" s="822"/>
      <c r="HJC30" s="822"/>
      <c r="HJD30" s="822"/>
      <c r="HJE30" s="822"/>
      <c r="HJF30" s="822"/>
      <c r="HJG30" s="822"/>
      <c r="HJH30" s="822"/>
      <c r="HJI30" s="822"/>
      <c r="HJJ30" s="822"/>
      <c r="HJK30" s="822"/>
      <c r="HJL30" s="822"/>
      <c r="HJM30" s="822"/>
      <c r="HJN30" s="822"/>
      <c r="HJO30" s="822"/>
      <c r="HJP30" s="822"/>
      <c r="HJQ30" s="822"/>
      <c r="HJR30" s="822"/>
      <c r="HJS30" s="822"/>
      <c r="HJT30" s="822"/>
      <c r="HJU30" s="822"/>
      <c r="HJV30" s="822"/>
      <c r="HJW30" s="822"/>
      <c r="HJX30" s="822"/>
      <c r="HJY30" s="822"/>
      <c r="HJZ30" s="822"/>
      <c r="HKA30" s="822"/>
      <c r="HKB30" s="822"/>
      <c r="HKC30" s="822"/>
      <c r="HKD30" s="822"/>
      <c r="HKE30" s="822"/>
      <c r="HKF30" s="822"/>
      <c r="HKG30" s="822"/>
      <c r="HKH30" s="822"/>
      <c r="HKI30" s="822"/>
      <c r="HKJ30" s="822"/>
      <c r="HKK30" s="822"/>
      <c r="HKL30" s="822"/>
      <c r="HKM30" s="822"/>
      <c r="HKN30" s="822"/>
      <c r="HKO30" s="822"/>
      <c r="HKP30" s="822"/>
      <c r="HKQ30" s="822"/>
      <c r="HKR30" s="822"/>
      <c r="HKS30" s="822"/>
      <c r="HKT30" s="822"/>
      <c r="HKU30" s="822"/>
      <c r="HKV30" s="822"/>
      <c r="HKW30" s="822"/>
      <c r="HKX30" s="822"/>
      <c r="HKY30" s="822"/>
      <c r="HKZ30" s="822"/>
      <c r="HLA30" s="822"/>
      <c r="HLB30" s="822"/>
      <c r="HLC30" s="822"/>
      <c r="HLD30" s="822"/>
      <c r="HLE30" s="822"/>
      <c r="HLF30" s="822"/>
      <c r="HLG30" s="822"/>
      <c r="HLH30" s="822"/>
      <c r="HLI30" s="822"/>
      <c r="HLJ30" s="822"/>
      <c r="HLK30" s="822"/>
      <c r="HLL30" s="822"/>
      <c r="HLM30" s="822"/>
      <c r="HLN30" s="822"/>
      <c r="HLO30" s="822"/>
      <c r="HLP30" s="822"/>
      <c r="HLQ30" s="822"/>
      <c r="HLR30" s="822"/>
      <c r="HLS30" s="822"/>
      <c r="HLT30" s="822"/>
      <c r="HLU30" s="822"/>
      <c r="HLV30" s="822"/>
      <c r="HLW30" s="822"/>
      <c r="HLX30" s="822"/>
      <c r="HLY30" s="822"/>
      <c r="HLZ30" s="822"/>
      <c r="HMA30" s="822"/>
      <c r="HMB30" s="822"/>
      <c r="HMC30" s="822"/>
      <c r="HMD30" s="822"/>
      <c r="HME30" s="822"/>
      <c r="HMF30" s="822"/>
      <c r="HMG30" s="822"/>
      <c r="HMH30" s="822"/>
      <c r="HMI30" s="822"/>
      <c r="HMJ30" s="822"/>
      <c r="HMK30" s="822"/>
      <c r="HML30" s="822"/>
      <c r="HMM30" s="822"/>
      <c r="HMN30" s="822"/>
      <c r="HMO30" s="822"/>
      <c r="HMP30" s="822"/>
      <c r="HMQ30" s="822"/>
      <c r="HMR30" s="822"/>
      <c r="HMS30" s="822"/>
      <c r="HMT30" s="822"/>
      <c r="HMU30" s="822"/>
      <c r="HMV30" s="822"/>
      <c r="HMW30" s="822"/>
      <c r="HMX30" s="822"/>
      <c r="HMY30" s="822"/>
      <c r="HMZ30" s="822"/>
      <c r="HNA30" s="822"/>
      <c r="HNB30" s="822"/>
      <c r="HNC30" s="822"/>
      <c r="HND30" s="822"/>
      <c r="HNE30" s="822"/>
      <c r="HNF30" s="822"/>
      <c r="HNG30" s="822"/>
      <c r="HNH30" s="822"/>
      <c r="HNI30" s="822"/>
      <c r="HNJ30" s="822"/>
      <c r="HNK30" s="822"/>
      <c r="HNL30" s="822"/>
      <c r="HNM30" s="822"/>
      <c r="HNN30" s="822"/>
      <c r="HNO30" s="822"/>
      <c r="HNP30" s="822"/>
      <c r="HNQ30" s="822"/>
      <c r="HNR30" s="822"/>
      <c r="HNS30" s="822"/>
      <c r="HNT30" s="822"/>
      <c r="HNU30" s="822"/>
      <c r="HNV30" s="822"/>
      <c r="HNW30" s="822"/>
      <c r="HNX30" s="822"/>
      <c r="HNY30" s="822"/>
      <c r="HNZ30" s="822"/>
      <c r="HOA30" s="822"/>
      <c r="HOB30" s="822"/>
      <c r="HOC30" s="822"/>
      <c r="HOD30" s="822"/>
      <c r="HOE30" s="822"/>
      <c r="HOF30" s="822"/>
      <c r="HOG30" s="822"/>
      <c r="HOH30" s="822"/>
      <c r="HOI30" s="822"/>
      <c r="HOJ30" s="822"/>
      <c r="HOK30" s="822"/>
      <c r="HOL30" s="822"/>
      <c r="HOM30" s="822"/>
      <c r="HON30" s="822"/>
      <c r="HOO30" s="822"/>
      <c r="HOP30" s="822"/>
      <c r="HOQ30" s="822"/>
      <c r="HOR30" s="822"/>
      <c r="HOS30" s="822"/>
      <c r="HOT30" s="822"/>
      <c r="HOU30" s="822"/>
      <c r="HOV30" s="822"/>
      <c r="HOW30" s="822"/>
      <c r="HOX30" s="822"/>
      <c r="HOY30" s="822"/>
      <c r="HOZ30" s="822"/>
      <c r="HPA30" s="822"/>
      <c r="HPB30" s="822"/>
      <c r="HPC30" s="822"/>
      <c r="HPD30" s="822"/>
      <c r="HPE30" s="822"/>
      <c r="HPF30" s="822"/>
      <c r="HPG30" s="822"/>
      <c r="HPH30" s="822"/>
      <c r="HPI30" s="822"/>
      <c r="HPJ30" s="822"/>
      <c r="HPK30" s="822"/>
      <c r="HPL30" s="822"/>
      <c r="HPM30" s="822"/>
      <c r="HPN30" s="822"/>
      <c r="HPO30" s="822"/>
      <c r="HPP30" s="822"/>
      <c r="HPQ30" s="822"/>
      <c r="HPR30" s="822"/>
      <c r="HPS30" s="822"/>
      <c r="HPT30" s="822"/>
      <c r="HPU30" s="822"/>
      <c r="HPV30" s="822"/>
      <c r="HPW30" s="822"/>
      <c r="HPX30" s="822"/>
      <c r="HPY30" s="822"/>
      <c r="HPZ30" s="822"/>
      <c r="HQA30" s="822"/>
      <c r="HQB30" s="822"/>
      <c r="HQC30" s="822"/>
      <c r="HQD30" s="822"/>
      <c r="HQE30" s="822"/>
      <c r="HQF30" s="822"/>
      <c r="HQG30" s="822"/>
      <c r="HQH30" s="822"/>
      <c r="HQI30" s="822"/>
      <c r="HQJ30" s="822"/>
      <c r="HQK30" s="822"/>
      <c r="HQL30" s="822"/>
      <c r="HQM30" s="822"/>
      <c r="HQN30" s="822"/>
      <c r="HQO30" s="822"/>
      <c r="HQP30" s="822"/>
      <c r="HQQ30" s="822"/>
      <c r="HQR30" s="822"/>
      <c r="HQS30" s="822"/>
      <c r="HQT30" s="822"/>
      <c r="HQU30" s="822"/>
      <c r="HQV30" s="822"/>
      <c r="HQW30" s="822"/>
      <c r="HQX30" s="822"/>
      <c r="HQY30" s="822"/>
      <c r="HQZ30" s="822"/>
      <c r="HRA30" s="822"/>
      <c r="HRB30" s="822"/>
      <c r="HRC30" s="822"/>
      <c r="HRD30" s="822"/>
      <c r="HRE30" s="822"/>
      <c r="HRF30" s="822"/>
      <c r="HRG30" s="822"/>
      <c r="HRH30" s="822"/>
      <c r="HRI30" s="822"/>
      <c r="HRJ30" s="822"/>
      <c r="HRK30" s="822"/>
      <c r="HRL30" s="822"/>
      <c r="HRM30" s="822"/>
      <c r="HRN30" s="822"/>
      <c r="HRO30" s="822"/>
      <c r="HRP30" s="822"/>
      <c r="HRQ30" s="822"/>
      <c r="HRR30" s="822"/>
      <c r="HRS30" s="822"/>
      <c r="HRT30" s="822"/>
      <c r="HRU30" s="822"/>
      <c r="HRV30" s="822"/>
      <c r="HRW30" s="822"/>
      <c r="HRX30" s="822"/>
      <c r="HRY30" s="822"/>
      <c r="HRZ30" s="822"/>
      <c r="HSA30" s="822"/>
      <c r="HSB30" s="822"/>
      <c r="HSC30" s="822"/>
      <c r="HSD30" s="822"/>
      <c r="HSE30" s="822"/>
      <c r="HSF30" s="822"/>
      <c r="HSG30" s="822"/>
      <c r="HSH30" s="822"/>
      <c r="HSI30" s="822"/>
      <c r="HSJ30" s="822"/>
      <c r="HSK30" s="822"/>
      <c r="HSL30" s="822"/>
      <c r="HSM30" s="822"/>
      <c r="HSN30" s="822"/>
      <c r="HSO30" s="822"/>
      <c r="HSP30" s="822"/>
      <c r="HSQ30" s="822"/>
      <c r="HSR30" s="822"/>
      <c r="HSS30" s="822"/>
      <c r="HST30" s="822"/>
      <c r="HSU30" s="822"/>
      <c r="HSV30" s="822"/>
      <c r="HSW30" s="822"/>
      <c r="HSX30" s="822"/>
      <c r="HSY30" s="822"/>
      <c r="HSZ30" s="822"/>
      <c r="HTA30" s="822"/>
      <c r="HTB30" s="822"/>
      <c r="HTC30" s="822"/>
      <c r="HTD30" s="822"/>
      <c r="HTE30" s="822"/>
      <c r="HTF30" s="822"/>
      <c r="HTG30" s="822"/>
      <c r="HTH30" s="822"/>
      <c r="HTI30" s="822"/>
      <c r="HTJ30" s="822"/>
      <c r="HTK30" s="822"/>
      <c r="HTL30" s="822"/>
      <c r="HTM30" s="822"/>
      <c r="HTN30" s="822"/>
      <c r="HTO30" s="822"/>
      <c r="HTP30" s="822"/>
      <c r="HTQ30" s="822"/>
      <c r="HTR30" s="822"/>
      <c r="HTS30" s="822"/>
      <c r="HTT30" s="822"/>
      <c r="HTU30" s="822"/>
      <c r="HTV30" s="822"/>
      <c r="HTW30" s="822"/>
      <c r="HTX30" s="822"/>
      <c r="HTY30" s="822"/>
      <c r="HTZ30" s="822"/>
      <c r="HUA30" s="822"/>
      <c r="HUB30" s="822"/>
      <c r="HUC30" s="822"/>
      <c r="HUD30" s="822"/>
      <c r="HUE30" s="822"/>
      <c r="HUF30" s="822"/>
      <c r="HUG30" s="822"/>
      <c r="HUH30" s="822"/>
      <c r="HUI30" s="822"/>
      <c r="HUJ30" s="822"/>
      <c r="HUK30" s="822"/>
      <c r="HUL30" s="822"/>
      <c r="HUM30" s="822"/>
      <c r="HUN30" s="822"/>
      <c r="HUO30" s="822"/>
      <c r="HUP30" s="822"/>
      <c r="HUQ30" s="822"/>
      <c r="HUR30" s="822"/>
      <c r="HUS30" s="822"/>
      <c r="HUT30" s="822"/>
      <c r="HUU30" s="822"/>
      <c r="HUV30" s="822"/>
      <c r="HUW30" s="822"/>
      <c r="HUX30" s="822"/>
      <c r="HUY30" s="822"/>
      <c r="HUZ30" s="822"/>
      <c r="HVA30" s="822"/>
      <c r="HVB30" s="822"/>
      <c r="HVC30" s="822"/>
      <c r="HVD30" s="822"/>
      <c r="HVE30" s="822"/>
      <c r="HVF30" s="822"/>
      <c r="HVG30" s="822"/>
      <c r="HVH30" s="822"/>
      <c r="HVI30" s="822"/>
      <c r="HVJ30" s="822"/>
      <c r="HVK30" s="822"/>
      <c r="HVL30" s="822"/>
      <c r="HVM30" s="822"/>
      <c r="HVN30" s="822"/>
      <c r="HVO30" s="822"/>
      <c r="HVP30" s="822"/>
      <c r="HVQ30" s="822"/>
      <c r="HVR30" s="822"/>
      <c r="HVS30" s="822"/>
      <c r="HVT30" s="822"/>
      <c r="HVU30" s="822"/>
      <c r="HVV30" s="822"/>
      <c r="HVW30" s="822"/>
      <c r="HVX30" s="822"/>
      <c r="HVY30" s="822"/>
      <c r="HVZ30" s="822"/>
      <c r="HWA30" s="822"/>
      <c r="HWB30" s="822"/>
      <c r="HWC30" s="822"/>
      <c r="HWD30" s="822"/>
      <c r="HWE30" s="822"/>
      <c r="HWF30" s="822"/>
      <c r="HWG30" s="822"/>
      <c r="HWH30" s="822"/>
      <c r="HWI30" s="822"/>
      <c r="HWJ30" s="822"/>
      <c r="HWK30" s="822"/>
      <c r="HWL30" s="822"/>
      <c r="HWM30" s="822"/>
      <c r="HWN30" s="822"/>
      <c r="HWO30" s="822"/>
      <c r="HWP30" s="822"/>
      <c r="HWQ30" s="822"/>
      <c r="HWR30" s="822"/>
      <c r="HWS30" s="822"/>
      <c r="HWT30" s="822"/>
      <c r="HWU30" s="822"/>
      <c r="HWV30" s="822"/>
      <c r="HWW30" s="822"/>
      <c r="HWX30" s="822"/>
      <c r="HWY30" s="822"/>
      <c r="HWZ30" s="822"/>
      <c r="HXA30" s="822"/>
      <c r="HXB30" s="822"/>
      <c r="HXC30" s="822"/>
      <c r="HXD30" s="822"/>
      <c r="HXE30" s="822"/>
      <c r="HXF30" s="822"/>
      <c r="HXG30" s="822"/>
      <c r="HXH30" s="822"/>
      <c r="HXI30" s="822"/>
      <c r="HXJ30" s="822"/>
      <c r="HXK30" s="822"/>
      <c r="HXL30" s="822"/>
      <c r="HXM30" s="822"/>
      <c r="HXN30" s="822"/>
      <c r="HXO30" s="822"/>
      <c r="HXP30" s="822"/>
      <c r="HXQ30" s="822"/>
      <c r="HXR30" s="822"/>
      <c r="HXS30" s="822"/>
      <c r="HXT30" s="822"/>
      <c r="HXU30" s="822"/>
      <c r="HXV30" s="822"/>
      <c r="HXW30" s="822"/>
      <c r="HXX30" s="822"/>
      <c r="HXY30" s="822"/>
      <c r="HXZ30" s="822"/>
      <c r="HYA30" s="822"/>
      <c r="HYB30" s="822"/>
      <c r="HYC30" s="822"/>
      <c r="HYD30" s="822"/>
      <c r="HYE30" s="822"/>
      <c r="HYF30" s="822"/>
      <c r="HYG30" s="822"/>
      <c r="HYH30" s="822"/>
      <c r="HYI30" s="822"/>
      <c r="HYJ30" s="822"/>
      <c r="HYK30" s="822"/>
      <c r="HYL30" s="822"/>
      <c r="HYM30" s="822"/>
      <c r="HYN30" s="822"/>
      <c r="HYO30" s="822"/>
      <c r="HYP30" s="822"/>
      <c r="HYQ30" s="822"/>
      <c r="HYR30" s="822"/>
      <c r="HYS30" s="822"/>
      <c r="HYT30" s="822"/>
      <c r="HYU30" s="822"/>
      <c r="HYV30" s="822"/>
      <c r="HYW30" s="822"/>
      <c r="HYX30" s="822"/>
      <c r="HYY30" s="822"/>
      <c r="HYZ30" s="822"/>
      <c r="HZA30" s="822"/>
      <c r="HZB30" s="822"/>
      <c r="HZC30" s="822"/>
      <c r="HZD30" s="822"/>
      <c r="HZE30" s="822"/>
      <c r="HZF30" s="822"/>
      <c r="HZG30" s="822"/>
      <c r="HZH30" s="822"/>
      <c r="HZI30" s="822"/>
      <c r="HZJ30" s="822"/>
      <c r="HZK30" s="822"/>
      <c r="HZL30" s="822"/>
      <c r="HZM30" s="822"/>
      <c r="HZN30" s="822"/>
      <c r="HZO30" s="822"/>
      <c r="HZP30" s="822"/>
      <c r="HZQ30" s="822"/>
      <c r="HZR30" s="822"/>
      <c r="HZS30" s="822"/>
      <c r="HZT30" s="822"/>
      <c r="HZU30" s="822"/>
      <c r="HZV30" s="822"/>
      <c r="HZW30" s="822"/>
      <c r="HZX30" s="822"/>
      <c r="HZY30" s="822"/>
      <c r="HZZ30" s="822"/>
      <c r="IAA30" s="822"/>
      <c r="IAB30" s="822"/>
      <c r="IAC30" s="822"/>
      <c r="IAD30" s="822"/>
      <c r="IAE30" s="822"/>
      <c r="IAF30" s="822"/>
      <c r="IAG30" s="822"/>
      <c r="IAH30" s="822"/>
      <c r="IAI30" s="822"/>
      <c r="IAJ30" s="822"/>
      <c r="IAK30" s="822"/>
      <c r="IAL30" s="822"/>
      <c r="IAM30" s="822"/>
      <c r="IAN30" s="822"/>
      <c r="IAO30" s="822"/>
      <c r="IAP30" s="822"/>
      <c r="IAQ30" s="822"/>
      <c r="IAR30" s="822"/>
      <c r="IAS30" s="822"/>
      <c r="IAT30" s="822"/>
      <c r="IAU30" s="822"/>
      <c r="IAV30" s="822"/>
      <c r="IAW30" s="822"/>
      <c r="IAX30" s="822"/>
      <c r="IAY30" s="822"/>
      <c r="IAZ30" s="822"/>
      <c r="IBA30" s="822"/>
      <c r="IBB30" s="822"/>
      <c r="IBC30" s="822"/>
      <c r="IBD30" s="822"/>
      <c r="IBE30" s="822"/>
      <c r="IBF30" s="822"/>
      <c r="IBG30" s="822"/>
      <c r="IBH30" s="822"/>
      <c r="IBI30" s="822"/>
      <c r="IBJ30" s="822"/>
      <c r="IBK30" s="822"/>
      <c r="IBL30" s="822"/>
      <c r="IBM30" s="822"/>
      <c r="IBN30" s="822"/>
      <c r="IBO30" s="822"/>
      <c r="IBP30" s="822"/>
      <c r="IBQ30" s="822"/>
      <c r="IBR30" s="822"/>
      <c r="IBS30" s="822"/>
      <c r="IBT30" s="822"/>
      <c r="IBU30" s="822"/>
      <c r="IBV30" s="822"/>
      <c r="IBW30" s="822"/>
      <c r="IBX30" s="822"/>
      <c r="IBY30" s="822"/>
      <c r="IBZ30" s="822"/>
      <c r="ICA30" s="822"/>
      <c r="ICB30" s="822"/>
      <c r="ICC30" s="822"/>
      <c r="ICD30" s="822"/>
      <c r="ICE30" s="822"/>
      <c r="ICF30" s="822"/>
      <c r="ICG30" s="822"/>
      <c r="ICH30" s="822"/>
      <c r="ICI30" s="822"/>
      <c r="ICJ30" s="822"/>
      <c r="ICK30" s="822"/>
      <c r="ICL30" s="822"/>
      <c r="ICM30" s="822"/>
      <c r="ICN30" s="822"/>
      <c r="ICO30" s="822"/>
      <c r="ICP30" s="822"/>
      <c r="ICQ30" s="822"/>
      <c r="ICR30" s="822"/>
      <c r="ICS30" s="822"/>
      <c r="ICT30" s="822"/>
      <c r="ICU30" s="822"/>
      <c r="ICV30" s="822"/>
      <c r="ICW30" s="822"/>
      <c r="ICX30" s="822"/>
      <c r="ICY30" s="822"/>
      <c r="ICZ30" s="822"/>
      <c r="IDA30" s="822"/>
      <c r="IDB30" s="822"/>
      <c r="IDC30" s="822"/>
      <c r="IDD30" s="822"/>
      <c r="IDE30" s="822"/>
      <c r="IDF30" s="822"/>
      <c r="IDG30" s="822"/>
      <c r="IDH30" s="822"/>
      <c r="IDI30" s="822"/>
      <c r="IDJ30" s="822"/>
      <c r="IDK30" s="822"/>
      <c r="IDL30" s="822"/>
      <c r="IDM30" s="822"/>
      <c r="IDN30" s="822"/>
      <c r="IDO30" s="822"/>
      <c r="IDP30" s="822"/>
      <c r="IDQ30" s="822"/>
      <c r="IDR30" s="822"/>
      <c r="IDS30" s="822"/>
      <c r="IDT30" s="822"/>
      <c r="IDU30" s="822"/>
      <c r="IDV30" s="822"/>
      <c r="IDW30" s="822"/>
      <c r="IDX30" s="822"/>
      <c r="IDY30" s="822"/>
      <c r="IDZ30" s="822"/>
      <c r="IEA30" s="822"/>
      <c r="IEB30" s="822"/>
      <c r="IEC30" s="822"/>
      <c r="IED30" s="822"/>
      <c r="IEE30" s="822"/>
      <c r="IEF30" s="822"/>
      <c r="IEG30" s="822"/>
      <c r="IEH30" s="822"/>
      <c r="IEI30" s="822"/>
      <c r="IEJ30" s="822"/>
      <c r="IEK30" s="822"/>
      <c r="IEL30" s="822"/>
      <c r="IEM30" s="822"/>
      <c r="IEN30" s="822"/>
      <c r="IEO30" s="822"/>
      <c r="IEP30" s="822"/>
      <c r="IEQ30" s="822"/>
      <c r="IER30" s="822"/>
      <c r="IES30" s="822"/>
      <c r="IET30" s="822"/>
      <c r="IEU30" s="822"/>
      <c r="IEV30" s="822"/>
      <c r="IEW30" s="822"/>
      <c r="IEX30" s="822"/>
      <c r="IEY30" s="822"/>
      <c r="IEZ30" s="822"/>
      <c r="IFA30" s="822"/>
      <c r="IFB30" s="822"/>
      <c r="IFC30" s="822"/>
      <c r="IFD30" s="822"/>
      <c r="IFE30" s="822"/>
      <c r="IFF30" s="822"/>
      <c r="IFG30" s="822"/>
      <c r="IFH30" s="822"/>
      <c r="IFI30" s="822"/>
      <c r="IFJ30" s="822"/>
      <c r="IFK30" s="822"/>
      <c r="IFL30" s="822"/>
      <c r="IFM30" s="822"/>
      <c r="IFN30" s="822"/>
      <c r="IFO30" s="822"/>
      <c r="IFP30" s="822"/>
      <c r="IFQ30" s="822"/>
      <c r="IFR30" s="822"/>
      <c r="IFS30" s="822"/>
      <c r="IFT30" s="822"/>
      <c r="IFU30" s="822"/>
      <c r="IFV30" s="822"/>
      <c r="IFW30" s="822"/>
      <c r="IFX30" s="822"/>
      <c r="IFY30" s="822"/>
      <c r="IFZ30" s="822"/>
      <c r="IGA30" s="822"/>
      <c r="IGB30" s="822"/>
      <c r="IGC30" s="822"/>
      <c r="IGD30" s="822"/>
      <c r="IGE30" s="822"/>
      <c r="IGF30" s="822"/>
      <c r="IGG30" s="822"/>
      <c r="IGH30" s="822"/>
      <c r="IGI30" s="822"/>
      <c r="IGJ30" s="822"/>
      <c r="IGK30" s="822"/>
      <c r="IGL30" s="822"/>
      <c r="IGM30" s="822"/>
      <c r="IGN30" s="822"/>
      <c r="IGO30" s="822"/>
      <c r="IGP30" s="822"/>
      <c r="IGQ30" s="822"/>
      <c r="IGR30" s="822"/>
      <c r="IGS30" s="822"/>
      <c r="IGT30" s="822"/>
      <c r="IGU30" s="822"/>
      <c r="IGV30" s="822"/>
      <c r="IGW30" s="822"/>
      <c r="IGX30" s="822"/>
      <c r="IGY30" s="822"/>
      <c r="IGZ30" s="822"/>
      <c r="IHA30" s="822"/>
      <c r="IHB30" s="822"/>
      <c r="IHC30" s="822"/>
      <c r="IHD30" s="822"/>
      <c r="IHE30" s="822"/>
      <c r="IHF30" s="822"/>
      <c r="IHG30" s="822"/>
      <c r="IHH30" s="822"/>
      <c r="IHI30" s="822"/>
      <c r="IHJ30" s="822"/>
      <c r="IHK30" s="822"/>
      <c r="IHL30" s="822"/>
      <c r="IHM30" s="822"/>
      <c r="IHN30" s="822"/>
      <c r="IHO30" s="822"/>
      <c r="IHP30" s="822"/>
      <c r="IHQ30" s="822"/>
      <c r="IHR30" s="822"/>
      <c r="IHS30" s="822"/>
      <c r="IHT30" s="822"/>
      <c r="IHU30" s="822"/>
      <c r="IHV30" s="822"/>
      <c r="IHW30" s="822"/>
      <c r="IHX30" s="822"/>
      <c r="IHY30" s="822"/>
      <c r="IHZ30" s="822"/>
      <c r="IIA30" s="822"/>
      <c r="IIB30" s="822"/>
      <c r="IIC30" s="822"/>
      <c r="IID30" s="822"/>
      <c r="IIE30" s="822"/>
      <c r="IIF30" s="822"/>
      <c r="IIG30" s="822"/>
      <c r="IIH30" s="822"/>
      <c r="III30" s="822"/>
      <c r="IIJ30" s="822"/>
      <c r="IIK30" s="822"/>
      <c r="IIL30" s="822"/>
      <c r="IIM30" s="822"/>
      <c r="IIN30" s="822"/>
      <c r="IIO30" s="822"/>
      <c r="IIP30" s="822"/>
      <c r="IIQ30" s="822"/>
      <c r="IIR30" s="822"/>
      <c r="IIS30" s="822"/>
      <c r="IIT30" s="822"/>
      <c r="IIU30" s="822"/>
      <c r="IIV30" s="822"/>
      <c r="IIW30" s="822"/>
      <c r="IIX30" s="822"/>
      <c r="IIY30" s="822"/>
      <c r="IIZ30" s="822"/>
      <c r="IJA30" s="822"/>
      <c r="IJB30" s="822"/>
      <c r="IJC30" s="822"/>
      <c r="IJD30" s="822"/>
      <c r="IJE30" s="822"/>
      <c r="IJF30" s="822"/>
      <c r="IJG30" s="822"/>
      <c r="IJH30" s="822"/>
      <c r="IJI30" s="822"/>
      <c r="IJJ30" s="822"/>
      <c r="IJK30" s="822"/>
      <c r="IJL30" s="822"/>
      <c r="IJM30" s="822"/>
      <c r="IJN30" s="822"/>
      <c r="IJO30" s="822"/>
      <c r="IJP30" s="822"/>
      <c r="IJQ30" s="822"/>
      <c r="IJR30" s="822"/>
      <c r="IJS30" s="822"/>
      <c r="IJT30" s="822"/>
      <c r="IJU30" s="822"/>
      <c r="IJV30" s="822"/>
      <c r="IJW30" s="822"/>
      <c r="IJX30" s="822"/>
      <c r="IJY30" s="822"/>
      <c r="IJZ30" s="822"/>
      <c r="IKA30" s="822"/>
      <c r="IKB30" s="822"/>
      <c r="IKC30" s="822"/>
      <c r="IKD30" s="822"/>
      <c r="IKE30" s="822"/>
      <c r="IKF30" s="822"/>
      <c r="IKG30" s="822"/>
      <c r="IKH30" s="822"/>
      <c r="IKI30" s="822"/>
      <c r="IKJ30" s="822"/>
      <c r="IKK30" s="822"/>
      <c r="IKL30" s="822"/>
      <c r="IKM30" s="822"/>
      <c r="IKN30" s="822"/>
      <c r="IKO30" s="822"/>
      <c r="IKP30" s="822"/>
      <c r="IKQ30" s="822"/>
      <c r="IKR30" s="822"/>
      <c r="IKS30" s="822"/>
      <c r="IKT30" s="822"/>
      <c r="IKU30" s="822"/>
      <c r="IKV30" s="822"/>
      <c r="IKW30" s="822"/>
      <c r="IKX30" s="822"/>
      <c r="IKY30" s="822"/>
      <c r="IKZ30" s="822"/>
      <c r="ILA30" s="822"/>
      <c r="ILB30" s="822"/>
      <c r="ILC30" s="822"/>
      <c r="ILD30" s="822"/>
      <c r="ILE30" s="822"/>
      <c r="ILF30" s="822"/>
      <c r="ILG30" s="822"/>
      <c r="ILH30" s="822"/>
      <c r="ILI30" s="822"/>
      <c r="ILJ30" s="822"/>
      <c r="ILK30" s="822"/>
      <c r="ILL30" s="822"/>
      <c r="ILM30" s="822"/>
      <c r="ILN30" s="822"/>
      <c r="ILO30" s="822"/>
      <c r="ILP30" s="822"/>
      <c r="ILQ30" s="822"/>
      <c r="ILR30" s="822"/>
      <c r="ILS30" s="822"/>
      <c r="ILT30" s="822"/>
      <c r="ILU30" s="822"/>
      <c r="ILV30" s="822"/>
      <c r="ILW30" s="822"/>
      <c r="ILX30" s="822"/>
      <c r="ILY30" s="822"/>
      <c r="ILZ30" s="822"/>
      <c r="IMA30" s="822"/>
      <c r="IMB30" s="822"/>
      <c r="IMC30" s="822"/>
      <c r="IMD30" s="822"/>
      <c r="IME30" s="822"/>
      <c r="IMF30" s="822"/>
      <c r="IMG30" s="822"/>
      <c r="IMH30" s="822"/>
      <c r="IMI30" s="822"/>
      <c r="IMJ30" s="822"/>
      <c r="IMK30" s="822"/>
      <c r="IML30" s="822"/>
      <c r="IMM30" s="822"/>
      <c r="IMN30" s="822"/>
      <c r="IMO30" s="822"/>
      <c r="IMP30" s="822"/>
      <c r="IMQ30" s="822"/>
      <c r="IMR30" s="822"/>
      <c r="IMS30" s="822"/>
      <c r="IMT30" s="822"/>
      <c r="IMU30" s="822"/>
      <c r="IMV30" s="822"/>
      <c r="IMW30" s="822"/>
      <c r="IMX30" s="822"/>
      <c r="IMY30" s="822"/>
      <c r="IMZ30" s="822"/>
      <c r="INA30" s="822"/>
      <c r="INB30" s="822"/>
      <c r="INC30" s="822"/>
      <c r="IND30" s="822"/>
      <c r="INE30" s="822"/>
      <c r="INF30" s="822"/>
      <c r="ING30" s="822"/>
      <c r="INH30" s="822"/>
      <c r="INI30" s="822"/>
      <c r="INJ30" s="822"/>
      <c r="INK30" s="822"/>
      <c r="INL30" s="822"/>
      <c r="INM30" s="822"/>
      <c r="INN30" s="822"/>
      <c r="INO30" s="822"/>
      <c r="INP30" s="822"/>
      <c r="INQ30" s="822"/>
      <c r="INR30" s="822"/>
      <c r="INS30" s="822"/>
      <c r="INT30" s="822"/>
      <c r="INU30" s="822"/>
      <c r="INV30" s="822"/>
      <c r="INW30" s="822"/>
      <c r="INX30" s="822"/>
      <c r="INY30" s="822"/>
      <c r="INZ30" s="822"/>
      <c r="IOA30" s="822"/>
      <c r="IOB30" s="822"/>
      <c r="IOC30" s="822"/>
      <c r="IOD30" s="822"/>
      <c r="IOE30" s="822"/>
      <c r="IOF30" s="822"/>
      <c r="IOG30" s="822"/>
      <c r="IOH30" s="822"/>
      <c r="IOI30" s="822"/>
      <c r="IOJ30" s="822"/>
      <c r="IOK30" s="822"/>
      <c r="IOL30" s="822"/>
      <c r="IOM30" s="822"/>
      <c r="ION30" s="822"/>
      <c r="IOO30" s="822"/>
      <c r="IOP30" s="822"/>
      <c r="IOQ30" s="822"/>
      <c r="IOR30" s="822"/>
      <c r="IOS30" s="822"/>
      <c r="IOT30" s="822"/>
      <c r="IOU30" s="822"/>
      <c r="IOV30" s="822"/>
      <c r="IOW30" s="822"/>
      <c r="IOX30" s="822"/>
      <c r="IOY30" s="822"/>
      <c r="IOZ30" s="822"/>
      <c r="IPA30" s="822"/>
      <c r="IPB30" s="822"/>
      <c r="IPC30" s="822"/>
      <c r="IPD30" s="822"/>
      <c r="IPE30" s="822"/>
      <c r="IPF30" s="822"/>
      <c r="IPG30" s="822"/>
      <c r="IPH30" s="822"/>
      <c r="IPI30" s="822"/>
      <c r="IPJ30" s="822"/>
      <c r="IPK30" s="822"/>
      <c r="IPL30" s="822"/>
      <c r="IPM30" s="822"/>
      <c r="IPN30" s="822"/>
      <c r="IPO30" s="822"/>
      <c r="IPP30" s="822"/>
      <c r="IPQ30" s="822"/>
      <c r="IPR30" s="822"/>
      <c r="IPS30" s="822"/>
      <c r="IPT30" s="822"/>
      <c r="IPU30" s="822"/>
      <c r="IPV30" s="822"/>
      <c r="IPW30" s="822"/>
      <c r="IPX30" s="822"/>
      <c r="IPY30" s="822"/>
      <c r="IPZ30" s="822"/>
      <c r="IQA30" s="822"/>
      <c r="IQB30" s="822"/>
      <c r="IQC30" s="822"/>
      <c r="IQD30" s="822"/>
      <c r="IQE30" s="822"/>
      <c r="IQF30" s="822"/>
      <c r="IQG30" s="822"/>
      <c r="IQH30" s="822"/>
      <c r="IQI30" s="822"/>
      <c r="IQJ30" s="822"/>
      <c r="IQK30" s="822"/>
      <c r="IQL30" s="822"/>
      <c r="IQM30" s="822"/>
      <c r="IQN30" s="822"/>
      <c r="IQO30" s="822"/>
      <c r="IQP30" s="822"/>
      <c r="IQQ30" s="822"/>
      <c r="IQR30" s="822"/>
      <c r="IQS30" s="822"/>
      <c r="IQT30" s="822"/>
      <c r="IQU30" s="822"/>
      <c r="IQV30" s="822"/>
      <c r="IQW30" s="822"/>
      <c r="IQX30" s="822"/>
      <c r="IQY30" s="822"/>
      <c r="IQZ30" s="822"/>
      <c r="IRA30" s="822"/>
      <c r="IRB30" s="822"/>
      <c r="IRC30" s="822"/>
      <c r="IRD30" s="822"/>
      <c r="IRE30" s="822"/>
      <c r="IRF30" s="822"/>
      <c r="IRG30" s="822"/>
      <c r="IRH30" s="822"/>
      <c r="IRI30" s="822"/>
      <c r="IRJ30" s="822"/>
      <c r="IRK30" s="822"/>
      <c r="IRL30" s="822"/>
      <c r="IRM30" s="822"/>
      <c r="IRN30" s="822"/>
      <c r="IRO30" s="822"/>
      <c r="IRP30" s="822"/>
      <c r="IRQ30" s="822"/>
      <c r="IRR30" s="822"/>
      <c r="IRS30" s="822"/>
      <c r="IRT30" s="822"/>
      <c r="IRU30" s="822"/>
      <c r="IRV30" s="822"/>
      <c r="IRW30" s="822"/>
      <c r="IRX30" s="822"/>
      <c r="IRY30" s="822"/>
      <c r="IRZ30" s="822"/>
      <c r="ISA30" s="822"/>
      <c r="ISB30" s="822"/>
      <c r="ISC30" s="822"/>
      <c r="ISD30" s="822"/>
      <c r="ISE30" s="822"/>
      <c r="ISF30" s="822"/>
      <c r="ISG30" s="822"/>
      <c r="ISH30" s="822"/>
      <c r="ISI30" s="822"/>
      <c r="ISJ30" s="822"/>
      <c r="ISK30" s="822"/>
      <c r="ISL30" s="822"/>
      <c r="ISM30" s="822"/>
      <c r="ISN30" s="822"/>
      <c r="ISO30" s="822"/>
      <c r="ISP30" s="822"/>
      <c r="ISQ30" s="822"/>
      <c r="ISR30" s="822"/>
      <c r="ISS30" s="822"/>
      <c r="IST30" s="822"/>
      <c r="ISU30" s="822"/>
      <c r="ISV30" s="822"/>
      <c r="ISW30" s="822"/>
      <c r="ISX30" s="822"/>
      <c r="ISY30" s="822"/>
      <c r="ISZ30" s="822"/>
      <c r="ITA30" s="822"/>
      <c r="ITB30" s="822"/>
      <c r="ITC30" s="822"/>
      <c r="ITD30" s="822"/>
      <c r="ITE30" s="822"/>
      <c r="ITF30" s="822"/>
      <c r="ITG30" s="822"/>
      <c r="ITH30" s="822"/>
      <c r="ITI30" s="822"/>
      <c r="ITJ30" s="822"/>
      <c r="ITK30" s="822"/>
      <c r="ITL30" s="822"/>
      <c r="ITM30" s="822"/>
      <c r="ITN30" s="822"/>
      <c r="ITO30" s="822"/>
      <c r="ITP30" s="822"/>
      <c r="ITQ30" s="822"/>
      <c r="ITR30" s="822"/>
      <c r="ITS30" s="822"/>
      <c r="ITT30" s="822"/>
      <c r="ITU30" s="822"/>
      <c r="ITV30" s="822"/>
      <c r="ITW30" s="822"/>
      <c r="ITX30" s="822"/>
      <c r="ITY30" s="822"/>
      <c r="ITZ30" s="822"/>
      <c r="IUA30" s="822"/>
      <c r="IUB30" s="822"/>
      <c r="IUC30" s="822"/>
      <c r="IUD30" s="822"/>
      <c r="IUE30" s="822"/>
      <c r="IUF30" s="822"/>
      <c r="IUG30" s="822"/>
      <c r="IUH30" s="822"/>
      <c r="IUI30" s="822"/>
      <c r="IUJ30" s="822"/>
      <c r="IUK30" s="822"/>
      <c r="IUL30" s="822"/>
      <c r="IUM30" s="822"/>
      <c r="IUN30" s="822"/>
      <c r="IUO30" s="822"/>
      <c r="IUP30" s="822"/>
      <c r="IUQ30" s="822"/>
      <c r="IUR30" s="822"/>
      <c r="IUS30" s="822"/>
      <c r="IUT30" s="822"/>
      <c r="IUU30" s="822"/>
      <c r="IUV30" s="822"/>
      <c r="IUW30" s="822"/>
      <c r="IUX30" s="822"/>
      <c r="IUY30" s="822"/>
      <c r="IUZ30" s="822"/>
      <c r="IVA30" s="822"/>
      <c r="IVB30" s="822"/>
      <c r="IVC30" s="822"/>
      <c r="IVD30" s="822"/>
      <c r="IVE30" s="822"/>
      <c r="IVF30" s="822"/>
      <c r="IVG30" s="822"/>
      <c r="IVH30" s="822"/>
      <c r="IVI30" s="822"/>
      <c r="IVJ30" s="822"/>
      <c r="IVK30" s="822"/>
      <c r="IVL30" s="822"/>
      <c r="IVM30" s="822"/>
      <c r="IVN30" s="822"/>
      <c r="IVO30" s="822"/>
      <c r="IVP30" s="822"/>
      <c r="IVQ30" s="822"/>
      <c r="IVR30" s="822"/>
      <c r="IVS30" s="822"/>
      <c r="IVT30" s="822"/>
      <c r="IVU30" s="822"/>
      <c r="IVV30" s="822"/>
      <c r="IVW30" s="822"/>
      <c r="IVX30" s="822"/>
      <c r="IVY30" s="822"/>
      <c r="IVZ30" s="822"/>
      <c r="IWA30" s="822"/>
      <c r="IWB30" s="822"/>
      <c r="IWC30" s="822"/>
      <c r="IWD30" s="822"/>
      <c r="IWE30" s="822"/>
      <c r="IWF30" s="822"/>
      <c r="IWG30" s="822"/>
      <c r="IWH30" s="822"/>
      <c r="IWI30" s="822"/>
      <c r="IWJ30" s="822"/>
      <c r="IWK30" s="822"/>
      <c r="IWL30" s="822"/>
      <c r="IWM30" s="822"/>
      <c r="IWN30" s="822"/>
      <c r="IWO30" s="822"/>
      <c r="IWP30" s="822"/>
      <c r="IWQ30" s="822"/>
      <c r="IWR30" s="822"/>
      <c r="IWS30" s="822"/>
      <c r="IWT30" s="822"/>
      <c r="IWU30" s="822"/>
      <c r="IWV30" s="822"/>
      <c r="IWW30" s="822"/>
      <c r="IWX30" s="822"/>
      <c r="IWY30" s="822"/>
      <c r="IWZ30" s="822"/>
      <c r="IXA30" s="822"/>
      <c r="IXB30" s="822"/>
      <c r="IXC30" s="822"/>
      <c r="IXD30" s="822"/>
      <c r="IXE30" s="822"/>
      <c r="IXF30" s="822"/>
      <c r="IXG30" s="822"/>
      <c r="IXH30" s="822"/>
      <c r="IXI30" s="822"/>
      <c r="IXJ30" s="822"/>
      <c r="IXK30" s="822"/>
      <c r="IXL30" s="822"/>
      <c r="IXM30" s="822"/>
      <c r="IXN30" s="822"/>
      <c r="IXO30" s="822"/>
      <c r="IXP30" s="822"/>
      <c r="IXQ30" s="822"/>
      <c r="IXR30" s="822"/>
      <c r="IXS30" s="822"/>
      <c r="IXT30" s="822"/>
      <c r="IXU30" s="822"/>
      <c r="IXV30" s="822"/>
      <c r="IXW30" s="822"/>
      <c r="IXX30" s="822"/>
      <c r="IXY30" s="822"/>
      <c r="IXZ30" s="822"/>
      <c r="IYA30" s="822"/>
      <c r="IYB30" s="822"/>
      <c r="IYC30" s="822"/>
      <c r="IYD30" s="822"/>
      <c r="IYE30" s="822"/>
      <c r="IYF30" s="822"/>
      <c r="IYG30" s="822"/>
      <c r="IYH30" s="822"/>
      <c r="IYI30" s="822"/>
      <c r="IYJ30" s="822"/>
      <c r="IYK30" s="822"/>
      <c r="IYL30" s="822"/>
      <c r="IYM30" s="822"/>
      <c r="IYN30" s="822"/>
      <c r="IYO30" s="822"/>
      <c r="IYP30" s="822"/>
      <c r="IYQ30" s="822"/>
      <c r="IYR30" s="822"/>
      <c r="IYS30" s="822"/>
      <c r="IYT30" s="822"/>
      <c r="IYU30" s="822"/>
      <c r="IYV30" s="822"/>
      <c r="IYW30" s="822"/>
      <c r="IYX30" s="822"/>
      <c r="IYY30" s="822"/>
      <c r="IYZ30" s="822"/>
      <c r="IZA30" s="822"/>
      <c r="IZB30" s="822"/>
      <c r="IZC30" s="822"/>
      <c r="IZD30" s="822"/>
      <c r="IZE30" s="822"/>
      <c r="IZF30" s="822"/>
      <c r="IZG30" s="822"/>
      <c r="IZH30" s="822"/>
      <c r="IZI30" s="822"/>
      <c r="IZJ30" s="822"/>
      <c r="IZK30" s="822"/>
      <c r="IZL30" s="822"/>
      <c r="IZM30" s="822"/>
      <c r="IZN30" s="822"/>
      <c r="IZO30" s="822"/>
      <c r="IZP30" s="822"/>
      <c r="IZQ30" s="822"/>
      <c r="IZR30" s="822"/>
      <c r="IZS30" s="822"/>
      <c r="IZT30" s="822"/>
      <c r="IZU30" s="822"/>
      <c r="IZV30" s="822"/>
      <c r="IZW30" s="822"/>
      <c r="IZX30" s="822"/>
      <c r="IZY30" s="822"/>
      <c r="IZZ30" s="822"/>
      <c r="JAA30" s="822"/>
      <c r="JAB30" s="822"/>
      <c r="JAC30" s="822"/>
      <c r="JAD30" s="822"/>
      <c r="JAE30" s="822"/>
      <c r="JAF30" s="822"/>
      <c r="JAG30" s="822"/>
      <c r="JAH30" s="822"/>
      <c r="JAI30" s="822"/>
      <c r="JAJ30" s="822"/>
      <c r="JAK30" s="822"/>
      <c r="JAL30" s="822"/>
      <c r="JAM30" s="822"/>
      <c r="JAN30" s="822"/>
      <c r="JAO30" s="822"/>
      <c r="JAP30" s="822"/>
      <c r="JAQ30" s="822"/>
      <c r="JAR30" s="822"/>
      <c r="JAS30" s="822"/>
      <c r="JAT30" s="822"/>
      <c r="JAU30" s="822"/>
      <c r="JAV30" s="822"/>
      <c r="JAW30" s="822"/>
      <c r="JAX30" s="822"/>
      <c r="JAY30" s="822"/>
      <c r="JAZ30" s="822"/>
      <c r="JBA30" s="822"/>
      <c r="JBB30" s="822"/>
      <c r="JBC30" s="822"/>
      <c r="JBD30" s="822"/>
      <c r="JBE30" s="822"/>
      <c r="JBF30" s="822"/>
      <c r="JBG30" s="822"/>
      <c r="JBH30" s="822"/>
      <c r="JBI30" s="822"/>
      <c r="JBJ30" s="822"/>
      <c r="JBK30" s="822"/>
      <c r="JBL30" s="822"/>
      <c r="JBM30" s="822"/>
      <c r="JBN30" s="822"/>
      <c r="JBO30" s="822"/>
      <c r="JBP30" s="822"/>
      <c r="JBQ30" s="822"/>
      <c r="JBR30" s="822"/>
      <c r="JBS30" s="822"/>
      <c r="JBT30" s="822"/>
      <c r="JBU30" s="822"/>
      <c r="JBV30" s="822"/>
      <c r="JBW30" s="822"/>
      <c r="JBX30" s="822"/>
      <c r="JBY30" s="822"/>
      <c r="JBZ30" s="822"/>
      <c r="JCA30" s="822"/>
      <c r="JCB30" s="822"/>
      <c r="JCC30" s="822"/>
      <c r="JCD30" s="822"/>
      <c r="JCE30" s="822"/>
      <c r="JCF30" s="822"/>
      <c r="JCG30" s="822"/>
      <c r="JCH30" s="822"/>
      <c r="JCI30" s="822"/>
      <c r="JCJ30" s="822"/>
      <c r="JCK30" s="822"/>
      <c r="JCL30" s="822"/>
      <c r="JCM30" s="822"/>
      <c r="JCN30" s="822"/>
      <c r="JCO30" s="822"/>
      <c r="JCP30" s="822"/>
      <c r="JCQ30" s="822"/>
      <c r="JCR30" s="822"/>
      <c r="JCS30" s="822"/>
      <c r="JCT30" s="822"/>
      <c r="JCU30" s="822"/>
      <c r="JCV30" s="822"/>
      <c r="JCW30" s="822"/>
      <c r="JCX30" s="822"/>
      <c r="JCY30" s="822"/>
      <c r="JCZ30" s="822"/>
      <c r="JDA30" s="822"/>
      <c r="JDB30" s="822"/>
      <c r="JDC30" s="822"/>
      <c r="JDD30" s="822"/>
      <c r="JDE30" s="822"/>
      <c r="JDF30" s="822"/>
      <c r="JDG30" s="822"/>
      <c r="JDH30" s="822"/>
      <c r="JDI30" s="822"/>
      <c r="JDJ30" s="822"/>
      <c r="JDK30" s="822"/>
      <c r="JDL30" s="822"/>
      <c r="JDM30" s="822"/>
      <c r="JDN30" s="822"/>
      <c r="JDO30" s="822"/>
      <c r="JDP30" s="822"/>
      <c r="JDQ30" s="822"/>
      <c r="JDR30" s="822"/>
      <c r="JDS30" s="822"/>
      <c r="JDT30" s="822"/>
      <c r="JDU30" s="822"/>
      <c r="JDV30" s="822"/>
      <c r="JDW30" s="822"/>
      <c r="JDX30" s="822"/>
      <c r="JDY30" s="822"/>
      <c r="JDZ30" s="822"/>
      <c r="JEA30" s="822"/>
      <c r="JEB30" s="822"/>
      <c r="JEC30" s="822"/>
      <c r="JED30" s="822"/>
      <c r="JEE30" s="822"/>
      <c r="JEF30" s="822"/>
      <c r="JEG30" s="822"/>
      <c r="JEH30" s="822"/>
      <c r="JEI30" s="822"/>
      <c r="JEJ30" s="822"/>
      <c r="JEK30" s="822"/>
      <c r="JEL30" s="822"/>
      <c r="JEM30" s="822"/>
      <c r="JEN30" s="822"/>
      <c r="JEO30" s="822"/>
      <c r="JEP30" s="822"/>
      <c r="JEQ30" s="822"/>
      <c r="JER30" s="822"/>
      <c r="JES30" s="822"/>
      <c r="JET30" s="822"/>
      <c r="JEU30" s="822"/>
      <c r="JEV30" s="822"/>
      <c r="JEW30" s="822"/>
      <c r="JEX30" s="822"/>
      <c r="JEY30" s="822"/>
      <c r="JEZ30" s="822"/>
      <c r="JFA30" s="822"/>
      <c r="JFB30" s="822"/>
      <c r="JFC30" s="822"/>
      <c r="JFD30" s="822"/>
      <c r="JFE30" s="822"/>
      <c r="JFF30" s="822"/>
      <c r="JFG30" s="822"/>
      <c r="JFH30" s="822"/>
      <c r="JFI30" s="822"/>
      <c r="JFJ30" s="822"/>
      <c r="JFK30" s="822"/>
      <c r="JFL30" s="822"/>
      <c r="JFM30" s="822"/>
      <c r="JFN30" s="822"/>
      <c r="JFO30" s="822"/>
      <c r="JFP30" s="822"/>
      <c r="JFQ30" s="822"/>
      <c r="JFR30" s="822"/>
      <c r="JFS30" s="822"/>
      <c r="JFT30" s="822"/>
      <c r="JFU30" s="822"/>
      <c r="JFV30" s="822"/>
      <c r="JFW30" s="822"/>
      <c r="JFX30" s="822"/>
      <c r="JFY30" s="822"/>
      <c r="JFZ30" s="822"/>
      <c r="JGA30" s="822"/>
      <c r="JGB30" s="822"/>
      <c r="JGC30" s="822"/>
      <c r="JGD30" s="822"/>
      <c r="JGE30" s="822"/>
      <c r="JGF30" s="822"/>
      <c r="JGG30" s="822"/>
      <c r="JGH30" s="822"/>
      <c r="JGI30" s="822"/>
      <c r="JGJ30" s="822"/>
      <c r="JGK30" s="822"/>
      <c r="JGL30" s="822"/>
      <c r="JGM30" s="822"/>
      <c r="JGN30" s="822"/>
      <c r="JGO30" s="822"/>
      <c r="JGP30" s="822"/>
      <c r="JGQ30" s="822"/>
      <c r="JGR30" s="822"/>
      <c r="JGS30" s="822"/>
      <c r="JGT30" s="822"/>
      <c r="JGU30" s="822"/>
      <c r="JGV30" s="822"/>
      <c r="JGW30" s="822"/>
      <c r="JGX30" s="822"/>
      <c r="JGY30" s="822"/>
      <c r="JGZ30" s="822"/>
      <c r="JHA30" s="822"/>
      <c r="JHB30" s="822"/>
      <c r="JHC30" s="822"/>
      <c r="JHD30" s="822"/>
      <c r="JHE30" s="822"/>
      <c r="JHF30" s="822"/>
      <c r="JHG30" s="822"/>
      <c r="JHH30" s="822"/>
      <c r="JHI30" s="822"/>
      <c r="JHJ30" s="822"/>
      <c r="JHK30" s="822"/>
      <c r="JHL30" s="822"/>
      <c r="JHM30" s="822"/>
      <c r="JHN30" s="822"/>
      <c r="JHO30" s="822"/>
      <c r="JHP30" s="822"/>
      <c r="JHQ30" s="822"/>
      <c r="JHR30" s="822"/>
      <c r="JHS30" s="822"/>
      <c r="JHT30" s="822"/>
      <c r="JHU30" s="822"/>
      <c r="JHV30" s="822"/>
      <c r="JHW30" s="822"/>
      <c r="JHX30" s="822"/>
      <c r="JHY30" s="822"/>
      <c r="JHZ30" s="822"/>
      <c r="JIA30" s="822"/>
      <c r="JIB30" s="822"/>
      <c r="JIC30" s="822"/>
      <c r="JID30" s="822"/>
      <c r="JIE30" s="822"/>
      <c r="JIF30" s="822"/>
      <c r="JIG30" s="822"/>
      <c r="JIH30" s="822"/>
      <c r="JII30" s="822"/>
      <c r="JIJ30" s="822"/>
      <c r="JIK30" s="822"/>
      <c r="JIL30" s="822"/>
      <c r="JIM30" s="822"/>
      <c r="JIN30" s="822"/>
      <c r="JIO30" s="822"/>
      <c r="JIP30" s="822"/>
      <c r="JIQ30" s="822"/>
      <c r="JIR30" s="822"/>
      <c r="JIS30" s="822"/>
      <c r="JIT30" s="822"/>
      <c r="JIU30" s="822"/>
      <c r="JIV30" s="822"/>
      <c r="JIW30" s="822"/>
      <c r="JIX30" s="822"/>
      <c r="JIY30" s="822"/>
      <c r="JIZ30" s="822"/>
      <c r="JJA30" s="822"/>
      <c r="JJB30" s="822"/>
      <c r="JJC30" s="822"/>
      <c r="JJD30" s="822"/>
      <c r="JJE30" s="822"/>
      <c r="JJF30" s="822"/>
      <c r="JJG30" s="822"/>
      <c r="JJH30" s="822"/>
      <c r="JJI30" s="822"/>
      <c r="JJJ30" s="822"/>
      <c r="JJK30" s="822"/>
      <c r="JJL30" s="822"/>
      <c r="JJM30" s="822"/>
      <c r="JJN30" s="822"/>
      <c r="JJO30" s="822"/>
      <c r="JJP30" s="822"/>
      <c r="JJQ30" s="822"/>
      <c r="JJR30" s="822"/>
      <c r="JJS30" s="822"/>
      <c r="JJT30" s="822"/>
      <c r="JJU30" s="822"/>
      <c r="JJV30" s="822"/>
      <c r="JJW30" s="822"/>
      <c r="JJX30" s="822"/>
      <c r="JJY30" s="822"/>
      <c r="JJZ30" s="822"/>
      <c r="JKA30" s="822"/>
      <c r="JKB30" s="822"/>
      <c r="JKC30" s="822"/>
      <c r="JKD30" s="822"/>
      <c r="JKE30" s="822"/>
      <c r="JKF30" s="822"/>
      <c r="JKG30" s="822"/>
      <c r="JKH30" s="822"/>
      <c r="JKI30" s="822"/>
      <c r="JKJ30" s="822"/>
      <c r="JKK30" s="822"/>
      <c r="JKL30" s="822"/>
      <c r="JKM30" s="822"/>
      <c r="JKN30" s="822"/>
      <c r="JKO30" s="822"/>
      <c r="JKP30" s="822"/>
      <c r="JKQ30" s="822"/>
      <c r="JKR30" s="822"/>
      <c r="JKS30" s="822"/>
      <c r="JKT30" s="822"/>
      <c r="JKU30" s="822"/>
      <c r="JKV30" s="822"/>
      <c r="JKW30" s="822"/>
      <c r="JKX30" s="822"/>
      <c r="JKY30" s="822"/>
      <c r="JKZ30" s="822"/>
      <c r="JLA30" s="822"/>
      <c r="JLB30" s="822"/>
      <c r="JLC30" s="822"/>
      <c r="JLD30" s="822"/>
      <c r="JLE30" s="822"/>
      <c r="JLF30" s="822"/>
      <c r="JLG30" s="822"/>
      <c r="JLH30" s="822"/>
      <c r="JLI30" s="822"/>
      <c r="JLJ30" s="822"/>
      <c r="JLK30" s="822"/>
      <c r="JLL30" s="822"/>
      <c r="JLM30" s="822"/>
      <c r="JLN30" s="822"/>
      <c r="JLO30" s="822"/>
      <c r="JLP30" s="822"/>
      <c r="JLQ30" s="822"/>
      <c r="JLR30" s="822"/>
      <c r="JLS30" s="822"/>
      <c r="JLT30" s="822"/>
      <c r="JLU30" s="822"/>
      <c r="JLV30" s="822"/>
      <c r="JLW30" s="822"/>
      <c r="JLX30" s="822"/>
      <c r="JLY30" s="822"/>
      <c r="JLZ30" s="822"/>
      <c r="JMA30" s="822"/>
      <c r="JMB30" s="822"/>
      <c r="JMC30" s="822"/>
      <c r="JMD30" s="822"/>
      <c r="JME30" s="822"/>
      <c r="JMF30" s="822"/>
      <c r="JMG30" s="822"/>
      <c r="JMH30" s="822"/>
      <c r="JMI30" s="822"/>
      <c r="JMJ30" s="822"/>
      <c r="JMK30" s="822"/>
      <c r="JML30" s="822"/>
      <c r="JMM30" s="822"/>
      <c r="JMN30" s="822"/>
      <c r="JMO30" s="822"/>
      <c r="JMP30" s="822"/>
      <c r="JMQ30" s="822"/>
      <c r="JMR30" s="822"/>
      <c r="JMS30" s="822"/>
      <c r="JMT30" s="822"/>
      <c r="JMU30" s="822"/>
      <c r="JMV30" s="822"/>
      <c r="JMW30" s="822"/>
      <c r="JMX30" s="822"/>
      <c r="JMY30" s="822"/>
      <c r="JMZ30" s="822"/>
      <c r="JNA30" s="822"/>
      <c r="JNB30" s="822"/>
      <c r="JNC30" s="822"/>
      <c r="JND30" s="822"/>
      <c r="JNE30" s="822"/>
      <c r="JNF30" s="822"/>
      <c r="JNG30" s="822"/>
      <c r="JNH30" s="822"/>
      <c r="JNI30" s="822"/>
      <c r="JNJ30" s="822"/>
      <c r="JNK30" s="822"/>
      <c r="JNL30" s="822"/>
      <c r="JNM30" s="822"/>
      <c r="JNN30" s="822"/>
      <c r="JNO30" s="822"/>
      <c r="JNP30" s="822"/>
      <c r="JNQ30" s="822"/>
      <c r="JNR30" s="822"/>
      <c r="JNS30" s="822"/>
      <c r="JNT30" s="822"/>
      <c r="JNU30" s="822"/>
      <c r="JNV30" s="822"/>
      <c r="JNW30" s="822"/>
      <c r="JNX30" s="822"/>
      <c r="JNY30" s="822"/>
      <c r="JNZ30" s="822"/>
      <c r="JOA30" s="822"/>
      <c r="JOB30" s="822"/>
      <c r="JOC30" s="822"/>
      <c r="JOD30" s="822"/>
      <c r="JOE30" s="822"/>
      <c r="JOF30" s="822"/>
      <c r="JOG30" s="822"/>
      <c r="JOH30" s="822"/>
      <c r="JOI30" s="822"/>
      <c r="JOJ30" s="822"/>
      <c r="JOK30" s="822"/>
      <c r="JOL30" s="822"/>
      <c r="JOM30" s="822"/>
      <c r="JON30" s="822"/>
      <c r="JOO30" s="822"/>
      <c r="JOP30" s="822"/>
      <c r="JOQ30" s="822"/>
      <c r="JOR30" s="822"/>
      <c r="JOS30" s="822"/>
      <c r="JOT30" s="822"/>
      <c r="JOU30" s="822"/>
      <c r="JOV30" s="822"/>
      <c r="JOW30" s="822"/>
      <c r="JOX30" s="822"/>
      <c r="JOY30" s="822"/>
      <c r="JOZ30" s="822"/>
      <c r="JPA30" s="822"/>
      <c r="JPB30" s="822"/>
      <c r="JPC30" s="822"/>
      <c r="JPD30" s="822"/>
      <c r="JPE30" s="822"/>
      <c r="JPF30" s="822"/>
      <c r="JPG30" s="822"/>
      <c r="JPH30" s="822"/>
      <c r="JPI30" s="822"/>
      <c r="JPJ30" s="822"/>
      <c r="JPK30" s="822"/>
      <c r="JPL30" s="822"/>
      <c r="JPM30" s="822"/>
      <c r="JPN30" s="822"/>
      <c r="JPO30" s="822"/>
      <c r="JPP30" s="822"/>
      <c r="JPQ30" s="822"/>
      <c r="JPR30" s="822"/>
      <c r="JPS30" s="822"/>
      <c r="JPT30" s="822"/>
      <c r="JPU30" s="822"/>
      <c r="JPV30" s="822"/>
      <c r="JPW30" s="822"/>
      <c r="JPX30" s="822"/>
      <c r="JPY30" s="822"/>
      <c r="JPZ30" s="822"/>
      <c r="JQA30" s="822"/>
      <c r="JQB30" s="822"/>
      <c r="JQC30" s="822"/>
      <c r="JQD30" s="822"/>
      <c r="JQE30" s="822"/>
      <c r="JQF30" s="822"/>
      <c r="JQG30" s="822"/>
      <c r="JQH30" s="822"/>
      <c r="JQI30" s="822"/>
      <c r="JQJ30" s="822"/>
      <c r="JQK30" s="822"/>
      <c r="JQL30" s="822"/>
      <c r="JQM30" s="822"/>
      <c r="JQN30" s="822"/>
      <c r="JQO30" s="822"/>
      <c r="JQP30" s="822"/>
      <c r="JQQ30" s="822"/>
      <c r="JQR30" s="822"/>
      <c r="JQS30" s="822"/>
      <c r="JQT30" s="822"/>
      <c r="JQU30" s="822"/>
      <c r="JQV30" s="822"/>
      <c r="JQW30" s="822"/>
      <c r="JQX30" s="822"/>
      <c r="JQY30" s="822"/>
      <c r="JQZ30" s="822"/>
      <c r="JRA30" s="822"/>
      <c r="JRB30" s="822"/>
      <c r="JRC30" s="822"/>
      <c r="JRD30" s="822"/>
      <c r="JRE30" s="822"/>
      <c r="JRF30" s="822"/>
      <c r="JRG30" s="822"/>
      <c r="JRH30" s="822"/>
      <c r="JRI30" s="822"/>
      <c r="JRJ30" s="822"/>
      <c r="JRK30" s="822"/>
      <c r="JRL30" s="822"/>
      <c r="JRM30" s="822"/>
      <c r="JRN30" s="822"/>
      <c r="JRO30" s="822"/>
      <c r="JRP30" s="822"/>
      <c r="JRQ30" s="822"/>
      <c r="JRR30" s="822"/>
      <c r="JRS30" s="822"/>
      <c r="JRT30" s="822"/>
      <c r="JRU30" s="822"/>
      <c r="JRV30" s="822"/>
      <c r="JRW30" s="822"/>
      <c r="JRX30" s="822"/>
      <c r="JRY30" s="822"/>
      <c r="JRZ30" s="822"/>
      <c r="JSA30" s="822"/>
      <c r="JSB30" s="822"/>
      <c r="JSC30" s="822"/>
      <c r="JSD30" s="822"/>
      <c r="JSE30" s="822"/>
      <c r="JSF30" s="822"/>
      <c r="JSG30" s="822"/>
      <c r="JSH30" s="822"/>
      <c r="JSI30" s="822"/>
      <c r="JSJ30" s="822"/>
      <c r="JSK30" s="822"/>
      <c r="JSL30" s="822"/>
      <c r="JSM30" s="822"/>
      <c r="JSN30" s="822"/>
      <c r="JSO30" s="822"/>
      <c r="JSP30" s="822"/>
      <c r="JSQ30" s="822"/>
      <c r="JSR30" s="822"/>
      <c r="JSS30" s="822"/>
      <c r="JST30" s="822"/>
      <c r="JSU30" s="822"/>
      <c r="JSV30" s="822"/>
      <c r="JSW30" s="822"/>
      <c r="JSX30" s="822"/>
      <c r="JSY30" s="822"/>
      <c r="JSZ30" s="822"/>
      <c r="JTA30" s="822"/>
      <c r="JTB30" s="822"/>
      <c r="JTC30" s="822"/>
      <c r="JTD30" s="822"/>
      <c r="JTE30" s="822"/>
      <c r="JTF30" s="822"/>
      <c r="JTG30" s="822"/>
      <c r="JTH30" s="822"/>
      <c r="JTI30" s="822"/>
      <c r="JTJ30" s="822"/>
      <c r="JTK30" s="822"/>
      <c r="JTL30" s="822"/>
      <c r="JTM30" s="822"/>
      <c r="JTN30" s="822"/>
      <c r="JTO30" s="822"/>
      <c r="JTP30" s="822"/>
      <c r="JTQ30" s="822"/>
      <c r="JTR30" s="822"/>
      <c r="JTS30" s="822"/>
      <c r="JTT30" s="822"/>
      <c r="JTU30" s="822"/>
      <c r="JTV30" s="822"/>
      <c r="JTW30" s="822"/>
      <c r="JTX30" s="822"/>
      <c r="JTY30" s="822"/>
      <c r="JTZ30" s="822"/>
      <c r="JUA30" s="822"/>
      <c r="JUB30" s="822"/>
      <c r="JUC30" s="822"/>
      <c r="JUD30" s="822"/>
      <c r="JUE30" s="822"/>
      <c r="JUF30" s="822"/>
      <c r="JUG30" s="822"/>
      <c r="JUH30" s="822"/>
      <c r="JUI30" s="822"/>
      <c r="JUJ30" s="822"/>
      <c r="JUK30" s="822"/>
      <c r="JUL30" s="822"/>
      <c r="JUM30" s="822"/>
      <c r="JUN30" s="822"/>
      <c r="JUO30" s="822"/>
      <c r="JUP30" s="822"/>
      <c r="JUQ30" s="822"/>
      <c r="JUR30" s="822"/>
      <c r="JUS30" s="822"/>
      <c r="JUT30" s="822"/>
      <c r="JUU30" s="822"/>
      <c r="JUV30" s="822"/>
      <c r="JUW30" s="822"/>
      <c r="JUX30" s="822"/>
      <c r="JUY30" s="822"/>
      <c r="JUZ30" s="822"/>
      <c r="JVA30" s="822"/>
      <c r="JVB30" s="822"/>
      <c r="JVC30" s="822"/>
      <c r="JVD30" s="822"/>
      <c r="JVE30" s="822"/>
      <c r="JVF30" s="822"/>
      <c r="JVG30" s="822"/>
      <c r="JVH30" s="822"/>
      <c r="JVI30" s="822"/>
      <c r="JVJ30" s="822"/>
      <c r="JVK30" s="822"/>
      <c r="JVL30" s="822"/>
      <c r="JVM30" s="822"/>
      <c r="JVN30" s="822"/>
      <c r="JVO30" s="822"/>
      <c r="JVP30" s="822"/>
      <c r="JVQ30" s="822"/>
      <c r="JVR30" s="822"/>
      <c r="JVS30" s="822"/>
      <c r="JVT30" s="822"/>
      <c r="JVU30" s="822"/>
      <c r="JVV30" s="822"/>
      <c r="JVW30" s="822"/>
      <c r="JVX30" s="822"/>
      <c r="JVY30" s="822"/>
      <c r="JVZ30" s="822"/>
      <c r="JWA30" s="822"/>
      <c r="JWB30" s="822"/>
      <c r="JWC30" s="822"/>
      <c r="JWD30" s="822"/>
      <c r="JWE30" s="822"/>
      <c r="JWF30" s="822"/>
      <c r="JWG30" s="822"/>
      <c r="JWH30" s="822"/>
      <c r="JWI30" s="822"/>
      <c r="JWJ30" s="822"/>
      <c r="JWK30" s="822"/>
      <c r="JWL30" s="822"/>
      <c r="JWM30" s="822"/>
      <c r="JWN30" s="822"/>
      <c r="JWO30" s="822"/>
      <c r="JWP30" s="822"/>
      <c r="JWQ30" s="822"/>
      <c r="JWR30" s="822"/>
      <c r="JWS30" s="822"/>
      <c r="JWT30" s="822"/>
      <c r="JWU30" s="822"/>
      <c r="JWV30" s="822"/>
      <c r="JWW30" s="822"/>
      <c r="JWX30" s="822"/>
      <c r="JWY30" s="822"/>
      <c r="JWZ30" s="822"/>
      <c r="JXA30" s="822"/>
      <c r="JXB30" s="822"/>
      <c r="JXC30" s="822"/>
      <c r="JXD30" s="822"/>
      <c r="JXE30" s="822"/>
      <c r="JXF30" s="822"/>
      <c r="JXG30" s="822"/>
      <c r="JXH30" s="822"/>
      <c r="JXI30" s="822"/>
      <c r="JXJ30" s="822"/>
      <c r="JXK30" s="822"/>
      <c r="JXL30" s="822"/>
      <c r="JXM30" s="822"/>
      <c r="JXN30" s="822"/>
      <c r="JXO30" s="822"/>
      <c r="JXP30" s="822"/>
      <c r="JXQ30" s="822"/>
      <c r="JXR30" s="822"/>
      <c r="JXS30" s="822"/>
      <c r="JXT30" s="822"/>
      <c r="JXU30" s="822"/>
      <c r="JXV30" s="822"/>
      <c r="JXW30" s="822"/>
      <c r="JXX30" s="822"/>
      <c r="JXY30" s="822"/>
      <c r="JXZ30" s="822"/>
      <c r="JYA30" s="822"/>
      <c r="JYB30" s="822"/>
      <c r="JYC30" s="822"/>
      <c r="JYD30" s="822"/>
      <c r="JYE30" s="822"/>
      <c r="JYF30" s="822"/>
      <c r="JYG30" s="822"/>
      <c r="JYH30" s="822"/>
      <c r="JYI30" s="822"/>
      <c r="JYJ30" s="822"/>
      <c r="JYK30" s="822"/>
      <c r="JYL30" s="822"/>
      <c r="JYM30" s="822"/>
      <c r="JYN30" s="822"/>
      <c r="JYO30" s="822"/>
      <c r="JYP30" s="822"/>
      <c r="JYQ30" s="822"/>
      <c r="JYR30" s="822"/>
      <c r="JYS30" s="822"/>
      <c r="JYT30" s="822"/>
      <c r="JYU30" s="822"/>
      <c r="JYV30" s="822"/>
      <c r="JYW30" s="822"/>
      <c r="JYX30" s="822"/>
      <c r="JYY30" s="822"/>
      <c r="JYZ30" s="822"/>
      <c r="JZA30" s="822"/>
      <c r="JZB30" s="822"/>
      <c r="JZC30" s="822"/>
      <c r="JZD30" s="822"/>
      <c r="JZE30" s="822"/>
      <c r="JZF30" s="822"/>
      <c r="JZG30" s="822"/>
      <c r="JZH30" s="822"/>
      <c r="JZI30" s="822"/>
      <c r="JZJ30" s="822"/>
      <c r="JZK30" s="822"/>
      <c r="JZL30" s="822"/>
      <c r="JZM30" s="822"/>
      <c r="JZN30" s="822"/>
      <c r="JZO30" s="822"/>
      <c r="JZP30" s="822"/>
      <c r="JZQ30" s="822"/>
      <c r="JZR30" s="822"/>
      <c r="JZS30" s="822"/>
      <c r="JZT30" s="822"/>
      <c r="JZU30" s="822"/>
      <c r="JZV30" s="822"/>
      <c r="JZW30" s="822"/>
      <c r="JZX30" s="822"/>
      <c r="JZY30" s="822"/>
      <c r="JZZ30" s="822"/>
      <c r="KAA30" s="822"/>
      <c r="KAB30" s="822"/>
      <c r="KAC30" s="822"/>
      <c r="KAD30" s="822"/>
      <c r="KAE30" s="822"/>
      <c r="KAF30" s="822"/>
      <c r="KAG30" s="822"/>
      <c r="KAH30" s="822"/>
      <c r="KAI30" s="822"/>
      <c r="KAJ30" s="822"/>
      <c r="KAK30" s="822"/>
      <c r="KAL30" s="822"/>
      <c r="KAM30" s="822"/>
      <c r="KAN30" s="822"/>
      <c r="KAO30" s="822"/>
      <c r="KAP30" s="822"/>
      <c r="KAQ30" s="822"/>
      <c r="KAR30" s="822"/>
      <c r="KAS30" s="822"/>
      <c r="KAT30" s="822"/>
      <c r="KAU30" s="822"/>
      <c r="KAV30" s="822"/>
      <c r="KAW30" s="822"/>
      <c r="KAX30" s="822"/>
      <c r="KAY30" s="822"/>
      <c r="KAZ30" s="822"/>
      <c r="KBA30" s="822"/>
      <c r="KBB30" s="822"/>
      <c r="KBC30" s="822"/>
      <c r="KBD30" s="822"/>
      <c r="KBE30" s="822"/>
      <c r="KBF30" s="822"/>
      <c r="KBG30" s="822"/>
      <c r="KBH30" s="822"/>
      <c r="KBI30" s="822"/>
      <c r="KBJ30" s="822"/>
      <c r="KBK30" s="822"/>
      <c r="KBL30" s="822"/>
      <c r="KBM30" s="822"/>
      <c r="KBN30" s="822"/>
      <c r="KBO30" s="822"/>
      <c r="KBP30" s="822"/>
      <c r="KBQ30" s="822"/>
      <c r="KBR30" s="822"/>
      <c r="KBS30" s="822"/>
      <c r="KBT30" s="822"/>
      <c r="KBU30" s="822"/>
      <c r="KBV30" s="822"/>
      <c r="KBW30" s="822"/>
      <c r="KBX30" s="822"/>
      <c r="KBY30" s="822"/>
      <c r="KBZ30" s="822"/>
      <c r="KCA30" s="822"/>
      <c r="KCB30" s="822"/>
      <c r="KCC30" s="822"/>
      <c r="KCD30" s="822"/>
      <c r="KCE30" s="822"/>
      <c r="KCF30" s="822"/>
      <c r="KCG30" s="822"/>
      <c r="KCH30" s="822"/>
      <c r="KCI30" s="822"/>
      <c r="KCJ30" s="822"/>
      <c r="KCK30" s="822"/>
      <c r="KCL30" s="822"/>
      <c r="KCM30" s="822"/>
      <c r="KCN30" s="822"/>
      <c r="KCO30" s="822"/>
      <c r="KCP30" s="822"/>
      <c r="KCQ30" s="822"/>
      <c r="KCR30" s="822"/>
      <c r="KCS30" s="822"/>
      <c r="KCT30" s="822"/>
      <c r="KCU30" s="822"/>
      <c r="KCV30" s="822"/>
      <c r="KCW30" s="822"/>
      <c r="KCX30" s="822"/>
      <c r="KCY30" s="822"/>
      <c r="KCZ30" s="822"/>
      <c r="KDA30" s="822"/>
      <c r="KDB30" s="822"/>
      <c r="KDC30" s="822"/>
      <c r="KDD30" s="822"/>
      <c r="KDE30" s="822"/>
      <c r="KDF30" s="822"/>
      <c r="KDG30" s="822"/>
      <c r="KDH30" s="822"/>
      <c r="KDI30" s="822"/>
      <c r="KDJ30" s="822"/>
      <c r="KDK30" s="822"/>
      <c r="KDL30" s="822"/>
      <c r="KDM30" s="822"/>
      <c r="KDN30" s="822"/>
      <c r="KDO30" s="822"/>
      <c r="KDP30" s="822"/>
      <c r="KDQ30" s="822"/>
      <c r="KDR30" s="822"/>
      <c r="KDS30" s="822"/>
      <c r="KDT30" s="822"/>
      <c r="KDU30" s="822"/>
      <c r="KDV30" s="822"/>
      <c r="KDW30" s="822"/>
      <c r="KDX30" s="822"/>
      <c r="KDY30" s="822"/>
      <c r="KDZ30" s="822"/>
      <c r="KEA30" s="822"/>
      <c r="KEB30" s="822"/>
      <c r="KEC30" s="822"/>
      <c r="KED30" s="822"/>
      <c r="KEE30" s="822"/>
      <c r="KEF30" s="822"/>
      <c r="KEG30" s="822"/>
      <c r="KEH30" s="822"/>
      <c r="KEI30" s="822"/>
      <c r="KEJ30" s="822"/>
      <c r="KEK30" s="822"/>
      <c r="KEL30" s="822"/>
      <c r="KEM30" s="822"/>
      <c r="KEN30" s="822"/>
      <c r="KEO30" s="822"/>
      <c r="KEP30" s="822"/>
      <c r="KEQ30" s="822"/>
      <c r="KER30" s="822"/>
      <c r="KES30" s="822"/>
      <c r="KET30" s="822"/>
      <c r="KEU30" s="822"/>
      <c r="KEV30" s="822"/>
      <c r="KEW30" s="822"/>
      <c r="KEX30" s="822"/>
      <c r="KEY30" s="822"/>
      <c r="KEZ30" s="822"/>
      <c r="KFA30" s="822"/>
      <c r="KFB30" s="822"/>
      <c r="KFC30" s="822"/>
      <c r="KFD30" s="822"/>
      <c r="KFE30" s="822"/>
      <c r="KFF30" s="822"/>
      <c r="KFG30" s="822"/>
      <c r="KFH30" s="822"/>
      <c r="KFI30" s="822"/>
      <c r="KFJ30" s="822"/>
      <c r="KFK30" s="822"/>
      <c r="KFL30" s="822"/>
      <c r="KFM30" s="822"/>
      <c r="KFN30" s="822"/>
      <c r="KFO30" s="822"/>
      <c r="KFP30" s="822"/>
      <c r="KFQ30" s="822"/>
      <c r="KFR30" s="822"/>
      <c r="KFS30" s="822"/>
      <c r="KFT30" s="822"/>
      <c r="KFU30" s="822"/>
      <c r="KFV30" s="822"/>
      <c r="KFW30" s="822"/>
      <c r="KFX30" s="822"/>
      <c r="KFY30" s="822"/>
      <c r="KFZ30" s="822"/>
      <c r="KGA30" s="822"/>
      <c r="KGB30" s="822"/>
      <c r="KGC30" s="822"/>
      <c r="KGD30" s="822"/>
      <c r="KGE30" s="822"/>
      <c r="KGF30" s="822"/>
      <c r="KGG30" s="822"/>
      <c r="KGH30" s="822"/>
      <c r="KGI30" s="822"/>
      <c r="KGJ30" s="822"/>
      <c r="KGK30" s="822"/>
      <c r="KGL30" s="822"/>
      <c r="KGM30" s="822"/>
      <c r="KGN30" s="822"/>
      <c r="KGO30" s="822"/>
      <c r="KGP30" s="822"/>
      <c r="KGQ30" s="822"/>
      <c r="KGR30" s="822"/>
      <c r="KGS30" s="822"/>
      <c r="KGT30" s="822"/>
      <c r="KGU30" s="822"/>
      <c r="KGV30" s="822"/>
      <c r="KGW30" s="822"/>
      <c r="KGX30" s="822"/>
      <c r="KGY30" s="822"/>
      <c r="KGZ30" s="822"/>
      <c r="KHA30" s="822"/>
      <c r="KHB30" s="822"/>
      <c r="KHC30" s="822"/>
      <c r="KHD30" s="822"/>
      <c r="KHE30" s="822"/>
      <c r="KHF30" s="822"/>
      <c r="KHG30" s="822"/>
      <c r="KHH30" s="822"/>
      <c r="KHI30" s="822"/>
      <c r="KHJ30" s="822"/>
      <c r="KHK30" s="822"/>
      <c r="KHL30" s="822"/>
      <c r="KHM30" s="822"/>
      <c r="KHN30" s="822"/>
      <c r="KHO30" s="822"/>
      <c r="KHP30" s="822"/>
      <c r="KHQ30" s="822"/>
      <c r="KHR30" s="822"/>
      <c r="KHS30" s="822"/>
      <c r="KHT30" s="822"/>
      <c r="KHU30" s="822"/>
      <c r="KHV30" s="822"/>
      <c r="KHW30" s="822"/>
      <c r="KHX30" s="822"/>
      <c r="KHY30" s="822"/>
      <c r="KHZ30" s="822"/>
      <c r="KIA30" s="822"/>
      <c r="KIB30" s="822"/>
      <c r="KIC30" s="822"/>
      <c r="KID30" s="822"/>
      <c r="KIE30" s="822"/>
      <c r="KIF30" s="822"/>
      <c r="KIG30" s="822"/>
      <c r="KIH30" s="822"/>
      <c r="KII30" s="822"/>
      <c r="KIJ30" s="822"/>
      <c r="KIK30" s="822"/>
      <c r="KIL30" s="822"/>
      <c r="KIM30" s="822"/>
      <c r="KIN30" s="822"/>
      <c r="KIO30" s="822"/>
      <c r="KIP30" s="822"/>
      <c r="KIQ30" s="822"/>
      <c r="KIR30" s="822"/>
      <c r="KIS30" s="822"/>
      <c r="KIT30" s="822"/>
      <c r="KIU30" s="822"/>
      <c r="KIV30" s="822"/>
      <c r="KIW30" s="822"/>
      <c r="KIX30" s="822"/>
      <c r="KIY30" s="822"/>
      <c r="KIZ30" s="822"/>
      <c r="KJA30" s="822"/>
      <c r="KJB30" s="822"/>
      <c r="KJC30" s="822"/>
      <c r="KJD30" s="822"/>
      <c r="KJE30" s="822"/>
      <c r="KJF30" s="822"/>
      <c r="KJG30" s="822"/>
      <c r="KJH30" s="822"/>
      <c r="KJI30" s="822"/>
      <c r="KJJ30" s="822"/>
      <c r="KJK30" s="822"/>
      <c r="KJL30" s="822"/>
      <c r="KJM30" s="822"/>
      <c r="KJN30" s="822"/>
      <c r="KJO30" s="822"/>
      <c r="KJP30" s="822"/>
      <c r="KJQ30" s="822"/>
      <c r="KJR30" s="822"/>
      <c r="KJS30" s="822"/>
      <c r="KJT30" s="822"/>
      <c r="KJU30" s="822"/>
      <c r="KJV30" s="822"/>
      <c r="KJW30" s="822"/>
      <c r="KJX30" s="822"/>
      <c r="KJY30" s="822"/>
      <c r="KJZ30" s="822"/>
      <c r="KKA30" s="822"/>
      <c r="KKB30" s="822"/>
      <c r="KKC30" s="822"/>
      <c r="KKD30" s="822"/>
      <c r="KKE30" s="822"/>
      <c r="KKF30" s="822"/>
      <c r="KKG30" s="822"/>
      <c r="KKH30" s="822"/>
      <c r="KKI30" s="822"/>
      <c r="KKJ30" s="822"/>
      <c r="KKK30" s="822"/>
      <c r="KKL30" s="822"/>
      <c r="KKM30" s="822"/>
      <c r="KKN30" s="822"/>
      <c r="KKO30" s="822"/>
      <c r="KKP30" s="822"/>
      <c r="KKQ30" s="822"/>
      <c r="KKR30" s="822"/>
      <c r="KKS30" s="822"/>
      <c r="KKT30" s="822"/>
      <c r="KKU30" s="822"/>
      <c r="KKV30" s="822"/>
      <c r="KKW30" s="822"/>
      <c r="KKX30" s="822"/>
      <c r="KKY30" s="822"/>
      <c r="KKZ30" s="822"/>
      <c r="KLA30" s="822"/>
      <c r="KLB30" s="822"/>
      <c r="KLC30" s="822"/>
      <c r="KLD30" s="822"/>
      <c r="KLE30" s="822"/>
      <c r="KLF30" s="822"/>
      <c r="KLG30" s="822"/>
      <c r="KLH30" s="822"/>
      <c r="KLI30" s="822"/>
      <c r="KLJ30" s="822"/>
      <c r="KLK30" s="822"/>
      <c r="KLL30" s="822"/>
      <c r="KLM30" s="822"/>
      <c r="KLN30" s="822"/>
      <c r="KLO30" s="822"/>
      <c r="KLP30" s="822"/>
      <c r="KLQ30" s="822"/>
      <c r="KLR30" s="822"/>
      <c r="KLS30" s="822"/>
      <c r="KLT30" s="822"/>
      <c r="KLU30" s="822"/>
      <c r="KLV30" s="822"/>
      <c r="KLW30" s="822"/>
      <c r="KLX30" s="822"/>
      <c r="KLY30" s="822"/>
      <c r="KLZ30" s="822"/>
      <c r="KMA30" s="822"/>
      <c r="KMB30" s="822"/>
      <c r="KMC30" s="822"/>
      <c r="KMD30" s="822"/>
      <c r="KME30" s="822"/>
      <c r="KMF30" s="822"/>
      <c r="KMG30" s="822"/>
      <c r="KMH30" s="822"/>
      <c r="KMI30" s="822"/>
      <c r="KMJ30" s="822"/>
      <c r="KMK30" s="822"/>
      <c r="KML30" s="822"/>
      <c r="KMM30" s="822"/>
      <c r="KMN30" s="822"/>
      <c r="KMO30" s="822"/>
      <c r="KMP30" s="822"/>
      <c r="KMQ30" s="822"/>
      <c r="KMR30" s="822"/>
      <c r="KMS30" s="822"/>
      <c r="KMT30" s="822"/>
      <c r="KMU30" s="822"/>
      <c r="KMV30" s="822"/>
      <c r="KMW30" s="822"/>
      <c r="KMX30" s="822"/>
      <c r="KMY30" s="822"/>
      <c r="KMZ30" s="822"/>
      <c r="KNA30" s="822"/>
      <c r="KNB30" s="822"/>
      <c r="KNC30" s="822"/>
      <c r="KND30" s="822"/>
      <c r="KNE30" s="822"/>
      <c r="KNF30" s="822"/>
      <c r="KNG30" s="822"/>
      <c r="KNH30" s="822"/>
      <c r="KNI30" s="822"/>
      <c r="KNJ30" s="822"/>
      <c r="KNK30" s="822"/>
      <c r="KNL30" s="822"/>
      <c r="KNM30" s="822"/>
      <c r="KNN30" s="822"/>
      <c r="KNO30" s="822"/>
      <c r="KNP30" s="822"/>
      <c r="KNQ30" s="822"/>
      <c r="KNR30" s="822"/>
      <c r="KNS30" s="822"/>
      <c r="KNT30" s="822"/>
      <c r="KNU30" s="822"/>
      <c r="KNV30" s="822"/>
      <c r="KNW30" s="822"/>
      <c r="KNX30" s="822"/>
      <c r="KNY30" s="822"/>
      <c r="KNZ30" s="822"/>
      <c r="KOA30" s="822"/>
      <c r="KOB30" s="822"/>
      <c r="KOC30" s="822"/>
      <c r="KOD30" s="822"/>
      <c r="KOE30" s="822"/>
      <c r="KOF30" s="822"/>
      <c r="KOG30" s="822"/>
      <c r="KOH30" s="822"/>
      <c r="KOI30" s="822"/>
      <c r="KOJ30" s="822"/>
      <c r="KOK30" s="822"/>
      <c r="KOL30" s="822"/>
      <c r="KOM30" s="822"/>
      <c r="KON30" s="822"/>
      <c r="KOO30" s="822"/>
      <c r="KOP30" s="822"/>
      <c r="KOQ30" s="822"/>
      <c r="KOR30" s="822"/>
      <c r="KOS30" s="822"/>
      <c r="KOT30" s="822"/>
      <c r="KOU30" s="822"/>
      <c r="KOV30" s="822"/>
      <c r="KOW30" s="822"/>
      <c r="KOX30" s="822"/>
      <c r="KOY30" s="822"/>
      <c r="KOZ30" s="822"/>
      <c r="KPA30" s="822"/>
      <c r="KPB30" s="822"/>
      <c r="KPC30" s="822"/>
      <c r="KPD30" s="822"/>
      <c r="KPE30" s="822"/>
      <c r="KPF30" s="822"/>
      <c r="KPG30" s="822"/>
      <c r="KPH30" s="822"/>
      <c r="KPI30" s="822"/>
      <c r="KPJ30" s="822"/>
      <c r="KPK30" s="822"/>
      <c r="KPL30" s="822"/>
      <c r="KPM30" s="822"/>
      <c r="KPN30" s="822"/>
      <c r="KPO30" s="822"/>
      <c r="KPP30" s="822"/>
      <c r="KPQ30" s="822"/>
      <c r="KPR30" s="822"/>
      <c r="KPS30" s="822"/>
      <c r="KPT30" s="822"/>
      <c r="KPU30" s="822"/>
      <c r="KPV30" s="822"/>
      <c r="KPW30" s="822"/>
      <c r="KPX30" s="822"/>
      <c r="KPY30" s="822"/>
      <c r="KPZ30" s="822"/>
      <c r="KQA30" s="822"/>
      <c r="KQB30" s="822"/>
      <c r="KQC30" s="822"/>
      <c r="KQD30" s="822"/>
      <c r="KQE30" s="822"/>
      <c r="KQF30" s="822"/>
      <c r="KQG30" s="822"/>
      <c r="KQH30" s="822"/>
      <c r="KQI30" s="822"/>
      <c r="KQJ30" s="822"/>
      <c r="KQK30" s="822"/>
      <c r="KQL30" s="822"/>
      <c r="KQM30" s="822"/>
      <c r="KQN30" s="822"/>
      <c r="KQO30" s="822"/>
      <c r="KQP30" s="822"/>
      <c r="KQQ30" s="822"/>
      <c r="KQR30" s="822"/>
      <c r="KQS30" s="822"/>
      <c r="KQT30" s="822"/>
      <c r="KQU30" s="822"/>
      <c r="KQV30" s="822"/>
      <c r="KQW30" s="822"/>
      <c r="KQX30" s="822"/>
      <c r="KQY30" s="822"/>
      <c r="KQZ30" s="822"/>
      <c r="KRA30" s="822"/>
      <c r="KRB30" s="822"/>
      <c r="KRC30" s="822"/>
      <c r="KRD30" s="822"/>
      <c r="KRE30" s="822"/>
      <c r="KRF30" s="822"/>
      <c r="KRG30" s="822"/>
      <c r="KRH30" s="822"/>
      <c r="KRI30" s="822"/>
      <c r="KRJ30" s="822"/>
      <c r="KRK30" s="822"/>
      <c r="KRL30" s="822"/>
      <c r="KRM30" s="822"/>
      <c r="KRN30" s="822"/>
      <c r="KRO30" s="822"/>
      <c r="KRP30" s="822"/>
      <c r="KRQ30" s="822"/>
      <c r="KRR30" s="822"/>
      <c r="KRS30" s="822"/>
      <c r="KRT30" s="822"/>
      <c r="KRU30" s="822"/>
      <c r="KRV30" s="822"/>
      <c r="KRW30" s="822"/>
      <c r="KRX30" s="822"/>
      <c r="KRY30" s="822"/>
      <c r="KRZ30" s="822"/>
      <c r="KSA30" s="822"/>
      <c r="KSB30" s="822"/>
      <c r="KSC30" s="822"/>
      <c r="KSD30" s="822"/>
      <c r="KSE30" s="822"/>
      <c r="KSF30" s="822"/>
      <c r="KSG30" s="822"/>
      <c r="KSH30" s="822"/>
      <c r="KSI30" s="822"/>
      <c r="KSJ30" s="822"/>
      <c r="KSK30" s="822"/>
      <c r="KSL30" s="822"/>
      <c r="KSM30" s="822"/>
      <c r="KSN30" s="822"/>
      <c r="KSO30" s="822"/>
      <c r="KSP30" s="822"/>
      <c r="KSQ30" s="822"/>
      <c r="KSR30" s="822"/>
      <c r="KSS30" s="822"/>
      <c r="KST30" s="822"/>
      <c r="KSU30" s="822"/>
      <c r="KSV30" s="822"/>
      <c r="KSW30" s="822"/>
      <c r="KSX30" s="822"/>
      <c r="KSY30" s="822"/>
      <c r="KSZ30" s="822"/>
      <c r="KTA30" s="822"/>
      <c r="KTB30" s="822"/>
      <c r="KTC30" s="822"/>
      <c r="KTD30" s="822"/>
      <c r="KTE30" s="822"/>
      <c r="KTF30" s="822"/>
      <c r="KTG30" s="822"/>
      <c r="KTH30" s="822"/>
      <c r="KTI30" s="822"/>
      <c r="KTJ30" s="822"/>
      <c r="KTK30" s="822"/>
      <c r="KTL30" s="822"/>
      <c r="KTM30" s="822"/>
      <c r="KTN30" s="822"/>
      <c r="KTO30" s="822"/>
      <c r="KTP30" s="822"/>
      <c r="KTQ30" s="822"/>
      <c r="KTR30" s="822"/>
      <c r="KTS30" s="822"/>
      <c r="KTT30" s="822"/>
      <c r="KTU30" s="822"/>
      <c r="KTV30" s="822"/>
      <c r="KTW30" s="822"/>
      <c r="KTX30" s="822"/>
      <c r="KTY30" s="822"/>
      <c r="KTZ30" s="822"/>
      <c r="KUA30" s="822"/>
      <c r="KUB30" s="822"/>
      <c r="KUC30" s="822"/>
      <c r="KUD30" s="822"/>
      <c r="KUE30" s="822"/>
      <c r="KUF30" s="822"/>
      <c r="KUG30" s="822"/>
      <c r="KUH30" s="822"/>
      <c r="KUI30" s="822"/>
      <c r="KUJ30" s="822"/>
      <c r="KUK30" s="822"/>
      <c r="KUL30" s="822"/>
      <c r="KUM30" s="822"/>
      <c r="KUN30" s="822"/>
      <c r="KUO30" s="822"/>
      <c r="KUP30" s="822"/>
      <c r="KUQ30" s="822"/>
      <c r="KUR30" s="822"/>
      <c r="KUS30" s="822"/>
      <c r="KUT30" s="822"/>
      <c r="KUU30" s="822"/>
      <c r="KUV30" s="822"/>
      <c r="KUW30" s="822"/>
      <c r="KUX30" s="822"/>
      <c r="KUY30" s="822"/>
      <c r="KUZ30" s="822"/>
      <c r="KVA30" s="822"/>
      <c r="KVB30" s="822"/>
      <c r="KVC30" s="822"/>
      <c r="KVD30" s="822"/>
      <c r="KVE30" s="822"/>
      <c r="KVF30" s="822"/>
      <c r="KVG30" s="822"/>
      <c r="KVH30" s="822"/>
      <c r="KVI30" s="822"/>
      <c r="KVJ30" s="822"/>
      <c r="KVK30" s="822"/>
      <c r="KVL30" s="822"/>
      <c r="KVM30" s="822"/>
      <c r="KVN30" s="822"/>
      <c r="KVO30" s="822"/>
      <c r="KVP30" s="822"/>
      <c r="KVQ30" s="822"/>
      <c r="KVR30" s="822"/>
      <c r="KVS30" s="822"/>
      <c r="KVT30" s="822"/>
      <c r="KVU30" s="822"/>
      <c r="KVV30" s="822"/>
      <c r="KVW30" s="822"/>
      <c r="KVX30" s="822"/>
      <c r="KVY30" s="822"/>
      <c r="KVZ30" s="822"/>
      <c r="KWA30" s="822"/>
      <c r="KWB30" s="822"/>
      <c r="KWC30" s="822"/>
      <c r="KWD30" s="822"/>
      <c r="KWE30" s="822"/>
      <c r="KWF30" s="822"/>
      <c r="KWG30" s="822"/>
      <c r="KWH30" s="822"/>
      <c r="KWI30" s="822"/>
      <c r="KWJ30" s="822"/>
      <c r="KWK30" s="822"/>
      <c r="KWL30" s="822"/>
      <c r="KWM30" s="822"/>
      <c r="KWN30" s="822"/>
      <c r="KWO30" s="822"/>
      <c r="KWP30" s="822"/>
      <c r="KWQ30" s="822"/>
      <c r="KWR30" s="822"/>
      <c r="KWS30" s="822"/>
      <c r="KWT30" s="822"/>
      <c r="KWU30" s="822"/>
      <c r="KWV30" s="822"/>
      <c r="KWW30" s="822"/>
      <c r="KWX30" s="822"/>
      <c r="KWY30" s="822"/>
      <c r="KWZ30" s="822"/>
      <c r="KXA30" s="822"/>
      <c r="KXB30" s="822"/>
      <c r="KXC30" s="822"/>
      <c r="KXD30" s="822"/>
      <c r="KXE30" s="822"/>
      <c r="KXF30" s="822"/>
      <c r="KXG30" s="822"/>
      <c r="KXH30" s="822"/>
      <c r="KXI30" s="822"/>
      <c r="KXJ30" s="822"/>
      <c r="KXK30" s="822"/>
      <c r="KXL30" s="822"/>
      <c r="KXM30" s="822"/>
      <c r="KXN30" s="822"/>
      <c r="KXO30" s="822"/>
      <c r="KXP30" s="822"/>
      <c r="KXQ30" s="822"/>
      <c r="KXR30" s="822"/>
      <c r="KXS30" s="822"/>
      <c r="KXT30" s="822"/>
      <c r="KXU30" s="822"/>
      <c r="KXV30" s="822"/>
      <c r="KXW30" s="822"/>
      <c r="KXX30" s="822"/>
      <c r="KXY30" s="822"/>
      <c r="KXZ30" s="822"/>
      <c r="KYA30" s="822"/>
      <c r="KYB30" s="822"/>
      <c r="KYC30" s="822"/>
      <c r="KYD30" s="822"/>
      <c r="KYE30" s="822"/>
      <c r="KYF30" s="822"/>
      <c r="KYG30" s="822"/>
      <c r="KYH30" s="822"/>
      <c r="KYI30" s="822"/>
      <c r="KYJ30" s="822"/>
      <c r="KYK30" s="822"/>
      <c r="KYL30" s="822"/>
      <c r="KYM30" s="822"/>
      <c r="KYN30" s="822"/>
      <c r="KYO30" s="822"/>
      <c r="KYP30" s="822"/>
      <c r="KYQ30" s="822"/>
      <c r="KYR30" s="822"/>
      <c r="KYS30" s="822"/>
      <c r="KYT30" s="822"/>
      <c r="KYU30" s="822"/>
      <c r="KYV30" s="822"/>
      <c r="KYW30" s="822"/>
      <c r="KYX30" s="822"/>
      <c r="KYY30" s="822"/>
      <c r="KYZ30" s="822"/>
      <c r="KZA30" s="822"/>
      <c r="KZB30" s="822"/>
      <c r="KZC30" s="822"/>
      <c r="KZD30" s="822"/>
      <c r="KZE30" s="822"/>
      <c r="KZF30" s="822"/>
      <c r="KZG30" s="822"/>
      <c r="KZH30" s="822"/>
      <c r="KZI30" s="822"/>
      <c r="KZJ30" s="822"/>
      <c r="KZK30" s="822"/>
      <c r="KZL30" s="822"/>
      <c r="KZM30" s="822"/>
      <c r="KZN30" s="822"/>
      <c r="KZO30" s="822"/>
      <c r="KZP30" s="822"/>
      <c r="KZQ30" s="822"/>
      <c r="KZR30" s="822"/>
      <c r="KZS30" s="822"/>
      <c r="KZT30" s="822"/>
      <c r="KZU30" s="822"/>
      <c r="KZV30" s="822"/>
      <c r="KZW30" s="822"/>
      <c r="KZX30" s="822"/>
      <c r="KZY30" s="822"/>
      <c r="KZZ30" s="822"/>
      <c r="LAA30" s="822"/>
      <c r="LAB30" s="822"/>
      <c r="LAC30" s="822"/>
      <c r="LAD30" s="822"/>
      <c r="LAE30" s="822"/>
      <c r="LAF30" s="822"/>
      <c r="LAG30" s="822"/>
      <c r="LAH30" s="822"/>
      <c r="LAI30" s="822"/>
      <c r="LAJ30" s="822"/>
      <c r="LAK30" s="822"/>
      <c r="LAL30" s="822"/>
      <c r="LAM30" s="822"/>
      <c r="LAN30" s="822"/>
      <c r="LAO30" s="822"/>
      <c r="LAP30" s="822"/>
      <c r="LAQ30" s="822"/>
      <c r="LAR30" s="822"/>
      <c r="LAS30" s="822"/>
      <c r="LAT30" s="822"/>
      <c r="LAU30" s="822"/>
      <c r="LAV30" s="822"/>
      <c r="LAW30" s="822"/>
      <c r="LAX30" s="822"/>
      <c r="LAY30" s="822"/>
      <c r="LAZ30" s="822"/>
      <c r="LBA30" s="822"/>
      <c r="LBB30" s="822"/>
      <c r="LBC30" s="822"/>
      <c r="LBD30" s="822"/>
      <c r="LBE30" s="822"/>
      <c r="LBF30" s="822"/>
      <c r="LBG30" s="822"/>
      <c r="LBH30" s="822"/>
      <c r="LBI30" s="822"/>
      <c r="LBJ30" s="822"/>
      <c r="LBK30" s="822"/>
      <c r="LBL30" s="822"/>
      <c r="LBM30" s="822"/>
      <c r="LBN30" s="822"/>
      <c r="LBO30" s="822"/>
      <c r="LBP30" s="822"/>
      <c r="LBQ30" s="822"/>
      <c r="LBR30" s="822"/>
      <c r="LBS30" s="822"/>
      <c r="LBT30" s="822"/>
      <c r="LBU30" s="822"/>
      <c r="LBV30" s="822"/>
      <c r="LBW30" s="822"/>
      <c r="LBX30" s="822"/>
      <c r="LBY30" s="822"/>
      <c r="LBZ30" s="822"/>
      <c r="LCA30" s="822"/>
      <c r="LCB30" s="822"/>
      <c r="LCC30" s="822"/>
      <c r="LCD30" s="822"/>
      <c r="LCE30" s="822"/>
      <c r="LCF30" s="822"/>
      <c r="LCG30" s="822"/>
      <c r="LCH30" s="822"/>
      <c r="LCI30" s="822"/>
      <c r="LCJ30" s="822"/>
      <c r="LCK30" s="822"/>
      <c r="LCL30" s="822"/>
      <c r="LCM30" s="822"/>
      <c r="LCN30" s="822"/>
      <c r="LCO30" s="822"/>
      <c r="LCP30" s="822"/>
      <c r="LCQ30" s="822"/>
      <c r="LCR30" s="822"/>
      <c r="LCS30" s="822"/>
      <c r="LCT30" s="822"/>
      <c r="LCU30" s="822"/>
      <c r="LCV30" s="822"/>
      <c r="LCW30" s="822"/>
      <c r="LCX30" s="822"/>
      <c r="LCY30" s="822"/>
      <c r="LCZ30" s="822"/>
      <c r="LDA30" s="822"/>
      <c r="LDB30" s="822"/>
      <c r="LDC30" s="822"/>
      <c r="LDD30" s="822"/>
      <c r="LDE30" s="822"/>
      <c r="LDF30" s="822"/>
      <c r="LDG30" s="822"/>
      <c r="LDH30" s="822"/>
      <c r="LDI30" s="822"/>
      <c r="LDJ30" s="822"/>
      <c r="LDK30" s="822"/>
      <c r="LDL30" s="822"/>
      <c r="LDM30" s="822"/>
      <c r="LDN30" s="822"/>
      <c r="LDO30" s="822"/>
      <c r="LDP30" s="822"/>
      <c r="LDQ30" s="822"/>
      <c r="LDR30" s="822"/>
      <c r="LDS30" s="822"/>
      <c r="LDT30" s="822"/>
      <c r="LDU30" s="822"/>
      <c r="LDV30" s="822"/>
      <c r="LDW30" s="822"/>
      <c r="LDX30" s="822"/>
      <c r="LDY30" s="822"/>
      <c r="LDZ30" s="822"/>
      <c r="LEA30" s="822"/>
      <c r="LEB30" s="822"/>
      <c r="LEC30" s="822"/>
      <c r="LED30" s="822"/>
      <c r="LEE30" s="822"/>
      <c r="LEF30" s="822"/>
      <c r="LEG30" s="822"/>
      <c r="LEH30" s="822"/>
      <c r="LEI30" s="822"/>
      <c r="LEJ30" s="822"/>
      <c r="LEK30" s="822"/>
      <c r="LEL30" s="822"/>
      <c r="LEM30" s="822"/>
      <c r="LEN30" s="822"/>
      <c r="LEO30" s="822"/>
      <c r="LEP30" s="822"/>
      <c r="LEQ30" s="822"/>
      <c r="LER30" s="822"/>
      <c r="LES30" s="822"/>
      <c r="LET30" s="822"/>
      <c r="LEU30" s="822"/>
      <c r="LEV30" s="822"/>
      <c r="LEW30" s="822"/>
      <c r="LEX30" s="822"/>
      <c r="LEY30" s="822"/>
      <c r="LEZ30" s="822"/>
      <c r="LFA30" s="822"/>
      <c r="LFB30" s="822"/>
      <c r="LFC30" s="822"/>
      <c r="LFD30" s="822"/>
      <c r="LFE30" s="822"/>
      <c r="LFF30" s="822"/>
      <c r="LFG30" s="822"/>
      <c r="LFH30" s="822"/>
      <c r="LFI30" s="822"/>
      <c r="LFJ30" s="822"/>
      <c r="LFK30" s="822"/>
      <c r="LFL30" s="822"/>
      <c r="LFM30" s="822"/>
      <c r="LFN30" s="822"/>
      <c r="LFO30" s="822"/>
      <c r="LFP30" s="822"/>
      <c r="LFQ30" s="822"/>
      <c r="LFR30" s="822"/>
      <c r="LFS30" s="822"/>
      <c r="LFT30" s="822"/>
      <c r="LFU30" s="822"/>
      <c r="LFV30" s="822"/>
      <c r="LFW30" s="822"/>
      <c r="LFX30" s="822"/>
      <c r="LFY30" s="822"/>
      <c r="LFZ30" s="822"/>
      <c r="LGA30" s="822"/>
      <c r="LGB30" s="822"/>
      <c r="LGC30" s="822"/>
      <c r="LGD30" s="822"/>
      <c r="LGE30" s="822"/>
      <c r="LGF30" s="822"/>
      <c r="LGG30" s="822"/>
      <c r="LGH30" s="822"/>
      <c r="LGI30" s="822"/>
      <c r="LGJ30" s="822"/>
      <c r="LGK30" s="822"/>
      <c r="LGL30" s="822"/>
      <c r="LGM30" s="822"/>
      <c r="LGN30" s="822"/>
      <c r="LGO30" s="822"/>
      <c r="LGP30" s="822"/>
      <c r="LGQ30" s="822"/>
      <c r="LGR30" s="822"/>
      <c r="LGS30" s="822"/>
      <c r="LGT30" s="822"/>
      <c r="LGU30" s="822"/>
      <c r="LGV30" s="822"/>
      <c r="LGW30" s="822"/>
      <c r="LGX30" s="822"/>
      <c r="LGY30" s="822"/>
      <c r="LGZ30" s="822"/>
      <c r="LHA30" s="822"/>
      <c r="LHB30" s="822"/>
      <c r="LHC30" s="822"/>
      <c r="LHD30" s="822"/>
      <c r="LHE30" s="822"/>
      <c r="LHF30" s="822"/>
      <c r="LHG30" s="822"/>
      <c r="LHH30" s="822"/>
      <c r="LHI30" s="822"/>
      <c r="LHJ30" s="822"/>
      <c r="LHK30" s="822"/>
      <c r="LHL30" s="822"/>
      <c r="LHM30" s="822"/>
      <c r="LHN30" s="822"/>
      <c r="LHO30" s="822"/>
      <c r="LHP30" s="822"/>
      <c r="LHQ30" s="822"/>
      <c r="LHR30" s="822"/>
      <c r="LHS30" s="822"/>
      <c r="LHT30" s="822"/>
      <c r="LHU30" s="822"/>
      <c r="LHV30" s="822"/>
      <c r="LHW30" s="822"/>
      <c r="LHX30" s="822"/>
      <c r="LHY30" s="822"/>
      <c r="LHZ30" s="822"/>
      <c r="LIA30" s="822"/>
      <c r="LIB30" s="822"/>
      <c r="LIC30" s="822"/>
      <c r="LID30" s="822"/>
      <c r="LIE30" s="822"/>
      <c r="LIF30" s="822"/>
      <c r="LIG30" s="822"/>
      <c r="LIH30" s="822"/>
      <c r="LII30" s="822"/>
      <c r="LIJ30" s="822"/>
      <c r="LIK30" s="822"/>
      <c r="LIL30" s="822"/>
      <c r="LIM30" s="822"/>
      <c r="LIN30" s="822"/>
      <c r="LIO30" s="822"/>
      <c r="LIP30" s="822"/>
      <c r="LIQ30" s="822"/>
      <c r="LIR30" s="822"/>
      <c r="LIS30" s="822"/>
      <c r="LIT30" s="822"/>
      <c r="LIU30" s="822"/>
      <c r="LIV30" s="822"/>
      <c r="LIW30" s="822"/>
      <c r="LIX30" s="822"/>
      <c r="LIY30" s="822"/>
      <c r="LIZ30" s="822"/>
      <c r="LJA30" s="822"/>
      <c r="LJB30" s="822"/>
      <c r="LJC30" s="822"/>
      <c r="LJD30" s="822"/>
      <c r="LJE30" s="822"/>
      <c r="LJF30" s="822"/>
      <c r="LJG30" s="822"/>
      <c r="LJH30" s="822"/>
      <c r="LJI30" s="822"/>
      <c r="LJJ30" s="822"/>
      <c r="LJK30" s="822"/>
      <c r="LJL30" s="822"/>
      <c r="LJM30" s="822"/>
      <c r="LJN30" s="822"/>
      <c r="LJO30" s="822"/>
      <c r="LJP30" s="822"/>
      <c r="LJQ30" s="822"/>
      <c r="LJR30" s="822"/>
      <c r="LJS30" s="822"/>
      <c r="LJT30" s="822"/>
      <c r="LJU30" s="822"/>
      <c r="LJV30" s="822"/>
      <c r="LJW30" s="822"/>
      <c r="LJX30" s="822"/>
      <c r="LJY30" s="822"/>
      <c r="LJZ30" s="822"/>
      <c r="LKA30" s="822"/>
      <c r="LKB30" s="822"/>
      <c r="LKC30" s="822"/>
      <c r="LKD30" s="822"/>
      <c r="LKE30" s="822"/>
      <c r="LKF30" s="822"/>
      <c r="LKG30" s="822"/>
      <c r="LKH30" s="822"/>
      <c r="LKI30" s="822"/>
      <c r="LKJ30" s="822"/>
      <c r="LKK30" s="822"/>
      <c r="LKL30" s="822"/>
      <c r="LKM30" s="822"/>
      <c r="LKN30" s="822"/>
      <c r="LKO30" s="822"/>
      <c r="LKP30" s="822"/>
      <c r="LKQ30" s="822"/>
      <c r="LKR30" s="822"/>
      <c r="LKS30" s="822"/>
      <c r="LKT30" s="822"/>
      <c r="LKU30" s="822"/>
      <c r="LKV30" s="822"/>
      <c r="LKW30" s="822"/>
      <c r="LKX30" s="822"/>
      <c r="LKY30" s="822"/>
      <c r="LKZ30" s="822"/>
      <c r="LLA30" s="822"/>
      <c r="LLB30" s="822"/>
      <c r="LLC30" s="822"/>
      <c r="LLD30" s="822"/>
      <c r="LLE30" s="822"/>
      <c r="LLF30" s="822"/>
      <c r="LLG30" s="822"/>
      <c r="LLH30" s="822"/>
      <c r="LLI30" s="822"/>
      <c r="LLJ30" s="822"/>
      <c r="LLK30" s="822"/>
      <c r="LLL30" s="822"/>
      <c r="LLM30" s="822"/>
      <c r="LLN30" s="822"/>
      <c r="LLO30" s="822"/>
      <c r="LLP30" s="822"/>
      <c r="LLQ30" s="822"/>
      <c r="LLR30" s="822"/>
      <c r="LLS30" s="822"/>
      <c r="LLT30" s="822"/>
      <c r="LLU30" s="822"/>
      <c r="LLV30" s="822"/>
      <c r="LLW30" s="822"/>
      <c r="LLX30" s="822"/>
      <c r="LLY30" s="822"/>
      <c r="LLZ30" s="822"/>
      <c r="LMA30" s="822"/>
      <c r="LMB30" s="822"/>
      <c r="LMC30" s="822"/>
      <c r="LMD30" s="822"/>
      <c r="LME30" s="822"/>
      <c r="LMF30" s="822"/>
      <c r="LMG30" s="822"/>
      <c r="LMH30" s="822"/>
      <c r="LMI30" s="822"/>
      <c r="LMJ30" s="822"/>
      <c r="LMK30" s="822"/>
      <c r="LML30" s="822"/>
      <c r="LMM30" s="822"/>
      <c r="LMN30" s="822"/>
      <c r="LMO30" s="822"/>
      <c r="LMP30" s="822"/>
      <c r="LMQ30" s="822"/>
      <c r="LMR30" s="822"/>
      <c r="LMS30" s="822"/>
      <c r="LMT30" s="822"/>
      <c r="LMU30" s="822"/>
      <c r="LMV30" s="822"/>
      <c r="LMW30" s="822"/>
      <c r="LMX30" s="822"/>
      <c r="LMY30" s="822"/>
      <c r="LMZ30" s="822"/>
      <c r="LNA30" s="822"/>
      <c r="LNB30" s="822"/>
      <c r="LNC30" s="822"/>
      <c r="LND30" s="822"/>
      <c r="LNE30" s="822"/>
      <c r="LNF30" s="822"/>
      <c r="LNG30" s="822"/>
      <c r="LNH30" s="822"/>
      <c r="LNI30" s="822"/>
      <c r="LNJ30" s="822"/>
      <c r="LNK30" s="822"/>
      <c r="LNL30" s="822"/>
      <c r="LNM30" s="822"/>
      <c r="LNN30" s="822"/>
      <c r="LNO30" s="822"/>
      <c r="LNP30" s="822"/>
      <c r="LNQ30" s="822"/>
      <c r="LNR30" s="822"/>
      <c r="LNS30" s="822"/>
      <c r="LNT30" s="822"/>
      <c r="LNU30" s="822"/>
      <c r="LNV30" s="822"/>
      <c r="LNW30" s="822"/>
      <c r="LNX30" s="822"/>
      <c r="LNY30" s="822"/>
      <c r="LNZ30" s="822"/>
      <c r="LOA30" s="822"/>
      <c r="LOB30" s="822"/>
      <c r="LOC30" s="822"/>
      <c r="LOD30" s="822"/>
      <c r="LOE30" s="822"/>
      <c r="LOF30" s="822"/>
      <c r="LOG30" s="822"/>
      <c r="LOH30" s="822"/>
      <c r="LOI30" s="822"/>
      <c r="LOJ30" s="822"/>
      <c r="LOK30" s="822"/>
      <c r="LOL30" s="822"/>
      <c r="LOM30" s="822"/>
      <c r="LON30" s="822"/>
      <c r="LOO30" s="822"/>
      <c r="LOP30" s="822"/>
      <c r="LOQ30" s="822"/>
      <c r="LOR30" s="822"/>
      <c r="LOS30" s="822"/>
      <c r="LOT30" s="822"/>
      <c r="LOU30" s="822"/>
      <c r="LOV30" s="822"/>
      <c r="LOW30" s="822"/>
      <c r="LOX30" s="822"/>
      <c r="LOY30" s="822"/>
      <c r="LOZ30" s="822"/>
      <c r="LPA30" s="822"/>
      <c r="LPB30" s="822"/>
      <c r="LPC30" s="822"/>
      <c r="LPD30" s="822"/>
      <c r="LPE30" s="822"/>
      <c r="LPF30" s="822"/>
      <c r="LPG30" s="822"/>
      <c r="LPH30" s="822"/>
      <c r="LPI30" s="822"/>
      <c r="LPJ30" s="822"/>
      <c r="LPK30" s="822"/>
      <c r="LPL30" s="822"/>
      <c r="LPM30" s="822"/>
      <c r="LPN30" s="822"/>
      <c r="LPO30" s="822"/>
      <c r="LPP30" s="822"/>
      <c r="LPQ30" s="822"/>
      <c r="LPR30" s="822"/>
      <c r="LPS30" s="822"/>
      <c r="LPT30" s="822"/>
      <c r="LPU30" s="822"/>
      <c r="LPV30" s="822"/>
      <c r="LPW30" s="822"/>
      <c r="LPX30" s="822"/>
      <c r="LPY30" s="822"/>
      <c r="LPZ30" s="822"/>
      <c r="LQA30" s="822"/>
      <c r="LQB30" s="822"/>
      <c r="LQC30" s="822"/>
      <c r="LQD30" s="822"/>
      <c r="LQE30" s="822"/>
      <c r="LQF30" s="822"/>
      <c r="LQG30" s="822"/>
      <c r="LQH30" s="822"/>
      <c r="LQI30" s="822"/>
      <c r="LQJ30" s="822"/>
      <c r="LQK30" s="822"/>
      <c r="LQL30" s="822"/>
      <c r="LQM30" s="822"/>
      <c r="LQN30" s="822"/>
      <c r="LQO30" s="822"/>
      <c r="LQP30" s="822"/>
      <c r="LQQ30" s="822"/>
      <c r="LQR30" s="822"/>
      <c r="LQS30" s="822"/>
      <c r="LQT30" s="822"/>
      <c r="LQU30" s="822"/>
      <c r="LQV30" s="822"/>
      <c r="LQW30" s="822"/>
      <c r="LQX30" s="822"/>
      <c r="LQY30" s="822"/>
      <c r="LQZ30" s="822"/>
      <c r="LRA30" s="822"/>
      <c r="LRB30" s="822"/>
      <c r="LRC30" s="822"/>
      <c r="LRD30" s="822"/>
      <c r="LRE30" s="822"/>
      <c r="LRF30" s="822"/>
      <c r="LRG30" s="822"/>
      <c r="LRH30" s="822"/>
      <c r="LRI30" s="822"/>
      <c r="LRJ30" s="822"/>
      <c r="LRK30" s="822"/>
      <c r="LRL30" s="822"/>
      <c r="LRM30" s="822"/>
      <c r="LRN30" s="822"/>
      <c r="LRO30" s="822"/>
      <c r="LRP30" s="822"/>
      <c r="LRQ30" s="822"/>
      <c r="LRR30" s="822"/>
      <c r="LRS30" s="822"/>
      <c r="LRT30" s="822"/>
      <c r="LRU30" s="822"/>
      <c r="LRV30" s="822"/>
      <c r="LRW30" s="822"/>
      <c r="LRX30" s="822"/>
      <c r="LRY30" s="822"/>
      <c r="LRZ30" s="822"/>
      <c r="LSA30" s="822"/>
      <c r="LSB30" s="822"/>
      <c r="LSC30" s="822"/>
      <c r="LSD30" s="822"/>
      <c r="LSE30" s="822"/>
      <c r="LSF30" s="822"/>
      <c r="LSG30" s="822"/>
      <c r="LSH30" s="822"/>
      <c r="LSI30" s="822"/>
      <c r="LSJ30" s="822"/>
      <c r="LSK30" s="822"/>
      <c r="LSL30" s="822"/>
      <c r="LSM30" s="822"/>
      <c r="LSN30" s="822"/>
      <c r="LSO30" s="822"/>
      <c r="LSP30" s="822"/>
      <c r="LSQ30" s="822"/>
      <c r="LSR30" s="822"/>
      <c r="LSS30" s="822"/>
      <c r="LST30" s="822"/>
      <c r="LSU30" s="822"/>
      <c r="LSV30" s="822"/>
      <c r="LSW30" s="822"/>
      <c r="LSX30" s="822"/>
      <c r="LSY30" s="822"/>
      <c r="LSZ30" s="822"/>
      <c r="LTA30" s="822"/>
      <c r="LTB30" s="822"/>
      <c r="LTC30" s="822"/>
      <c r="LTD30" s="822"/>
      <c r="LTE30" s="822"/>
      <c r="LTF30" s="822"/>
      <c r="LTG30" s="822"/>
      <c r="LTH30" s="822"/>
      <c r="LTI30" s="822"/>
      <c r="LTJ30" s="822"/>
      <c r="LTK30" s="822"/>
      <c r="LTL30" s="822"/>
      <c r="LTM30" s="822"/>
      <c r="LTN30" s="822"/>
      <c r="LTO30" s="822"/>
      <c r="LTP30" s="822"/>
      <c r="LTQ30" s="822"/>
      <c r="LTR30" s="822"/>
      <c r="LTS30" s="822"/>
      <c r="LTT30" s="822"/>
      <c r="LTU30" s="822"/>
      <c r="LTV30" s="822"/>
      <c r="LTW30" s="822"/>
      <c r="LTX30" s="822"/>
      <c r="LTY30" s="822"/>
      <c r="LTZ30" s="822"/>
      <c r="LUA30" s="822"/>
      <c r="LUB30" s="822"/>
      <c r="LUC30" s="822"/>
      <c r="LUD30" s="822"/>
      <c r="LUE30" s="822"/>
      <c r="LUF30" s="822"/>
      <c r="LUG30" s="822"/>
      <c r="LUH30" s="822"/>
      <c r="LUI30" s="822"/>
      <c r="LUJ30" s="822"/>
      <c r="LUK30" s="822"/>
      <c r="LUL30" s="822"/>
      <c r="LUM30" s="822"/>
      <c r="LUN30" s="822"/>
      <c r="LUO30" s="822"/>
      <c r="LUP30" s="822"/>
      <c r="LUQ30" s="822"/>
      <c r="LUR30" s="822"/>
      <c r="LUS30" s="822"/>
      <c r="LUT30" s="822"/>
      <c r="LUU30" s="822"/>
      <c r="LUV30" s="822"/>
      <c r="LUW30" s="822"/>
      <c r="LUX30" s="822"/>
      <c r="LUY30" s="822"/>
      <c r="LUZ30" s="822"/>
      <c r="LVA30" s="822"/>
      <c r="LVB30" s="822"/>
      <c r="LVC30" s="822"/>
      <c r="LVD30" s="822"/>
      <c r="LVE30" s="822"/>
      <c r="LVF30" s="822"/>
      <c r="LVG30" s="822"/>
      <c r="LVH30" s="822"/>
      <c r="LVI30" s="822"/>
      <c r="LVJ30" s="822"/>
      <c r="LVK30" s="822"/>
      <c r="LVL30" s="822"/>
      <c r="LVM30" s="822"/>
      <c r="LVN30" s="822"/>
      <c r="LVO30" s="822"/>
      <c r="LVP30" s="822"/>
      <c r="LVQ30" s="822"/>
      <c r="LVR30" s="822"/>
      <c r="LVS30" s="822"/>
      <c r="LVT30" s="822"/>
      <c r="LVU30" s="822"/>
      <c r="LVV30" s="822"/>
      <c r="LVW30" s="822"/>
      <c r="LVX30" s="822"/>
      <c r="LVY30" s="822"/>
      <c r="LVZ30" s="822"/>
      <c r="LWA30" s="822"/>
      <c r="LWB30" s="822"/>
      <c r="LWC30" s="822"/>
      <c r="LWD30" s="822"/>
      <c r="LWE30" s="822"/>
      <c r="LWF30" s="822"/>
      <c r="LWG30" s="822"/>
      <c r="LWH30" s="822"/>
      <c r="LWI30" s="822"/>
      <c r="LWJ30" s="822"/>
      <c r="LWK30" s="822"/>
      <c r="LWL30" s="822"/>
      <c r="LWM30" s="822"/>
      <c r="LWN30" s="822"/>
      <c r="LWO30" s="822"/>
      <c r="LWP30" s="822"/>
      <c r="LWQ30" s="822"/>
      <c r="LWR30" s="822"/>
      <c r="LWS30" s="822"/>
      <c r="LWT30" s="822"/>
      <c r="LWU30" s="822"/>
      <c r="LWV30" s="822"/>
      <c r="LWW30" s="822"/>
      <c r="LWX30" s="822"/>
      <c r="LWY30" s="822"/>
      <c r="LWZ30" s="822"/>
      <c r="LXA30" s="822"/>
      <c r="LXB30" s="822"/>
      <c r="LXC30" s="822"/>
      <c r="LXD30" s="822"/>
      <c r="LXE30" s="822"/>
      <c r="LXF30" s="822"/>
      <c r="LXG30" s="822"/>
      <c r="LXH30" s="822"/>
      <c r="LXI30" s="822"/>
      <c r="LXJ30" s="822"/>
      <c r="LXK30" s="822"/>
      <c r="LXL30" s="822"/>
      <c r="LXM30" s="822"/>
      <c r="LXN30" s="822"/>
      <c r="LXO30" s="822"/>
      <c r="LXP30" s="822"/>
      <c r="LXQ30" s="822"/>
      <c r="LXR30" s="822"/>
      <c r="LXS30" s="822"/>
      <c r="LXT30" s="822"/>
      <c r="LXU30" s="822"/>
      <c r="LXV30" s="822"/>
      <c r="LXW30" s="822"/>
      <c r="LXX30" s="822"/>
      <c r="LXY30" s="822"/>
      <c r="LXZ30" s="822"/>
      <c r="LYA30" s="822"/>
      <c r="LYB30" s="822"/>
      <c r="LYC30" s="822"/>
      <c r="LYD30" s="822"/>
      <c r="LYE30" s="822"/>
      <c r="LYF30" s="822"/>
      <c r="LYG30" s="822"/>
      <c r="LYH30" s="822"/>
      <c r="LYI30" s="822"/>
      <c r="LYJ30" s="822"/>
      <c r="LYK30" s="822"/>
      <c r="LYL30" s="822"/>
      <c r="LYM30" s="822"/>
      <c r="LYN30" s="822"/>
      <c r="LYO30" s="822"/>
      <c r="LYP30" s="822"/>
      <c r="LYQ30" s="822"/>
      <c r="LYR30" s="822"/>
      <c r="LYS30" s="822"/>
      <c r="LYT30" s="822"/>
      <c r="LYU30" s="822"/>
      <c r="LYV30" s="822"/>
      <c r="LYW30" s="822"/>
      <c r="LYX30" s="822"/>
      <c r="LYY30" s="822"/>
      <c r="LYZ30" s="822"/>
      <c r="LZA30" s="822"/>
      <c r="LZB30" s="822"/>
      <c r="LZC30" s="822"/>
      <c r="LZD30" s="822"/>
      <c r="LZE30" s="822"/>
      <c r="LZF30" s="822"/>
      <c r="LZG30" s="822"/>
      <c r="LZH30" s="822"/>
      <c r="LZI30" s="822"/>
      <c r="LZJ30" s="822"/>
      <c r="LZK30" s="822"/>
      <c r="LZL30" s="822"/>
      <c r="LZM30" s="822"/>
      <c r="LZN30" s="822"/>
      <c r="LZO30" s="822"/>
      <c r="LZP30" s="822"/>
      <c r="LZQ30" s="822"/>
      <c r="LZR30" s="822"/>
      <c r="LZS30" s="822"/>
      <c r="LZT30" s="822"/>
      <c r="LZU30" s="822"/>
      <c r="LZV30" s="822"/>
      <c r="LZW30" s="822"/>
      <c r="LZX30" s="822"/>
      <c r="LZY30" s="822"/>
      <c r="LZZ30" s="822"/>
      <c r="MAA30" s="822"/>
      <c r="MAB30" s="822"/>
      <c r="MAC30" s="822"/>
      <c r="MAD30" s="822"/>
      <c r="MAE30" s="822"/>
      <c r="MAF30" s="822"/>
      <c r="MAG30" s="822"/>
      <c r="MAH30" s="822"/>
      <c r="MAI30" s="822"/>
      <c r="MAJ30" s="822"/>
      <c r="MAK30" s="822"/>
      <c r="MAL30" s="822"/>
      <c r="MAM30" s="822"/>
      <c r="MAN30" s="822"/>
      <c r="MAO30" s="822"/>
      <c r="MAP30" s="822"/>
      <c r="MAQ30" s="822"/>
      <c r="MAR30" s="822"/>
      <c r="MAS30" s="822"/>
      <c r="MAT30" s="822"/>
      <c r="MAU30" s="822"/>
      <c r="MAV30" s="822"/>
      <c r="MAW30" s="822"/>
      <c r="MAX30" s="822"/>
      <c r="MAY30" s="822"/>
      <c r="MAZ30" s="822"/>
      <c r="MBA30" s="822"/>
      <c r="MBB30" s="822"/>
      <c r="MBC30" s="822"/>
      <c r="MBD30" s="822"/>
      <c r="MBE30" s="822"/>
      <c r="MBF30" s="822"/>
      <c r="MBG30" s="822"/>
      <c r="MBH30" s="822"/>
      <c r="MBI30" s="822"/>
      <c r="MBJ30" s="822"/>
      <c r="MBK30" s="822"/>
      <c r="MBL30" s="822"/>
      <c r="MBM30" s="822"/>
      <c r="MBN30" s="822"/>
      <c r="MBO30" s="822"/>
      <c r="MBP30" s="822"/>
      <c r="MBQ30" s="822"/>
      <c r="MBR30" s="822"/>
      <c r="MBS30" s="822"/>
      <c r="MBT30" s="822"/>
      <c r="MBU30" s="822"/>
      <c r="MBV30" s="822"/>
      <c r="MBW30" s="822"/>
      <c r="MBX30" s="822"/>
      <c r="MBY30" s="822"/>
      <c r="MBZ30" s="822"/>
      <c r="MCA30" s="822"/>
      <c r="MCB30" s="822"/>
      <c r="MCC30" s="822"/>
      <c r="MCD30" s="822"/>
      <c r="MCE30" s="822"/>
      <c r="MCF30" s="822"/>
      <c r="MCG30" s="822"/>
      <c r="MCH30" s="822"/>
      <c r="MCI30" s="822"/>
      <c r="MCJ30" s="822"/>
      <c r="MCK30" s="822"/>
      <c r="MCL30" s="822"/>
      <c r="MCM30" s="822"/>
      <c r="MCN30" s="822"/>
      <c r="MCO30" s="822"/>
      <c r="MCP30" s="822"/>
      <c r="MCQ30" s="822"/>
      <c r="MCR30" s="822"/>
      <c r="MCS30" s="822"/>
      <c r="MCT30" s="822"/>
      <c r="MCU30" s="822"/>
      <c r="MCV30" s="822"/>
      <c r="MCW30" s="822"/>
      <c r="MCX30" s="822"/>
      <c r="MCY30" s="822"/>
      <c r="MCZ30" s="822"/>
      <c r="MDA30" s="822"/>
      <c r="MDB30" s="822"/>
      <c r="MDC30" s="822"/>
      <c r="MDD30" s="822"/>
      <c r="MDE30" s="822"/>
      <c r="MDF30" s="822"/>
      <c r="MDG30" s="822"/>
      <c r="MDH30" s="822"/>
      <c r="MDI30" s="822"/>
      <c r="MDJ30" s="822"/>
      <c r="MDK30" s="822"/>
      <c r="MDL30" s="822"/>
      <c r="MDM30" s="822"/>
      <c r="MDN30" s="822"/>
      <c r="MDO30" s="822"/>
      <c r="MDP30" s="822"/>
      <c r="MDQ30" s="822"/>
      <c r="MDR30" s="822"/>
      <c r="MDS30" s="822"/>
      <c r="MDT30" s="822"/>
      <c r="MDU30" s="822"/>
      <c r="MDV30" s="822"/>
      <c r="MDW30" s="822"/>
      <c r="MDX30" s="822"/>
      <c r="MDY30" s="822"/>
      <c r="MDZ30" s="822"/>
      <c r="MEA30" s="822"/>
      <c r="MEB30" s="822"/>
      <c r="MEC30" s="822"/>
      <c r="MED30" s="822"/>
      <c r="MEE30" s="822"/>
      <c r="MEF30" s="822"/>
      <c r="MEG30" s="822"/>
      <c r="MEH30" s="822"/>
      <c r="MEI30" s="822"/>
      <c r="MEJ30" s="822"/>
      <c r="MEK30" s="822"/>
      <c r="MEL30" s="822"/>
      <c r="MEM30" s="822"/>
      <c r="MEN30" s="822"/>
      <c r="MEO30" s="822"/>
      <c r="MEP30" s="822"/>
      <c r="MEQ30" s="822"/>
      <c r="MER30" s="822"/>
      <c r="MES30" s="822"/>
      <c r="MET30" s="822"/>
      <c r="MEU30" s="822"/>
      <c r="MEV30" s="822"/>
      <c r="MEW30" s="822"/>
      <c r="MEX30" s="822"/>
      <c r="MEY30" s="822"/>
      <c r="MEZ30" s="822"/>
      <c r="MFA30" s="822"/>
      <c r="MFB30" s="822"/>
      <c r="MFC30" s="822"/>
      <c r="MFD30" s="822"/>
      <c r="MFE30" s="822"/>
      <c r="MFF30" s="822"/>
      <c r="MFG30" s="822"/>
      <c r="MFH30" s="822"/>
      <c r="MFI30" s="822"/>
      <c r="MFJ30" s="822"/>
      <c r="MFK30" s="822"/>
      <c r="MFL30" s="822"/>
      <c r="MFM30" s="822"/>
      <c r="MFN30" s="822"/>
      <c r="MFO30" s="822"/>
      <c r="MFP30" s="822"/>
      <c r="MFQ30" s="822"/>
      <c r="MFR30" s="822"/>
      <c r="MFS30" s="822"/>
      <c r="MFT30" s="822"/>
      <c r="MFU30" s="822"/>
      <c r="MFV30" s="822"/>
      <c r="MFW30" s="822"/>
      <c r="MFX30" s="822"/>
      <c r="MFY30" s="822"/>
      <c r="MFZ30" s="822"/>
      <c r="MGA30" s="822"/>
      <c r="MGB30" s="822"/>
      <c r="MGC30" s="822"/>
      <c r="MGD30" s="822"/>
      <c r="MGE30" s="822"/>
      <c r="MGF30" s="822"/>
      <c r="MGG30" s="822"/>
      <c r="MGH30" s="822"/>
      <c r="MGI30" s="822"/>
      <c r="MGJ30" s="822"/>
      <c r="MGK30" s="822"/>
      <c r="MGL30" s="822"/>
      <c r="MGM30" s="822"/>
      <c r="MGN30" s="822"/>
      <c r="MGO30" s="822"/>
      <c r="MGP30" s="822"/>
      <c r="MGQ30" s="822"/>
      <c r="MGR30" s="822"/>
      <c r="MGS30" s="822"/>
      <c r="MGT30" s="822"/>
      <c r="MGU30" s="822"/>
      <c r="MGV30" s="822"/>
      <c r="MGW30" s="822"/>
      <c r="MGX30" s="822"/>
      <c r="MGY30" s="822"/>
      <c r="MGZ30" s="822"/>
      <c r="MHA30" s="822"/>
      <c r="MHB30" s="822"/>
      <c r="MHC30" s="822"/>
      <c r="MHD30" s="822"/>
      <c r="MHE30" s="822"/>
      <c r="MHF30" s="822"/>
      <c r="MHG30" s="822"/>
      <c r="MHH30" s="822"/>
      <c r="MHI30" s="822"/>
      <c r="MHJ30" s="822"/>
      <c r="MHK30" s="822"/>
      <c r="MHL30" s="822"/>
      <c r="MHM30" s="822"/>
      <c r="MHN30" s="822"/>
      <c r="MHO30" s="822"/>
      <c r="MHP30" s="822"/>
      <c r="MHQ30" s="822"/>
      <c r="MHR30" s="822"/>
      <c r="MHS30" s="822"/>
      <c r="MHT30" s="822"/>
      <c r="MHU30" s="822"/>
      <c r="MHV30" s="822"/>
      <c r="MHW30" s="822"/>
      <c r="MHX30" s="822"/>
      <c r="MHY30" s="822"/>
      <c r="MHZ30" s="822"/>
      <c r="MIA30" s="822"/>
      <c r="MIB30" s="822"/>
      <c r="MIC30" s="822"/>
      <c r="MID30" s="822"/>
      <c r="MIE30" s="822"/>
      <c r="MIF30" s="822"/>
      <c r="MIG30" s="822"/>
      <c r="MIH30" s="822"/>
      <c r="MII30" s="822"/>
      <c r="MIJ30" s="822"/>
      <c r="MIK30" s="822"/>
      <c r="MIL30" s="822"/>
      <c r="MIM30" s="822"/>
      <c r="MIN30" s="822"/>
      <c r="MIO30" s="822"/>
      <c r="MIP30" s="822"/>
      <c r="MIQ30" s="822"/>
      <c r="MIR30" s="822"/>
      <c r="MIS30" s="822"/>
      <c r="MIT30" s="822"/>
      <c r="MIU30" s="822"/>
      <c r="MIV30" s="822"/>
      <c r="MIW30" s="822"/>
      <c r="MIX30" s="822"/>
      <c r="MIY30" s="822"/>
      <c r="MIZ30" s="822"/>
      <c r="MJA30" s="822"/>
      <c r="MJB30" s="822"/>
      <c r="MJC30" s="822"/>
      <c r="MJD30" s="822"/>
      <c r="MJE30" s="822"/>
      <c r="MJF30" s="822"/>
      <c r="MJG30" s="822"/>
      <c r="MJH30" s="822"/>
      <c r="MJI30" s="822"/>
      <c r="MJJ30" s="822"/>
      <c r="MJK30" s="822"/>
      <c r="MJL30" s="822"/>
      <c r="MJM30" s="822"/>
      <c r="MJN30" s="822"/>
      <c r="MJO30" s="822"/>
      <c r="MJP30" s="822"/>
      <c r="MJQ30" s="822"/>
      <c r="MJR30" s="822"/>
      <c r="MJS30" s="822"/>
      <c r="MJT30" s="822"/>
      <c r="MJU30" s="822"/>
      <c r="MJV30" s="822"/>
      <c r="MJW30" s="822"/>
      <c r="MJX30" s="822"/>
      <c r="MJY30" s="822"/>
      <c r="MJZ30" s="822"/>
      <c r="MKA30" s="822"/>
      <c r="MKB30" s="822"/>
      <c r="MKC30" s="822"/>
      <c r="MKD30" s="822"/>
      <c r="MKE30" s="822"/>
      <c r="MKF30" s="822"/>
      <c r="MKG30" s="822"/>
      <c r="MKH30" s="822"/>
      <c r="MKI30" s="822"/>
      <c r="MKJ30" s="822"/>
      <c r="MKK30" s="822"/>
      <c r="MKL30" s="822"/>
      <c r="MKM30" s="822"/>
      <c r="MKN30" s="822"/>
      <c r="MKO30" s="822"/>
      <c r="MKP30" s="822"/>
      <c r="MKQ30" s="822"/>
      <c r="MKR30" s="822"/>
      <c r="MKS30" s="822"/>
      <c r="MKT30" s="822"/>
      <c r="MKU30" s="822"/>
      <c r="MKV30" s="822"/>
      <c r="MKW30" s="822"/>
      <c r="MKX30" s="822"/>
      <c r="MKY30" s="822"/>
      <c r="MKZ30" s="822"/>
      <c r="MLA30" s="822"/>
      <c r="MLB30" s="822"/>
      <c r="MLC30" s="822"/>
      <c r="MLD30" s="822"/>
      <c r="MLE30" s="822"/>
      <c r="MLF30" s="822"/>
      <c r="MLG30" s="822"/>
      <c r="MLH30" s="822"/>
      <c r="MLI30" s="822"/>
      <c r="MLJ30" s="822"/>
      <c r="MLK30" s="822"/>
      <c r="MLL30" s="822"/>
      <c r="MLM30" s="822"/>
      <c r="MLN30" s="822"/>
      <c r="MLO30" s="822"/>
      <c r="MLP30" s="822"/>
      <c r="MLQ30" s="822"/>
      <c r="MLR30" s="822"/>
      <c r="MLS30" s="822"/>
      <c r="MLT30" s="822"/>
      <c r="MLU30" s="822"/>
      <c r="MLV30" s="822"/>
      <c r="MLW30" s="822"/>
      <c r="MLX30" s="822"/>
      <c r="MLY30" s="822"/>
      <c r="MLZ30" s="822"/>
      <c r="MMA30" s="822"/>
      <c r="MMB30" s="822"/>
      <c r="MMC30" s="822"/>
      <c r="MMD30" s="822"/>
      <c r="MME30" s="822"/>
      <c r="MMF30" s="822"/>
      <c r="MMG30" s="822"/>
      <c r="MMH30" s="822"/>
      <c r="MMI30" s="822"/>
      <c r="MMJ30" s="822"/>
      <c r="MMK30" s="822"/>
      <c r="MML30" s="822"/>
      <c r="MMM30" s="822"/>
      <c r="MMN30" s="822"/>
      <c r="MMO30" s="822"/>
      <c r="MMP30" s="822"/>
      <c r="MMQ30" s="822"/>
      <c r="MMR30" s="822"/>
      <c r="MMS30" s="822"/>
      <c r="MMT30" s="822"/>
      <c r="MMU30" s="822"/>
      <c r="MMV30" s="822"/>
      <c r="MMW30" s="822"/>
      <c r="MMX30" s="822"/>
      <c r="MMY30" s="822"/>
      <c r="MMZ30" s="822"/>
      <c r="MNA30" s="822"/>
      <c r="MNB30" s="822"/>
      <c r="MNC30" s="822"/>
      <c r="MND30" s="822"/>
      <c r="MNE30" s="822"/>
      <c r="MNF30" s="822"/>
      <c r="MNG30" s="822"/>
      <c r="MNH30" s="822"/>
      <c r="MNI30" s="822"/>
      <c r="MNJ30" s="822"/>
      <c r="MNK30" s="822"/>
      <c r="MNL30" s="822"/>
      <c r="MNM30" s="822"/>
      <c r="MNN30" s="822"/>
      <c r="MNO30" s="822"/>
      <c r="MNP30" s="822"/>
      <c r="MNQ30" s="822"/>
      <c r="MNR30" s="822"/>
      <c r="MNS30" s="822"/>
      <c r="MNT30" s="822"/>
      <c r="MNU30" s="822"/>
      <c r="MNV30" s="822"/>
      <c r="MNW30" s="822"/>
      <c r="MNX30" s="822"/>
      <c r="MNY30" s="822"/>
      <c r="MNZ30" s="822"/>
      <c r="MOA30" s="822"/>
      <c r="MOB30" s="822"/>
      <c r="MOC30" s="822"/>
      <c r="MOD30" s="822"/>
      <c r="MOE30" s="822"/>
      <c r="MOF30" s="822"/>
      <c r="MOG30" s="822"/>
      <c r="MOH30" s="822"/>
      <c r="MOI30" s="822"/>
      <c r="MOJ30" s="822"/>
      <c r="MOK30" s="822"/>
      <c r="MOL30" s="822"/>
      <c r="MOM30" s="822"/>
      <c r="MON30" s="822"/>
      <c r="MOO30" s="822"/>
      <c r="MOP30" s="822"/>
      <c r="MOQ30" s="822"/>
      <c r="MOR30" s="822"/>
      <c r="MOS30" s="822"/>
      <c r="MOT30" s="822"/>
      <c r="MOU30" s="822"/>
      <c r="MOV30" s="822"/>
      <c r="MOW30" s="822"/>
      <c r="MOX30" s="822"/>
      <c r="MOY30" s="822"/>
      <c r="MOZ30" s="822"/>
      <c r="MPA30" s="822"/>
      <c r="MPB30" s="822"/>
      <c r="MPC30" s="822"/>
      <c r="MPD30" s="822"/>
      <c r="MPE30" s="822"/>
      <c r="MPF30" s="822"/>
      <c r="MPG30" s="822"/>
      <c r="MPH30" s="822"/>
      <c r="MPI30" s="822"/>
      <c r="MPJ30" s="822"/>
      <c r="MPK30" s="822"/>
      <c r="MPL30" s="822"/>
      <c r="MPM30" s="822"/>
      <c r="MPN30" s="822"/>
      <c r="MPO30" s="822"/>
      <c r="MPP30" s="822"/>
      <c r="MPQ30" s="822"/>
      <c r="MPR30" s="822"/>
      <c r="MPS30" s="822"/>
      <c r="MPT30" s="822"/>
      <c r="MPU30" s="822"/>
      <c r="MPV30" s="822"/>
      <c r="MPW30" s="822"/>
      <c r="MPX30" s="822"/>
      <c r="MPY30" s="822"/>
      <c r="MPZ30" s="822"/>
      <c r="MQA30" s="822"/>
      <c r="MQB30" s="822"/>
      <c r="MQC30" s="822"/>
      <c r="MQD30" s="822"/>
      <c r="MQE30" s="822"/>
      <c r="MQF30" s="822"/>
      <c r="MQG30" s="822"/>
      <c r="MQH30" s="822"/>
      <c r="MQI30" s="822"/>
      <c r="MQJ30" s="822"/>
      <c r="MQK30" s="822"/>
      <c r="MQL30" s="822"/>
      <c r="MQM30" s="822"/>
      <c r="MQN30" s="822"/>
      <c r="MQO30" s="822"/>
      <c r="MQP30" s="822"/>
      <c r="MQQ30" s="822"/>
      <c r="MQR30" s="822"/>
      <c r="MQS30" s="822"/>
      <c r="MQT30" s="822"/>
      <c r="MQU30" s="822"/>
      <c r="MQV30" s="822"/>
      <c r="MQW30" s="822"/>
      <c r="MQX30" s="822"/>
      <c r="MQY30" s="822"/>
      <c r="MQZ30" s="822"/>
      <c r="MRA30" s="822"/>
      <c r="MRB30" s="822"/>
      <c r="MRC30" s="822"/>
      <c r="MRD30" s="822"/>
      <c r="MRE30" s="822"/>
      <c r="MRF30" s="822"/>
      <c r="MRG30" s="822"/>
      <c r="MRH30" s="822"/>
      <c r="MRI30" s="822"/>
      <c r="MRJ30" s="822"/>
      <c r="MRK30" s="822"/>
      <c r="MRL30" s="822"/>
      <c r="MRM30" s="822"/>
      <c r="MRN30" s="822"/>
      <c r="MRO30" s="822"/>
      <c r="MRP30" s="822"/>
      <c r="MRQ30" s="822"/>
      <c r="MRR30" s="822"/>
      <c r="MRS30" s="822"/>
      <c r="MRT30" s="822"/>
      <c r="MRU30" s="822"/>
      <c r="MRV30" s="822"/>
      <c r="MRW30" s="822"/>
      <c r="MRX30" s="822"/>
      <c r="MRY30" s="822"/>
      <c r="MRZ30" s="822"/>
      <c r="MSA30" s="822"/>
      <c r="MSB30" s="822"/>
      <c r="MSC30" s="822"/>
      <c r="MSD30" s="822"/>
      <c r="MSE30" s="822"/>
      <c r="MSF30" s="822"/>
      <c r="MSG30" s="822"/>
      <c r="MSH30" s="822"/>
      <c r="MSI30" s="822"/>
      <c r="MSJ30" s="822"/>
      <c r="MSK30" s="822"/>
      <c r="MSL30" s="822"/>
      <c r="MSM30" s="822"/>
      <c r="MSN30" s="822"/>
      <c r="MSO30" s="822"/>
      <c r="MSP30" s="822"/>
      <c r="MSQ30" s="822"/>
      <c r="MSR30" s="822"/>
      <c r="MSS30" s="822"/>
      <c r="MST30" s="822"/>
      <c r="MSU30" s="822"/>
      <c r="MSV30" s="822"/>
      <c r="MSW30" s="822"/>
      <c r="MSX30" s="822"/>
      <c r="MSY30" s="822"/>
      <c r="MSZ30" s="822"/>
      <c r="MTA30" s="822"/>
      <c r="MTB30" s="822"/>
      <c r="MTC30" s="822"/>
      <c r="MTD30" s="822"/>
      <c r="MTE30" s="822"/>
      <c r="MTF30" s="822"/>
      <c r="MTG30" s="822"/>
      <c r="MTH30" s="822"/>
      <c r="MTI30" s="822"/>
      <c r="MTJ30" s="822"/>
      <c r="MTK30" s="822"/>
      <c r="MTL30" s="822"/>
      <c r="MTM30" s="822"/>
      <c r="MTN30" s="822"/>
      <c r="MTO30" s="822"/>
      <c r="MTP30" s="822"/>
      <c r="MTQ30" s="822"/>
      <c r="MTR30" s="822"/>
      <c r="MTS30" s="822"/>
      <c r="MTT30" s="822"/>
      <c r="MTU30" s="822"/>
      <c r="MTV30" s="822"/>
      <c r="MTW30" s="822"/>
      <c r="MTX30" s="822"/>
      <c r="MTY30" s="822"/>
      <c r="MTZ30" s="822"/>
      <c r="MUA30" s="822"/>
      <c r="MUB30" s="822"/>
      <c r="MUC30" s="822"/>
      <c r="MUD30" s="822"/>
      <c r="MUE30" s="822"/>
      <c r="MUF30" s="822"/>
      <c r="MUG30" s="822"/>
      <c r="MUH30" s="822"/>
      <c r="MUI30" s="822"/>
      <c r="MUJ30" s="822"/>
      <c r="MUK30" s="822"/>
      <c r="MUL30" s="822"/>
      <c r="MUM30" s="822"/>
      <c r="MUN30" s="822"/>
      <c r="MUO30" s="822"/>
      <c r="MUP30" s="822"/>
      <c r="MUQ30" s="822"/>
      <c r="MUR30" s="822"/>
      <c r="MUS30" s="822"/>
      <c r="MUT30" s="822"/>
      <c r="MUU30" s="822"/>
      <c r="MUV30" s="822"/>
      <c r="MUW30" s="822"/>
      <c r="MUX30" s="822"/>
      <c r="MUY30" s="822"/>
      <c r="MUZ30" s="822"/>
      <c r="MVA30" s="822"/>
      <c r="MVB30" s="822"/>
      <c r="MVC30" s="822"/>
      <c r="MVD30" s="822"/>
      <c r="MVE30" s="822"/>
      <c r="MVF30" s="822"/>
      <c r="MVG30" s="822"/>
      <c r="MVH30" s="822"/>
      <c r="MVI30" s="822"/>
      <c r="MVJ30" s="822"/>
      <c r="MVK30" s="822"/>
      <c r="MVL30" s="822"/>
      <c r="MVM30" s="822"/>
      <c r="MVN30" s="822"/>
      <c r="MVO30" s="822"/>
      <c r="MVP30" s="822"/>
      <c r="MVQ30" s="822"/>
      <c r="MVR30" s="822"/>
      <c r="MVS30" s="822"/>
      <c r="MVT30" s="822"/>
      <c r="MVU30" s="822"/>
      <c r="MVV30" s="822"/>
      <c r="MVW30" s="822"/>
      <c r="MVX30" s="822"/>
      <c r="MVY30" s="822"/>
      <c r="MVZ30" s="822"/>
      <c r="MWA30" s="822"/>
      <c r="MWB30" s="822"/>
      <c r="MWC30" s="822"/>
      <c r="MWD30" s="822"/>
      <c r="MWE30" s="822"/>
      <c r="MWF30" s="822"/>
      <c r="MWG30" s="822"/>
      <c r="MWH30" s="822"/>
      <c r="MWI30" s="822"/>
      <c r="MWJ30" s="822"/>
      <c r="MWK30" s="822"/>
      <c r="MWL30" s="822"/>
      <c r="MWM30" s="822"/>
      <c r="MWN30" s="822"/>
      <c r="MWO30" s="822"/>
      <c r="MWP30" s="822"/>
      <c r="MWQ30" s="822"/>
      <c r="MWR30" s="822"/>
      <c r="MWS30" s="822"/>
      <c r="MWT30" s="822"/>
      <c r="MWU30" s="822"/>
      <c r="MWV30" s="822"/>
      <c r="MWW30" s="822"/>
      <c r="MWX30" s="822"/>
      <c r="MWY30" s="822"/>
      <c r="MWZ30" s="822"/>
      <c r="MXA30" s="822"/>
      <c r="MXB30" s="822"/>
      <c r="MXC30" s="822"/>
      <c r="MXD30" s="822"/>
      <c r="MXE30" s="822"/>
      <c r="MXF30" s="822"/>
      <c r="MXG30" s="822"/>
      <c r="MXH30" s="822"/>
      <c r="MXI30" s="822"/>
      <c r="MXJ30" s="822"/>
      <c r="MXK30" s="822"/>
      <c r="MXL30" s="822"/>
      <c r="MXM30" s="822"/>
      <c r="MXN30" s="822"/>
      <c r="MXO30" s="822"/>
      <c r="MXP30" s="822"/>
      <c r="MXQ30" s="822"/>
      <c r="MXR30" s="822"/>
      <c r="MXS30" s="822"/>
      <c r="MXT30" s="822"/>
      <c r="MXU30" s="822"/>
      <c r="MXV30" s="822"/>
      <c r="MXW30" s="822"/>
      <c r="MXX30" s="822"/>
      <c r="MXY30" s="822"/>
      <c r="MXZ30" s="822"/>
      <c r="MYA30" s="822"/>
      <c r="MYB30" s="822"/>
      <c r="MYC30" s="822"/>
      <c r="MYD30" s="822"/>
      <c r="MYE30" s="822"/>
      <c r="MYF30" s="822"/>
      <c r="MYG30" s="822"/>
      <c r="MYH30" s="822"/>
      <c r="MYI30" s="822"/>
      <c r="MYJ30" s="822"/>
      <c r="MYK30" s="822"/>
      <c r="MYL30" s="822"/>
      <c r="MYM30" s="822"/>
      <c r="MYN30" s="822"/>
      <c r="MYO30" s="822"/>
      <c r="MYP30" s="822"/>
      <c r="MYQ30" s="822"/>
      <c r="MYR30" s="822"/>
      <c r="MYS30" s="822"/>
      <c r="MYT30" s="822"/>
      <c r="MYU30" s="822"/>
      <c r="MYV30" s="822"/>
      <c r="MYW30" s="822"/>
      <c r="MYX30" s="822"/>
      <c r="MYY30" s="822"/>
      <c r="MYZ30" s="822"/>
      <c r="MZA30" s="822"/>
      <c r="MZB30" s="822"/>
      <c r="MZC30" s="822"/>
      <c r="MZD30" s="822"/>
      <c r="MZE30" s="822"/>
      <c r="MZF30" s="822"/>
      <c r="MZG30" s="822"/>
      <c r="MZH30" s="822"/>
      <c r="MZI30" s="822"/>
      <c r="MZJ30" s="822"/>
      <c r="MZK30" s="822"/>
      <c r="MZL30" s="822"/>
      <c r="MZM30" s="822"/>
      <c r="MZN30" s="822"/>
      <c r="MZO30" s="822"/>
      <c r="MZP30" s="822"/>
      <c r="MZQ30" s="822"/>
      <c r="MZR30" s="822"/>
      <c r="MZS30" s="822"/>
      <c r="MZT30" s="822"/>
      <c r="MZU30" s="822"/>
      <c r="MZV30" s="822"/>
      <c r="MZW30" s="822"/>
      <c r="MZX30" s="822"/>
      <c r="MZY30" s="822"/>
      <c r="MZZ30" s="822"/>
      <c r="NAA30" s="822"/>
      <c r="NAB30" s="822"/>
      <c r="NAC30" s="822"/>
      <c r="NAD30" s="822"/>
      <c r="NAE30" s="822"/>
      <c r="NAF30" s="822"/>
      <c r="NAG30" s="822"/>
      <c r="NAH30" s="822"/>
      <c r="NAI30" s="822"/>
      <c r="NAJ30" s="822"/>
      <c r="NAK30" s="822"/>
      <c r="NAL30" s="822"/>
      <c r="NAM30" s="822"/>
      <c r="NAN30" s="822"/>
      <c r="NAO30" s="822"/>
      <c r="NAP30" s="822"/>
      <c r="NAQ30" s="822"/>
      <c r="NAR30" s="822"/>
      <c r="NAS30" s="822"/>
      <c r="NAT30" s="822"/>
      <c r="NAU30" s="822"/>
      <c r="NAV30" s="822"/>
      <c r="NAW30" s="822"/>
      <c r="NAX30" s="822"/>
      <c r="NAY30" s="822"/>
      <c r="NAZ30" s="822"/>
      <c r="NBA30" s="822"/>
      <c r="NBB30" s="822"/>
      <c r="NBC30" s="822"/>
      <c r="NBD30" s="822"/>
      <c r="NBE30" s="822"/>
      <c r="NBF30" s="822"/>
      <c r="NBG30" s="822"/>
      <c r="NBH30" s="822"/>
      <c r="NBI30" s="822"/>
      <c r="NBJ30" s="822"/>
      <c r="NBK30" s="822"/>
      <c r="NBL30" s="822"/>
      <c r="NBM30" s="822"/>
      <c r="NBN30" s="822"/>
      <c r="NBO30" s="822"/>
      <c r="NBP30" s="822"/>
      <c r="NBQ30" s="822"/>
      <c r="NBR30" s="822"/>
      <c r="NBS30" s="822"/>
      <c r="NBT30" s="822"/>
      <c r="NBU30" s="822"/>
      <c r="NBV30" s="822"/>
      <c r="NBW30" s="822"/>
      <c r="NBX30" s="822"/>
      <c r="NBY30" s="822"/>
      <c r="NBZ30" s="822"/>
      <c r="NCA30" s="822"/>
      <c r="NCB30" s="822"/>
      <c r="NCC30" s="822"/>
      <c r="NCD30" s="822"/>
      <c r="NCE30" s="822"/>
      <c r="NCF30" s="822"/>
      <c r="NCG30" s="822"/>
      <c r="NCH30" s="822"/>
      <c r="NCI30" s="822"/>
      <c r="NCJ30" s="822"/>
      <c r="NCK30" s="822"/>
      <c r="NCL30" s="822"/>
      <c r="NCM30" s="822"/>
      <c r="NCN30" s="822"/>
      <c r="NCO30" s="822"/>
      <c r="NCP30" s="822"/>
      <c r="NCQ30" s="822"/>
      <c r="NCR30" s="822"/>
      <c r="NCS30" s="822"/>
      <c r="NCT30" s="822"/>
      <c r="NCU30" s="822"/>
      <c r="NCV30" s="822"/>
      <c r="NCW30" s="822"/>
      <c r="NCX30" s="822"/>
      <c r="NCY30" s="822"/>
      <c r="NCZ30" s="822"/>
      <c r="NDA30" s="822"/>
      <c r="NDB30" s="822"/>
      <c r="NDC30" s="822"/>
      <c r="NDD30" s="822"/>
      <c r="NDE30" s="822"/>
      <c r="NDF30" s="822"/>
      <c r="NDG30" s="822"/>
      <c r="NDH30" s="822"/>
      <c r="NDI30" s="822"/>
      <c r="NDJ30" s="822"/>
      <c r="NDK30" s="822"/>
      <c r="NDL30" s="822"/>
      <c r="NDM30" s="822"/>
      <c r="NDN30" s="822"/>
      <c r="NDO30" s="822"/>
      <c r="NDP30" s="822"/>
      <c r="NDQ30" s="822"/>
      <c r="NDR30" s="822"/>
      <c r="NDS30" s="822"/>
      <c r="NDT30" s="822"/>
      <c r="NDU30" s="822"/>
      <c r="NDV30" s="822"/>
      <c r="NDW30" s="822"/>
      <c r="NDX30" s="822"/>
      <c r="NDY30" s="822"/>
      <c r="NDZ30" s="822"/>
      <c r="NEA30" s="822"/>
      <c r="NEB30" s="822"/>
      <c r="NEC30" s="822"/>
      <c r="NED30" s="822"/>
      <c r="NEE30" s="822"/>
      <c r="NEF30" s="822"/>
      <c r="NEG30" s="822"/>
      <c r="NEH30" s="822"/>
      <c r="NEI30" s="822"/>
      <c r="NEJ30" s="822"/>
      <c r="NEK30" s="822"/>
      <c r="NEL30" s="822"/>
      <c r="NEM30" s="822"/>
      <c r="NEN30" s="822"/>
      <c r="NEO30" s="822"/>
      <c r="NEP30" s="822"/>
      <c r="NEQ30" s="822"/>
      <c r="NER30" s="822"/>
      <c r="NES30" s="822"/>
      <c r="NET30" s="822"/>
      <c r="NEU30" s="822"/>
      <c r="NEV30" s="822"/>
      <c r="NEW30" s="822"/>
      <c r="NEX30" s="822"/>
      <c r="NEY30" s="822"/>
      <c r="NEZ30" s="822"/>
      <c r="NFA30" s="822"/>
      <c r="NFB30" s="822"/>
      <c r="NFC30" s="822"/>
      <c r="NFD30" s="822"/>
      <c r="NFE30" s="822"/>
      <c r="NFF30" s="822"/>
      <c r="NFG30" s="822"/>
      <c r="NFH30" s="822"/>
      <c r="NFI30" s="822"/>
      <c r="NFJ30" s="822"/>
      <c r="NFK30" s="822"/>
      <c r="NFL30" s="822"/>
      <c r="NFM30" s="822"/>
      <c r="NFN30" s="822"/>
      <c r="NFO30" s="822"/>
      <c r="NFP30" s="822"/>
      <c r="NFQ30" s="822"/>
      <c r="NFR30" s="822"/>
      <c r="NFS30" s="822"/>
      <c r="NFT30" s="822"/>
      <c r="NFU30" s="822"/>
      <c r="NFV30" s="822"/>
      <c r="NFW30" s="822"/>
      <c r="NFX30" s="822"/>
      <c r="NFY30" s="822"/>
      <c r="NFZ30" s="822"/>
      <c r="NGA30" s="822"/>
      <c r="NGB30" s="822"/>
      <c r="NGC30" s="822"/>
      <c r="NGD30" s="822"/>
      <c r="NGE30" s="822"/>
      <c r="NGF30" s="822"/>
      <c r="NGG30" s="822"/>
      <c r="NGH30" s="822"/>
      <c r="NGI30" s="822"/>
      <c r="NGJ30" s="822"/>
      <c r="NGK30" s="822"/>
      <c r="NGL30" s="822"/>
      <c r="NGM30" s="822"/>
      <c r="NGN30" s="822"/>
      <c r="NGO30" s="822"/>
      <c r="NGP30" s="822"/>
      <c r="NGQ30" s="822"/>
      <c r="NGR30" s="822"/>
      <c r="NGS30" s="822"/>
      <c r="NGT30" s="822"/>
      <c r="NGU30" s="822"/>
      <c r="NGV30" s="822"/>
      <c r="NGW30" s="822"/>
      <c r="NGX30" s="822"/>
      <c r="NGY30" s="822"/>
      <c r="NGZ30" s="822"/>
      <c r="NHA30" s="822"/>
      <c r="NHB30" s="822"/>
      <c r="NHC30" s="822"/>
      <c r="NHD30" s="822"/>
      <c r="NHE30" s="822"/>
      <c r="NHF30" s="822"/>
      <c r="NHG30" s="822"/>
      <c r="NHH30" s="822"/>
      <c r="NHI30" s="822"/>
      <c r="NHJ30" s="822"/>
      <c r="NHK30" s="822"/>
      <c r="NHL30" s="822"/>
      <c r="NHM30" s="822"/>
      <c r="NHN30" s="822"/>
      <c r="NHO30" s="822"/>
      <c r="NHP30" s="822"/>
      <c r="NHQ30" s="822"/>
      <c r="NHR30" s="822"/>
      <c r="NHS30" s="822"/>
      <c r="NHT30" s="822"/>
      <c r="NHU30" s="822"/>
      <c r="NHV30" s="822"/>
      <c r="NHW30" s="822"/>
      <c r="NHX30" s="822"/>
      <c r="NHY30" s="822"/>
      <c r="NHZ30" s="822"/>
      <c r="NIA30" s="822"/>
      <c r="NIB30" s="822"/>
      <c r="NIC30" s="822"/>
      <c r="NID30" s="822"/>
      <c r="NIE30" s="822"/>
      <c r="NIF30" s="822"/>
      <c r="NIG30" s="822"/>
      <c r="NIH30" s="822"/>
      <c r="NII30" s="822"/>
      <c r="NIJ30" s="822"/>
      <c r="NIK30" s="822"/>
      <c r="NIL30" s="822"/>
      <c r="NIM30" s="822"/>
      <c r="NIN30" s="822"/>
      <c r="NIO30" s="822"/>
      <c r="NIP30" s="822"/>
      <c r="NIQ30" s="822"/>
      <c r="NIR30" s="822"/>
      <c r="NIS30" s="822"/>
      <c r="NIT30" s="822"/>
      <c r="NIU30" s="822"/>
      <c r="NIV30" s="822"/>
      <c r="NIW30" s="822"/>
      <c r="NIX30" s="822"/>
      <c r="NIY30" s="822"/>
      <c r="NIZ30" s="822"/>
      <c r="NJA30" s="822"/>
      <c r="NJB30" s="822"/>
      <c r="NJC30" s="822"/>
      <c r="NJD30" s="822"/>
      <c r="NJE30" s="822"/>
      <c r="NJF30" s="822"/>
      <c r="NJG30" s="822"/>
      <c r="NJH30" s="822"/>
      <c r="NJI30" s="822"/>
      <c r="NJJ30" s="822"/>
      <c r="NJK30" s="822"/>
      <c r="NJL30" s="822"/>
      <c r="NJM30" s="822"/>
      <c r="NJN30" s="822"/>
      <c r="NJO30" s="822"/>
      <c r="NJP30" s="822"/>
      <c r="NJQ30" s="822"/>
      <c r="NJR30" s="822"/>
      <c r="NJS30" s="822"/>
      <c r="NJT30" s="822"/>
      <c r="NJU30" s="822"/>
      <c r="NJV30" s="822"/>
      <c r="NJW30" s="822"/>
      <c r="NJX30" s="822"/>
      <c r="NJY30" s="822"/>
      <c r="NJZ30" s="822"/>
      <c r="NKA30" s="822"/>
      <c r="NKB30" s="822"/>
      <c r="NKC30" s="822"/>
      <c r="NKD30" s="822"/>
      <c r="NKE30" s="822"/>
      <c r="NKF30" s="822"/>
      <c r="NKG30" s="822"/>
      <c r="NKH30" s="822"/>
      <c r="NKI30" s="822"/>
      <c r="NKJ30" s="822"/>
      <c r="NKK30" s="822"/>
      <c r="NKL30" s="822"/>
      <c r="NKM30" s="822"/>
      <c r="NKN30" s="822"/>
      <c r="NKO30" s="822"/>
      <c r="NKP30" s="822"/>
      <c r="NKQ30" s="822"/>
      <c r="NKR30" s="822"/>
      <c r="NKS30" s="822"/>
      <c r="NKT30" s="822"/>
      <c r="NKU30" s="822"/>
      <c r="NKV30" s="822"/>
      <c r="NKW30" s="822"/>
      <c r="NKX30" s="822"/>
      <c r="NKY30" s="822"/>
      <c r="NKZ30" s="822"/>
      <c r="NLA30" s="822"/>
      <c r="NLB30" s="822"/>
      <c r="NLC30" s="822"/>
      <c r="NLD30" s="822"/>
      <c r="NLE30" s="822"/>
      <c r="NLF30" s="822"/>
      <c r="NLG30" s="822"/>
      <c r="NLH30" s="822"/>
      <c r="NLI30" s="822"/>
      <c r="NLJ30" s="822"/>
      <c r="NLK30" s="822"/>
      <c r="NLL30" s="822"/>
      <c r="NLM30" s="822"/>
      <c r="NLN30" s="822"/>
      <c r="NLO30" s="822"/>
      <c r="NLP30" s="822"/>
      <c r="NLQ30" s="822"/>
      <c r="NLR30" s="822"/>
      <c r="NLS30" s="822"/>
      <c r="NLT30" s="822"/>
      <c r="NLU30" s="822"/>
      <c r="NLV30" s="822"/>
      <c r="NLW30" s="822"/>
      <c r="NLX30" s="822"/>
      <c r="NLY30" s="822"/>
      <c r="NLZ30" s="822"/>
      <c r="NMA30" s="822"/>
      <c r="NMB30" s="822"/>
      <c r="NMC30" s="822"/>
      <c r="NMD30" s="822"/>
      <c r="NME30" s="822"/>
      <c r="NMF30" s="822"/>
      <c r="NMG30" s="822"/>
      <c r="NMH30" s="822"/>
      <c r="NMI30" s="822"/>
      <c r="NMJ30" s="822"/>
      <c r="NMK30" s="822"/>
      <c r="NML30" s="822"/>
      <c r="NMM30" s="822"/>
      <c r="NMN30" s="822"/>
      <c r="NMO30" s="822"/>
      <c r="NMP30" s="822"/>
      <c r="NMQ30" s="822"/>
      <c r="NMR30" s="822"/>
      <c r="NMS30" s="822"/>
      <c r="NMT30" s="822"/>
      <c r="NMU30" s="822"/>
      <c r="NMV30" s="822"/>
      <c r="NMW30" s="822"/>
      <c r="NMX30" s="822"/>
      <c r="NMY30" s="822"/>
      <c r="NMZ30" s="822"/>
      <c r="NNA30" s="822"/>
      <c r="NNB30" s="822"/>
      <c r="NNC30" s="822"/>
      <c r="NND30" s="822"/>
      <c r="NNE30" s="822"/>
      <c r="NNF30" s="822"/>
      <c r="NNG30" s="822"/>
      <c r="NNH30" s="822"/>
      <c r="NNI30" s="822"/>
      <c r="NNJ30" s="822"/>
      <c r="NNK30" s="822"/>
      <c r="NNL30" s="822"/>
      <c r="NNM30" s="822"/>
      <c r="NNN30" s="822"/>
      <c r="NNO30" s="822"/>
      <c r="NNP30" s="822"/>
      <c r="NNQ30" s="822"/>
      <c r="NNR30" s="822"/>
      <c r="NNS30" s="822"/>
      <c r="NNT30" s="822"/>
      <c r="NNU30" s="822"/>
      <c r="NNV30" s="822"/>
      <c r="NNW30" s="822"/>
      <c r="NNX30" s="822"/>
      <c r="NNY30" s="822"/>
      <c r="NNZ30" s="822"/>
      <c r="NOA30" s="822"/>
      <c r="NOB30" s="822"/>
      <c r="NOC30" s="822"/>
      <c r="NOD30" s="822"/>
      <c r="NOE30" s="822"/>
      <c r="NOF30" s="822"/>
      <c r="NOG30" s="822"/>
      <c r="NOH30" s="822"/>
      <c r="NOI30" s="822"/>
      <c r="NOJ30" s="822"/>
      <c r="NOK30" s="822"/>
      <c r="NOL30" s="822"/>
      <c r="NOM30" s="822"/>
      <c r="NON30" s="822"/>
      <c r="NOO30" s="822"/>
      <c r="NOP30" s="822"/>
      <c r="NOQ30" s="822"/>
      <c r="NOR30" s="822"/>
      <c r="NOS30" s="822"/>
      <c r="NOT30" s="822"/>
      <c r="NOU30" s="822"/>
      <c r="NOV30" s="822"/>
      <c r="NOW30" s="822"/>
      <c r="NOX30" s="822"/>
      <c r="NOY30" s="822"/>
      <c r="NOZ30" s="822"/>
      <c r="NPA30" s="822"/>
      <c r="NPB30" s="822"/>
      <c r="NPC30" s="822"/>
      <c r="NPD30" s="822"/>
      <c r="NPE30" s="822"/>
      <c r="NPF30" s="822"/>
      <c r="NPG30" s="822"/>
      <c r="NPH30" s="822"/>
      <c r="NPI30" s="822"/>
      <c r="NPJ30" s="822"/>
      <c r="NPK30" s="822"/>
      <c r="NPL30" s="822"/>
      <c r="NPM30" s="822"/>
      <c r="NPN30" s="822"/>
      <c r="NPO30" s="822"/>
      <c r="NPP30" s="822"/>
      <c r="NPQ30" s="822"/>
      <c r="NPR30" s="822"/>
      <c r="NPS30" s="822"/>
      <c r="NPT30" s="822"/>
      <c r="NPU30" s="822"/>
      <c r="NPV30" s="822"/>
      <c r="NPW30" s="822"/>
      <c r="NPX30" s="822"/>
      <c r="NPY30" s="822"/>
      <c r="NPZ30" s="822"/>
      <c r="NQA30" s="822"/>
      <c r="NQB30" s="822"/>
      <c r="NQC30" s="822"/>
      <c r="NQD30" s="822"/>
      <c r="NQE30" s="822"/>
      <c r="NQF30" s="822"/>
      <c r="NQG30" s="822"/>
      <c r="NQH30" s="822"/>
      <c r="NQI30" s="822"/>
      <c r="NQJ30" s="822"/>
      <c r="NQK30" s="822"/>
      <c r="NQL30" s="822"/>
      <c r="NQM30" s="822"/>
      <c r="NQN30" s="822"/>
      <c r="NQO30" s="822"/>
      <c r="NQP30" s="822"/>
      <c r="NQQ30" s="822"/>
      <c r="NQR30" s="822"/>
      <c r="NQS30" s="822"/>
      <c r="NQT30" s="822"/>
      <c r="NQU30" s="822"/>
      <c r="NQV30" s="822"/>
      <c r="NQW30" s="822"/>
      <c r="NQX30" s="822"/>
      <c r="NQY30" s="822"/>
      <c r="NQZ30" s="822"/>
      <c r="NRA30" s="822"/>
      <c r="NRB30" s="822"/>
      <c r="NRC30" s="822"/>
      <c r="NRD30" s="822"/>
      <c r="NRE30" s="822"/>
      <c r="NRF30" s="822"/>
      <c r="NRG30" s="822"/>
      <c r="NRH30" s="822"/>
      <c r="NRI30" s="822"/>
      <c r="NRJ30" s="822"/>
      <c r="NRK30" s="822"/>
      <c r="NRL30" s="822"/>
      <c r="NRM30" s="822"/>
      <c r="NRN30" s="822"/>
      <c r="NRO30" s="822"/>
      <c r="NRP30" s="822"/>
      <c r="NRQ30" s="822"/>
      <c r="NRR30" s="822"/>
      <c r="NRS30" s="822"/>
      <c r="NRT30" s="822"/>
      <c r="NRU30" s="822"/>
      <c r="NRV30" s="822"/>
      <c r="NRW30" s="822"/>
      <c r="NRX30" s="822"/>
      <c r="NRY30" s="822"/>
      <c r="NRZ30" s="822"/>
      <c r="NSA30" s="822"/>
      <c r="NSB30" s="822"/>
      <c r="NSC30" s="822"/>
      <c r="NSD30" s="822"/>
      <c r="NSE30" s="822"/>
      <c r="NSF30" s="822"/>
      <c r="NSG30" s="822"/>
      <c r="NSH30" s="822"/>
      <c r="NSI30" s="822"/>
      <c r="NSJ30" s="822"/>
      <c r="NSK30" s="822"/>
      <c r="NSL30" s="822"/>
      <c r="NSM30" s="822"/>
      <c r="NSN30" s="822"/>
      <c r="NSO30" s="822"/>
      <c r="NSP30" s="822"/>
      <c r="NSQ30" s="822"/>
      <c r="NSR30" s="822"/>
      <c r="NSS30" s="822"/>
      <c r="NST30" s="822"/>
      <c r="NSU30" s="822"/>
      <c r="NSV30" s="822"/>
      <c r="NSW30" s="822"/>
      <c r="NSX30" s="822"/>
      <c r="NSY30" s="822"/>
      <c r="NSZ30" s="822"/>
      <c r="NTA30" s="822"/>
      <c r="NTB30" s="822"/>
      <c r="NTC30" s="822"/>
      <c r="NTD30" s="822"/>
      <c r="NTE30" s="822"/>
      <c r="NTF30" s="822"/>
      <c r="NTG30" s="822"/>
      <c r="NTH30" s="822"/>
      <c r="NTI30" s="822"/>
      <c r="NTJ30" s="822"/>
      <c r="NTK30" s="822"/>
      <c r="NTL30" s="822"/>
      <c r="NTM30" s="822"/>
      <c r="NTN30" s="822"/>
      <c r="NTO30" s="822"/>
      <c r="NTP30" s="822"/>
      <c r="NTQ30" s="822"/>
      <c r="NTR30" s="822"/>
      <c r="NTS30" s="822"/>
      <c r="NTT30" s="822"/>
      <c r="NTU30" s="822"/>
      <c r="NTV30" s="822"/>
      <c r="NTW30" s="822"/>
      <c r="NTX30" s="822"/>
      <c r="NTY30" s="822"/>
      <c r="NTZ30" s="822"/>
      <c r="NUA30" s="822"/>
      <c r="NUB30" s="822"/>
      <c r="NUC30" s="822"/>
      <c r="NUD30" s="822"/>
      <c r="NUE30" s="822"/>
      <c r="NUF30" s="822"/>
      <c r="NUG30" s="822"/>
      <c r="NUH30" s="822"/>
      <c r="NUI30" s="822"/>
      <c r="NUJ30" s="822"/>
      <c r="NUK30" s="822"/>
      <c r="NUL30" s="822"/>
      <c r="NUM30" s="822"/>
      <c r="NUN30" s="822"/>
      <c r="NUO30" s="822"/>
      <c r="NUP30" s="822"/>
      <c r="NUQ30" s="822"/>
      <c r="NUR30" s="822"/>
      <c r="NUS30" s="822"/>
      <c r="NUT30" s="822"/>
      <c r="NUU30" s="822"/>
      <c r="NUV30" s="822"/>
      <c r="NUW30" s="822"/>
      <c r="NUX30" s="822"/>
      <c r="NUY30" s="822"/>
      <c r="NUZ30" s="822"/>
      <c r="NVA30" s="822"/>
      <c r="NVB30" s="822"/>
      <c r="NVC30" s="822"/>
      <c r="NVD30" s="822"/>
      <c r="NVE30" s="822"/>
      <c r="NVF30" s="822"/>
      <c r="NVG30" s="822"/>
      <c r="NVH30" s="822"/>
      <c r="NVI30" s="822"/>
      <c r="NVJ30" s="822"/>
      <c r="NVK30" s="822"/>
      <c r="NVL30" s="822"/>
      <c r="NVM30" s="822"/>
      <c r="NVN30" s="822"/>
      <c r="NVO30" s="822"/>
      <c r="NVP30" s="822"/>
      <c r="NVQ30" s="822"/>
      <c r="NVR30" s="822"/>
      <c r="NVS30" s="822"/>
      <c r="NVT30" s="822"/>
      <c r="NVU30" s="822"/>
      <c r="NVV30" s="822"/>
      <c r="NVW30" s="822"/>
      <c r="NVX30" s="822"/>
      <c r="NVY30" s="822"/>
      <c r="NVZ30" s="822"/>
      <c r="NWA30" s="822"/>
      <c r="NWB30" s="822"/>
      <c r="NWC30" s="822"/>
      <c r="NWD30" s="822"/>
      <c r="NWE30" s="822"/>
      <c r="NWF30" s="822"/>
      <c r="NWG30" s="822"/>
      <c r="NWH30" s="822"/>
      <c r="NWI30" s="822"/>
      <c r="NWJ30" s="822"/>
      <c r="NWK30" s="822"/>
      <c r="NWL30" s="822"/>
      <c r="NWM30" s="822"/>
      <c r="NWN30" s="822"/>
      <c r="NWO30" s="822"/>
      <c r="NWP30" s="822"/>
      <c r="NWQ30" s="822"/>
      <c r="NWR30" s="822"/>
      <c r="NWS30" s="822"/>
      <c r="NWT30" s="822"/>
      <c r="NWU30" s="822"/>
      <c r="NWV30" s="822"/>
      <c r="NWW30" s="822"/>
      <c r="NWX30" s="822"/>
      <c r="NWY30" s="822"/>
      <c r="NWZ30" s="822"/>
      <c r="NXA30" s="822"/>
      <c r="NXB30" s="822"/>
      <c r="NXC30" s="822"/>
      <c r="NXD30" s="822"/>
      <c r="NXE30" s="822"/>
      <c r="NXF30" s="822"/>
      <c r="NXG30" s="822"/>
      <c r="NXH30" s="822"/>
      <c r="NXI30" s="822"/>
      <c r="NXJ30" s="822"/>
      <c r="NXK30" s="822"/>
      <c r="NXL30" s="822"/>
      <c r="NXM30" s="822"/>
      <c r="NXN30" s="822"/>
      <c r="NXO30" s="822"/>
      <c r="NXP30" s="822"/>
      <c r="NXQ30" s="822"/>
      <c r="NXR30" s="822"/>
      <c r="NXS30" s="822"/>
      <c r="NXT30" s="822"/>
      <c r="NXU30" s="822"/>
      <c r="NXV30" s="822"/>
      <c r="NXW30" s="822"/>
      <c r="NXX30" s="822"/>
      <c r="NXY30" s="822"/>
      <c r="NXZ30" s="822"/>
      <c r="NYA30" s="822"/>
      <c r="NYB30" s="822"/>
      <c r="NYC30" s="822"/>
      <c r="NYD30" s="822"/>
      <c r="NYE30" s="822"/>
      <c r="NYF30" s="822"/>
      <c r="NYG30" s="822"/>
      <c r="NYH30" s="822"/>
      <c r="NYI30" s="822"/>
      <c r="NYJ30" s="822"/>
      <c r="NYK30" s="822"/>
      <c r="NYL30" s="822"/>
      <c r="NYM30" s="822"/>
      <c r="NYN30" s="822"/>
      <c r="NYO30" s="822"/>
      <c r="NYP30" s="822"/>
      <c r="NYQ30" s="822"/>
      <c r="NYR30" s="822"/>
      <c r="NYS30" s="822"/>
      <c r="NYT30" s="822"/>
      <c r="NYU30" s="822"/>
      <c r="NYV30" s="822"/>
      <c r="NYW30" s="822"/>
      <c r="NYX30" s="822"/>
      <c r="NYY30" s="822"/>
      <c r="NYZ30" s="822"/>
      <c r="NZA30" s="822"/>
      <c r="NZB30" s="822"/>
      <c r="NZC30" s="822"/>
      <c r="NZD30" s="822"/>
      <c r="NZE30" s="822"/>
      <c r="NZF30" s="822"/>
      <c r="NZG30" s="822"/>
      <c r="NZH30" s="822"/>
      <c r="NZI30" s="822"/>
      <c r="NZJ30" s="822"/>
      <c r="NZK30" s="822"/>
      <c r="NZL30" s="822"/>
      <c r="NZM30" s="822"/>
      <c r="NZN30" s="822"/>
      <c r="NZO30" s="822"/>
      <c r="NZP30" s="822"/>
      <c r="NZQ30" s="822"/>
      <c r="NZR30" s="822"/>
      <c r="NZS30" s="822"/>
      <c r="NZT30" s="822"/>
      <c r="NZU30" s="822"/>
      <c r="NZV30" s="822"/>
      <c r="NZW30" s="822"/>
      <c r="NZX30" s="822"/>
      <c r="NZY30" s="822"/>
      <c r="NZZ30" s="822"/>
      <c r="OAA30" s="822"/>
      <c r="OAB30" s="822"/>
      <c r="OAC30" s="822"/>
      <c r="OAD30" s="822"/>
      <c r="OAE30" s="822"/>
      <c r="OAF30" s="822"/>
      <c r="OAG30" s="822"/>
      <c r="OAH30" s="822"/>
      <c r="OAI30" s="822"/>
      <c r="OAJ30" s="822"/>
      <c r="OAK30" s="822"/>
      <c r="OAL30" s="822"/>
      <c r="OAM30" s="822"/>
      <c r="OAN30" s="822"/>
      <c r="OAO30" s="822"/>
      <c r="OAP30" s="822"/>
      <c r="OAQ30" s="822"/>
      <c r="OAR30" s="822"/>
      <c r="OAS30" s="822"/>
      <c r="OAT30" s="822"/>
      <c r="OAU30" s="822"/>
      <c r="OAV30" s="822"/>
      <c r="OAW30" s="822"/>
      <c r="OAX30" s="822"/>
      <c r="OAY30" s="822"/>
      <c r="OAZ30" s="822"/>
      <c r="OBA30" s="822"/>
      <c r="OBB30" s="822"/>
      <c r="OBC30" s="822"/>
      <c r="OBD30" s="822"/>
      <c r="OBE30" s="822"/>
      <c r="OBF30" s="822"/>
      <c r="OBG30" s="822"/>
      <c r="OBH30" s="822"/>
      <c r="OBI30" s="822"/>
      <c r="OBJ30" s="822"/>
      <c r="OBK30" s="822"/>
      <c r="OBL30" s="822"/>
      <c r="OBM30" s="822"/>
      <c r="OBN30" s="822"/>
      <c r="OBO30" s="822"/>
      <c r="OBP30" s="822"/>
      <c r="OBQ30" s="822"/>
      <c r="OBR30" s="822"/>
      <c r="OBS30" s="822"/>
      <c r="OBT30" s="822"/>
      <c r="OBU30" s="822"/>
      <c r="OBV30" s="822"/>
      <c r="OBW30" s="822"/>
      <c r="OBX30" s="822"/>
      <c r="OBY30" s="822"/>
      <c r="OBZ30" s="822"/>
      <c r="OCA30" s="822"/>
      <c r="OCB30" s="822"/>
      <c r="OCC30" s="822"/>
      <c r="OCD30" s="822"/>
      <c r="OCE30" s="822"/>
      <c r="OCF30" s="822"/>
      <c r="OCG30" s="822"/>
      <c r="OCH30" s="822"/>
      <c r="OCI30" s="822"/>
      <c r="OCJ30" s="822"/>
      <c r="OCK30" s="822"/>
      <c r="OCL30" s="822"/>
      <c r="OCM30" s="822"/>
      <c r="OCN30" s="822"/>
      <c r="OCO30" s="822"/>
      <c r="OCP30" s="822"/>
      <c r="OCQ30" s="822"/>
      <c r="OCR30" s="822"/>
      <c r="OCS30" s="822"/>
      <c r="OCT30" s="822"/>
      <c r="OCU30" s="822"/>
      <c r="OCV30" s="822"/>
      <c r="OCW30" s="822"/>
      <c r="OCX30" s="822"/>
      <c r="OCY30" s="822"/>
      <c r="OCZ30" s="822"/>
      <c r="ODA30" s="822"/>
      <c r="ODB30" s="822"/>
      <c r="ODC30" s="822"/>
      <c r="ODD30" s="822"/>
      <c r="ODE30" s="822"/>
      <c r="ODF30" s="822"/>
      <c r="ODG30" s="822"/>
      <c r="ODH30" s="822"/>
      <c r="ODI30" s="822"/>
      <c r="ODJ30" s="822"/>
      <c r="ODK30" s="822"/>
      <c r="ODL30" s="822"/>
      <c r="ODM30" s="822"/>
      <c r="ODN30" s="822"/>
      <c r="ODO30" s="822"/>
      <c r="ODP30" s="822"/>
      <c r="ODQ30" s="822"/>
      <c r="ODR30" s="822"/>
      <c r="ODS30" s="822"/>
      <c r="ODT30" s="822"/>
      <c r="ODU30" s="822"/>
      <c r="ODV30" s="822"/>
      <c r="ODW30" s="822"/>
      <c r="ODX30" s="822"/>
      <c r="ODY30" s="822"/>
      <c r="ODZ30" s="822"/>
      <c r="OEA30" s="822"/>
      <c r="OEB30" s="822"/>
      <c r="OEC30" s="822"/>
      <c r="OED30" s="822"/>
      <c r="OEE30" s="822"/>
      <c r="OEF30" s="822"/>
      <c r="OEG30" s="822"/>
      <c r="OEH30" s="822"/>
      <c r="OEI30" s="822"/>
      <c r="OEJ30" s="822"/>
      <c r="OEK30" s="822"/>
      <c r="OEL30" s="822"/>
      <c r="OEM30" s="822"/>
      <c r="OEN30" s="822"/>
      <c r="OEO30" s="822"/>
      <c r="OEP30" s="822"/>
      <c r="OEQ30" s="822"/>
      <c r="OER30" s="822"/>
      <c r="OES30" s="822"/>
      <c r="OET30" s="822"/>
      <c r="OEU30" s="822"/>
      <c r="OEV30" s="822"/>
      <c r="OEW30" s="822"/>
      <c r="OEX30" s="822"/>
      <c r="OEY30" s="822"/>
      <c r="OEZ30" s="822"/>
      <c r="OFA30" s="822"/>
      <c r="OFB30" s="822"/>
      <c r="OFC30" s="822"/>
      <c r="OFD30" s="822"/>
      <c r="OFE30" s="822"/>
      <c r="OFF30" s="822"/>
      <c r="OFG30" s="822"/>
      <c r="OFH30" s="822"/>
      <c r="OFI30" s="822"/>
      <c r="OFJ30" s="822"/>
      <c r="OFK30" s="822"/>
      <c r="OFL30" s="822"/>
      <c r="OFM30" s="822"/>
      <c r="OFN30" s="822"/>
      <c r="OFO30" s="822"/>
      <c r="OFP30" s="822"/>
      <c r="OFQ30" s="822"/>
      <c r="OFR30" s="822"/>
      <c r="OFS30" s="822"/>
      <c r="OFT30" s="822"/>
      <c r="OFU30" s="822"/>
      <c r="OFV30" s="822"/>
      <c r="OFW30" s="822"/>
      <c r="OFX30" s="822"/>
      <c r="OFY30" s="822"/>
      <c r="OFZ30" s="822"/>
      <c r="OGA30" s="822"/>
      <c r="OGB30" s="822"/>
      <c r="OGC30" s="822"/>
      <c r="OGD30" s="822"/>
      <c r="OGE30" s="822"/>
      <c r="OGF30" s="822"/>
      <c r="OGG30" s="822"/>
      <c r="OGH30" s="822"/>
      <c r="OGI30" s="822"/>
      <c r="OGJ30" s="822"/>
      <c r="OGK30" s="822"/>
      <c r="OGL30" s="822"/>
      <c r="OGM30" s="822"/>
      <c r="OGN30" s="822"/>
      <c r="OGO30" s="822"/>
      <c r="OGP30" s="822"/>
      <c r="OGQ30" s="822"/>
      <c r="OGR30" s="822"/>
      <c r="OGS30" s="822"/>
      <c r="OGT30" s="822"/>
      <c r="OGU30" s="822"/>
      <c r="OGV30" s="822"/>
      <c r="OGW30" s="822"/>
      <c r="OGX30" s="822"/>
      <c r="OGY30" s="822"/>
      <c r="OGZ30" s="822"/>
      <c r="OHA30" s="822"/>
      <c r="OHB30" s="822"/>
      <c r="OHC30" s="822"/>
      <c r="OHD30" s="822"/>
      <c r="OHE30" s="822"/>
      <c r="OHF30" s="822"/>
      <c r="OHG30" s="822"/>
      <c r="OHH30" s="822"/>
      <c r="OHI30" s="822"/>
      <c r="OHJ30" s="822"/>
      <c r="OHK30" s="822"/>
      <c r="OHL30" s="822"/>
      <c r="OHM30" s="822"/>
      <c r="OHN30" s="822"/>
      <c r="OHO30" s="822"/>
      <c r="OHP30" s="822"/>
      <c r="OHQ30" s="822"/>
      <c r="OHR30" s="822"/>
      <c r="OHS30" s="822"/>
      <c r="OHT30" s="822"/>
      <c r="OHU30" s="822"/>
      <c r="OHV30" s="822"/>
      <c r="OHW30" s="822"/>
      <c r="OHX30" s="822"/>
      <c r="OHY30" s="822"/>
      <c r="OHZ30" s="822"/>
      <c r="OIA30" s="822"/>
      <c r="OIB30" s="822"/>
      <c r="OIC30" s="822"/>
      <c r="OID30" s="822"/>
      <c r="OIE30" s="822"/>
      <c r="OIF30" s="822"/>
      <c r="OIG30" s="822"/>
      <c r="OIH30" s="822"/>
      <c r="OII30" s="822"/>
      <c r="OIJ30" s="822"/>
      <c r="OIK30" s="822"/>
      <c r="OIL30" s="822"/>
      <c r="OIM30" s="822"/>
      <c r="OIN30" s="822"/>
      <c r="OIO30" s="822"/>
      <c r="OIP30" s="822"/>
      <c r="OIQ30" s="822"/>
      <c r="OIR30" s="822"/>
      <c r="OIS30" s="822"/>
      <c r="OIT30" s="822"/>
      <c r="OIU30" s="822"/>
      <c r="OIV30" s="822"/>
      <c r="OIW30" s="822"/>
      <c r="OIX30" s="822"/>
      <c r="OIY30" s="822"/>
      <c r="OIZ30" s="822"/>
      <c r="OJA30" s="822"/>
      <c r="OJB30" s="822"/>
      <c r="OJC30" s="822"/>
      <c r="OJD30" s="822"/>
      <c r="OJE30" s="822"/>
      <c r="OJF30" s="822"/>
      <c r="OJG30" s="822"/>
      <c r="OJH30" s="822"/>
      <c r="OJI30" s="822"/>
      <c r="OJJ30" s="822"/>
      <c r="OJK30" s="822"/>
      <c r="OJL30" s="822"/>
      <c r="OJM30" s="822"/>
      <c r="OJN30" s="822"/>
      <c r="OJO30" s="822"/>
      <c r="OJP30" s="822"/>
      <c r="OJQ30" s="822"/>
      <c r="OJR30" s="822"/>
      <c r="OJS30" s="822"/>
      <c r="OJT30" s="822"/>
      <c r="OJU30" s="822"/>
      <c r="OJV30" s="822"/>
      <c r="OJW30" s="822"/>
      <c r="OJX30" s="822"/>
      <c r="OJY30" s="822"/>
      <c r="OJZ30" s="822"/>
      <c r="OKA30" s="822"/>
      <c r="OKB30" s="822"/>
      <c r="OKC30" s="822"/>
      <c r="OKD30" s="822"/>
      <c r="OKE30" s="822"/>
      <c r="OKF30" s="822"/>
      <c r="OKG30" s="822"/>
      <c r="OKH30" s="822"/>
      <c r="OKI30" s="822"/>
      <c r="OKJ30" s="822"/>
      <c r="OKK30" s="822"/>
      <c r="OKL30" s="822"/>
      <c r="OKM30" s="822"/>
      <c r="OKN30" s="822"/>
      <c r="OKO30" s="822"/>
      <c r="OKP30" s="822"/>
      <c r="OKQ30" s="822"/>
      <c r="OKR30" s="822"/>
      <c r="OKS30" s="822"/>
      <c r="OKT30" s="822"/>
      <c r="OKU30" s="822"/>
      <c r="OKV30" s="822"/>
      <c r="OKW30" s="822"/>
      <c r="OKX30" s="822"/>
      <c r="OKY30" s="822"/>
      <c r="OKZ30" s="822"/>
      <c r="OLA30" s="822"/>
      <c r="OLB30" s="822"/>
      <c r="OLC30" s="822"/>
      <c r="OLD30" s="822"/>
      <c r="OLE30" s="822"/>
      <c r="OLF30" s="822"/>
      <c r="OLG30" s="822"/>
      <c r="OLH30" s="822"/>
      <c r="OLI30" s="822"/>
      <c r="OLJ30" s="822"/>
      <c r="OLK30" s="822"/>
      <c r="OLL30" s="822"/>
      <c r="OLM30" s="822"/>
      <c r="OLN30" s="822"/>
      <c r="OLO30" s="822"/>
      <c r="OLP30" s="822"/>
      <c r="OLQ30" s="822"/>
      <c r="OLR30" s="822"/>
      <c r="OLS30" s="822"/>
      <c r="OLT30" s="822"/>
      <c r="OLU30" s="822"/>
      <c r="OLV30" s="822"/>
      <c r="OLW30" s="822"/>
      <c r="OLX30" s="822"/>
      <c r="OLY30" s="822"/>
      <c r="OLZ30" s="822"/>
      <c r="OMA30" s="822"/>
      <c r="OMB30" s="822"/>
      <c r="OMC30" s="822"/>
      <c r="OMD30" s="822"/>
      <c r="OME30" s="822"/>
      <c r="OMF30" s="822"/>
      <c r="OMG30" s="822"/>
      <c r="OMH30" s="822"/>
      <c r="OMI30" s="822"/>
      <c r="OMJ30" s="822"/>
      <c r="OMK30" s="822"/>
      <c r="OML30" s="822"/>
      <c r="OMM30" s="822"/>
      <c r="OMN30" s="822"/>
      <c r="OMO30" s="822"/>
      <c r="OMP30" s="822"/>
      <c r="OMQ30" s="822"/>
      <c r="OMR30" s="822"/>
      <c r="OMS30" s="822"/>
      <c r="OMT30" s="822"/>
      <c r="OMU30" s="822"/>
      <c r="OMV30" s="822"/>
      <c r="OMW30" s="822"/>
      <c r="OMX30" s="822"/>
      <c r="OMY30" s="822"/>
      <c r="OMZ30" s="822"/>
      <c r="ONA30" s="822"/>
      <c r="ONB30" s="822"/>
      <c r="ONC30" s="822"/>
      <c r="OND30" s="822"/>
      <c r="ONE30" s="822"/>
      <c r="ONF30" s="822"/>
      <c r="ONG30" s="822"/>
      <c r="ONH30" s="822"/>
      <c r="ONI30" s="822"/>
      <c r="ONJ30" s="822"/>
      <c r="ONK30" s="822"/>
      <c r="ONL30" s="822"/>
      <c r="ONM30" s="822"/>
      <c r="ONN30" s="822"/>
      <c r="ONO30" s="822"/>
      <c r="ONP30" s="822"/>
      <c r="ONQ30" s="822"/>
      <c r="ONR30" s="822"/>
      <c r="ONS30" s="822"/>
      <c r="ONT30" s="822"/>
      <c r="ONU30" s="822"/>
      <c r="ONV30" s="822"/>
      <c r="ONW30" s="822"/>
      <c r="ONX30" s="822"/>
      <c r="ONY30" s="822"/>
      <c r="ONZ30" s="822"/>
      <c r="OOA30" s="822"/>
      <c r="OOB30" s="822"/>
      <c r="OOC30" s="822"/>
      <c r="OOD30" s="822"/>
      <c r="OOE30" s="822"/>
      <c r="OOF30" s="822"/>
      <c r="OOG30" s="822"/>
      <c r="OOH30" s="822"/>
      <c r="OOI30" s="822"/>
      <c r="OOJ30" s="822"/>
      <c r="OOK30" s="822"/>
      <c r="OOL30" s="822"/>
      <c r="OOM30" s="822"/>
      <c r="OON30" s="822"/>
      <c r="OOO30" s="822"/>
      <c r="OOP30" s="822"/>
      <c r="OOQ30" s="822"/>
      <c r="OOR30" s="822"/>
      <c r="OOS30" s="822"/>
      <c r="OOT30" s="822"/>
      <c r="OOU30" s="822"/>
      <c r="OOV30" s="822"/>
      <c r="OOW30" s="822"/>
      <c r="OOX30" s="822"/>
      <c r="OOY30" s="822"/>
      <c r="OOZ30" s="822"/>
      <c r="OPA30" s="822"/>
      <c r="OPB30" s="822"/>
      <c r="OPC30" s="822"/>
      <c r="OPD30" s="822"/>
      <c r="OPE30" s="822"/>
      <c r="OPF30" s="822"/>
      <c r="OPG30" s="822"/>
      <c r="OPH30" s="822"/>
      <c r="OPI30" s="822"/>
      <c r="OPJ30" s="822"/>
      <c r="OPK30" s="822"/>
      <c r="OPL30" s="822"/>
      <c r="OPM30" s="822"/>
      <c r="OPN30" s="822"/>
      <c r="OPO30" s="822"/>
      <c r="OPP30" s="822"/>
      <c r="OPQ30" s="822"/>
      <c r="OPR30" s="822"/>
      <c r="OPS30" s="822"/>
      <c r="OPT30" s="822"/>
      <c r="OPU30" s="822"/>
      <c r="OPV30" s="822"/>
      <c r="OPW30" s="822"/>
      <c r="OPX30" s="822"/>
      <c r="OPY30" s="822"/>
      <c r="OPZ30" s="822"/>
      <c r="OQA30" s="822"/>
      <c r="OQB30" s="822"/>
      <c r="OQC30" s="822"/>
      <c r="OQD30" s="822"/>
      <c r="OQE30" s="822"/>
      <c r="OQF30" s="822"/>
      <c r="OQG30" s="822"/>
      <c r="OQH30" s="822"/>
      <c r="OQI30" s="822"/>
      <c r="OQJ30" s="822"/>
      <c r="OQK30" s="822"/>
      <c r="OQL30" s="822"/>
      <c r="OQM30" s="822"/>
      <c r="OQN30" s="822"/>
      <c r="OQO30" s="822"/>
      <c r="OQP30" s="822"/>
      <c r="OQQ30" s="822"/>
      <c r="OQR30" s="822"/>
      <c r="OQS30" s="822"/>
      <c r="OQT30" s="822"/>
      <c r="OQU30" s="822"/>
      <c r="OQV30" s="822"/>
      <c r="OQW30" s="822"/>
      <c r="OQX30" s="822"/>
      <c r="OQY30" s="822"/>
      <c r="OQZ30" s="822"/>
      <c r="ORA30" s="822"/>
      <c r="ORB30" s="822"/>
      <c r="ORC30" s="822"/>
      <c r="ORD30" s="822"/>
      <c r="ORE30" s="822"/>
      <c r="ORF30" s="822"/>
      <c r="ORG30" s="822"/>
      <c r="ORH30" s="822"/>
      <c r="ORI30" s="822"/>
      <c r="ORJ30" s="822"/>
      <c r="ORK30" s="822"/>
      <c r="ORL30" s="822"/>
      <c r="ORM30" s="822"/>
      <c r="ORN30" s="822"/>
      <c r="ORO30" s="822"/>
      <c r="ORP30" s="822"/>
      <c r="ORQ30" s="822"/>
      <c r="ORR30" s="822"/>
      <c r="ORS30" s="822"/>
      <c r="ORT30" s="822"/>
      <c r="ORU30" s="822"/>
      <c r="ORV30" s="822"/>
      <c r="ORW30" s="822"/>
      <c r="ORX30" s="822"/>
      <c r="ORY30" s="822"/>
      <c r="ORZ30" s="822"/>
      <c r="OSA30" s="822"/>
      <c r="OSB30" s="822"/>
      <c r="OSC30" s="822"/>
      <c r="OSD30" s="822"/>
      <c r="OSE30" s="822"/>
      <c r="OSF30" s="822"/>
      <c r="OSG30" s="822"/>
      <c r="OSH30" s="822"/>
      <c r="OSI30" s="822"/>
      <c r="OSJ30" s="822"/>
      <c r="OSK30" s="822"/>
      <c r="OSL30" s="822"/>
      <c r="OSM30" s="822"/>
      <c r="OSN30" s="822"/>
      <c r="OSO30" s="822"/>
      <c r="OSP30" s="822"/>
      <c r="OSQ30" s="822"/>
      <c r="OSR30" s="822"/>
      <c r="OSS30" s="822"/>
      <c r="OST30" s="822"/>
      <c r="OSU30" s="822"/>
      <c r="OSV30" s="822"/>
      <c r="OSW30" s="822"/>
      <c r="OSX30" s="822"/>
      <c r="OSY30" s="822"/>
      <c r="OSZ30" s="822"/>
      <c r="OTA30" s="822"/>
      <c r="OTB30" s="822"/>
      <c r="OTC30" s="822"/>
      <c r="OTD30" s="822"/>
      <c r="OTE30" s="822"/>
      <c r="OTF30" s="822"/>
      <c r="OTG30" s="822"/>
      <c r="OTH30" s="822"/>
      <c r="OTI30" s="822"/>
      <c r="OTJ30" s="822"/>
      <c r="OTK30" s="822"/>
      <c r="OTL30" s="822"/>
      <c r="OTM30" s="822"/>
      <c r="OTN30" s="822"/>
      <c r="OTO30" s="822"/>
      <c r="OTP30" s="822"/>
      <c r="OTQ30" s="822"/>
      <c r="OTR30" s="822"/>
      <c r="OTS30" s="822"/>
      <c r="OTT30" s="822"/>
      <c r="OTU30" s="822"/>
      <c r="OTV30" s="822"/>
      <c r="OTW30" s="822"/>
      <c r="OTX30" s="822"/>
      <c r="OTY30" s="822"/>
      <c r="OTZ30" s="822"/>
      <c r="OUA30" s="822"/>
      <c r="OUB30" s="822"/>
      <c r="OUC30" s="822"/>
      <c r="OUD30" s="822"/>
      <c r="OUE30" s="822"/>
      <c r="OUF30" s="822"/>
      <c r="OUG30" s="822"/>
      <c r="OUH30" s="822"/>
      <c r="OUI30" s="822"/>
      <c r="OUJ30" s="822"/>
      <c r="OUK30" s="822"/>
      <c r="OUL30" s="822"/>
      <c r="OUM30" s="822"/>
      <c r="OUN30" s="822"/>
      <c r="OUO30" s="822"/>
      <c r="OUP30" s="822"/>
      <c r="OUQ30" s="822"/>
      <c r="OUR30" s="822"/>
      <c r="OUS30" s="822"/>
      <c r="OUT30" s="822"/>
      <c r="OUU30" s="822"/>
      <c r="OUV30" s="822"/>
      <c r="OUW30" s="822"/>
      <c r="OUX30" s="822"/>
      <c r="OUY30" s="822"/>
      <c r="OUZ30" s="822"/>
      <c r="OVA30" s="822"/>
      <c r="OVB30" s="822"/>
      <c r="OVC30" s="822"/>
      <c r="OVD30" s="822"/>
      <c r="OVE30" s="822"/>
      <c r="OVF30" s="822"/>
      <c r="OVG30" s="822"/>
      <c r="OVH30" s="822"/>
      <c r="OVI30" s="822"/>
      <c r="OVJ30" s="822"/>
      <c r="OVK30" s="822"/>
      <c r="OVL30" s="822"/>
      <c r="OVM30" s="822"/>
      <c r="OVN30" s="822"/>
      <c r="OVO30" s="822"/>
      <c r="OVP30" s="822"/>
      <c r="OVQ30" s="822"/>
      <c r="OVR30" s="822"/>
      <c r="OVS30" s="822"/>
      <c r="OVT30" s="822"/>
      <c r="OVU30" s="822"/>
      <c r="OVV30" s="822"/>
      <c r="OVW30" s="822"/>
      <c r="OVX30" s="822"/>
      <c r="OVY30" s="822"/>
      <c r="OVZ30" s="822"/>
      <c r="OWA30" s="822"/>
      <c r="OWB30" s="822"/>
      <c r="OWC30" s="822"/>
      <c r="OWD30" s="822"/>
      <c r="OWE30" s="822"/>
      <c r="OWF30" s="822"/>
      <c r="OWG30" s="822"/>
      <c r="OWH30" s="822"/>
      <c r="OWI30" s="822"/>
      <c r="OWJ30" s="822"/>
      <c r="OWK30" s="822"/>
      <c r="OWL30" s="822"/>
      <c r="OWM30" s="822"/>
      <c r="OWN30" s="822"/>
      <c r="OWO30" s="822"/>
      <c r="OWP30" s="822"/>
      <c r="OWQ30" s="822"/>
      <c r="OWR30" s="822"/>
      <c r="OWS30" s="822"/>
      <c r="OWT30" s="822"/>
      <c r="OWU30" s="822"/>
      <c r="OWV30" s="822"/>
      <c r="OWW30" s="822"/>
      <c r="OWX30" s="822"/>
      <c r="OWY30" s="822"/>
      <c r="OWZ30" s="822"/>
      <c r="OXA30" s="822"/>
      <c r="OXB30" s="822"/>
      <c r="OXC30" s="822"/>
      <c r="OXD30" s="822"/>
      <c r="OXE30" s="822"/>
      <c r="OXF30" s="822"/>
      <c r="OXG30" s="822"/>
      <c r="OXH30" s="822"/>
      <c r="OXI30" s="822"/>
      <c r="OXJ30" s="822"/>
      <c r="OXK30" s="822"/>
      <c r="OXL30" s="822"/>
      <c r="OXM30" s="822"/>
      <c r="OXN30" s="822"/>
      <c r="OXO30" s="822"/>
      <c r="OXP30" s="822"/>
      <c r="OXQ30" s="822"/>
      <c r="OXR30" s="822"/>
      <c r="OXS30" s="822"/>
      <c r="OXT30" s="822"/>
      <c r="OXU30" s="822"/>
      <c r="OXV30" s="822"/>
      <c r="OXW30" s="822"/>
      <c r="OXX30" s="822"/>
      <c r="OXY30" s="822"/>
      <c r="OXZ30" s="822"/>
      <c r="OYA30" s="822"/>
      <c r="OYB30" s="822"/>
      <c r="OYC30" s="822"/>
      <c r="OYD30" s="822"/>
      <c r="OYE30" s="822"/>
      <c r="OYF30" s="822"/>
      <c r="OYG30" s="822"/>
      <c r="OYH30" s="822"/>
      <c r="OYI30" s="822"/>
      <c r="OYJ30" s="822"/>
      <c r="OYK30" s="822"/>
      <c r="OYL30" s="822"/>
      <c r="OYM30" s="822"/>
      <c r="OYN30" s="822"/>
      <c r="OYO30" s="822"/>
      <c r="OYP30" s="822"/>
      <c r="OYQ30" s="822"/>
      <c r="OYR30" s="822"/>
      <c r="OYS30" s="822"/>
      <c r="OYT30" s="822"/>
      <c r="OYU30" s="822"/>
      <c r="OYV30" s="822"/>
      <c r="OYW30" s="822"/>
      <c r="OYX30" s="822"/>
      <c r="OYY30" s="822"/>
      <c r="OYZ30" s="822"/>
      <c r="OZA30" s="822"/>
      <c r="OZB30" s="822"/>
      <c r="OZC30" s="822"/>
      <c r="OZD30" s="822"/>
      <c r="OZE30" s="822"/>
      <c r="OZF30" s="822"/>
      <c r="OZG30" s="822"/>
      <c r="OZH30" s="822"/>
      <c r="OZI30" s="822"/>
      <c r="OZJ30" s="822"/>
      <c r="OZK30" s="822"/>
      <c r="OZL30" s="822"/>
      <c r="OZM30" s="822"/>
      <c r="OZN30" s="822"/>
      <c r="OZO30" s="822"/>
      <c r="OZP30" s="822"/>
      <c r="OZQ30" s="822"/>
      <c r="OZR30" s="822"/>
      <c r="OZS30" s="822"/>
      <c r="OZT30" s="822"/>
      <c r="OZU30" s="822"/>
      <c r="OZV30" s="822"/>
      <c r="OZW30" s="822"/>
      <c r="OZX30" s="822"/>
      <c r="OZY30" s="822"/>
      <c r="OZZ30" s="822"/>
      <c r="PAA30" s="822"/>
      <c r="PAB30" s="822"/>
      <c r="PAC30" s="822"/>
      <c r="PAD30" s="822"/>
      <c r="PAE30" s="822"/>
      <c r="PAF30" s="822"/>
      <c r="PAG30" s="822"/>
      <c r="PAH30" s="822"/>
      <c r="PAI30" s="822"/>
      <c r="PAJ30" s="822"/>
      <c r="PAK30" s="822"/>
      <c r="PAL30" s="822"/>
      <c r="PAM30" s="822"/>
      <c r="PAN30" s="822"/>
      <c r="PAO30" s="822"/>
      <c r="PAP30" s="822"/>
      <c r="PAQ30" s="822"/>
      <c r="PAR30" s="822"/>
      <c r="PAS30" s="822"/>
      <c r="PAT30" s="822"/>
      <c r="PAU30" s="822"/>
      <c r="PAV30" s="822"/>
      <c r="PAW30" s="822"/>
      <c r="PAX30" s="822"/>
      <c r="PAY30" s="822"/>
      <c r="PAZ30" s="822"/>
      <c r="PBA30" s="822"/>
      <c r="PBB30" s="822"/>
      <c r="PBC30" s="822"/>
      <c r="PBD30" s="822"/>
      <c r="PBE30" s="822"/>
      <c r="PBF30" s="822"/>
      <c r="PBG30" s="822"/>
      <c r="PBH30" s="822"/>
      <c r="PBI30" s="822"/>
      <c r="PBJ30" s="822"/>
      <c r="PBK30" s="822"/>
      <c r="PBL30" s="822"/>
      <c r="PBM30" s="822"/>
      <c r="PBN30" s="822"/>
      <c r="PBO30" s="822"/>
      <c r="PBP30" s="822"/>
      <c r="PBQ30" s="822"/>
      <c r="PBR30" s="822"/>
      <c r="PBS30" s="822"/>
      <c r="PBT30" s="822"/>
      <c r="PBU30" s="822"/>
      <c r="PBV30" s="822"/>
      <c r="PBW30" s="822"/>
      <c r="PBX30" s="822"/>
      <c r="PBY30" s="822"/>
      <c r="PBZ30" s="822"/>
      <c r="PCA30" s="822"/>
      <c r="PCB30" s="822"/>
      <c r="PCC30" s="822"/>
      <c r="PCD30" s="822"/>
      <c r="PCE30" s="822"/>
      <c r="PCF30" s="822"/>
      <c r="PCG30" s="822"/>
      <c r="PCH30" s="822"/>
      <c r="PCI30" s="822"/>
      <c r="PCJ30" s="822"/>
      <c r="PCK30" s="822"/>
      <c r="PCL30" s="822"/>
      <c r="PCM30" s="822"/>
      <c r="PCN30" s="822"/>
      <c r="PCO30" s="822"/>
      <c r="PCP30" s="822"/>
      <c r="PCQ30" s="822"/>
      <c r="PCR30" s="822"/>
      <c r="PCS30" s="822"/>
      <c r="PCT30" s="822"/>
      <c r="PCU30" s="822"/>
      <c r="PCV30" s="822"/>
      <c r="PCW30" s="822"/>
      <c r="PCX30" s="822"/>
      <c r="PCY30" s="822"/>
      <c r="PCZ30" s="822"/>
      <c r="PDA30" s="822"/>
      <c r="PDB30" s="822"/>
      <c r="PDC30" s="822"/>
      <c r="PDD30" s="822"/>
      <c r="PDE30" s="822"/>
      <c r="PDF30" s="822"/>
      <c r="PDG30" s="822"/>
      <c r="PDH30" s="822"/>
      <c r="PDI30" s="822"/>
      <c r="PDJ30" s="822"/>
      <c r="PDK30" s="822"/>
      <c r="PDL30" s="822"/>
      <c r="PDM30" s="822"/>
      <c r="PDN30" s="822"/>
      <c r="PDO30" s="822"/>
      <c r="PDP30" s="822"/>
      <c r="PDQ30" s="822"/>
      <c r="PDR30" s="822"/>
      <c r="PDS30" s="822"/>
      <c r="PDT30" s="822"/>
      <c r="PDU30" s="822"/>
      <c r="PDV30" s="822"/>
      <c r="PDW30" s="822"/>
      <c r="PDX30" s="822"/>
      <c r="PDY30" s="822"/>
      <c r="PDZ30" s="822"/>
      <c r="PEA30" s="822"/>
      <c r="PEB30" s="822"/>
      <c r="PEC30" s="822"/>
      <c r="PED30" s="822"/>
      <c r="PEE30" s="822"/>
      <c r="PEF30" s="822"/>
      <c r="PEG30" s="822"/>
      <c r="PEH30" s="822"/>
      <c r="PEI30" s="822"/>
      <c r="PEJ30" s="822"/>
      <c r="PEK30" s="822"/>
      <c r="PEL30" s="822"/>
      <c r="PEM30" s="822"/>
      <c r="PEN30" s="822"/>
      <c r="PEO30" s="822"/>
      <c r="PEP30" s="822"/>
      <c r="PEQ30" s="822"/>
      <c r="PER30" s="822"/>
      <c r="PES30" s="822"/>
      <c r="PET30" s="822"/>
      <c r="PEU30" s="822"/>
      <c r="PEV30" s="822"/>
      <c r="PEW30" s="822"/>
      <c r="PEX30" s="822"/>
      <c r="PEY30" s="822"/>
      <c r="PEZ30" s="822"/>
      <c r="PFA30" s="822"/>
      <c r="PFB30" s="822"/>
      <c r="PFC30" s="822"/>
      <c r="PFD30" s="822"/>
      <c r="PFE30" s="822"/>
      <c r="PFF30" s="822"/>
      <c r="PFG30" s="822"/>
      <c r="PFH30" s="822"/>
      <c r="PFI30" s="822"/>
      <c r="PFJ30" s="822"/>
      <c r="PFK30" s="822"/>
      <c r="PFL30" s="822"/>
      <c r="PFM30" s="822"/>
      <c r="PFN30" s="822"/>
      <c r="PFO30" s="822"/>
      <c r="PFP30" s="822"/>
      <c r="PFQ30" s="822"/>
      <c r="PFR30" s="822"/>
      <c r="PFS30" s="822"/>
      <c r="PFT30" s="822"/>
      <c r="PFU30" s="822"/>
      <c r="PFV30" s="822"/>
      <c r="PFW30" s="822"/>
      <c r="PFX30" s="822"/>
      <c r="PFY30" s="822"/>
      <c r="PFZ30" s="822"/>
      <c r="PGA30" s="822"/>
      <c r="PGB30" s="822"/>
      <c r="PGC30" s="822"/>
      <c r="PGD30" s="822"/>
      <c r="PGE30" s="822"/>
      <c r="PGF30" s="822"/>
      <c r="PGG30" s="822"/>
      <c r="PGH30" s="822"/>
      <c r="PGI30" s="822"/>
      <c r="PGJ30" s="822"/>
      <c r="PGK30" s="822"/>
      <c r="PGL30" s="822"/>
      <c r="PGM30" s="822"/>
      <c r="PGN30" s="822"/>
      <c r="PGO30" s="822"/>
      <c r="PGP30" s="822"/>
      <c r="PGQ30" s="822"/>
      <c r="PGR30" s="822"/>
      <c r="PGS30" s="822"/>
      <c r="PGT30" s="822"/>
      <c r="PGU30" s="822"/>
      <c r="PGV30" s="822"/>
      <c r="PGW30" s="822"/>
      <c r="PGX30" s="822"/>
      <c r="PGY30" s="822"/>
      <c r="PGZ30" s="822"/>
      <c r="PHA30" s="822"/>
      <c r="PHB30" s="822"/>
      <c r="PHC30" s="822"/>
      <c r="PHD30" s="822"/>
      <c r="PHE30" s="822"/>
      <c r="PHF30" s="822"/>
      <c r="PHG30" s="822"/>
      <c r="PHH30" s="822"/>
      <c r="PHI30" s="822"/>
      <c r="PHJ30" s="822"/>
      <c r="PHK30" s="822"/>
      <c r="PHL30" s="822"/>
      <c r="PHM30" s="822"/>
      <c r="PHN30" s="822"/>
      <c r="PHO30" s="822"/>
      <c r="PHP30" s="822"/>
      <c r="PHQ30" s="822"/>
      <c r="PHR30" s="822"/>
      <c r="PHS30" s="822"/>
      <c r="PHT30" s="822"/>
      <c r="PHU30" s="822"/>
      <c r="PHV30" s="822"/>
      <c r="PHW30" s="822"/>
      <c r="PHX30" s="822"/>
      <c r="PHY30" s="822"/>
      <c r="PHZ30" s="822"/>
      <c r="PIA30" s="822"/>
      <c r="PIB30" s="822"/>
      <c r="PIC30" s="822"/>
      <c r="PID30" s="822"/>
      <c r="PIE30" s="822"/>
      <c r="PIF30" s="822"/>
      <c r="PIG30" s="822"/>
      <c r="PIH30" s="822"/>
      <c r="PII30" s="822"/>
      <c r="PIJ30" s="822"/>
      <c r="PIK30" s="822"/>
      <c r="PIL30" s="822"/>
      <c r="PIM30" s="822"/>
      <c r="PIN30" s="822"/>
      <c r="PIO30" s="822"/>
      <c r="PIP30" s="822"/>
      <c r="PIQ30" s="822"/>
      <c r="PIR30" s="822"/>
      <c r="PIS30" s="822"/>
      <c r="PIT30" s="822"/>
      <c r="PIU30" s="822"/>
      <c r="PIV30" s="822"/>
      <c r="PIW30" s="822"/>
      <c r="PIX30" s="822"/>
      <c r="PIY30" s="822"/>
      <c r="PIZ30" s="822"/>
      <c r="PJA30" s="822"/>
      <c r="PJB30" s="822"/>
      <c r="PJC30" s="822"/>
      <c r="PJD30" s="822"/>
      <c r="PJE30" s="822"/>
      <c r="PJF30" s="822"/>
      <c r="PJG30" s="822"/>
      <c r="PJH30" s="822"/>
      <c r="PJI30" s="822"/>
      <c r="PJJ30" s="822"/>
      <c r="PJK30" s="822"/>
      <c r="PJL30" s="822"/>
      <c r="PJM30" s="822"/>
      <c r="PJN30" s="822"/>
      <c r="PJO30" s="822"/>
      <c r="PJP30" s="822"/>
      <c r="PJQ30" s="822"/>
      <c r="PJR30" s="822"/>
      <c r="PJS30" s="822"/>
      <c r="PJT30" s="822"/>
      <c r="PJU30" s="822"/>
      <c r="PJV30" s="822"/>
      <c r="PJW30" s="822"/>
      <c r="PJX30" s="822"/>
      <c r="PJY30" s="822"/>
      <c r="PJZ30" s="822"/>
      <c r="PKA30" s="822"/>
      <c r="PKB30" s="822"/>
      <c r="PKC30" s="822"/>
      <c r="PKD30" s="822"/>
      <c r="PKE30" s="822"/>
      <c r="PKF30" s="822"/>
      <c r="PKG30" s="822"/>
      <c r="PKH30" s="822"/>
      <c r="PKI30" s="822"/>
      <c r="PKJ30" s="822"/>
      <c r="PKK30" s="822"/>
      <c r="PKL30" s="822"/>
      <c r="PKM30" s="822"/>
      <c r="PKN30" s="822"/>
      <c r="PKO30" s="822"/>
      <c r="PKP30" s="822"/>
      <c r="PKQ30" s="822"/>
      <c r="PKR30" s="822"/>
      <c r="PKS30" s="822"/>
      <c r="PKT30" s="822"/>
      <c r="PKU30" s="822"/>
      <c r="PKV30" s="822"/>
      <c r="PKW30" s="822"/>
      <c r="PKX30" s="822"/>
      <c r="PKY30" s="822"/>
      <c r="PKZ30" s="822"/>
      <c r="PLA30" s="822"/>
      <c r="PLB30" s="822"/>
      <c r="PLC30" s="822"/>
      <c r="PLD30" s="822"/>
      <c r="PLE30" s="822"/>
      <c r="PLF30" s="822"/>
      <c r="PLG30" s="822"/>
      <c r="PLH30" s="822"/>
      <c r="PLI30" s="822"/>
      <c r="PLJ30" s="822"/>
      <c r="PLK30" s="822"/>
      <c r="PLL30" s="822"/>
      <c r="PLM30" s="822"/>
      <c r="PLN30" s="822"/>
      <c r="PLO30" s="822"/>
      <c r="PLP30" s="822"/>
      <c r="PLQ30" s="822"/>
      <c r="PLR30" s="822"/>
      <c r="PLS30" s="822"/>
      <c r="PLT30" s="822"/>
      <c r="PLU30" s="822"/>
      <c r="PLV30" s="822"/>
      <c r="PLW30" s="822"/>
      <c r="PLX30" s="822"/>
      <c r="PLY30" s="822"/>
      <c r="PLZ30" s="822"/>
      <c r="PMA30" s="822"/>
      <c r="PMB30" s="822"/>
      <c r="PMC30" s="822"/>
      <c r="PMD30" s="822"/>
      <c r="PME30" s="822"/>
      <c r="PMF30" s="822"/>
      <c r="PMG30" s="822"/>
      <c r="PMH30" s="822"/>
      <c r="PMI30" s="822"/>
      <c r="PMJ30" s="822"/>
      <c r="PMK30" s="822"/>
      <c r="PML30" s="822"/>
      <c r="PMM30" s="822"/>
      <c r="PMN30" s="822"/>
      <c r="PMO30" s="822"/>
      <c r="PMP30" s="822"/>
      <c r="PMQ30" s="822"/>
      <c r="PMR30" s="822"/>
      <c r="PMS30" s="822"/>
      <c r="PMT30" s="822"/>
      <c r="PMU30" s="822"/>
      <c r="PMV30" s="822"/>
      <c r="PMW30" s="822"/>
      <c r="PMX30" s="822"/>
      <c r="PMY30" s="822"/>
      <c r="PMZ30" s="822"/>
      <c r="PNA30" s="822"/>
      <c r="PNB30" s="822"/>
      <c r="PNC30" s="822"/>
      <c r="PND30" s="822"/>
      <c r="PNE30" s="822"/>
      <c r="PNF30" s="822"/>
      <c r="PNG30" s="822"/>
      <c r="PNH30" s="822"/>
      <c r="PNI30" s="822"/>
      <c r="PNJ30" s="822"/>
      <c r="PNK30" s="822"/>
      <c r="PNL30" s="822"/>
      <c r="PNM30" s="822"/>
      <c r="PNN30" s="822"/>
      <c r="PNO30" s="822"/>
      <c r="PNP30" s="822"/>
      <c r="PNQ30" s="822"/>
      <c r="PNR30" s="822"/>
      <c r="PNS30" s="822"/>
      <c r="PNT30" s="822"/>
      <c r="PNU30" s="822"/>
      <c r="PNV30" s="822"/>
      <c r="PNW30" s="822"/>
      <c r="PNX30" s="822"/>
      <c r="PNY30" s="822"/>
      <c r="PNZ30" s="822"/>
      <c r="POA30" s="822"/>
      <c r="POB30" s="822"/>
      <c r="POC30" s="822"/>
      <c r="POD30" s="822"/>
      <c r="POE30" s="822"/>
      <c r="POF30" s="822"/>
      <c r="POG30" s="822"/>
      <c r="POH30" s="822"/>
      <c r="POI30" s="822"/>
      <c r="POJ30" s="822"/>
      <c r="POK30" s="822"/>
      <c r="POL30" s="822"/>
      <c r="POM30" s="822"/>
      <c r="PON30" s="822"/>
      <c r="POO30" s="822"/>
      <c r="POP30" s="822"/>
      <c r="POQ30" s="822"/>
      <c r="POR30" s="822"/>
      <c r="POS30" s="822"/>
      <c r="POT30" s="822"/>
      <c r="POU30" s="822"/>
      <c r="POV30" s="822"/>
      <c r="POW30" s="822"/>
      <c r="POX30" s="822"/>
      <c r="POY30" s="822"/>
      <c r="POZ30" s="822"/>
      <c r="PPA30" s="822"/>
      <c r="PPB30" s="822"/>
      <c r="PPC30" s="822"/>
      <c r="PPD30" s="822"/>
      <c r="PPE30" s="822"/>
      <c r="PPF30" s="822"/>
      <c r="PPG30" s="822"/>
      <c r="PPH30" s="822"/>
      <c r="PPI30" s="822"/>
      <c r="PPJ30" s="822"/>
      <c r="PPK30" s="822"/>
      <c r="PPL30" s="822"/>
      <c r="PPM30" s="822"/>
      <c r="PPN30" s="822"/>
      <c r="PPO30" s="822"/>
      <c r="PPP30" s="822"/>
      <c r="PPQ30" s="822"/>
      <c r="PPR30" s="822"/>
      <c r="PPS30" s="822"/>
      <c r="PPT30" s="822"/>
      <c r="PPU30" s="822"/>
      <c r="PPV30" s="822"/>
      <c r="PPW30" s="822"/>
      <c r="PPX30" s="822"/>
      <c r="PPY30" s="822"/>
      <c r="PPZ30" s="822"/>
      <c r="PQA30" s="822"/>
      <c r="PQB30" s="822"/>
      <c r="PQC30" s="822"/>
      <c r="PQD30" s="822"/>
      <c r="PQE30" s="822"/>
      <c r="PQF30" s="822"/>
      <c r="PQG30" s="822"/>
      <c r="PQH30" s="822"/>
      <c r="PQI30" s="822"/>
      <c r="PQJ30" s="822"/>
      <c r="PQK30" s="822"/>
      <c r="PQL30" s="822"/>
      <c r="PQM30" s="822"/>
      <c r="PQN30" s="822"/>
      <c r="PQO30" s="822"/>
      <c r="PQP30" s="822"/>
      <c r="PQQ30" s="822"/>
      <c r="PQR30" s="822"/>
      <c r="PQS30" s="822"/>
      <c r="PQT30" s="822"/>
      <c r="PQU30" s="822"/>
      <c r="PQV30" s="822"/>
      <c r="PQW30" s="822"/>
      <c r="PQX30" s="822"/>
      <c r="PQY30" s="822"/>
      <c r="PQZ30" s="822"/>
      <c r="PRA30" s="822"/>
      <c r="PRB30" s="822"/>
      <c r="PRC30" s="822"/>
      <c r="PRD30" s="822"/>
      <c r="PRE30" s="822"/>
      <c r="PRF30" s="822"/>
      <c r="PRG30" s="822"/>
      <c r="PRH30" s="822"/>
      <c r="PRI30" s="822"/>
      <c r="PRJ30" s="822"/>
      <c r="PRK30" s="822"/>
      <c r="PRL30" s="822"/>
      <c r="PRM30" s="822"/>
      <c r="PRN30" s="822"/>
      <c r="PRO30" s="822"/>
      <c r="PRP30" s="822"/>
      <c r="PRQ30" s="822"/>
      <c r="PRR30" s="822"/>
      <c r="PRS30" s="822"/>
      <c r="PRT30" s="822"/>
      <c r="PRU30" s="822"/>
      <c r="PRV30" s="822"/>
      <c r="PRW30" s="822"/>
      <c r="PRX30" s="822"/>
      <c r="PRY30" s="822"/>
      <c r="PRZ30" s="822"/>
      <c r="PSA30" s="822"/>
      <c r="PSB30" s="822"/>
      <c r="PSC30" s="822"/>
      <c r="PSD30" s="822"/>
      <c r="PSE30" s="822"/>
      <c r="PSF30" s="822"/>
      <c r="PSG30" s="822"/>
      <c r="PSH30" s="822"/>
      <c r="PSI30" s="822"/>
      <c r="PSJ30" s="822"/>
      <c r="PSK30" s="822"/>
      <c r="PSL30" s="822"/>
      <c r="PSM30" s="822"/>
      <c r="PSN30" s="822"/>
      <c r="PSO30" s="822"/>
      <c r="PSP30" s="822"/>
      <c r="PSQ30" s="822"/>
      <c r="PSR30" s="822"/>
      <c r="PSS30" s="822"/>
      <c r="PST30" s="822"/>
      <c r="PSU30" s="822"/>
      <c r="PSV30" s="822"/>
      <c r="PSW30" s="822"/>
      <c r="PSX30" s="822"/>
      <c r="PSY30" s="822"/>
      <c r="PSZ30" s="822"/>
      <c r="PTA30" s="822"/>
      <c r="PTB30" s="822"/>
      <c r="PTC30" s="822"/>
      <c r="PTD30" s="822"/>
      <c r="PTE30" s="822"/>
      <c r="PTF30" s="822"/>
      <c r="PTG30" s="822"/>
      <c r="PTH30" s="822"/>
      <c r="PTI30" s="822"/>
      <c r="PTJ30" s="822"/>
      <c r="PTK30" s="822"/>
      <c r="PTL30" s="822"/>
      <c r="PTM30" s="822"/>
      <c r="PTN30" s="822"/>
      <c r="PTO30" s="822"/>
      <c r="PTP30" s="822"/>
      <c r="PTQ30" s="822"/>
      <c r="PTR30" s="822"/>
      <c r="PTS30" s="822"/>
      <c r="PTT30" s="822"/>
      <c r="PTU30" s="822"/>
      <c r="PTV30" s="822"/>
      <c r="PTW30" s="822"/>
      <c r="PTX30" s="822"/>
      <c r="PTY30" s="822"/>
      <c r="PTZ30" s="822"/>
      <c r="PUA30" s="822"/>
      <c r="PUB30" s="822"/>
      <c r="PUC30" s="822"/>
      <c r="PUD30" s="822"/>
      <c r="PUE30" s="822"/>
      <c r="PUF30" s="822"/>
      <c r="PUG30" s="822"/>
      <c r="PUH30" s="822"/>
      <c r="PUI30" s="822"/>
      <c r="PUJ30" s="822"/>
      <c r="PUK30" s="822"/>
      <c r="PUL30" s="822"/>
      <c r="PUM30" s="822"/>
      <c r="PUN30" s="822"/>
      <c r="PUO30" s="822"/>
      <c r="PUP30" s="822"/>
      <c r="PUQ30" s="822"/>
      <c r="PUR30" s="822"/>
      <c r="PUS30" s="822"/>
      <c r="PUT30" s="822"/>
      <c r="PUU30" s="822"/>
      <c r="PUV30" s="822"/>
      <c r="PUW30" s="822"/>
      <c r="PUX30" s="822"/>
      <c r="PUY30" s="822"/>
      <c r="PUZ30" s="822"/>
      <c r="PVA30" s="822"/>
      <c r="PVB30" s="822"/>
      <c r="PVC30" s="822"/>
      <c r="PVD30" s="822"/>
      <c r="PVE30" s="822"/>
      <c r="PVF30" s="822"/>
      <c r="PVG30" s="822"/>
      <c r="PVH30" s="822"/>
      <c r="PVI30" s="822"/>
      <c r="PVJ30" s="822"/>
      <c r="PVK30" s="822"/>
      <c r="PVL30" s="822"/>
      <c r="PVM30" s="822"/>
      <c r="PVN30" s="822"/>
      <c r="PVO30" s="822"/>
      <c r="PVP30" s="822"/>
      <c r="PVQ30" s="822"/>
      <c r="PVR30" s="822"/>
      <c r="PVS30" s="822"/>
      <c r="PVT30" s="822"/>
      <c r="PVU30" s="822"/>
      <c r="PVV30" s="822"/>
      <c r="PVW30" s="822"/>
      <c r="PVX30" s="822"/>
      <c r="PVY30" s="822"/>
      <c r="PVZ30" s="822"/>
      <c r="PWA30" s="822"/>
      <c r="PWB30" s="822"/>
      <c r="PWC30" s="822"/>
      <c r="PWD30" s="822"/>
      <c r="PWE30" s="822"/>
      <c r="PWF30" s="822"/>
      <c r="PWG30" s="822"/>
      <c r="PWH30" s="822"/>
      <c r="PWI30" s="822"/>
      <c r="PWJ30" s="822"/>
      <c r="PWK30" s="822"/>
      <c r="PWL30" s="822"/>
      <c r="PWM30" s="822"/>
      <c r="PWN30" s="822"/>
      <c r="PWO30" s="822"/>
      <c r="PWP30" s="822"/>
      <c r="PWQ30" s="822"/>
      <c r="PWR30" s="822"/>
      <c r="PWS30" s="822"/>
      <c r="PWT30" s="822"/>
      <c r="PWU30" s="822"/>
      <c r="PWV30" s="822"/>
      <c r="PWW30" s="822"/>
      <c r="PWX30" s="822"/>
      <c r="PWY30" s="822"/>
      <c r="PWZ30" s="822"/>
      <c r="PXA30" s="822"/>
      <c r="PXB30" s="822"/>
      <c r="PXC30" s="822"/>
      <c r="PXD30" s="822"/>
      <c r="PXE30" s="822"/>
      <c r="PXF30" s="822"/>
      <c r="PXG30" s="822"/>
      <c r="PXH30" s="822"/>
      <c r="PXI30" s="822"/>
      <c r="PXJ30" s="822"/>
      <c r="PXK30" s="822"/>
      <c r="PXL30" s="822"/>
      <c r="PXM30" s="822"/>
      <c r="PXN30" s="822"/>
      <c r="PXO30" s="822"/>
      <c r="PXP30" s="822"/>
      <c r="PXQ30" s="822"/>
      <c r="PXR30" s="822"/>
      <c r="PXS30" s="822"/>
      <c r="PXT30" s="822"/>
      <c r="PXU30" s="822"/>
      <c r="PXV30" s="822"/>
      <c r="PXW30" s="822"/>
      <c r="PXX30" s="822"/>
      <c r="PXY30" s="822"/>
      <c r="PXZ30" s="822"/>
      <c r="PYA30" s="822"/>
      <c r="PYB30" s="822"/>
      <c r="PYC30" s="822"/>
      <c r="PYD30" s="822"/>
      <c r="PYE30" s="822"/>
      <c r="PYF30" s="822"/>
      <c r="PYG30" s="822"/>
      <c r="PYH30" s="822"/>
      <c r="PYI30" s="822"/>
      <c r="PYJ30" s="822"/>
      <c r="PYK30" s="822"/>
      <c r="PYL30" s="822"/>
      <c r="PYM30" s="822"/>
      <c r="PYN30" s="822"/>
      <c r="PYO30" s="822"/>
      <c r="PYP30" s="822"/>
      <c r="PYQ30" s="822"/>
      <c r="PYR30" s="822"/>
      <c r="PYS30" s="822"/>
      <c r="PYT30" s="822"/>
      <c r="PYU30" s="822"/>
      <c r="PYV30" s="822"/>
      <c r="PYW30" s="822"/>
      <c r="PYX30" s="822"/>
      <c r="PYY30" s="822"/>
      <c r="PYZ30" s="822"/>
      <c r="PZA30" s="822"/>
      <c r="PZB30" s="822"/>
      <c r="PZC30" s="822"/>
      <c r="PZD30" s="822"/>
      <c r="PZE30" s="822"/>
      <c r="PZF30" s="822"/>
      <c r="PZG30" s="822"/>
      <c r="PZH30" s="822"/>
      <c r="PZI30" s="822"/>
      <c r="PZJ30" s="822"/>
      <c r="PZK30" s="822"/>
      <c r="PZL30" s="822"/>
      <c r="PZM30" s="822"/>
      <c r="PZN30" s="822"/>
      <c r="PZO30" s="822"/>
      <c r="PZP30" s="822"/>
      <c r="PZQ30" s="822"/>
      <c r="PZR30" s="822"/>
      <c r="PZS30" s="822"/>
      <c r="PZT30" s="822"/>
      <c r="PZU30" s="822"/>
      <c r="PZV30" s="822"/>
      <c r="PZW30" s="822"/>
      <c r="PZX30" s="822"/>
      <c r="PZY30" s="822"/>
      <c r="PZZ30" s="822"/>
      <c r="QAA30" s="822"/>
      <c r="QAB30" s="822"/>
      <c r="QAC30" s="822"/>
      <c r="QAD30" s="822"/>
      <c r="QAE30" s="822"/>
      <c r="QAF30" s="822"/>
      <c r="QAG30" s="822"/>
      <c r="QAH30" s="822"/>
      <c r="QAI30" s="822"/>
      <c r="QAJ30" s="822"/>
      <c r="QAK30" s="822"/>
      <c r="QAL30" s="822"/>
      <c r="QAM30" s="822"/>
      <c r="QAN30" s="822"/>
      <c r="QAO30" s="822"/>
      <c r="QAP30" s="822"/>
      <c r="QAQ30" s="822"/>
      <c r="QAR30" s="822"/>
      <c r="QAS30" s="822"/>
      <c r="QAT30" s="822"/>
      <c r="QAU30" s="822"/>
      <c r="QAV30" s="822"/>
      <c r="QAW30" s="822"/>
      <c r="QAX30" s="822"/>
      <c r="QAY30" s="822"/>
      <c r="QAZ30" s="822"/>
      <c r="QBA30" s="822"/>
      <c r="QBB30" s="822"/>
      <c r="QBC30" s="822"/>
      <c r="QBD30" s="822"/>
      <c r="QBE30" s="822"/>
      <c r="QBF30" s="822"/>
      <c r="QBG30" s="822"/>
      <c r="QBH30" s="822"/>
      <c r="QBI30" s="822"/>
      <c r="QBJ30" s="822"/>
      <c r="QBK30" s="822"/>
      <c r="QBL30" s="822"/>
      <c r="QBM30" s="822"/>
      <c r="QBN30" s="822"/>
      <c r="QBO30" s="822"/>
      <c r="QBP30" s="822"/>
      <c r="QBQ30" s="822"/>
      <c r="QBR30" s="822"/>
      <c r="QBS30" s="822"/>
      <c r="QBT30" s="822"/>
      <c r="QBU30" s="822"/>
      <c r="QBV30" s="822"/>
      <c r="QBW30" s="822"/>
      <c r="QBX30" s="822"/>
      <c r="QBY30" s="822"/>
      <c r="QBZ30" s="822"/>
      <c r="QCA30" s="822"/>
      <c r="QCB30" s="822"/>
      <c r="QCC30" s="822"/>
      <c r="QCD30" s="822"/>
      <c r="QCE30" s="822"/>
      <c r="QCF30" s="822"/>
      <c r="QCG30" s="822"/>
      <c r="QCH30" s="822"/>
      <c r="QCI30" s="822"/>
      <c r="QCJ30" s="822"/>
      <c r="QCK30" s="822"/>
      <c r="QCL30" s="822"/>
      <c r="QCM30" s="822"/>
      <c r="QCN30" s="822"/>
      <c r="QCO30" s="822"/>
      <c r="QCP30" s="822"/>
      <c r="QCQ30" s="822"/>
      <c r="QCR30" s="822"/>
      <c r="QCS30" s="822"/>
      <c r="QCT30" s="822"/>
      <c r="QCU30" s="822"/>
      <c r="QCV30" s="822"/>
      <c r="QCW30" s="822"/>
      <c r="QCX30" s="822"/>
      <c r="QCY30" s="822"/>
      <c r="QCZ30" s="822"/>
      <c r="QDA30" s="822"/>
      <c r="QDB30" s="822"/>
      <c r="QDC30" s="822"/>
      <c r="QDD30" s="822"/>
      <c r="QDE30" s="822"/>
      <c r="QDF30" s="822"/>
      <c r="QDG30" s="822"/>
      <c r="QDH30" s="822"/>
      <c r="QDI30" s="822"/>
      <c r="QDJ30" s="822"/>
      <c r="QDK30" s="822"/>
      <c r="QDL30" s="822"/>
      <c r="QDM30" s="822"/>
      <c r="QDN30" s="822"/>
      <c r="QDO30" s="822"/>
      <c r="QDP30" s="822"/>
      <c r="QDQ30" s="822"/>
      <c r="QDR30" s="822"/>
      <c r="QDS30" s="822"/>
      <c r="QDT30" s="822"/>
      <c r="QDU30" s="822"/>
      <c r="QDV30" s="822"/>
      <c r="QDW30" s="822"/>
      <c r="QDX30" s="822"/>
      <c r="QDY30" s="822"/>
      <c r="QDZ30" s="822"/>
      <c r="QEA30" s="822"/>
      <c r="QEB30" s="822"/>
      <c r="QEC30" s="822"/>
      <c r="QED30" s="822"/>
      <c r="QEE30" s="822"/>
      <c r="QEF30" s="822"/>
      <c r="QEG30" s="822"/>
      <c r="QEH30" s="822"/>
      <c r="QEI30" s="822"/>
      <c r="QEJ30" s="822"/>
      <c r="QEK30" s="822"/>
      <c r="QEL30" s="822"/>
      <c r="QEM30" s="822"/>
      <c r="QEN30" s="822"/>
      <c r="QEO30" s="822"/>
      <c r="QEP30" s="822"/>
      <c r="QEQ30" s="822"/>
      <c r="QER30" s="822"/>
      <c r="QES30" s="822"/>
      <c r="QET30" s="822"/>
      <c r="QEU30" s="822"/>
      <c r="QEV30" s="822"/>
      <c r="QEW30" s="822"/>
      <c r="QEX30" s="822"/>
      <c r="QEY30" s="822"/>
      <c r="QEZ30" s="822"/>
      <c r="QFA30" s="822"/>
      <c r="QFB30" s="822"/>
      <c r="QFC30" s="822"/>
      <c r="QFD30" s="822"/>
      <c r="QFE30" s="822"/>
      <c r="QFF30" s="822"/>
      <c r="QFG30" s="822"/>
      <c r="QFH30" s="822"/>
      <c r="QFI30" s="822"/>
      <c r="QFJ30" s="822"/>
      <c r="QFK30" s="822"/>
      <c r="QFL30" s="822"/>
      <c r="QFM30" s="822"/>
      <c r="QFN30" s="822"/>
      <c r="QFO30" s="822"/>
      <c r="QFP30" s="822"/>
      <c r="QFQ30" s="822"/>
      <c r="QFR30" s="822"/>
      <c r="QFS30" s="822"/>
      <c r="QFT30" s="822"/>
      <c r="QFU30" s="822"/>
      <c r="QFV30" s="822"/>
      <c r="QFW30" s="822"/>
      <c r="QFX30" s="822"/>
      <c r="QFY30" s="822"/>
      <c r="QFZ30" s="822"/>
      <c r="QGA30" s="822"/>
      <c r="QGB30" s="822"/>
      <c r="QGC30" s="822"/>
      <c r="QGD30" s="822"/>
      <c r="QGE30" s="822"/>
      <c r="QGF30" s="822"/>
      <c r="QGG30" s="822"/>
      <c r="QGH30" s="822"/>
      <c r="QGI30" s="822"/>
      <c r="QGJ30" s="822"/>
      <c r="QGK30" s="822"/>
      <c r="QGL30" s="822"/>
      <c r="QGM30" s="822"/>
      <c r="QGN30" s="822"/>
      <c r="QGO30" s="822"/>
      <c r="QGP30" s="822"/>
      <c r="QGQ30" s="822"/>
      <c r="QGR30" s="822"/>
      <c r="QGS30" s="822"/>
      <c r="QGT30" s="822"/>
      <c r="QGU30" s="822"/>
      <c r="QGV30" s="822"/>
      <c r="QGW30" s="822"/>
      <c r="QGX30" s="822"/>
      <c r="QGY30" s="822"/>
      <c r="QGZ30" s="822"/>
      <c r="QHA30" s="822"/>
      <c r="QHB30" s="822"/>
      <c r="QHC30" s="822"/>
      <c r="QHD30" s="822"/>
      <c r="QHE30" s="822"/>
      <c r="QHF30" s="822"/>
      <c r="QHG30" s="822"/>
      <c r="QHH30" s="822"/>
      <c r="QHI30" s="822"/>
      <c r="QHJ30" s="822"/>
      <c r="QHK30" s="822"/>
      <c r="QHL30" s="822"/>
      <c r="QHM30" s="822"/>
      <c r="QHN30" s="822"/>
      <c r="QHO30" s="822"/>
      <c r="QHP30" s="822"/>
      <c r="QHQ30" s="822"/>
      <c r="QHR30" s="822"/>
      <c r="QHS30" s="822"/>
      <c r="QHT30" s="822"/>
      <c r="QHU30" s="822"/>
      <c r="QHV30" s="822"/>
      <c r="QHW30" s="822"/>
      <c r="QHX30" s="822"/>
      <c r="QHY30" s="822"/>
      <c r="QHZ30" s="822"/>
      <c r="QIA30" s="822"/>
      <c r="QIB30" s="822"/>
      <c r="QIC30" s="822"/>
      <c r="QID30" s="822"/>
      <c r="QIE30" s="822"/>
      <c r="QIF30" s="822"/>
      <c r="QIG30" s="822"/>
      <c r="QIH30" s="822"/>
      <c r="QII30" s="822"/>
      <c r="QIJ30" s="822"/>
      <c r="QIK30" s="822"/>
      <c r="QIL30" s="822"/>
      <c r="QIM30" s="822"/>
      <c r="QIN30" s="822"/>
      <c r="QIO30" s="822"/>
      <c r="QIP30" s="822"/>
      <c r="QIQ30" s="822"/>
      <c r="QIR30" s="822"/>
      <c r="QIS30" s="822"/>
      <c r="QIT30" s="822"/>
      <c r="QIU30" s="822"/>
      <c r="QIV30" s="822"/>
      <c r="QIW30" s="822"/>
      <c r="QIX30" s="822"/>
      <c r="QIY30" s="822"/>
      <c r="QIZ30" s="822"/>
      <c r="QJA30" s="822"/>
      <c r="QJB30" s="822"/>
      <c r="QJC30" s="822"/>
      <c r="QJD30" s="822"/>
      <c r="QJE30" s="822"/>
      <c r="QJF30" s="822"/>
      <c r="QJG30" s="822"/>
      <c r="QJH30" s="822"/>
      <c r="QJI30" s="822"/>
      <c r="QJJ30" s="822"/>
      <c r="QJK30" s="822"/>
      <c r="QJL30" s="822"/>
      <c r="QJM30" s="822"/>
      <c r="QJN30" s="822"/>
      <c r="QJO30" s="822"/>
      <c r="QJP30" s="822"/>
      <c r="QJQ30" s="822"/>
      <c r="QJR30" s="822"/>
      <c r="QJS30" s="822"/>
      <c r="QJT30" s="822"/>
      <c r="QJU30" s="822"/>
      <c r="QJV30" s="822"/>
      <c r="QJW30" s="822"/>
      <c r="QJX30" s="822"/>
      <c r="QJY30" s="822"/>
      <c r="QJZ30" s="822"/>
      <c r="QKA30" s="822"/>
      <c r="QKB30" s="822"/>
      <c r="QKC30" s="822"/>
      <c r="QKD30" s="822"/>
      <c r="QKE30" s="822"/>
      <c r="QKF30" s="822"/>
      <c r="QKG30" s="822"/>
      <c r="QKH30" s="822"/>
      <c r="QKI30" s="822"/>
      <c r="QKJ30" s="822"/>
      <c r="QKK30" s="822"/>
      <c r="QKL30" s="822"/>
      <c r="QKM30" s="822"/>
      <c r="QKN30" s="822"/>
      <c r="QKO30" s="822"/>
      <c r="QKP30" s="822"/>
      <c r="QKQ30" s="822"/>
      <c r="QKR30" s="822"/>
      <c r="QKS30" s="822"/>
      <c r="QKT30" s="822"/>
      <c r="QKU30" s="822"/>
      <c r="QKV30" s="822"/>
      <c r="QKW30" s="822"/>
      <c r="QKX30" s="822"/>
      <c r="QKY30" s="822"/>
      <c r="QKZ30" s="822"/>
      <c r="QLA30" s="822"/>
      <c r="QLB30" s="822"/>
      <c r="QLC30" s="822"/>
      <c r="QLD30" s="822"/>
      <c r="QLE30" s="822"/>
      <c r="QLF30" s="822"/>
      <c r="QLG30" s="822"/>
      <c r="QLH30" s="822"/>
      <c r="QLI30" s="822"/>
      <c r="QLJ30" s="822"/>
      <c r="QLK30" s="822"/>
      <c r="QLL30" s="822"/>
      <c r="QLM30" s="822"/>
      <c r="QLN30" s="822"/>
      <c r="QLO30" s="822"/>
      <c r="QLP30" s="822"/>
      <c r="QLQ30" s="822"/>
      <c r="QLR30" s="822"/>
      <c r="QLS30" s="822"/>
      <c r="QLT30" s="822"/>
      <c r="QLU30" s="822"/>
      <c r="QLV30" s="822"/>
      <c r="QLW30" s="822"/>
      <c r="QLX30" s="822"/>
      <c r="QLY30" s="822"/>
      <c r="QLZ30" s="822"/>
      <c r="QMA30" s="822"/>
      <c r="QMB30" s="822"/>
      <c r="QMC30" s="822"/>
      <c r="QMD30" s="822"/>
      <c r="QME30" s="822"/>
      <c r="QMF30" s="822"/>
      <c r="QMG30" s="822"/>
      <c r="QMH30" s="822"/>
      <c r="QMI30" s="822"/>
      <c r="QMJ30" s="822"/>
      <c r="QMK30" s="822"/>
      <c r="QML30" s="822"/>
      <c r="QMM30" s="822"/>
      <c r="QMN30" s="822"/>
      <c r="QMO30" s="822"/>
      <c r="QMP30" s="822"/>
      <c r="QMQ30" s="822"/>
      <c r="QMR30" s="822"/>
      <c r="QMS30" s="822"/>
      <c r="QMT30" s="822"/>
      <c r="QMU30" s="822"/>
      <c r="QMV30" s="822"/>
      <c r="QMW30" s="822"/>
      <c r="QMX30" s="822"/>
      <c r="QMY30" s="822"/>
      <c r="QMZ30" s="822"/>
      <c r="QNA30" s="822"/>
      <c r="QNB30" s="822"/>
      <c r="QNC30" s="822"/>
      <c r="QND30" s="822"/>
      <c r="QNE30" s="822"/>
      <c r="QNF30" s="822"/>
      <c r="QNG30" s="822"/>
      <c r="QNH30" s="822"/>
      <c r="QNI30" s="822"/>
      <c r="QNJ30" s="822"/>
      <c r="QNK30" s="822"/>
      <c r="QNL30" s="822"/>
      <c r="QNM30" s="822"/>
      <c r="QNN30" s="822"/>
      <c r="QNO30" s="822"/>
      <c r="QNP30" s="822"/>
      <c r="QNQ30" s="822"/>
      <c r="QNR30" s="822"/>
      <c r="QNS30" s="822"/>
      <c r="QNT30" s="822"/>
      <c r="QNU30" s="822"/>
      <c r="QNV30" s="822"/>
      <c r="QNW30" s="822"/>
      <c r="QNX30" s="822"/>
      <c r="QNY30" s="822"/>
      <c r="QNZ30" s="822"/>
      <c r="QOA30" s="822"/>
      <c r="QOB30" s="822"/>
      <c r="QOC30" s="822"/>
      <c r="QOD30" s="822"/>
      <c r="QOE30" s="822"/>
      <c r="QOF30" s="822"/>
      <c r="QOG30" s="822"/>
      <c r="QOH30" s="822"/>
      <c r="QOI30" s="822"/>
      <c r="QOJ30" s="822"/>
      <c r="QOK30" s="822"/>
      <c r="QOL30" s="822"/>
      <c r="QOM30" s="822"/>
      <c r="QON30" s="822"/>
      <c r="QOO30" s="822"/>
      <c r="QOP30" s="822"/>
      <c r="QOQ30" s="822"/>
      <c r="QOR30" s="822"/>
      <c r="QOS30" s="822"/>
      <c r="QOT30" s="822"/>
      <c r="QOU30" s="822"/>
      <c r="QOV30" s="822"/>
      <c r="QOW30" s="822"/>
      <c r="QOX30" s="822"/>
      <c r="QOY30" s="822"/>
      <c r="QOZ30" s="822"/>
      <c r="QPA30" s="822"/>
      <c r="QPB30" s="822"/>
      <c r="QPC30" s="822"/>
      <c r="QPD30" s="822"/>
      <c r="QPE30" s="822"/>
      <c r="QPF30" s="822"/>
      <c r="QPG30" s="822"/>
      <c r="QPH30" s="822"/>
      <c r="QPI30" s="822"/>
      <c r="QPJ30" s="822"/>
      <c r="QPK30" s="822"/>
      <c r="QPL30" s="822"/>
      <c r="QPM30" s="822"/>
      <c r="QPN30" s="822"/>
      <c r="QPO30" s="822"/>
      <c r="QPP30" s="822"/>
      <c r="QPQ30" s="822"/>
      <c r="QPR30" s="822"/>
      <c r="QPS30" s="822"/>
      <c r="QPT30" s="822"/>
      <c r="QPU30" s="822"/>
      <c r="QPV30" s="822"/>
      <c r="QPW30" s="822"/>
      <c r="QPX30" s="822"/>
      <c r="QPY30" s="822"/>
      <c r="QPZ30" s="822"/>
      <c r="QQA30" s="822"/>
      <c r="QQB30" s="822"/>
      <c r="QQC30" s="822"/>
      <c r="QQD30" s="822"/>
      <c r="QQE30" s="822"/>
      <c r="QQF30" s="822"/>
      <c r="QQG30" s="822"/>
      <c r="QQH30" s="822"/>
      <c r="QQI30" s="822"/>
      <c r="QQJ30" s="822"/>
      <c r="QQK30" s="822"/>
      <c r="QQL30" s="822"/>
      <c r="QQM30" s="822"/>
      <c r="QQN30" s="822"/>
      <c r="QQO30" s="822"/>
      <c r="QQP30" s="822"/>
      <c r="QQQ30" s="822"/>
      <c r="QQR30" s="822"/>
      <c r="QQS30" s="822"/>
      <c r="QQT30" s="822"/>
      <c r="QQU30" s="822"/>
      <c r="QQV30" s="822"/>
      <c r="QQW30" s="822"/>
      <c r="QQX30" s="822"/>
      <c r="QQY30" s="822"/>
      <c r="QQZ30" s="822"/>
      <c r="QRA30" s="822"/>
      <c r="QRB30" s="822"/>
      <c r="QRC30" s="822"/>
      <c r="QRD30" s="822"/>
      <c r="QRE30" s="822"/>
      <c r="QRF30" s="822"/>
      <c r="QRG30" s="822"/>
      <c r="QRH30" s="822"/>
      <c r="QRI30" s="822"/>
      <c r="QRJ30" s="822"/>
      <c r="QRK30" s="822"/>
      <c r="QRL30" s="822"/>
      <c r="QRM30" s="822"/>
      <c r="QRN30" s="822"/>
      <c r="QRO30" s="822"/>
      <c r="QRP30" s="822"/>
      <c r="QRQ30" s="822"/>
      <c r="QRR30" s="822"/>
      <c r="QRS30" s="822"/>
      <c r="QRT30" s="822"/>
      <c r="QRU30" s="822"/>
      <c r="QRV30" s="822"/>
      <c r="QRW30" s="822"/>
      <c r="QRX30" s="822"/>
      <c r="QRY30" s="822"/>
      <c r="QRZ30" s="822"/>
      <c r="QSA30" s="822"/>
      <c r="QSB30" s="822"/>
      <c r="QSC30" s="822"/>
      <c r="QSD30" s="822"/>
      <c r="QSE30" s="822"/>
      <c r="QSF30" s="822"/>
      <c r="QSG30" s="822"/>
      <c r="QSH30" s="822"/>
      <c r="QSI30" s="822"/>
      <c r="QSJ30" s="822"/>
      <c r="QSK30" s="822"/>
      <c r="QSL30" s="822"/>
      <c r="QSM30" s="822"/>
      <c r="QSN30" s="822"/>
      <c r="QSO30" s="822"/>
      <c r="QSP30" s="822"/>
      <c r="QSQ30" s="822"/>
      <c r="QSR30" s="822"/>
      <c r="QSS30" s="822"/>
      <c r="QST30" s="822"/>
      <c r="QSU30" s="822"/>
      <c r="QSV30" s="822"/>
      <c r="QSW30" s="822"/>
      <c r="QSX30" s="822"/>
      <c r="QSY30" s="822"/>
      <c r="QSZ30" s="822"/>
      <c r="QTA30" s="822"/>
      <c r="QTB30" s="822"/>
      <c r="QTC30" s="822"/>
      <c r="QTD30" s="822"/>
      <c r="QTE30" s="822"/>
      <c r="QTF30" s="822"/>
      <c r="QTG30" s="822"/>
      <c r="QTH30" s="822"/>
      <c r="QTI30" s="822"/>
      <c r="QTJ30" s="822"/>
      <c r="QTK30" s="822"/>
      <c r="QTL30" s="822"/>
      <c r="QTM30" s="822"/>
      <c r="QTN30" s="822"/>
      <c r="QTO30" s="822"/>
      <c r="QTP30" s="822"/>
      <c r="QTQ30" s="822"/>
      <c r="QTR30" s="822"/>
      <c r="QTS30" s="822"/>
      <c r="QTT30" s="822"/>
      <c r="QTU30" s="822"/>
      <c r="QTV30" s="822"/>
      <c r="QTW30" s="822"/>
      <c r="QTX30" s="822"/>
      <c r="QTY30" s="822"/>
      <c r="QTZ30" s="822"/>
      <c r="QUA30" s="822"/>
      <c r="QUB30" s="822"/>
      <c r="QUC30" s="822"/>
      <c r="QUD30" s="822"/>
      <c r="QUE30" s="822"/>
      <c r="QUF30" s="822"/>
      <c r="QUG30" s="822"/>
      <c r="QUH30" s="822"/>
      <c r="QUI30" s="822"/>
      <c r="QUJ30" s="822"/>
      <c r="QUK30" s="822"/>
      <c r="QUL30" s="822"/>
      <c r="QUM30" s="822"/>
      <c r="QUN30" s="822"/>
      <c r="QUO30" s="822"/>
      <c r="QUP30" s="822"/>
      <c r="QUQ30" s="822"/>
      <c r="QUR30" s="822"/>
      <c r="QUS30" s="822"/>
      <c r="QUT30" s="822"/>
      <c r="QUU30" s="822"/>
      <c r="QUV30" s="822"/>
      <c r="QUW30" s="822"/>
      <c r="QUX30" s="822"/>
      <c r="QUY30" s="822"/>
      <c r="QUZ30" s="822"/>
      <c r="QVA30" s="822"/>
      <c r="QVB30" s="822"/>
      <c r="QVC30" s="822"/>
      <c r="QVD30" s="822"/>
      <c r="QVE30" s="822"/>
      <c r="QVF30" s="822"/>
      <c r="QVG30" s="822"/>
      <c r="QVH30" s="822"/>
      <c r="QVI30" s="822"/>
      <c r="QVJ30" s="822"/>
      <c r="QVK30" s="822"/>
      <c r="QVL30" s="822"/>
      <c r="QVM30" s="822"/>
      <c r="QVN30" s="822"/>
      <c r="QVO30" s="822"/>
      <c r="QVP30" s="822"/>
      <c r="QVQ30" s="822"/>
      <c r="QVR30" s="822"/>
      <c r="QVS30" s="822"/>
      <c r="QVT30" s="822"/>
      <c r="QVU30" s="822"/>
      <c r="QVV30" s="822"/>
      <c r="QVW30" s="822"/>
      <c r="QVX30" s="822"/>
      <c r="QVY30" s="822"/>
      <c r="QVZ30" s="822"/>
      <c r="QWA30" s="822"/>
      <c r="QWB30" s="822"/>
      <c r="QWC30" s="822"/>
      <c r="QWD30" s="822"/>
      <c r="QWE30" s="822"/>
      <c r="QWF30" s="822"/>
      <c r="QWG30" s="822"/>
      <c r="QWH30" s="822"/>
      <c r="QWI30" s="822"/>
      <c r="QWJ30" s="822"/>
      <c r="QWK30" s="822"/>
      <c r="QWL30" s="822"/>
      <c r="QWM30" s="822"/>
      <c r="QWN30" s="822"/>
      <c r="QWO30" s="822"/>
      <c r="QWP30" s="822"/>
      <c r="QWQ30" s="822"/>
      <c r="QWR30" s="822"/>
      <c r="QWS30" s="822"/>
      <c r="QWT30" s="822"/>
      <c r="QWU30" s="822"/>
      <c r="QWV30" s="822"/>
      <c r="QWW30" s="822"/>
      <c r="QWX30" s="822"/>
      <c r="QWY30" s="822"/>
      <c r="QWZ30" s="822"/>
      <c r="QXA30" s="822"/>
      <c r="QXB30" s="822"/>
      <c r="QXC30" s="822"/>
      <c r="QXD30" s="822"/>
      <c r="QXE30" s="822"/>
      <c r="QXF30" s="822"/>
      <c r="QXG30" s="822"/>
      <c r="QXH30" s="822"/>
      <c r="QXI30" s="822"/>
      <c r="QXJ30" s="822"/>
      <c r="QXK30" s="822"/>
      <c r="QXL30" s="822"/>
      <c r="QXM30" s="822"/>
      <c r="QXN30" s="822"/>
      <c r="QXO30" s="822"/>
      <c r="QXP30" s="822"/>
      <c r="QXQ30" s="822"/>
      <c r="QXR30" s="822"/>
      <c r="QXS30" s="822"/>
      <c r="QXT30" s="822"/>
      <c r="QXU30" s="822"/>
      <c r="QXV30" s="822"/>
      <c r="QXW30" s="822"/>
      <c r="QXX30" s="822"/>
      <c r="QXY30" s="822"/>
      <c r="QXZ30" s="822"/>
      <c r="QYA30" s="822"/>
      <c r="QYB30" s="822"/>
      <c r="QYC30" s="822"/>
      <c r="QYD30" s="822"/>
      <c r="QYE30" s="822"/>
      <c r="QYF30" s="822"/>
      <c r="QYG30" s="822"/>
      <c r="QYH30" s="822"/>
      <c r="QYI30" s="822"/>
      <c r="QYJ30" s="822"/>
      <c r="QYK30" s="822"/>
      <c r="QYL30" s="822"/>
      <c r="QYM30" s="822"/>
      <c r="QYN30" s="822"/>
      <c r="QYO30" s="822"/>
      <c r="QYP30" s="822"/>
      <c r="QYQ30" s="822"/>
      <c r="QYR30" s="822"/>
      <c r="QYS30" s="822"/>
      <c r="QYT30" s="822"/>
      <c r="QYU30" s="822"/>
      <c r="QYV30" s="822"/>
      <c r="QYW30" s="822"/>
      <c r="QYX30" s="822"/>
      <c r="QYY30" s="822"/>
      <c r="QYZ30" s="822"/>
      <c r="QZA30" s="822"/>
      <c r="QZB30" s="822"/>
      <c r="QZC30" s="822"/>
      <c r="QZD30" s="822"/>
      <c r="QZE30" s="822"/>
      <c r="QZF30" s="822"/>
      <c r="QZG30" s="822"/>
      <c r="QZH30" s="822"/>
      <c r="QZI30" s="822"/>
      <c r="QZJ30" s="822"/>
      <c r="QZK30" s="822"/>
      <c r="QZL30" s="822"/>
      <c r="QZM30" s="822"/>
      <c r="QZN30" s="822"/>
      <c r="QZO30" s="822"/>
      <c r="QZP30" s="822"/>
      <c r="QZQ30" s="822"/>
      <c r="QZR30" s="822"/>
      <c r="QZS30" s="822"/>
      <c r="QZT30" s="822"/>
      <c r="QZU30" s="822"/>
      <c r="QZV30" s="822"/>
      <c r="QZW30" s="822"/>
      <c r="QZX30" s="822"/>
      <c r="QZY30" s="822"/>
      <c r="QZZ30" s="822"/>
      <c r="RAA30" s="822"/>
      <c r="RAB30" s="822"/>
      <c r="RAC30" s="822"/>
      <c r="RAD30" s="822"/>
      <c r="RAE30" s="822"/>
      <c r="RAF30" s="822"/>
      <c r="RAG30" s="822"/>
      <c r="RAH30" s="822"/>
      <c r="RAI30" s="822"/>
      <c r="RAJ30" s="822"/>
      <c r="RAK30" s="822"/>
      <c r="RAL30" s="822"/>
      <c r="RAM30" s="822"/>
      <c r="RAN30" s="822"/>
      <c r="RAO30" s="822"/>
      <c r="RAP30" s="822"/>
      <c r="RAQ30" s="822"/>
      <c r="RAR30" s="822"/>
      <c r="RAS30" s="822"/>
      <c r="RAT30" s="822"/>
      <c r="RAU30" s="822"/>
      <c r="RAV30" s="822"/>
      <c r="RAW30" s="822"/>
      <c r="RAX30" s="822"/>
      <c r="RAY30" s="822"/>
      <c r="RAZ30" s="822"/>
      <c r="RBA30" s="822"/>
      <c r="RBB30" s="822"/>
      <c r="RBC30" s="822"/>
      <c r="RBD30" s="822"/>
      <c r="RBE30" s="822"/>
      <c r="RBF30" s="822"/>
      <c r="RBG30" s="822"/>
      <c r="RBH30" s="822"/>
      <c r="RBI30" s="822"/>
      <c r="RBJ30" s="822"/>
      <c r="RBK30" s="822"/>
      <c r="RBL30" s="822"/>
      <c r="RBM30" s="822"/>
      <c r="RBN30" s="822"/>
      <c r="RBO30" s="822"/>
      <c r="RBP30" s="822"/>
      <c r="RBQ30" s="822"/>
      <c r="RBR30" s="822"/>
      <c r="RBS30" s="822"/>
      <c r="RBT30" s="822"/>
      <c r="RBU30" s="822"/>
      <c r="RBV30" s="822"/>
      <c r="RBW30" s="822"/>
      <c r="RBX30" s="822"/>
      <c r="RBY30" s="822"/>
      <c r="RBZ30" s="822"/>
      <c r="RCA30" s="822"/>
      <c r="RCB30" s="822"/>
      <c r="RCC30" s="822"/>
      <c r="RCD30" s="822"/>
      <c r="RCE30" s="822"/>
      <c r="RCF30" s="822"/>
      <c r="RCG30" s="822"/>
      <c r="RCH30" s="822"/>
      <c r="RCI30" s="822"/>
      <c r="RCJ30" s="822"/>
      <c r="RCK30" s="822"/>
      <c r="RCL30" s="822"/>
      <c r="RCM30" s="822"/>
      <c r="RCN30" s="822"/>
      <c r="RCO30" s="822"/>
      <c r="RCP30" s="822"/>
      <c r="RCQ30" s="822"/>
      <c r="RCR30" s="822"/>
      <c r="RCS30" s="822"/>
      <c r="RCT30" s="822"/>
      <c r="RCU30" s="822"/>
      <c r="RCV30" s="822"/>
      <c r="RCW30" s="822"/>
      <c r="RCX30" s="822"/>
      <c r="RCY30" s="822"/>
      <c r="RCZ30" s="822"/>
      <c r="RDA30" s="822"/>
      <c r="RDB30" s="822"/>
      <c r="RDC30" s="822"/>
      <c r="RDD30" s="822"/>
      <c r="RDE30" s="822"/>
      <c r="RDF30" s="822"/>
      <c r="RDG30" s="822"/>
      <c r="RDH30" s="822"/>
      <c r="RDI30" s="822"/>
      <c r="RDJ30" s="822"/>
      <c r="RDK30" s="822"/>
      <c r="RDL30" s="822"/>
      <c r="RDM30" s="822"/>
      <c r="RDN30" s="822"/>
      <c r="RDO30" s="822"/>
      <c r="RDP30" s="822"/>
      <c r="RDQ30" s="822"/>
      <c r="RDR30" s="822"/>
      <c r="RDS30" s="822"/>
      <c r="RDT30" s="822"/>
      <c r="RDU30" s="822"/>
      <c r="RDV30" s="822"/>
      <c r="RDW30" s="822"/>
      <c r="RDX30" s="822"/>
      <c r="RDY30" s="822"/>
      <c r="RDZ30" s="822"/>
      <c r="REA30" s="822"/>
      <c r="REB30" s="822"/>
      <c r="REC30" s="822"/>
      <c r="RED30" s="822"/>
      <c r="REE30" s="822"/>
      <c r="REF30" s="822"/>
      <c r="REG30" s="822"/>
      <c r="REH30" s="822"/>
      <c r="REI30" s="822"/>
      <c r="REJ30" s="822"/>
      <c r="REK30" s="822"/>
      <c r="REL30" s="822"/>
      <c r="REM30" s="822"/>
      <c r="REN30" s="822"/>
      <c r="REO30" s="822"/>
      <c r="REP30" s="822"/>
      <c r="REQ30" s="822"/>
      <c r="RER30" s="822"/>
      <c r="RES30" s="822"/>
      <c r="RET30" s="822"/>
      <c r="REU30" s="822"/>
      <c r="REV30" s="822"/>
      <c r="REW30" s="822"/>
      <c r="REX30" s="822"/>
      <c r="REY30" s="822"/>
      <c r="REZ30" s="822"/>
      <c r="RFA30" s="822"/>
      <c r="RFB30" s="822"/>
      <c r="RFC30" s="822"/>
      <c r="RFD30" s="822"/>
      <c r="RFE30" s="822"/>
      <c r="RFF30" s="822"/>
      <c r="RFG30" s="822"/>
      <c r="RFH30" s="822"/>
      <c r="RFI30" s="822"/>
      <c r="RFJ30" s="822"/>
      <c r="RFK30" s="822"/>
      <c r="RFL30" s="822"/>
      <c r="RFM30" s="822"/>
      <c r="RFN30" s="822"/>
      <c r="RFO30" s="822"/>
      <c r="RFP30" s="822"/>
      <c r="RFQ30" s="822"/>
      <c r="RFR30" s="822"/>
      <c r="RFS30" s="822"/>
      <c r="RFT30" s="822"/>
      <c r="RFU30" s="822"/>
      <c r="RFV30" s="822"/>
      <c r="RFW30" s="822"/>
      <c r="RFX30" s="822"/>
      <c r="RFY30" s="822"/>
      <c r="RFZ30" s="822"/>
      <c r="RGA30" s="822"/>
      <c r="RGB30" s="822"/>
      <c r="RGC30" s="822"/>
      <c r="RGD30" s="822"/>
      <c r="RGE30" s="822"/>
      <c r="RGF30" s="822"/>
      <c r="RGG30" s="822"/>
      <c r="RGH30" s="822"/>
      <c r="RGI30" s="822"/>
      <c r="RGJ30" s="822"/>
      <c r="RGK30" s="822"/>
      <c r="RGL30" s="822"/>
      <c r="RGM30" s="822"/>
      <c r="RGN30" s="822"/>
      <c r="RGO30" s="822"/>
      <c r="RGP30" s="822"/>
      <c r="RGQ30" s="822"/>
      <c r="RGR30" s="822"/>
      <c r="RGS30" s="822"/>
      <c r="RGT30" s="822"/>
      <c r="RGU30" s="822"/>
      <c r="RGV30" s="822"/>
      <c r="RGW30" s="822"/>
      <c r="RGX30" s="822"/>
      <c r="RGY30" s="822"/>
      <c r="RGZ30" s="822"/>
      <c r="RHA30" s="822"/>
      <c r="RHB30" s="822"/>
      <c r="RHC30" s="822"/>
      <c r="RHD30" s="822"/>
      <c r="RHE30" s="822"/>
      <c r="RHF30" s="822"/>
      <c r="RHG30" s="822"/>
      <c r="RHH30" s="822"/>
      <c r="RHI30" s="822"/>
      <c r="RHJ30" s="822"/>
      <c r="RHK30" s="822"/>
      <c r="RHL30" s="822"/>
      <c r="RHM30" s="822"/>
      <c r="RHN30" s="822"/>
      <c r="RHO30" s="822"/>
      <c r="RHP30" s="822"/>
      <c r="RHQ30" s="822"/>
      <c r="RHR30" s="822"/>
      <c r="RHS30" s="822"/>
      <c r="RHT30" s="822"/>
      <c r="RHU30" s="822"/>
      <c r="RHV30" s="822"/>
      <c r="RHW30" s="822"/>
      <c r="RHX30" s="822"/>
      <c r="RHY30" s="822"/>
      <c r="RHZ30" s="822"/>
      <c r="RIA30" s="822"/>
      <c r="RIB30" s="822"/>
      <c r="RIC30" s="822"/>
      <c r="RID30" s="822"/>
      <c r="RIE30" s="822"/>
      <c r="RIF30" s="822"/>
      <c r="RIG30" s="822"/>
      <c r="RIH30" s="822"/>
      <c r="RII30" s="822"/>
      <c r="RIJ30" s="822"/>
      <c r="RIK30" s="822"/>
      <c r="RIL30" s="822"/>
      <c r="RIM30" s="822"/>
      <c r="RIN30" s="822"/>
      <c r="RIO30" s="822"/>
      <c r="RIP30" s="822"/>
      <c r="RIQ30" s="822"/>
      <c r="RIR30" s="822"/>
      <c r="RIS30" s="822"/>
      <c r="RIT30" s="822"/>
      <c r="RIU30" s="822"/>
      <c r="RIV30" s="822"/>
      <c r="RIW30" s="822"/>
      <c r="RIX30" s="822"/>
      <c r="RIY30" s="822"/>
      <c r="RIZ30" s="822"/>
      <c r="RJA30" s="822"/>
      <c r="RJB30" s="822"/>
      <c r="RJC30" s="822"/>
      <c r="RJD30" s="822"/>
      <c r="RJE30" s="822"/>
      <c r="RJF30" s="822"/>
      <c r="RJG30" s="822"/>
      <c r="RJH30" s="822"/>
      <c r="RJI30" s="822"/>
      <c r="RJJ30" s="822"/>
      <c r="RJK30" s="822"/>
      <c r="RJL30" s="822"/>
      <c r="RJM30" s="822"/>
      <c r="RJN30" s="822"/>
      <c r="RJO30" s="822"/>
      <c r="RJP30" s="822"/>
      <c r="RJQ30" s="822"/>
      <c r="RJR30" s="822"/>
      <c r="RJS30" s="822"/>
      <c r="RJT30" s="822"/>
      <c r="RJU30" s="822"/>
      <c r="RJV30" s="822"/>
      <c r="RJW30" s="822"/>
      <c r="RJX30" s="822"/>
      <c r="RJY30" s="822"/>
      <c r="RJZ30" s="822"/>
      <c r="RKA30" s="822"/>
      <c r="RKB30" s="822"/>
      <c r="RKC30" s="822"/>
      <c r="RKD30" s="822"/>
      <c r="RKE30" s="822"/>
      <c r="RKF30" s="822"/>
      <c r="RKG30" s="822"/>
      <c r="RKH30" s="822"/>
      <c r="RKI30" s="822"/>
      <c r="RKJ30" s="822"/>
      <c r="RKK30" s="822"/>
      <c r="RKL30" s="822"/>
      <c r="RKM30" s="822"/>
      <c r="RKN30" s="822"/>
      <c r="RKO30" s="822"/>
      <c r="RKP30" s="822"/>
      <c r="RKQ30" s="822"/>
      <c r="RKR30" s="822"/>
      <c r="RKS30" s="822"/>
      <c r="RKT30" s="822"/>
      <c r="RKU30" s="822"/>
      <c r="RKV30" s="822"/>
      <c r="RKW30" s="822"/>
      <c r="RKX30" s="822"/>
      <c r="RKY30" s="822"/>
      <c r="RKZ30" s="822"/>
      <c r="RLA30" s="822"/>
      <c r="RLB30" s="822"/>
      <c r="RLC30" s="822"/>
      <c r="RLD30" s="822"/>
      <c r="RLE30" s="822"/>
      <c r="RLF30" s="822"/>
      <c r="RLG30" s="822"/>
      <c r="RLH30" s="822"/>
      <c r="RLI30" s="822"/>
      <c r="RLJ30" s="822"/>
      <c r="RLK30" s="822"/>
      <c r="RLL30" s="822"/>
      <c r="RLM30" s="822"/>
      <c r="RLN30" s="822"/>
      <c r="RLO30" s="822"/>
      <c r="RLP30" s="822"/>
      <c r="RLQ30" s="822"/>
      <c r="RLR30" s="822"/>
      <c r="RLS30" s="822"/>
      <c r="RLT30" s="822"/>
      <c r="RLU30" s="822"/>
      <c r="RLV30" s="822"/>
      <c r="RLW30" s="822"/>
      <c r="RLX30" s="822"/>
      <c r="RLY30" s="822"/>
      <c r="RLZ30" s="822"/>
      <c r="RMA30" s="822"/>
      <c r="RMB30" s="822"/>
      <c r="RMC30" s="822"/>
      <c r="RMD30" s="822"/>
      <c r="RME30" s="822"/>
      <c r="RMF30" s="822"/>
      <c r="RMG30" s="822"/>
      <c r="RMH30" s="822"/>
      <c r="RMI30" s="822"/>
      <c r="RMJ30" s="822"/>
      <c r="RMK30" s="822"/>
      <c r="RML30" s="822"/>
      <c r="RMM30" s="822"/>
      <c r="RMN30" s="822"/>
      <c r="RMO30" s="822"/>
      <c r="RMP30" s="822"/>
      <c r="RMQ30" s="822"/>
      <c r="RMR30" s="822"/>
      <c r="RMS30" s="822"/>
      <c r="RMT30" s="822"/>
      <c r="RMU30" s="822"/>
      <c r="RMV30" s="822"/>
      <c r="RMW30" s="822"/>
      <c r="RMX30" s="822"/>
      <c r="RMY30" s="822"/>
      <c r="RMZ30" s="822"/>
      <c r="RNA30" s="822"/>
      <c r="RNB30" s="822"/>
      <c r="RNC30" s="822"/>
      <c r="RND30" s="822"/>
      <c r="RNE30" s="822"/>
      <c r="RNF30" s="822"/>
      <c r="RNG30" s="822"/>
      <c r="RNH30" s="822"/>
      <c r="RNI30" s="822"/>
      <c r="RNJ30" s="822"/>
      <c r="RNK30" s="822"/>
      <c r="RNL30" s="822"/>
      <c r="RNM30" s="822"/>
      <c r="RNN30" s="822"/>
      <c r="RNO30" s="822"/>
      <c r="RNP30" s="822"/>
      <c r="RNQ30" s="822"/>
      <c r="RNR30" s="822"/>
      <c r="RNS30" s="822"/>
      <c r="RNT30" s="822"/>
      <c r="RNU30" s="822"/>
      <c r="RNV30" s="822"/>
      <c r="RNW30" s="822"/>
      <c r="RNX30" s="822"/>
      <c r="RNY30" s="822"/>
      <c r="RNZ30" s="822"/>
      <c r="ROA30" s="822"/>
      <c r="ROB30" s="822"/>
      <c r="ROC30" s="822"/>
      <c r="ROD30" s="822"/>
      <c r="ROE30" s="822"/>
      <c r="ROF30" s="822"/>
      <c r="ROG30" s="822"/>
      <c r="ROH30" s="822"/>
      <c r="ROI30" s="822"/>
      <c r="ROJ30" s="822"/>
      <c r="ROK30" s="822"/>
      <c r="ROL30" s="822"/>
      <c r="ROM30" s="822"/>
      <c r="RON30" s="822"/>
      <c r="ROO30" s="822"/>
      <c r="ROP30" s="822"/>
      <c r="ROQ30" s="822"/>
      <c r="ROR30" s="822"/>
      <c r="ROS30" s="822"/>
      <c r="ROT30" s="822"/>
      <c r="ROU30" s="822"/>
      <c r="ROV30" s="822"/>
      <c r="ROW30" s="822"/>
      <c r="ROX30" s="822"/>
      <c r="ROY30" s="822"/>
      <c r="ROZ30" s="822"/>
      <c r="RPA30" s="822"/>
      <c r="RPB30" s="822"/>
      <c r="RPC30" s="822"/>
      <c r="RPD30" s="822"/>
      <c r="RPE30" s="822"/>
      <c r="RPF30" s="822"/>
      <c r="RPG30" s="822"/>
      <c r="RPH30" s="822"/>
      <c r="RPI30" s="822"/>
      <c r="RPJ30" s="822"/>
      <c r="RPK30" s="822"/>
      <c r="RPL30" s="822"/>
      <c r="RPM30" s="822"/>
      <c r="RPN30" s="822"/>
      <c r="RPO30" s="822"/>
      <c r="RPP30" s="822"/>
      <c r="RPQ30" s="822"/>
      <c r="RPR30" s="822"/>
      <c r="RPS30" s="822"/>
      <c r="RPT30" s="822"/>
      <c r="RPU30" s="822"/>
      <c r="RPV30" s="822"/>
      <c r="RPW30" s="822"/>
      <c r="RPX30" s="822"/>
      <c r="RPY30" s="822"/>
      <c r="RPZ30" s="822"/>
      <c r="RQA30" s="822"/>
      <c r="RQB30" s="822"/>
      <c r="RQC30" s="822"/>
      <c r="RQD30" s="822"/>
      <c r="RQE30" s="822"/>
      <c r="RQF30" s="822"/>
      <c r="RQG30" s="822"/>
      <c r="RQH30" s="822"/>
      <c r="RQI30" s="822"/>
      <c r="RQJ30" s="822"/>
      <c r="RQK30" s="822"/>
      <c r="RQL30" s="822"/>
      <c r="RQM30" s="822"/>
      <c r="RQN30" s="822"/>
      <c r="RQO30" s="822"/>
      <c r="RQP30" s="822"/>
      <c r="RQQ30" s="822"/>
      <c r="RQR30" s="822"/>
      <c r="RQS30" s="822"/>
      <c r="RQT30" s="822"/>
      <c r="RQU30" s="822"/>
      <c r="RQV30" s="822"/>
      <c r="RQW30" s="822"/>
      <c r="RQX30" s="822"/>
      <c r="RQY30" s="822"/>
      <c r="RQZ30" s="822"/>
      <c r="RRA30" s="822"/>
      <c r="RRB30" s="822"/>
      <c r="RRC30" s="822"/>
      <c r="RRD30" s="822"/>
      <c r="RRE30" s="822"/>
      <c r="RRF30" s="822"/>
      <c r="RRG30" s="822"/>
      <c r="RRH30" s="822"/>
      <c r="RRI30" s="822"/>
      <c r="RRJ30" s="822"/>
      <c r="RRK30" s="822"/>
      <c r="RRL30" s="822"/>
      <c r="RRM30" s="822"/>
      <c r="RRN30" s="822"/>
      <c r="RRO30" s="822"/>
      <c r="RRP30" s="822"/>
      <c r="RRQ30" s="822"/>
      <c r="RRR30" s="822"/>
      <c r="RRS30" s="822"/>
      <c r="RRT30" s="822"/>
      <c r="RRU30" s="822"/>
      <c r="RRV30" s="822"/>
      <c r="RRW30" s="822"/>
      <c r="RRX30" s="822"/>
      <c r="RRY30" s="822"/>
      <c r="RRZ30" s="822"/>
      <c r="RSA30" s="822"/>
      <c r="RSB30" s="822"/>
      <c r="RSC30" s="822"/>
      <c r="RSD30" s="822"/>
      <c r="RSE30" s="822"/>
      <c r="RSF30" s="822"/>
      <c r="RSG30" s="822"/>
      <c r="RSH30" s="822"/>
      <c r="RSI30" s="822"/>
      <c r="RSJ30" s="822"/>
      <c r="RSK30" s="822"/>
      <c r="RSL30" s="822"/>
      <c r="RSM30" s="822"/>
      <c r="RSN30" s="822"/>
      <c r="RSO30" s="822"/>
      <c r="RSP30" s="822"/>
      <c r="RSQ30" s="822"/>
      <c r="RSR30" s="822"/>
      <c r="RSS30" s="822"/>
      <c r="RST30" s="822"/>
      <c r="RSU30" s="822"/>
      <c r="RSV30" s="822"/>
      <c r="RSW30" s="822"/>
      <c r="RSX30" s="822"/>
      <c r="RSY30" s="822"/>
      <c r="RSZ30" s="822"/>
      <c r="RTA30" s="822"/>
      <c r="RTB30" s="822"/>
      <c r="RTC30" s="822"/>
      <c r="RTD30" s="822"/>
      <c r="RTE30" s="822"/>
      <c r="RTF30" s="822"/>
      <c r="RTG30" s="822"/>
      <c r="RTH30" s="822"/>
      <c r="RTI30" s="822"/>
      <c r="RTJ30" s="822"/>
      <c r="RTK30" s="822"/>
      <c r="RTL30" s="822"/>
      <c r="RTM30" s="822"/>
      <c r="RTN30" s="822"/>
      <c r="RTO30" s="822"/>
      <c r="RTP30" s="822"/>
      <c r="RTQ30" s="822"/>
      <c r="RTR30" s="822"/>
      <c r="RTS30" s="822"/>
      <c r="RTT30" s="822"/>
      <c r="RTU30" s="822"/>
      <c r="RTV30" s="822"/>
      <c r="RTW30" s="822"/>
      <c r="RTX30" s="822"/>
      <c r="RTY30" s="822"/>
      <c r="RTZ30" s="822"/>
      <c r="RUA30" s="822"/>
      <c r="RUB30" s="822"/>
      <c r="RUC30" s="822"/>
      <c r="RUD30" s="822"/>
      <c r="RUE30" s="822"/>
      <c r="RUF30" s="822"/>
      <c r="RUG30" s="822"/>
      <c r="RUH30" s="822"/>
      <c r="RUI30" s="822"/>
      <c r="RUJ30" s="822"/>
      <c r="RUK30" s="822"/>
      <c r="RUL30" s="822"/>
      <c r="RUM30" s="822"/>
      <c r="RUN30" s="822"/>
      <c r="RUO30" s="822"/>
      <c r="RUP30" s="822"/>
      <c r="RUQ30" s="822"/>
      <c r="RUR30" s="822"/>
      <c r="RUS30" s="822"/>
      <c r="RUT30" s="822"/>
      <c r="RUU30" s="822"/>
      <c r="RUV30" s="822"/>
      <c r="RUW30" s="822"/>
      <c r="RUX30" s="822"/>
      <c r="RUY30" s="822"/>
      <c r="RUZ30" s="822"/>
      <c r="RVA30" s="822"/>
      <c r="RVB30" s="822"/>
      <c r="RVC30" s="822"/>
      <c r="RVD30" s="822"/>
      <c r="RVE30" s="822"/>
      <c r="RVF30" s="822"/>
      <c r="RVG30" s="822"/>
      <c r="RVH30" s="822"/>
      <c r="RVI30" s="822"/>
      <c r="RVJ30" s="822"/>
      <c r="RVK30" s="822"/>
      <c r="RVL30" s="822"/>
      <c r="RVM30" s="822"/>
      <c r="RVN30" s="822"/>
      <c r="RVO30" s="822"/>
      <c r="RVP30" s="822"/>
      <c r="RVQ30" s="822"/>
      <c r="RVR30" s="822"/>
      <c r="RVS30" s="822"/>
      <c r="RVT30" s="822"/>
      <c r="RVU30" s="822"/>
      <c r="RVV30" s="822"/>
      <c r="RVW30" s="822"/>
      <c r="RVX30" s="822"/>
      <c r="RVY30" s="822"/>
      <c r="RVZ30" s="822"/>
      <c r="RWA30" s="822"/>
      <c r="RWB30" s="822"/>
      <c r="RWC30" s="822"/>
      <c r="RWD30" s="822"/>
      <c r="RWE30" s="822"/>
      <c r="RWF30" s="822"/>
      <c r="RWG30" s="822"/>
      <c r="RWH30" s="822"/>
      <c r="RWI30" s="822"/>
      <c r="RWJ30" s="822"/>
      <c r="RWK30" s="822"/>
      <c r="RWL30" s="822"/>
      <c r="RWM30" s="822"/>
      <c r="RWN30" s="822"/>
      <c r="RWO30" s="822"/>
      <c r="RWP30" s="822"/>
      <c r="RWQ30" s="822"/>
      <c r="RWR30" s="822"/>
      <c r="RWS30" s="822"/>
      <c r="RWT30" s="822"/>
      <c r="RWU30" s="822"/>
      <c r="RWV30" s="822"/>
      <c r="RWW30" s="822"/>
      <c r="RWX30" s="822"/>
      <c r="RWY30" s="822"/>
      <c r="RWZ30" s="822"/>
      <c r="RXA30" s="822"/>
      <c r="RXB30" s="822"/>
      <c r="RXC30" s="822"/>
      <c r="RXD30" s="822"/>
      <c r="RXE30" s="822"/>
      <c r="RXF30" s="822"/>
      <c r="RXG30" s="822"/>
      <c r="RXH30" s="822"/>
      <c r="RXI30" s="822"/>
      <c r="RXJ30" s="822"/>
      <c r="RXK30" s="822"/>
      <c r="RXL30" s="822"/>
      <c r="RXM30" s="822"/>
      <c r="RXN30" s="822"/>
      <c r="RXO30" s="822"/>
      <c r="RXP30" s="822"/>
      <c r="RXQ30" s="822"/>
      <c r="RXR30" s="822"/>
      <c r="RXS30" s="822"/>
      <c r="RXT30" s="822"/>
      <c r="RXU30" s="822"/>
      <c r="RXV30" s="822"/>
      <c r="RXW30" s="822"/>
      <c r="RXX30" s="822"/>
      <c r="RXY30" s="822"/>
      <c r="RXZ30" s="822"/>
      <c r="RYA30" s="822"/>
      <c r="RYB30" s="822"/>
      <c r="RYC30" s="822"/>
      <c r="RYD30" s="822"/>
      <c r="RYE30" s="822"/>
      <c r="RYF30" s="822"/>
      <c r="RYG30" s="822"/>
      <c r="RYH30" s="822"/>
      <c r="RYI30" s="822"/>
      <c r="RYJ30" s="822"/>
      <c r="RYK30" s="822"/>
      <c r="RYL30" s="822"/>
      <c r="RYM30" s="822"/>
      <c r="RYN30" s="822"/>
      <c r="RYO30" s="822"/>
      <c r="RYP30" s="822"/>
      <c r="RYQ30" s="822"/>
      <c r="RYR30" s="822"/>
      <c r="RYS30" s="822"/>
      <c r="RYT30" s="822"/>
      <c r="RYU30" s="822"/>
      <c r="RYV30" s="822"/>
      <c r="RYW30" s="822"/>
      <c r="RYX30" s="822"/>
      <c r="RYY30" s="822"/>
      <c r="RYZ30" s="822"/>
      <c r="RZA30" s="822"/>
      <c r="RZB30" s="822"/>
      <c r="RZC30" s="822"/>
      <c r="RZD30" s="822"/>
      <c r="RZE30" s="822"/>
      <c r="RZF30" s="822"/>
      <c r="RZG30" s="822"/>
      <c r="RZH30" s="822"/>
      <c r="RZI30" s="822"/>
      <c r="RZJ30" s="822"/>
      <c r="RZK30" s="822"/>
      <c r="RZL30" s="822"/>
      <c r="RZM30" s="822"/>
      <c r="RZN30" s="822"/>
      <c r="RZO30" s="822"/>
      <c r="RZP30" s="822"/>
      <c r="RZQ30" s="822"/>
      <c r="RZR30" s="822"/>
      <c r="RZS30" s="822"/>
      <c r="RZT30" s="822"/>
      <c r="RZU30" s="822"/>
      <c r="RZV30" s="822"/>
      <c r="RZW30" s="822"/>
      <c r="RZX30" s="822"/>
      <c r="RZY30" s="822"/>
      <c r="RZZ30" s="822"/>
      <c r="SAA30" s="822"/>
      <c r="SAB30" s="822"/>
      <c r="SAC30" s="822"/>
      <c r="SAD30" s="822"/>
      <c r="SAE30" s="822"/>
      <c r="SAF30" s="822"/>
      <c r="SAG30" s="822"/>
      <c r="SAH30" s="822"/>
      <c r="SAI30" s="822"/>
      <c r="SAJ30" s="822"/>
      <c r="SAK30" s="822"/>
      <c r="SAL30" s="822"/>
      <c r="SAM30" s="822"/>
      <c r="SAN30" s="822"/>
      <c r="SAO30" s="822"/>
      <c r="SAP30" s="822"/>
      <c r="SAQ30" s="822"/>
      <c r="SAR30" s="822"/>
      <c r="SAS30" s="822"/>
      <c r="SAT30" s="822"/>
      <c r="SAU30" s="822"/>
      <c r="SAV30" s="822"/>
      <c r="SAW30" s="822"/>
      <c r="SAX30" s="822"/>
      <c r="SAY30" s="822"/>
      <c r="SAZ30" s="822"/>
      <c r="SBA30" s="822"/>
      <c r="SBB30" s="822"/>
      <c r="SBC30" s="822"/>
      <c r="SBD30" s="822"/>
      <c r="SBE30" s="822"/>
      <c r="SBF30" s="822"/>
      <c r="SBG30" s="822"/>
      <c r="SBH30" s="822"/>
      <c r="SBI30" s="822"/>
      <c r="SBJ30" s="822"/>
      <c r="SBK30" s="822"/>
      <c r="SBL30" s="822"/>
      <c r="SBM30" s="822"/>
      <c r="SBN30" s="822"/>
      <c r="SBO30" s="822"/>
      <c r="SBP30" s="822"/>
      <c r="SBQ30" s="822"/>
      <c r="SBR30" s="822"/>
      <c r="SBS30" s="822"/>
      <c r="SBT30" s="822"/>
      <c r="SBU30" s="822"/>
      <c r="SBV30" s="822"/>
      <c r="SBW30" s="822"/>
      <c r="SBX30" s="822"/>
      <c r="SBY30" s="822"/>
      <c r="SBZ30" s="822"/>
      <c r="SCA30" s="822"/>
      <c r="SCB30" s="822"/>
      <c r="SCC30" s="822"/>
      <c r="SCD30" s="822"/>
      <c r="SCE30" s="822"/>
      <c r="SCF30" s="822"/>
      <c r="SCG30" s="822"/>
      <c r="SCH30" s="822"/>
      <c r="SCI30" s="822"/>
      <c r="SCJ30" s="822"/>
      <c r="SCK30" s="822"/>
      <c r="SCL30" s="822"/>
      <c r="SCM30" s="822"/>
      <c r="SCN30" s="822"/>
      <c r="SCO30" s="822"/>
      <c r="SCP30" s="822"/>
      <c r="SCQ30" s="822"/>
      <c r="SCR30" s="822"/>
      <c r="SCS30" s="822"/>
      <c r="SCT30" s="822"/>
      <c r="SCU30" s="822"/>
      <c r="SCV30" s="822"/>
      <c r="SCW30" s="822"/>
      <c r="SCX30" s="822"/>
      <c r="SCY30" s="822"/>
      <c r="SCZ30" s="822"/>
      <c r="SDA30" s="822"/>
      <c r="SDB30" s="822"/>
      <c r="SDC30" s="822"/>
      <c r="SDD30" s="822"/>
      <c r="SDE30" s="822"/>
      <c r="SDF30" s="822"/>
      <c r="SDG30" s="822"/>
      <c r="SDH30" s="822"/>
      <c r="SDI30" s="822"/>
      <c r="SDJ30" s="822"/>
      <c r="SDK30" s="822"/>
      <c r="SDL30" s="822"/>
      <c r="SDM30" s="822"/>
      <c r="SDN30" s="822"/>
      <c r="SDO30" s="822"/>
      <c r="SDP30" s="822"/>
      <c r="SDQ30" s="822"/>
      <c r="SDR30" s="822"/>
      <c r="SDS30" s="822"/>
      <c r="SDT30" s="822"/>
      <c r="SDU30" s="822"/>
      <c r="SDV30" s="822"/>
      <c r="SDW30" s="822"/>
      <c r="SDX30" s="822"/>
      <c r="SDY30" s="822"/>
      <c r="SDZ30" s="822"/>
      <c r="SEA30" s="822"/>
      <c r="SEB30" s="822"/>
      <c r="SEC30" s="822"/>
      <c r="SED30" s="822"/>
      <c r="SEE30" s="822"/>
      <c r="SEF30" s="822"/>
      <c r="SEG30" s="822"/>
      <c r="SEH30" s="822"/>
      <c r="SEI30" s="822"/>
      <c r="SEJ30" s="822"/>
      <c r="SEK30" s="822"/>
      <c r="SEL30" s="822"/>
      <c r="SEM30" s="822"/>
      <c r="SEN30" s="822"/>
      <c r="SEO30" s="822"/>
      <c r="SEP30" s="822"/>
      <c r="SEQ30" s="822"/>
      <c r="SER30" s="822"/>
      <c r="SES30" s="822"/>
      <c r="SET30" s="822"/>
      <c r="SEU30" s="822"/>
      <c r="SEV30" s="822"/>
      <c r="SEW30" s="822"/>
      <c r="SEX30" s="822"/>
      <c r="SEY30" s="822"/>
      <c r="SEZ30" s="822"/>
      <c r="SFA30" s="822"/>
      <c r="SFB30" s="822"/>
      <c r="SFC30" s="822"/>
      <c r="SFD30" s="822"/>
      <c r="SFE30" s="822"/>
      <c r="SFF30" s="822"/>
      <c r="SFG30" s="822"/>
      <c r="SFH30" s="822"/>
      <c r="SFI30" s="822"/>
      <c r="SFJ30" s="822"/>
      <c r="SFK30" s="822"/>
      <c r="SFL30" s="822"/>
      <c r="SFM30" s="822"/>
      <c r="SFN30" s="822"/>
      <c r="SFO30" s="822"/>
      <c r="SFP30" s="822"/>
      <c r="SFQ30" s="822"/>
      <c r="SFR30" s="822"/>
      <c r="SFS30" s="822"/>
      <c r="SFT30" s="822"/>
      <c r="SFU30" s="822"/>
      <c r="SFV30" s="822"/>
      <c r="SFW30" s="822"/>
      <c r="SFX30" s="822"/>
      <c r="SFY30" s="822"/>
      <c r="SFZ30" s="822"/>
      <c r="SGA30" s="822"/>
      <c r="SGB30" s="822"/>
      <c r="SGC30" s="822"/>
      <c r="SGD30" s="822"/>
      <c r="SGE30" s="822"/>
      <c r="SGF30" s="822"/>
      <c r="SGG30" s="822"/>
      <c r="SGH30" s="822"/>
      <c r="SGI30" s="822"/>
      <c r="SGJ30" s="822"/>
      <c r="SGK30" s="822"/>
      <c r="SGL30" s="822"/>
      <c r="SGM30" s="822"/>
      <c r="SGN30" s="822"/>
      <c r="SGO30" s="822"/>
      <c r="SGP30" s="822"/>
      <c r="SGQ30" s="822"/>
      <c r="SGR30" s="822"/>
      <c r="SGS30" s="822"/>
      <c r="SGT30" s="822"/>
      <c r="SGU30" s="822"/>
      <c r="SGV30" s="822"/>
      <c r="SGW30" s="822"/>
      <c r="SGX30" s="822"/>
      <c r="SGY30" s="822"/>
      <c r="SGZ30" s="822"/>
      <c r="SHA30" s="822"/>
      <c r="SHB30" s="822"/>
      <c r="SHC30" s="822"/>
      <c r="SHD30" s="822"/>
      <c r="SHE30" s="822"/>
      <c r="SHF30" s="822"/>
      <c r="SHG30" s="822"/>
      <c r="SHH30" s="822"/>
      <c r="SHI30" s="822"/>
      <c r="SHJ30" s="822"/>
      <c r="SHK30" s="822"/>
      <c r="SHL30" s="822"/>
      <c r="SHM30" s="822"/>
      <c r="SHN30" s="822"/>
      <c r="SHO30" s="822"/>
      <c r="SHP30" s="822"/>
      <c r="SHQ30" s="822"/>
      <c r="SHR30" s="822"/>
      <c r="SHS30" s="822"/>
      <c r="SHT30" s="822"/>
      <c r="SHU30" s="822"/>
      <c r="SHV30" s="822"/>
      <c r="SHW30" s="822"/>
      <c r="SHX30" s="822"/>
      <c r="SHY30" s="822"/>
      <c r="SHZ30" s="822"/>
      <c r="SIA30" s="822"/>
      <c r="SIB30" s="822"/>
      <c r="SIC30" s="822"/>
      <c r="SID30" s="822"/>
      <c r="SIE30" s="822"/>
      <c r="SIF30" s="822"/>
      <c r="SIG30" s="822"/>
      <c r="SIH30" s="822"/>
      <c r="SII30" s="822"/>
      <c r="SIJ30" s="822"/>
      <c r="SIK30" s="822"/>
      <c r="SIL30" s="822"/>
      <c r="SIM30" s="822"/>
      <c r="SIN30" s="822"/>
      <c r="SIO30" s="822"/>
      <c r="SIP30" s="822"/>
      <c r="SIQ30" s="822"/>
      <c r="SIR30" s="822"/>
      <c r="SIS30" s="822"/>
      <c r="SIT30" s="822"/>
      <c r="SIU30" s="822"/>
      <c r="SIV30" s="822"/>
      <c r="SIW30" s="822"/>
      <c r="SIX30" s="822"/>
      <c r="SIY30" s="822"/>
      <c r="SIZ30" s="822"/>
      <c r="SJA30" s="822"/>
      <c r="SJB30" s="822"/>
      <c r="SJC30" s="822"/>
      <c r="SJD30" s="822"/>
      <c r="SJE30" s="822"/>
      <c r="SJF30" s="822"/>
      <c r="SJG30" s="822"/>
      <c r="SJH30" s="822"/>
      <c r="SJI30" s="822"/>
      <c r="SJJ30" s="822"/>
      <c r="SJK30" s="822"/>
      <c r="SJL30" s="822"/>
      <c r="SJM30" s="822"/>
      <c r="SJN30" s="822"/>
      <c r="SJO30" s="822"/>
      <c r="SJP30" s="822"/>
      <c r="SJQ30" s="822"/>
      <c r="SJR30" s="822"/>
      <c r="SJS30" s="822"/>
      <c r="SJT30" s="822"/>
      <c r="SJU30" s="822"/>
      <c r="SJV30" s="822"/>
      <c r="SJW30" s="822"/>
      <c r="SJX30" s="822"/>
      <c r="SJY30" s="822"/>
      <c r="SJZ30" s="822"/>
      <c r="SKA30" s="822"/>
      <c r="SKB30" s="822"/>
      <c r="SKC30" s="822"/>
      <c r="SKD30" s="822"/>
      <c r="SKE30" s="822"/>
      <c r="SKF30" s="822"/>
      <c r="SKG30" s="822"/>
      <c r="SKH30" s="822"/>
      <c r="SKI30" s="822"/>
      <c r="SKJ30" s="822"/>
      <c r="SKK30" s="822"/>
      <c r="SKL30" s="822"/>
      <c r="SKM30" s="822"/>
      <c r="SKN30" s="822"/>
      <c r="SKO30" s="822"/>
      <c r="SKP30" s="822"/>
      <c r="SKQ30" s="822"/>
      <c r="SKR30" s="822"/>
      <c r="SKS30" s="822"/>
      <c r="SKT30" s="822"/>
      <c r="SKU30" s="822"/>
      <c r="SKV30" s="822"/>
      <c r="SKW30" s="822"/>
      <c r="SKX30" s="822"/>
      <c r="SKY30" s="822"/>
      <c r="SKZ30" s="822"/>
      <c r="SLA30" s="822"/>
      <c r="SLB30" s="822"/>
      <c r="SLC30" s="822"/>
      <c r="SLD30" s="822"/>
      <c r="SLE30" s="822"/>
      <c r="SLF30" s="822"/>
      <c r="SLG30" s="822"/>
      <c r="SLH30" s="822"/>
      <c r="SLI30" s="822"/>
      <c r="SLJ30" s="822"/>
      <c r="SLK30" s="822"/>
      <c r="SLL30" s="822"/>
      <c r="SLM30" s="822"/>
      <c r="SLN30" s="822"/>
      <c r="SLO30" s="822"/>
      <c r="SLP30" s="822"/>
      <c r="SLQ30" s="822"/>
      <c r="SLR30" s="822"/>
      <c r="SLS30" s="822"/>
      <c r="SLT30" s="822"/>
      <c r="SLU30" s="822"/>
      <c r="SLV30" s="822"/>
      <c r="SLW30" s="822"/>
      <c r="SLX30" s="822"/>
      <c r="SLY30" s="822"/>
      <c r="SLZ30" s="822"/>
      <c r="SMA30" s="822"/>
      <c r="SMB30" s="822"/>
      <c r="SMC30" s="822"/>
      <c r="SMD30" s="822"/>
      <c r="SME30" s="822"/>
      <c r="SMF30" s="822"/>
      <c r="SMG30" s="822"/>
      <c r="SMH30" s="822"/>
      <c r="SMI30" s="822"/>
      <c r="SMJ30" s="822"/>
      <c r="SMK30" s="822"/>
      <c r="SML30" s="822"/>
      <c r="SMM30" s="822"/>
      <c r="SMN30" s="822"/>
      <c r="SMO30" s="822"/>
      <c r="SMP30" s="822"/>
      <c r="SMQ30" s="822"/>
      <c r="SMR30" s="822"/>
      <c r="SMS30" s="822"/>
      <c r="SMT30" s="822"/>
      <c r="SMU30" s="822"/>
      <c r="SMV30" s="822"/>
      <c r="SMW30" s="822"/>
      <c r="SMX30" s="822"/>
      <c r="SMY30" s="822"/>
      <c r="SMZ30" s="822"/>
      <c r="SNA30" s="822"/>
      <c r="SNB30" s="822"/>
      <c r="SNC30" s="822"/>
      <c r="SND30" s="822"/>
      <c r="SNE30" s="822"/>
      <c r="SNF30" s="822"/>
      <c r="SNG30" s="822"/>
      <c r="SNH30" s="822"/>
      <c r="SNI30" s="822"/>
      <c r="SNJ30" s="822"/>
      <c r="SNK30" s="822"/>
      <c r="SNL30" s="822"/>
      <c r="SNM30" s="822"/>
      <c r="SNN30" s="822"/>
      <c r="SNO30" s="822"/>
      <c r="SNP30" s="822"/>
      <c r="SNQ30" s="822"/>
      <c r="SNR30" s="822"/>
      <c r="SNS30" s="822"/>
      <c r="SNT30" s="822"/>
      <c r="SNU30" s="822"/>
      <c r="SNV30" s="822"/>
      <c r="SNW30" s="822"/>
      <c r="SNX30" s="822"/>
      <c r="SNY30" s="822"/>
      <c r="SNZ30" s="822"/>
      <c r="SOA30" s="822"/>
      <c r="SOB30" s="822"/>
      <c r="SOC30" s="822"/>
      <c r="SOD30" s="822"/>
      <c r="SOE30" s="822"/>
      <c r="SOF30" s="822"/>
      <c r="SOG30" s="822"/>
      <c r="SOH30" s="822"/>
      <c r="SOI30" s="822"/>
      <c r="SOJ30" s="822"/>
      <c r="SOK30" s="822"/>
      <c r="SOL30" s="822"/>
      <c r="SOM30" s="822"/>
      <c r="SON30" s="822"/>
      <c r="SOO30" s="822"/>
      <c r="SOP30" s="822"/>
      <c r="SOQ30" s="822"/>
      <c r="SOR30" s="822"/>
      <c r="SOS30" s="822"/>
      <c r="SOT30" s="822"/>
      <c r="SOU30" s="822"/>
      <c r="SOV30" s="822"/>
      <c r="SOW30" s="822"/>
      <c r="SOX30" s="822"/>
      <c r="SOY30" s="822"/>
      <c r="SOZ30" s="822"/>
      <c r="SPA30" s="822"/>
      <c r="SPB30" s="822"/>
      <c r="SPC30" s="822"/>
      <c r="SPD30" s="822"/>
      <c r="SPE30" s="822"/>
      <c r="SPF30" s="822"/>
      <c r="SPG30" s="822"/>
      <c r="SPH30" s="822"/>
      <c r="SPI30" s="822"/>
      <c r="SPJ30" s="822"/>
      <c r="SPK30" s="822"/>
      <c r="SPL30" s="822"/>
      <c r="SPM30" s="822"/>
      <c r="SPN30" s="822"/>
      <c r="SPO30" s="822"/>
      <c r="SPP30" s="822"/>
      <c r="SPQ30" s="822"/>
      <c r="SPR30" s="822"/>
      <c r="SPS30" s="822"/>
      <c r="SPT30" s="822"/>
      <c r="SPU30" s="822"/>
      <c r="SPV30" s="822"/>
      <c r="SPW30" s="822"/>
      <c r="SPX30" s="822"/>
      <c r="SPY30" s="822"/>
      <c r="SPZ30" s="822"/>
      <c r="SQA30" s="822"/>
      <c r="SQB30" s="822"/>
      <c r="SQC30" s="822"/>
      <c r="SQD30" s="822"/>
      <c r="SQE30" s="822"/>
      <c r="SQF30" s="822"/>
      <c r="SQG30" s="822"/>
      <c r="SQH30" s="822"/>
      <c r="SQI30" s="822"/>
      <c r="SQJ30" s="822"/>
      <c r="SQK30" s="822"/>
      <c r="SQL30" s="822"/>
      <c r="SQM30" s="822"/>
      <c r="SQN30" s="822"/>
      <c r="SQO30" s="822"/>
      <c r="SQP30" s="822"/>
      <c r="SQQ30" s="822"/>
      <c r="SQR30" s="822"/>
      <c r="SQS30" s="822"/>
      <c r="SQT30" s="822"/>
      <c r="SQU30" s="822"/>
      <c r="SQV30" s="822"/>
      <c r="SQW30" s="822"/>
      <c r="SQX30" s="822"/>
      <c r="SQY30" s="822"/>
      <c r="SQZ30" s="822"/>
      <c r="SRA30" s="822"/>
      <c r="SRB30" s="822"/>
      <c r="SRC30" s="822"/>
      <c r="SRD30" s="822"/>
      <c r="SRE30" s="822"/>
      <c r="SRF30" s="822"/>
      <c r="SRG30" s="822"/>
      <c r="SRH30" s="822"/>
      <c r="SRI30" s="822"/>
      <c r="SRJ30" s="822"/>
      <c r="SRK30" s="822"/>
      <c r="SRL30" s="822"/>
      <c r="SRM30" s="822"/>
      <c r="SRN30" s="822"/>
      <c r="SRO30" s="822"/>
      <c r="SRP30" s="822"/>
      <c r="SRQ30" s="822"/>
      <c r="SRR30" s="822"/>
      <c r="SRS30" s="822"/>
      <c r="SRT30" s="822"/>
      <c r="SRU30" s="822"/>
      <c r="SRV30" s="822"/>
      <c r="SRW30" s="822"/>
      <c r="SRX30" s="822"/>
      <c r="SRY30" s="822"/>
      <c r="SRZ30" s="822"/>
      <c r="SSA30" s="822"/>
      <c r="SSB30" s="822"/>
      <c r="SSC30" s="822"/>
      <c r="SSD30" s="822"/>
      <c r="SSE30" s="822"/>
      <c r="SSF30" s="822"/>
      <c r="SSG30" s="822"/>
      <c r="SSH30" s="822"/>
      <c r="SSI30" s="822"/>
      <c r="SSJ30" s="822"/>
      <c r="SSK30" s="822"/>
      <c r="SSL30" s="822"/>
      <c r="SSM30" s="822"/>
      <c r="SSN30" s="822"/>
      <c r="SSO30" s="822"/>
      <c r="SSP30" s="822"/>
      <c r="SSQ30" s="822"/>
      <c r="SSR30" s="822"/>
      <c r="SSS30" s="822"/>
      <c r="SST30" s="822"/>
      <c r="SSU30" s="822"/>
      <c r="SSV30" s="822"/>
      <c r="SSW30" s="822"/>
      <c r="SSX30" s="822"/>
      <c r="SSY30" s="822"/>
      <c r="SSZ30" s="822"/>
      <c r="STA30" s="822"/>
      <c r="STB30" s="822"/>
      <c r="STC30" s="822"/>
      <c r="STD30" s="822"/>
      <c r="STE30" s="822"/>
      <c r="STF30" s="822"/>
      <c r="STG30" s="822"/>
      <c r="STH30" s="822"/>
      <c r="STI30" s="822"/>
      <c r="STJ30" s="822"/>
      <c r="STK30" s="822"/>
      <c r="STL30" s="822"/>
      <c r="STM30" s="822"/>
      <c r="STN30" s="822"/>
      <c r="STO30" s="822"/>
      <c r="STP30" s="822"/>
      <c r="STQ30" s="822"/>
      <c r="STR30" s="822"/>
      <c r="STS30" s="822"/>
      <c r="STT30" s="822"/>
      <c r="STU30" s="822"/>
      <c r="STV30" s="822"/>
      <c r="STW30" s="822"/>
      <c r="STX30" s="822"/>
      <c r="STY30" s="822"/>
      <c r="STZ30" s="822"/>
      <c r="SUA30" s="822"/>
      <c r="SUB30" s="822"/>
      <c r="SUC30" s="822"/>
      <c r="SUD30" s="822"/>
      <c r="SUE30" s="822"/>
      <c r="SUF30" s="822"/>
      <c r="SUG30" s="822"/>
      <c r="SUH30" s="822"/>
      <c r="SUI30" s="822"/>
      <c r="SUJ30" s="822"/>
      <c r="SUK30" s="822"/>
      <c r="SUL30" s="822"/>
      <c r="SUM30" s="822"/>
      <c r="SUN30" s="822"/>
      <c r="SUO30" s="822"/>
      <c r="SUP30" s="822"/>
      <c r="SUQ30" s="822"/>
      <c r="SUR30" s="822"/>
      <c r="SUS30" s="822"/>
      <c r="SUT30" s="822"/>
      <c r="SUU30" s="822"/>
      <c r="SUV30" s="822"/>
      <c r="SUW30" s="822"/>
      <c r="SUX30" s="822"/>
      <c r="SUY30" s="822"/>
      <c r="SUZ30" s="822"/>
      <c r="SVA30" s="822"/>
      <c r="SVB30" s="822"/>
      <c r="SVC30" s="822"/>
      <c r="SVD30" s="822"/>
      <c r="SVE30" s="822"/>
      <c r="SVF30" s="822"/>
      <c r="SVG30" s="822"/>
      <c r="SVH30" s="822"/>
      <c r="SVI30" s="822"/>
      <c r="SVJ30" s="822"/>
      <c r="SVK30" s="822"/>
      <c r="SVL30" s="822"/>
      <c r="SVM30" s="822"/>
      <c r="SVN30" s="822"/>
      <c r="SVO30" s="822"/>
      <c r="SVP30" s="822"/>
      <c r="SVQ30" s="822"/>
      <c r="SVR30" s="822"/>
      <c r="SVS30" s="822"/>
      <c r="SVT30" s="822"/>
      <c r="SVU30" s="822"/>
      <c r="SVV30" s="822"/>
      <c r="SVW30" s="822"/>
      <c r="SVX30" s="822"/>
      <c r="SVY30" s="822"/>
      <c r="SVZ30" s="822"/>
      <c r="SWA30" s="822"/>
      <c r="SWB30" s="822"/>
      <c r="SWC30" s="822"/>
      <c r="SWD30" s="822"/>
      <c r="SWE30" s="822"/>
      <c r="SWF30" s="822"/>
      <c r="SWG30" s="822"/>
      <c r="SWH30" s="822"/>
      <c r="SWI30" s="822"/>
      <c r="SWJ30" s="822"/>
      <c r="SWK30" s="822"/>
      <c r="SWL30" s="822"/>
      <c r="SWM30" s="822"/>
      <c r="SWN30" s="822"/>
      <c r="SWO30" s="822"/>
      <c r="SWP30" s="822"/>
      <c r="SWQ30" s="822"/>
      <c r="SWR30" s="822"/>
      <c r="SWS30" s="822"/>
      <c r="SWT30" s="822"/>
      <c r="SWU30" s="822"/>
      <c r="SWV30" s="822"/>
      <c r="SWW30" s="822"/>
      <c r="SWX30" s="822"/>
      <c r="SWY30" s="822"/>
      <c r="SWZ30" s="822"/>
      <c r="SXA30" s="822"/>
      <c r="SXB30" s="822"/>
      <c r="SXC30" s="822"/>
      <c r="SXD30" s="822"/>
      <c r="SXE30" s="822"/>
      <c r="SXF30" s="822"/>
      <c r="SXG30" s="822"/>
      <c r="SXH30" s="822"/>
      <c r="SXI30" s="822"/>
      <c r="SXJ30" s="822"/>
      <c r="SXK30" s="822"/>
      <c r="SXL30" s="822"/>
      <c r="SXM30" s="822"/>
      <c r="SXN30" s="822"/>
      <c r="SXO30" s="822"/>
      <c r="SXP30" s="822"/>
      <c r="SXQ30" s="822"/>
      <c r="SXR30" s="822"/>
      <c r="SXS30" s="822"/>
      <c r="SXT30" s="822"/>
      <c r="SXU30" s="822"/>
      <c r="SXV30" s="822"/>
      <c r="SXW30" s="822"/>
      <c r="SXX30" s="822"/>
      <c r="SXY30" s="822"/>
      <c r="SXZ30" s="822"/>
      <c r="SYA30" s="822"/>
      <c r="SYB30" s="822"/>
      <c r="SYC30" s="822"/>
      <c r="SYD30" s="822"/>
      <c r="SYE30" s="822"/>
      <c r="SYF30" s="822"/>
      <c r="SYG30" s="822"/>
      <c r="SYH30" s="822"/>
      <c r="SYI30" s="822"/>
      <c r="SYJ30" s="822"/>
      <c r="SYK30" s="822"/>
      <c r="SYL30" s="822"/>
      <c r="SYM30" s="822"/>
      <c r="SYN30" s="822"/>
      <c r="SYO30" s="822"/>
      <c r="SYP30" s="822"/>
      <c r="SYQ30" s="822"/>
      <c r="SYR30" s="822"/>
      <c r="SYS30" s="822"/>
      <c r="SYT30" s="822"/>
      <c r="SYU30" s="822"/>
      <c r="SYV30" s="822"/>
      <c r="SYW30" s="822"/>
      <c r="SYX30" s="822"/>
      <c r="SYY30" s="822"/>
      <c r="SYZ30" s="822"/>
      <c r="SZA30" s="822"/>
      <c r="SZB30" s="822"/>
      <c r="SZC30" s="822"/>
      <c r="SZD30" s="822"/>
      <c r="SZE30" s="822"/>
      <c r="SZF30" s="822"/>
      <c r="SZG30" s="822"/>
      <c r="SZH30" s="822"/>
      <c r="SZI30" s="822"/>
      <c r="SZJ30" s="822"/>
      <c r="SZK30" s="822"/>
      <c r="SZL30" s="822"/>
      <c r="SZM30" s="822"/>
      <c r="SZN30" s="822"/>
      <c r="SZO30" s="822"/>
      <c r="SZP30" s="822"/>
      <c r="SZQ30" s="822"/>
      <c r="SZR30" s="822"/>
      <c r="SZS30" s="822"/>
      <c r="SZT30" s="822"/>
      <c r="SZU30" s="822"/>
      <c r="SZV30" s="822"/>
      <c r="SZW30" s="822"/>
      <c r="SZX30" s="822"/>
      <c r="SZY30" s="822"/>
      <c r="SZZ30" s="822"/>
      <c r="TAA30" s="822"/>
      <c r="TAB30" s="822"/>
      <c r="TAC30" s="822"/>
      <c r="TAD30" s="822"/>
      <c r="TAE30" s="822"/>
      <c r="TAF30" s="822"/>
      <c r="TAG30" s="822"/>
      <c r="TAH30" s="822"/>
      <c r="TAI30" s="822"/>
      <c r="TAJ30" s="822"/>
      <c r="TAK30" s="822"/>
      <c r="TAL30" s="822"/>
      <c r="TAM30" s="822"/>
      <c r="TAN30" s="822"/>
      <c r="TAO30" s="822"/>
      <c r="TAP30" s="822"/>
      <c r="TAQ30" s="822"/>
      <c r="TAR30" s="822"/>
      <c r="TAS30" s="822"/>
      <c r="TAT30" s="822"/>
      <c r="TAU30" s="822"/>
      <c r="TAV30" s="822"/>
      <c r="TAW30" s="822"/>
      <c r="TAX30" s="822"/>
      <c r="TAY30" s="822"/>
      <c r="TAZ30" s="822"/>
      <c r="TBA30" s="822"/>
      <c r="TBB30" s="822"/>
      <c r="TBC30" s="822"/>
      <c r="TBD30" s="822"/>
      <c r="TBE30" s="822"/>
      <c r="TBF30" s="822"/>
      <c r="TBG30" s="822"/>
      <c r="TBH30" s="822"/>
      <c r="TBI30" s="822"/>
      <c r="TBJ30" s="822"/>
      <c r="TBK30" s="822"/>
      <c r="TBL30" s="822"/>
      <c r="TBM30" s="822"/>
      <c r="TBN30" s="822"/>
      <c r="TBO30" s="822"/>
      <c r="TBP30" s="822"/>
      <c r="TBQ30" s="822"/>
      <c r="TBR30" s="822"/>
      <c r="TBS30" s="822"/>
      <c r="TBT30" s="822"/>
      <c r="TBU30" s="822"/>
      <c r="TBV30" s="822"/>
      <c r="TBW30" s="822"/>
      <c r="TBX30" s="822"/>
      <c r="TBY30" s="822"/>
      <c r="TBZ30" s="822"/>
      <c r="TCA30" s="822"/>
      <c r="TCB30" s="822"/>
      <c r="TCC30" s="822"/>
      <c r="TCD30" s="822"/>
      <c r="TCE30" s="822"/>
      <c r="TCF30" s="822"/>
      <c r="TCG30" s="822"/>
      <c r="TCH30" s="822"/>
      <c r="TCI30" s="822"/>
      <c r="TCJ30" s="822"/>
      <c r="TCK30" s="822"/>
      <c r="TCL30" s="822"/>
      <c r="TCM30" s="822"/>
      <c r="TCN30" s="822"/>
      <c r="TCO30" s="822"/>
      <c r="TCP30" s="822"/>
      <c r="TCQ30" s="822"/>
      <c r="TCR30" s="822"/>
      <c r="TCS30" s="822"/>
      <c r="TCT30" s="822"/>
      <c r="TCU30" s="822"/>
      <c r="TCV30" s="822"/>
      <c r="TCW30" s="822"/>
      <c r="TCX30" s="822"/>
      <c r="TCY30" s="822"/>
      <c r="TCZ30" s="822"/>
      <c r="TDA30" s="822"/>
      <c r="TDB30" s="822"/>
      <c r="TDC30" s="822"/>
      <c r="TDD30" s="822"/>
      <c r="TDE30" s="822"/>
      <c r="TDF30" s="822"/>
      <c r="TDG30" s="822"/>
      <c r="TDH30" s="822"/>
      <c r="TDI30" s="822"/>
      <c r="TDJ30" s="822"/>
      <c r="TDK30" s="822"/>
      <c r="TDL30" s="822"/>
      <c r="TDM30" s="822"/>
      <c r="TDN30" s="822"/>
      <c r="TDO30" s="822"/>
      <c r="TDP30" s="822"/>
      <c r="TDQ30" s="822"/>
      <c r="TDR30" s="822"/>
      <c r="TDS30" s="822"/>
      <c r="TDT30" s="822"/>
      <c r="TDU30" s="822"/>
      <c r="TDV30" s="822"/>
      <c r="TDW30" s="822"/>
      <c r="TDX30" s="822"/>
      <c r="TDY30" s="822"/>
      <c r="TDZ30" s="822"/>
      <c r="TEA30" s="822"/>
      <c r="TEB30" s="822"/>
      <c r="TEC30" s="822"/>
      <c r="TED30" s="822"/>
      <c r="TEE30" s="822"/>
      <c r="TEF30" s="822"/>
      <c r="TEG30" s="822"/>
      <c r="TEH30" s="822"/>
      <c r="TEI30" s="822"/>
      <c r="TEJ30" s="822"/>
      <c r="TEK30" s="822"/>
      <c r="TEL30" s="822"/>
      <c r="TEM30" s="822"/>
      <c r="TEN30" s="822"/>
      <c r="TEO30" s="822"/>
      <c r="TEP30" s="822"/>
      <c r="TEQ30" s="822"/>
      <c r="TER30" s="822"/>
      <c r="TES30" s="822"/>
      <c r="TET30" s="822"/>
      <c r="TEU30" s="822"/>
      <c r="TEV30" s="822"/>
      <c r="TEW30" s="822"/>
      <c r="TEX30" s="822"/>
      <c r="TEY30" s="822"/>
      <c r="TEZ30" s="822"/>
      <c r="TFA30" s="822"/>
      <c r="TFB30" s="822"/>
      <c r="TFC30" s="822"/>
      <c r="TFD30" s="822"/>
      <c r="TFE30" s="822"/>
      <c r="TFF30" s="822"/>
      <c r="TFG30" s="822"/>
      <c r="TFH30" s="822"/>
      <c r="TFI30" s="822"/>
      <c r="TFJ30" s="822"/>
      <c r="TFK30" s="822"/>
      <c r="TFL30" s="822"/>
      <c r="TFM30" s="822"/>
      <c r="TFN30" s="822"/>
      <c r="TFO30" s="822"/>
      <c r="TFP30" s="822"/>
      <c r="TFQ30" s="822"/>
      <c r="TFR30" s="822"/>
      <c r="TFS30" s="822"/>
      <c r="TFT30" s="822"/>
      <c r="TFU30" s="822"/>
      <c r="TFV30" s="822"/>
      <c r="TFW30" s="822"/>
      <c r="TFX30" s="822"/>
      <c r="TFY30" s="822"/>
      <c r="TFZ30" s="822"/>
      <c r="TGA30" s="822"/>
      <c r="TGB30" s="822"/>
      <c r="TGC30" s="822"/>
      <c r="TGD30" s="822"/>
      <c r="TGE30" s="822"/>
      <c r="TGF30" s="822"/>
      <c r="TGG30" s="822"/>
      <c r="TGH30" s="822"/>
      <c r="TGI30" s="822"/>
      <c r="TGJ30" s="822"/>
      <c r="TGK30" s="822"/>
      <c r="TGL30" s="822"/>
      <c r="TGM30" s="822"/>
      <c r="TGN30" s="822"/>
      <c r="TGO30" s="822"/>
      <c r="TGP30" s="822"/>
      <c r="TGQ30" s="822"/>
      <c r="TGR30" s="822"/>
      <c r="TGS30" s="822"/>
      <c r="TGT30" s="822"/>
      <c r="TGU30" s="822"/>
      <c r="TGV30" s="822"/>
      <c r="TGW30" s="822"/>
      <c r="TGX30" s="822"/>
      <c r="TGY30" s="822"/>
      <c r="TGZ30" s="822"/>
      <c r="THA30" s="822"/>
      <c r="THB30" s="822"/>
      <c r="THC30" s="822"/>
      <c r="THD30" s="822"/>
      <c r="THE30" s="822"/>
      <c r="THF30" s="822"/>
      <c r="THG30" s="822"/>
      <c r="THH30" s="822"/>
      <c r="THI30" s="822"/>
      <c r="THJ30" s="822"/>
      <c r="THK30" s="822"/>
      <c r="THL30" s="822"/>
      <c r="THM30" s="822"/>
      <c r="THN30" s="822"/>
      <c r="THO30" s="822"/>
      <c r="THP30" s="822"/>
      <c r="THQ30" s="822"/>
      <c r="THR30" s="822"/>
      <c r="THS30" s="822"/>
      <c r="THT30" s="822"/>
      <c r="THU30" s="822"/>
      <c r="THV30" s="822"/>
      <c r="THW30" s="822"/>
      <c r="THX30" s="822"/>
      <c r="THY30" s="822"/>
      <c r="THZ30" s="822"/>
      <c r="TIA30" s="822"/>
      <c r="TIB30" s="822"/>
      <c r="TIC30" s="822"/>
      <c r="TID30" s="822"/>
      <c r="TIE30" s="822"/>
      <c r="TIF30" s="822"/>
      <c r="TIG30" s="822"/>
      <c r="TIH30" s="822"/>
      <c r="TII30" s="822"/>
      <c r="TIJ30" s="822"/>
      <c r="TIK30" s="822"/>
      <c r="TIL30" s="822"/>
      <c r="TIM30" s="822"/>
      <c r="TIN30" s="822"/>
      <c r="TIO30" s="822"/>
      <c r="TIP30" s="822"/>
      <c r="TIQ30" s="822"/>
      <c r="TIR30" s="822"/>
      <c r="TIS30" s="822"/>
      <c r="TIT30" s="822"/>
      <c r="TIU30" s="822"/>
      <c r="TIV30" s="822"/>
      <c r="TIW30" s="822"/>
      <c r="TIX30" s="822"/>
      <c r="TIY30" s="822"/>
      <c r="TIZ30" s="822"/>
      <c r="TJA30" s="822"/>
      <c r="TJB30" s="822"/>
      <c r="TJC30" s="822"/>
      <c r="TJD30" s="822"/>
      <c r="TJE30" s="822"/>
      <c r="TJF30" s="822"/>
      <c r="TJG30" s="822"/>
      <c r="TJH30" s="822"/>
      <c r="TJI30" s="822"/>
      <c r="TJJ30" s="822"/>
      <c r="TJK30" s="822"/>
      <c r="TJL30" s="822"/>
      <c r="TJM30" s="822"/>
      <c r="TJN30" s="822"/>
      <c r="TJO30" s="822"/>
      <c r="TJP30" s="822"/>
      <c r="TJQ30" s="822"/>
      <c r="TJR30" s="822"/>
      <c r="TJS30" s="822"/>
      <c r="TJT30" s="822"/>
      <c r="TJU30" s="822"/>
      <c r="TJV30" s="822"/>
      <c r="TJW30" s="822"/>
      <c r="TJX30" s="822"/>
      <c r="TJY30" s="822"/>
      <c r="TJZ30" s="822"/>
      <c r="TKA30" s="822"/>
      <c r="TKB30" s="822"/>
      <c r="TKC30" s="822"/>
      <c r="TKD30" s="822"/>
      <c r="TKE30" s="822"/>
      <c r="TKF30" s="822"/>
      <c r="TKG30" s="822"/>
      <c r="TKH30" s="822"/>
      <c r="TKI30" s="822"/>
      <c r="TKJ30" s="822"/>
      <c r="TKK30" s="822"/>
      <c r="TKL30" s="822"/>
      <c r="TKM30" s="822"/>
      <c r="TKN30" s="822"/>
      <c r="TKO30" s="822"/>
      <c r="TKP30" s="822"/>
      <c r="TKQ30" s="822"/>
      <c r="TKR30" s="822"/>
      <c r="TKS30" s="822"/>
      <c r="TKT30" s="822"/>
      <c r="TKU30" s="822"/>
      <c r="TKV30" s="822"/>
      <c r="TKW30" s="822"/>
      <c r="TKX30" s="822"/>
      <c r="TKY30" s="822"/>
      <c r="TKZ30" s="822"/>
      <c r="TLA30" s="822"/>
      <c r="TLB30" s="822"/>
      <c r="TLC30" s="822"/>
      <c r="TLD30" s="822"/>
      <c r="TLE30" s="822"/>
      <c r="TLF30" s="822"/>
      <c r="TLG30" s="822"/>
      <c r="TLH30" s="822"/>
      <c r="TLI30" s="822"/>
      <c r="TLJ30" s="822"/>
      <c r="TLK30" s="822"/>
      <c r="TLL30" s="822"/>
      <c r="TLM30" s="822"/>
      <c r="TLN30" s="822"/>
      <c r="TLO30" s="822"/>
      <c r="TLP30" s="822"/>
      <c r="TLQ30" s="822"/>
      <c r="TLR30" s="822"/>
      <c r="TLS30" s="822"/>
      <c r="TLT30" s="822"/>
      <c r="TLU30" s="822"/>
      <c r="TLV30" s="822"/>
      <c r="TLW30" s="822"/>
      <c r="TLX30" s="822"/>
      <c r="TLY30" s="822"/>
      <c r="TLZ30" s="822"/>
      <c r="TMA30" s="822"/>
      <c r="TMB30" s="822"/>
      <c r="TMC30" s="822"/>
      <c r="TMD30" s="822"/>
      <c r="TME30" s="822"/>
      <c r="TMF30" s="822"/>
      <c r="TMG30" s="822"/>
      <c r="TMH30" s="822"/>
      <c r="TMI30" s="822"/>
      <c r="TMJ30" s="822"/>
      <c r="TMK30" s="822"/>
      <c r="TML30" s="822"/>
      <c r="TMM30" s="822"/>
      <c r="TMN30" s="822"/>
      <c r="TMO30" s="822"/>
      <c r="TMP30" s="822"/>
      <c r="TMQ30" s="822"/>
      <c r="TMR30" s="822"/>
      <c r="TMS30" s="822"/>
      <c r="TMT30" s="822"/>
      <c r="TMU30" s="822"/>
      <c r="TMV30" s="822"/>
      <c r="TMW30" s="822"/>
      <c r="TMX30" s="822"/>
      <c r="TMY30" s="822"/>
      <c r="TMZ30" s="822"/>
      <c r="TNA30" s="822"/>
      <c r="TNB30" s="822"/>
      <c r="TNC30" s="822"/>
      <c r="TND30" s="822"/>
      <c r="TNE30" s="822"/>
      <c r="TNF30" s="822"/>
      <c r="TNG30" s="822"/>
      <c r="TNH30" s="822"/>
      <c r="TNI30" s="822"/>
      <c r="TNJ30" s="822"/>
      <c r="TNK30" s="822"/>
      <c r="TNL30" s="822"/>
      <c r="TNM30" s="822"/>
      <c r="TNN30" s="822"/>
      <c r="TNO30" s="822"/>
      <c r="TNP30" s="822"/>
      <c r="TNQ30" s="822"/>
      <c r="TNR30" s="822"/>
      <c r="TNS30" s="822"/>
      <c r="TNT30" s="822"/>
      <c r="TNU30" s="822"/>
      <c r="TNV30" s="822"/>
      <c r="TNW30" s="822"/>
      <c r="TNX30" s="822"/>
      <c r="TNY30" s="822"/>
      <c r="TNZ30" s="822"/>
      <c r="TOA30" s="822"/>
      <c r="TOB30" s="822"/>
      <c r="TOC30" s="822"/>
      <c r="TOD30" s="822"/>
      <c r="TOE30" s="822"/>
      <c r="TOF30" s="822"/>
      <c r="TOG30" s="822"/>
      <c r="TOH30" s="822"/>
      <c r="TOI30" s="822"/>
      <c r="TOJ30" s="822"/>
      <c r="TOK30" s="822"/>
      <c r="TOL30" s="822"/>
      <c r="TOM30" s="822"/>
      <c r="TON30" s="822"/>
      <c r="TOO30" s="822"/>
      <c r="TOP30" s="822"/>
      <c r="TOQ30" s="822"/>
      <c r="TOR30" s="822"/>
      <c r="TOS30" s="822"/>
      <c r="TOT30" s="822"/>
      <c r="TOU30" s="822"/>
      <c r="TOV30" s="822"/>
      <c r="TOW30" s="822"/>
      <c r="TOX30" s="822"/>
      <c r="TOY30" s="822"/>
      <c r="TOZ30" s="822"/>
      <c r="TPA30" s="822"/>
      <c r="TPB30" s="822"/>
      <c r="TPC30" s="822"/>
      <c r="TPD30" s="822"/>
      <c r="TPE30" s="822"/>
      <c r="TPF30" s="822"/>
      <c r="TPG30" s="822"/>
      <c r="TPH30" s="822"/>
      <c r="TPI30" s="822"/>
      <c r="TPJ30" s="822"/>
      <c r="TPK30" s="822"/>
      <c r="TPL30" s="822"/>
      <c r="TPM30" s="822"/>
      <c r="TPN30" s="822"/>
      <c r="TPO30" s="822"/>
      <c r="TPP30" s="822"/>
      <c r="TPQ30" s="822"/>
      <c r="TPR30" s="822"/>
      <c r="TPS30" s="822"/>
      <c r="TPT30" s="822"/>
      <c r="TPU30" s="822"/>
      <c r="TPV30" s="822"/>
      <c r="TPW30" s="822"/>
      <c r="TPX30" s="822"/>
      <c r="TPY30" s="822"/>
      <c r="TPZ30" s="822"/>
      <c r="TQA30" s="822"/>
      <c r="TQB30" s="822"/>
      <c r="TQC30" s="822"/>
      <c r="TQD30" s="822"/>
      <c r="TQE30" s="822"/>
      <c r="TQF30" s="822"/>
      <c r="TQG30" s="822"/>
      <c r="TQH30" s="822"/>
      <c r="TQI30" s="822"/>
      <c r="TQJ30" s="822"/>
      <c r="TQK30" s="822"/>
      <c r="TQL30" s="822"/>
      <c r="TQM30" s="822"/>
      <c r="TQN30" s="822"/>
      <c r="TQO30" s="822"/>
      <c r="TQP30" s="822"/>
      <c r="TQQ30" s="822"/>
      <c r="TQR30" s="822"/>
      <c r="TQS30" s="822"/>
      <c r="TQT30" s="822"/>
      <c r="TQU30" s="822"/>
      <c r="TQV30" s="822"/>
      <c r="TQW30" s="822"/>
      <c r="TQX30" s="822"/>
      <c r="TQY30" s="822"/>
      <c r="TQZ30" s="822"/>
      <c r="TRA30" s="822"/>
      <c r="TRB30" s="822"/>
      <c r="TRC30" s="822"/>
      <c r="TRD30" s="822"/>
      <c r="TRE30" s="822"/>
      <c r="TRF30" s="822"/>
      <c r="TRG30" s="822"/>
      <c r="TRH30" s="822"/>
      <c r="TRI30" s="822"/>
      <c r="TRJ30" s="822"/>
      <c r="TRK30" s="822"/>
      <c r="TRL30" s="822"/>
      <c r="TRM30" s="822"/>
      <c r="TRN30" s="822"/>
      <c r="TRO30" s="822"/>
      <c r="TRP30" s="822"/>
      <c r="TRQ30" s="822"/>
      <c r="TRR30" s="822"/>
      <c r="TRS30" s="822"/>
      <c r="TRT30" s="822"/>
      <c r="TRU30" s="822"/>
      <c r="TRV30" s="822"/>
      <c r="TRW30" s="822"/>
      <c r="TRX30" s="822"/>
      <c r="TRY30" s="822"/>
      <c r="TRZ30" s="822"/>
      <c r="TSA30" s="822"/>
      <c r="TSB30" s="822"/>
      <c r="TSC30" s="822"/>
      <c r="TSD30" s="822"/>
      <c r="TSE30" s="822"/>
      <c r="TSF30" s="822"/>
      <c r="TSG30" s="822"/>
      <c r="TSH30" s="822"/>
      <c r="TSI30" s="822"/>
      <c r="TSJ30" s="822"/>
      <c r="TSK30" s="822"/>
      <c r="TSL30" s="822"/>
      <c r="TSM30" s="822"/>
      <c r="TSN30" s="822"/>
      <c r="TSO30" s="822"/>
      <c r="TSP30" s="822"/>
      <c r="TSQ30" s="822"/>
      <c r="TSR30" s="822"/>
      <c r="TSS30" s="822"/>
      <c r="TST30" s="822"/>
      <c r="TSU30" s="822"/>
      <c r="TSV30" s="822"/>
      <c r="TSW30" s="822"/>
      <c r="TSX30" s="822"/>
      <c r="TSY30" s="822"/>
      <c r="TSZ30" s="822"/>
      <c r="TTA30" s="822"/>
      <c r="TTB30" s="822"/>
      <c r="TTC30" s="822"/>
      <c r="TTD30" s="822"/>
      <c r="TTE30" s="822"/>
      <c r="TTF30" s="822"/>
      <c r="TTG30" s="822"/>
      <c r="TTH30" s="822"/>
      <c r="TTI30" s="822"/>
      <c r="TTJ30" s="822"/>
      <c r="TTK30" s="822"/>
      <c r="TTL30" s="822"/>
      <c r="TTM30" s="822"/>
      <c r="TTN30" s="822"/>
      <c r="TTO30" s="822"/>
      <c r="TTP30" s="822"/>
      <c r="TTQ30" s="822"/>
      <c r="TTR30" s="822"/>
      <c r="TTS30" s="822"/>
      <c r="TTT30" s="822"/>
      <c r="TTU30" s="822"/>
      <c r="TTV30" s="822"/>
      <c r="TTW30" s="822"/>
      <c r="TTX30" s="822"/>
      <c r="TTY30" s="822"/>
      <c r="TTZ30" s="822"/>
      <c r="TUA30" s="822"/>
      <c r="TUB30" s="822"/>
      <c r="TUC30" s="822"/>
      <c r="TUD30" s="822"/>
      <c r="TUE30" s="822"/>
      <c r="TUF30" s="822"/>
      <c r="TUG30" s="822"/>
      <c r="TUH30" s="822"/>
      <c r="TUI30" s="822"/>
      <c r="TUJ30" s="822"/>
      <c r="TUK30" s="822"/>
      <c r="TUL30" s="822"/>
      <c r="TUM30" s="822"/>
      <c r="TUN30" s="822"/>
      <c r="TUO30" s="822"/>
      <c r="TUP30" s="822"/>
      <c r="TUQ30" s="822"/>
      <c r="TUR30" s="822"/>
      <c r="TUS30" s="822"/>
      <c r="TUT30" s="822"/>
      <c r="TUU30" s="822"/>
      <c r="TUV30" s="822"/>
      <c r="TUW30" s="822"/>
      <c r="TUX30" s="822"/>
      <c r="TUY30" s="822"/>
      <c r="TUZ30" s="822"/>
      <c r="TVA30" s="822"/>
      <c r="TVB30" s="822"/>
      <c r="TVC30" s="822"/>
      <c r="TVD30" s="822"/>
      <c r="TVE30" s="822"/>
      <c r="TVF30" s="822"/>
      <c r="TVG30" s="822"/>
      <c r="TVH30" s="822"/>
      <c r="TVI30" s="822"/>
      <c r="TVJ30" s="822"/>
      <c r="TVK30" s="822"/>
      <c r="TVL30" s="822"/>
      <c r="TVM30" s="822"/>
      <c r="TVN30" s="822"/>
      <c r="TVO30" s="822"/>
      <c r="TVP30" s="822"/>
      <c r="TVQ30" s="822"/>
      <c r="TVR30" s="822"/>
      <c r="TVS30" s="822"/>
      <c r="TVT30" s="822"/>
      <c r="TVU30" s="822"/>
      <c r="TVV30" s="822"/>
      <c r="TVW30" s="822"/>
      <c r="TVX30" s="822"/>
      <c r="TVY30" s="822"/>
      <c r="TVZ30" s="822"/>
      <c r="TWA30" s="822"/>
      <c r="TWB30" s="822"/>
      <c r="TWC30" s="822"/>
      <c r="TWD30" s="822"/>
      <c r="TWE30" s="822"/>
      <c r="TWF30" s="822"/>
      <c r="TWG30" s="822"/>
      <c r="TWH30" s="822"/>
      <c r="TWI30" s="822"/>
      <c r="TWJ30" s="822"/>
      <c r="TWK30" s="822"/>
      <c r="TWL30" s="822"/>
      <c r="TWM30" s="822"/>
      <c r="TWN30" s="822"/>
      <c r="TWO30" s="822"/>
      <c r="TWP30" s="822"/>
      <c r="TWQ30" s="822"/>
      <c r="TWR30" s="822"/>
      <c r="TWS30" s="822"/>
      <c r="TWT30" s="822"/>
      <c r="TWU30" s="822"/>
      <c r="TWV30" s="822"/>
      <c r="TWW30" s="822"/>
      <c r="TWX30" s="822"/>
      <c r="TWY30" s="822"/>
      <c r="TWZ30" s="822"/>
      <c r="TXA30" s="822"/>
      <c r="TXB30" s="822"/>
      <c r="TXC30" s="822"/>
      <c r="TXD30" s="822"/>
      <c r="TXE30" s="822"/>
      <c r="TXF30" s="822"/>
      <c r="TXG30" s="822"/>
      <c r="TXH30" s="822"/>
      <c r="TXI30" s="822"/>
      <c r="TXJ30" s="822"/>
      <c r="TXK30" s="822"/>
      <c r="TXL30" s="822"/>
      <c r="TXM30" s="822"/>
      <c r="TXN30" s="822"/>
      <c r="TXO30" s="822"/>
      <c r="TXP30" s="822"/>
      <c r="TXQ30" s="822"/>
      <c r="TXR30" s="822"/>
      <c r="TXS30" s="822"/>
      <c r="TXT30" s="822"/>
      <c r="TXU30" s="822"/>
      <c r="TXV30" s="822"/>
      <c r="TXW30" s="822"/>
      <c r="TXX30" s="822"/>
      <c r="TXY30" s="822"/>
      <c r="TXZ30" s="822"/>
      <c r="TYA30" s="822"/>
      <c r="TYB30" s="822"/>
      <c r="TYC30" s="822"/>
      <c r="TYD30" s="822"/>
      <c r="TYE30" s="822"/>
      <c r="TYF30" s="822"/>
      <c r="TYG30" s="822"/>
      <c r="TYH30" s="822"/>
      <c r="TYI30" s="822"/>
      <c r="TYJ30" s="822"/>
      <c r="TYK30" s="822"/>
      <c r="TYL30" s="822"/>
      <c r="TYM30" s="822"/>
      <c r="TYN30" s="822"/>
      <c r="TYO30" s="822"/>
      <c r="TYP30" s="822"/>
      <c r="TYQ30" s="822"/>
      <c r="TYR30" s="822"/>
      <c r="TYS30" s="822"/>
      <c r="TYT30" s="822"/>
      <c r="TYU30" s="822"/>
      <c r="TYV30" s="822"/>
      <c r="TYW30" s="822"/>
      <c r="TYX30" s="822"/>
      <c r="TYY30" s="822"/>
      <c r="TYZ30" s="822"/>
      <c r="TZA30" s="822"/>
      <c r="TZB30" s="822"/>
      <c r="TZC30" s="822"/>
      <c r="TZD30" s="822"/>
      <c r="TZE30" s="822"/>
      <c r="TZF30" s="822"/>
      <c r="TZG30" s="822"/>
      <c r="TZH30" s="822"/>
      <c r="TZI30" s="822"/>
      <c r="TZJ30" s="822"/>
      <c r="TZK30" s="822"/>
      <c r="TZL30" s="822"/>
      <c r="TZM30" s="822"/>
      <c r="TZN30" s="822"/>
      <c r="TZO30" s="822"/>
      <c r="TZP30" s="822"/>
      <c r="TZQ30" s="822"/>
      <c r="TZR30" s="822"/>
      <c r="TZS30" s="822"/>
      <c r="TZT30" s="822"/>
      <c r="TZU30" s="822"/>
      <c r="TZV30" s="822"/>
      <c r="TZW30" s="822"/>
      <c r="TZX30" s="822"/>
      <c r="TZY30" s="822"/>
      <c r="TZZ30" s="822"/>
      <c r="UAA30" s="822"/>
      <c r="UAB30" s="822"/>
      <c r="UAC30" s="822"/>
      <c r="UAD30" s="822"/>
      <c r="UAE30" s="822"/>
      <c r="UAF30" s="822"/>
      <c r="UAG30" s="822"/>
      <c r="UAH30" s="822"/>
      <c r="UAI30" s="822"/>
      <c r="UAJ30" s="822"/>
      <c r="UAK30" s="822"/>
      <c r="UAL30" s="822"/>
      <c r="UAM30" s="822"/>
      <c r="UAN30" s="822"/>
      <c r="UAO30" s="822"/>
      <c r="UAP30" s="822"/>
      <c r="UAQ30" s="822"/>
      <c r="UAR30" s="822"/>
      <c r="UAS30" s="822"/>
      <c r="UAT30" s="822"/>
      <c r="UAU30" s="822"/>
      <c r="UAV30" s="822"/>
      <c r="UAW30" s="822"/>
      <c r="UAX30" s="822"/>
      <c r="UAY30" s="822"/>
      <c r="UAZ30" s="822"/>
      <c r="UBA30" s="822"/>
      <c r="UBB30" s="822"/>
      <c r="UBC30" s="822"/>
      <c r="UBD30" s="822"/>
      <c r="UBE30" s="822"/>
      <c r="UBF30" s="822"/>
      <c r="UBG30" s="822"/>
      <c r="UBH30" s="822"/>
      <c r="UBI30" s="822"/>
      <c r="UBJ30" s="822"/>
      <c r="UBK30" s="822"/>
      <c r="UBL30" s="822"/>
      <c r="UBM30" s="822"/>
      <c r="UBN30" s="822"/>
      <c r="UBO30" s="822"/>
      <c r="UBP30" s="822"/>
      <c r="UBQ30" s="822"/>
      <c r="UBR30" s="822"/>
      <c r="UBS30" s="822"/>
      <c r="UBT30" s="822"/>
      <c r="UBU30" s="822"/>
      <c r="UBV30" s="822"/>
      <c r="UBW30" s="822"/>
      <c r="UBX30" s="822"/>
      <c r="UBY30" s="822"/>
      <c r="UBZ30" s="822"/>
      <c r="UCA30" s="822"/>
      <c r="UCB30" s="822"/>
      <c r="UCC30" s="822"/>
      <c r="UCD30" s="822"/>
      <c r="UCE30" s="822"/>
      <c r="UCF30" s="822"/>
      <c r="UCG30" s="822"/>
      <c r="UCH30" s="822"/>
      <c r="UCI30" s="822"/>
      <c r="UCJ30" s="822"/>
      <c r="UCK30" s="822"/>
      <c r="UCL30" s="822"/>
      <c r="UCM30" s="822"/>
      <c r="UCN30" s="822"/>
      <c r="UCO30" s="822"/>
      <c r="UCP30" s="822"/>
      <c r="UCQ30" s="822"/>
      <c r="UCR30" s="822"/>
      <c r="UCS30" s="822"/>
      <c r="UCT30" s="822"/>
      <c r="UCU30" s="822"/>
      <c r="UCV30" s="822"/>
      <c r="UCW30" s="822"/>
      <c r="UCX30" s="822"/>
      <c r="UCY30" s="822"/>
      <c r="UCZ30" s="822"/>
      <c r="UDA30" s="822"/>
      <c r="UDB30" s="822"/>
      <c r="UDC30" s="822"/>
      <c r="UDD30" s="822"/>
      <c r="UDE30" s="822"/>
      <c r="UDF30" s="822"/>
      <c r="UDG30" s="822"/>
      <c r="UDH30" s="822"/>
      <c r="UDI30" s="822"/>
      <c r="UDJ30" s="822"/>
      <c r="UDK30" s="822"/>
      <c r="UDL30" s="822"/>
      <c r="UDM30" s="822"/>
      <c r="UDN30" s="822"/>
      <c r="UDO30" s="822"/>
      <c r="UDP30" s="822"/>
      <c r="UDQ30" s="822"/>
      <c r="UDR30" s="822"/>
      <c r="UDS30" s="822"/>
      <c r="UDT30" s="822"/>
      <c r="UDU30" s="822"/>
      <c r="UDV30" s="822"/>
      <c r="UDW30" s="822"/>
      <c r="UDX30" s="822"/>
      <c r="UDY30" s="822"/>
      <c r="UDZ30" s="822"/>
      <c r="UEA30" s="822"/>
      <c r="UEB30" s="822"/>
      <c r="UEC30" s="822"/>
      <c r="UED30" s="822"/>
      <c r="UEE30" s="822"/>
      <c r="UEF30" s="822"/>
      <c r="UEG30" s="822"/>
      <c r="UEH30" s="822"/>
      <c r="UEI30" s="822"/>
      <c r="UEJ30" s="822"/>
      <c r="UEK30" s="822"/>
      <c r="UEL30" s="822"/>
      <c r="UEM30" s="822"/>
      <c r="UEN30" s="822"/>
      <c r="UEO30" s="822"/>
      <c r="UEP30" s="822"/>
      <c r="UEQ30" s="822"/>
      <c r="UER30" s="822"/>
      <c r="UES30" s="822"/>
      <c r="UET30" s="822"/>
      <c r="UEU30" s="822"/>
      <c r="UEV30" s="822"/>
      <c r="UEW30" s="822"/>
      <c r="UEX30" s="822"/>
      <c r="UEY30" s="822"/>
      <c r="UEZ30" s="822"/>
      <c r="UFA30" s="822"/>
      <c r="UFB30" s="822"/>
      <c r="UFC30" s="822"/>
      <c r="UFD30" s="822"/>
      <c r="UFE30" s="822"/>
      <c r="UFF30" s="822"/>
      <c r="UFG30" s="822"/>
      <c r="UFH30" s="822"/>
      <c r="UFI30" s="822"/>
      <c r="UFJ30" s="822"/>
      <c r="UFK30" s="822"/>
      <c r="UFL30" s="822"/>
      <c r="UFM30" s="822"/>
      <c r="UFN30" s="822"/>
      <c r="UFO30" s="822"/>
      <c r="UFP30" s="822"/>
      <c r="UFQ30" s="822"/>
      <c r="UFR30" s="822"/>
      <c r="UFS30" s="822"/>
      <c r="UFT30" s="822"/>
      <c r="UFU30" s="822"/>
      <c r="UFV30" s="822"/>
      <c r="UFW30" s="822"/>
      <c r="UFX30" s="822"/>
      <c r="UFY30" s="822"/>
      <c r="UFZ30" s="822"/>
      <c r="UGA30" s="822"/>
      <c r="UGB30" s="822"/>
      <c r="UGC30" s="822"/>
      <c r="UGD30" s="822"/>
      <c r="UGE30" s="822"/>
      <c r="UGF30" s="822"/>
      <c r="UGG30" s="822"/>
      <c r="UGH30" s="822"/>
      <c r="UGI30" s="822"/>
      <c r="UGJ30" s="822"/>
      <c r="UGK30" s="822"/>
      <c r="UGL30" s="822"/>
      <c r="UGM30" s="822"/>
      <c r="UGN30" s="822"/>
      <c r="UGO30" s="822"/>
      <c r="UGP30" s="822"/>
      <c r="UGQ30" s="822"/>
      <c r="UGR30" s="822"/>
      <c r="UGS30" s="822"/>
      <c r="UGT30" s="822"/>
      <c r="UGU30" s="822"/>
      <c r="UGV30" s="822"/>
      <c r="UGW30" s="822"/>
      <c r="UGX30" s="822"/>
      <c r="UGY30" s="822"/>
      <c r="UGZ30" s="822"/>
      <c r="UHA30" s="822"/>
      <c r="UHB30" s="822"/>
      <c r="UHC30" s="822"/>
      <c r="UHD30" s="822"/>
      <c r="UHE30" s="822"/>
      <c r="UHF30" s="822"/>
      <c r="UHG30" s="822"/>
      <c r="UHH30" s="822"/>
      <c r="UHI30" s="822"/>
      <c r="UHJ30" s="822"/>
      <c r="UHK30" s="822"/>
      <c r="UHL30" s="822"/>
      <c r="UHM30" s="822"/>
      <c r="UHN30" s="822"/>
      <c r="UHO30" s="822"/>
      <c r="UHP30" s="822"/>
      <c r="UHQ30" s="822"/>
      <c r="UHR30" s="822"/>
      <c r="UHS30" s="822"/>
      <c r="UHT30" s="822"/>
      <c r="UHU30" s="822"/>
      <c r="UHV30" s="822"/>
      <c r="UHW30" s="822"/>
      <c r="UHX30" s="822"/>
      <c r="UHY30" s="822"/>
      <c r="UHZ30" s="822"/>
      <c r="UIA30" s="822"/>
      <c r="UIB30" s="822"/>
      <c r="UIC30" s="822"/>
      <c r="UID30" s="822"/>
      <c r="UIE30" s="822"/>
      <c r="UIF30" s="822"/>
      <c r="UIG30" s="822"/>
      <c r="UIH30" s="822"/>
      <c r="UII30" s="822"/>
      <c r="UIJ30" s="822"/>
      <c r="UIK30" s="822"/>
      <c r="UIL30" s="822"/>
      <c r="UIM30" s="822"/>
      <c r="UIN30" s="822"/>
      <c r="UIO30" s="822"/>
      <c r="UIP30" s="822"/>
      <c r="UIQ30" s="822"/>
      <c r="UIR30" s="822"/>
      <c r="UIS30" s="822"/>
      <c r="UIT30" s="822"/>
      <c r="UIU30" s="822"/>
      <c r="UIV30" s="822"/>
      <c r="UIW30" s="822"/>
      <c r="UIX30" s="822"/>
      <c r="UIY30" s="822"/>
      <c r="UIZ30" s="822"/>
      <c r="UJA30" s="822"/>
      <c r="UJB30" s="822"/>
      <c r="UJC30" s="822"/>
      <c r="UJD30" s="822"/>
      <c r="UJE30" s="822"/>
      <c r="UJF30" s="822"/>
      <c r="UJG30" s="822"/>
      <c r="UJH30" s="822"/>
      <c r="UJI30" s="822"/>
      <c r="UJJ30" s="822"/>
      <c r="UJK30" s="822"/>
      <c r="UJL30" s="822"/>
      <c r="UJM30" s="822"/>
      <c r="UJN30" s="822"/>
      <c r="UJO30" s="822"/>
      <c r="UJP30" s="822"/>
      <c r="UJQ30" s="822"/>
      <c r="UJR30" s="822"/>
      <c r="UJS30" s="822"/>
      <c r="UJT30" s="822"/>
      <c r="UJU30" s="822"/>
      <c r="UJV30" s="822"/>
      <c r="UJW30" s="822"/>
      <c r="UJX30" s="822"/>
      <c r="UJY30" s="822"/>
      <c r="UJZ30" s="822"/>
      <c r="UKA30" s="822"/>
      <c r="UKB30" s="822"/>
      <c r="UKC30" s="822"/>
      <c r="UKD30" s="822"/>
      <c r="UKE30" s="822"/>
      <c r="UKF30" s="822"/>
      <c r="UKG30" s="822"/>
      <c r="UKH30" s="822"/>
      <c r="UKI30" s="822"/>
      <c r="UKJ30" s="822"/>
      <c r="UKK30" s="822"/>
      <c r="UKL30" s="822"/>
      <c r="UKM30" s="822"/>
      <c r="UKN30" s="822"/>
      <c r="UKO30" s="822"/>
      <c r="UKP30" s="822"/>
      <c r="UKQ30" s="822"/>
      <c r="UKR30" s="822"/>
      <c r="UKS30" s="822"/>
      <c r="UKT30" s="822"/>
      <c r="UKU30" s="822"/>
      <c r="UKV30" s="822"/>
      <c r="UKW30" s="822"/>
      <c r="UKX30" s="822"/>
      <c r="UKY30" s="822"/>
      <c r="UKZ30" s="822"/>
      <c r="ULA30" s="822"/>
      <c r="ULB30" s="822"/>
      <c r="ULC30" s="822"/>
      <c r="ULD30" s="822"/>
      <c r="ULE30" s="822"/>
      <c r="ULF30" s="822"/>
      <c r="ULG30" s="822"/>
      <c r="ULH30" s="822"/>
      <c r="ULI30" s="822"/>
      <c r="ULJ30" s="822"/>
      <c r="ULK30" s="822"/>
      <c r="ULL30" s="822"/>
      <c r="ULM30" s="822"/>
      <c r="ULN30" s="822"/>
      <c r="ULO30" s="822"/>
      <c r="ULP30" s="822"/>
      <c r="ULQ30" s="822"/>
      <c r="ULR30" s="822"/>
      <c r="ULS30" s="822"/>
      <c r="ULT30" s="822"/>
      <c r="ULU30" s="822"/>
      <c r="ULV30" s="822"/>
      <c r="ULW30" s="822"/>
      <c r="ULX30" s="822"/>
      <c r="ULY30" s="822"/>
      <c r="ULZ30" s="822"/>
      <c r="UMA30" s="822"/>
      <c r="UMB30" s="822"/>
      <c r="UMC30" s="822"/>
      <c r="UMD30" s="822"/>
      <c r="UME30" s="822"/>
      <c r="UMF30" s="822"/>
      <c r="UMG30" s="822"/>
      <c r="UMH30" s="822"/>
      <c r="UMI30" s="822"/>
      <c r="UMJ30" s="822"/>
      <c r="UMK30" s="822"/>
      <c r="UML30" s="822"/>
      <c r="UMM30" s="822"/>
      <c r="UMN30" s="822"/>
      <c r="UMO30" s="822"/>
      <c r="UMP30" s="822"/>
      <c r="UMQ30" s="822"/>
      <c r="UMR30" s="822"/>
      <c r="UMS30" s="822"/>
      <c r="UMT30" s="822"/>
      <c r="UMU30" s="822"/>
      <c r="UMV30" s="822"/>
      <c r="UMW30" s="822"/>
      <c r="UMX30" s="822"/>
      <c r="UMY30" s="822"/>
      <c r="UMZ30" s="822"/>
      <c r="UNA30" s="822"/>
      <c r="UNB30" s="822"/>
      <c r="UNC30" s="822"/>
      <c r="UND30" s="822"/>
      <c r="UNE30" s="822"/>
      <c r="UNF30" s="822"/>
      <c r="UNG30" s="822"/>
      <c r="UNH30" s="822"/>
      <c r="UNI30" s="822"/>
      <c r="UNJ30" s="822"/>
      <c r="UNK30" s="822"/>
      <c r="UNL30" s="822"/>
      <c r="UNM30" s="822"/>
      <c r="UNN30" s="822"/>
      <c r="UNO30" s="822"/>
      <c r="UNP30" s="822"/>
      <c r="UNQ30" s="822"/>
      <c r="UNR30" s="822"/>
      <c r="UNS30" s="822"/>
      <c r="UNT30" s="822"/>
      <c r="UNU30" s="822"/>
      <c r="UNV30" s="822"/>
      <c r="UNW30" s="822"/>
      <c r="UNX30" s="822"/>
      <c r="UNY30" s="822"/>
      <c r="UNZ30" s="822"/>
      <c r="UOA30" s="822"/>
      <c r="UOB30" s="822"/>
      <c r="UOC30" s="822"/>
      <c r="UOD30" s="822"/>
      <c r="UOE30" s="822"/>
      <c r="UOF30" s="822"/>
      <c r="UOG30" s="822"/>
      <c r="UOH30" s="822"/>
      <c r="UOI30" s="822"/>
      <c r="UOJ30" s="822"/>
      <c r="UOK30" s="822"/>
      <c r="UOL30" s="822"/>
      <c r="UOM30" s="822"/>
      <c r="UON30" s="822"/>
      <c r="UOO30" s="822"/>
      <c r="UOP30" s="822"/>
      <c r="UOQ30" s="822"/>
      <c r="UOR30" s="822"/>
      <c r="UOS30" s="822"/>
      <c r="UOT30" s="822"/>
      <c r="UOU30" s="822"/>
      <c r="UOV30" s="822"/>
      <c r="UOW30" s="822"/>
      <c r="UOX30" s="822"/>
      <c r="UOY30" s="822"/>
      <c r="UOZ30" s="822"/>
      <c r="UPA30" s="822"/>
      <c r="UPB30" s="822"/>
      <c r="UPC30" s="822"/>
      <c r="UPD30" s="822"/>
      <c r="UPE30" s="822"/>
      <c r="UPF30" s="822"/>
      <c r="UPG30" s="822"/>
      <c r="UPH30" s="822"/>
      <c r="UPI30" s="822"/>
      <c r="UPJ30" s="822"/>
      <c r="UPK30" s="822"/>
      <c r="UPL30" s="822"/>
      <c r="UPM30" s="822"/>
      <c r="UPN30" s="822"/>
      <c r="UPO30" s="822"/>
      <c r="UPP30" s="822"/>
      <c r="UPQ30" s="822"/>
      <c r="UPR30" s="822"/>
      <c r="UPS30" s="822"/>
      <c r="UPT30" s="822"/>
      <c r="UPU30" s="822"/>
      <c r="UPV30" s="822"/>
      <c r="UPW30" s="822"/>
      <c r="UPX30" s="822"/>
      <c r="UPY30" s="822"/>
      <c r="UPZ30" s="822"/>
      <c r="UQA30" s="822"/>
      <c r="UQB30" s="822"/>
      <c r="UQC30" s="822"/>
      <c r="UQD30" s="822"/>
      <c r="UQE30" s="822"/>
      <c r="UQF30" s="822"/>
      <c r="UQG30" s="822"/>
      <c r="UQH30" s="822"/>
      <c r="UQI30" s="822"/>
      <c r="UQJ30" s="822"/>
      <c r="UQK30" s="822"/>
      <c r="UQL30" s="822"/>
      <c r="UQM30" s="822"/>
      <c r="UQN30" s="822"/>
      <c r="UQO30" s="822"/>
      <c r="UQP30" s="822"/>
      <c r="UQQ30" s="822"/>
      <c r="UQR30" s="822"/>
      <c r="UQS30" s="822"/>
      <c r="UQT30" s="822"/>
      <c r="UQU30" s="822"/>
      <c r="UQV30" s="822"/>
      <c r="UQW30" s="822"/>
      <c r="UQX30" s="822"/>
      <c r="UQY30" s="822"/>
      <c r="UQZ30" s="822"/>
      <c r="URA30" s="822"/>
      <c r="URB30" s="822"/>
      <c r="URC30" s="822"/>
      <c r="URD30" s="822"/>
      <c r="URE30" s="822"/>
      <c r="URF30" s="822"/>
      <c r="URG30" s="822"/>
      <c r="URH30" s="822"/>
      <c r="URI30" s="822"/>
      <c r="URJ30" s="822"/>
      <c r="URK30" s="822"/>
      <c r="URL30" s="822"/>
      <c r="URM30" s="822"/>
      <c r="URN30" s="822"/>
      <c r="URO30" s="822"/>
      <c r="URP30" s="822"/>
      <c r="URQ30" s="822"/>
      <c r="URR30" s="822"/>
      <c r="URS30" s="822"/>
      <c r="URT30" s="822"/>
      <c r="URU30" s="822"/>
      <c r="URV30" s="822"/>
      <c r="URW30" s="822"/>
      <c r="URX30" s="822"/>
      <c r="URY30" s="822"/>
      <c r="URZ30" s="822"/>
      <c r="USA30" s="822"/>
      <c r="USB30" s="822"/>
      <c r="USC30" s="822"/>
      <c r="USD30" s="822"/>
      <c r="USE30" s="822"/>
      <c r="USF30" s="822"/>
      <c r="USG30" s="822"/>
      <c r="USH30" s="822"/>
      <c r="USI30" s="822"/>
      <c r="USJ30" s="822"/>
      <c r="USK30" s="822"/>
      <c r="USL30" s="822"/>
      <c r="USM30" s="822"/>
      <c r="USN30" s="822"/>
      <c r="USO30" s="822"/>
      <c r="USP30" s="822"/>
      <c r="USQ30" s="822"/>
      <c r="USR30" s="822"/>
      <c r="USS30" s="822"/>
      <c r="UST30" s="822"/>
      <c r="USU30" s="822"/>
      <c r="USV30" s="822"/>
      <c r="USW30" s="822"/>
      <c r="USX30" s="822"/>
      <c r="USY30" s="822"/>
      <c r="USZ30" s="822"/>
      <c r="UTA30" s="822"/>
      <c r="UTB30" s="822"/>
      <c r="UTC30" s="822"/>
      <c r="UTD30" s="822"/>
      <c r="UTE30" s="822"/>
      <c r="UTF30" s="822"/>
      <c r="UTG30" s="822"/>
      <c r="UTH30" s="822"/>
      <c r="UTI30" s="822"/>
      <c r="UTJ30" s="822"/>
      <c r="UTK30" s="822"/>
      <c r="UTL30" s="822"/>
      <c r="UTM30" s="822"/>
      <c r="UTN30" s="822"/>
      <c r="UTO30" s="822"/>
      <c r="UTP30" s="822"/>
      <c r="UTQ30" s="822"/>
      <c r="UTR30" s="822"/>
      <c r="UTS30" s="822"/>
      <c r="UTT30" s="822"/>
      <c r="UTU30" s="822"/>
      <c r="UTV30" s="822"/>
      <c r="UTW30" s="822"/>
      <c r="UTX30" s="822"/>
      <c r="UTY30" s="822"/>
      <c r="UTZ30" s="822"/>
      <c r="UUA30" s="822"/>
      <c r="UUB30" s="822"/>
      <c r="UUC30" s="822"/>
      <c r="UUD30" s="822"/>
      <c r="UUE30" s="822"/>
      <c r="UUF30" s="822"/>
      <c r="UUG30" s="822"/>
      <c r="UUH30" s="822"/>
      <c r="UUI30" s="822"/>
      <c r="UUJ30" s="822"/>
      <c r="UUK30" s="822"/>
      <c r="UUL30" s="822"/>
      <c r="UUM30" s="822"/>
      <c r="UUN30" s="822"/>
      <c r="UUO30" s="822"/>
      <c r="UUP30" s="822"/>
      <c r="UUQ30" s="822"/>
      <c r="UUR30" s="822"/>
      <c r="UUS30" s="822"/>
      <c r="UUT30" s="822"/>
      <c r="UUU30" s="822"/>
      <c r="UUV30" s="822"/>
      <c r="UUW30" s="822"/>
      <c r="UUX30" s="822"/>
      <c r="UUY30" s="822"/>
      <c r="UUZ30" s="822"/>
      <c r="UVA30" s="822"/>
      <c r="UVB30" s="822"/>
      <c r="UVC30" s="822"/>
      <c r="UVD30" s="822"/>
      <c r="UVE30" s="822"/>
      <c r="UVF30" s="822"/>
      <c r="UVG30" s="822"/>
      <c r="UVH30" s="822"/>
      <c r="UVI30" s="822"/>
      <c r="UVJ30" s="822"/>
      <c r="UVK30" s="822"/>
      <c r="UVL30" s="822"/>
      <c r="UVM30" s="822"/>
      <c r="UVN30" s="822"/>
      <c r="UVO30" s="822"/>
      <c r="UVP30" s="822"/>
      <c r="UVQ30" s="822"/>
      <c r="UVR30" s="822"/>
      <c r="UVS30" s="822"/>
      <c r="UVT30" s="822"/>
      <c r="UVU30" s="822"/>
      <c r="UVV30" s="822"/>
      <c r="UVW30" s="822"/>
      <c r="UVX30" s="822"/>
      <c r="UVY30" s="822"/>
      <c r="UVZ30" s="822"/>
      <c r="UWA30" s="822"/>
      <c r="UWB30" s="822"/>
      <c r="UWC30" s="822"/>
      <c r="UWD30" s="822"/>
      <c r="UWE30" s="822"/>
      <c r="UWF30" s="822"/>
      <c r="UWG30" s="822"/>
      <c r="UWH30" s="822"/>
      <c r="UWI30" s="822"/>
      <c r="UWJ30" s="822"/>
      <c r="UWK30" s="822"/>
      <c r="UWL30" s="822"/>
      <c r="UWM30" s="822"/>
      <c r="UWN30" s="822"/>
      <c r="UWO30" s="822"/>
      <c r="UWP30" s="822"/>
      <c r="UWQ30" s="822"/>
      <c r="UWR30" s="822"/>
      <c r="UWS30" s="822"/>
      <c r="UWT30" s="822"/>
      <c r="UWU30" s="822"/>
      <c r="UWV30" s="822"/>
      <c r="UWW30" s="822"/>
      <c r="UWX30" s="822"/>
      <c r="UWY30" s="822"/>
      <c r="UWZ30" s="822"/>
      <c r="UXA30" s="822"/>
      <c r="UXB30" s="822"/>
      <c r="UXC30" s="822"/>
      <c r="UXD30" s="822"/>
      <c r="UXE30" s="822"/>
      <c r="UXF30" s="822"/>
      <c r="UXG30" s="822"/>
      <c r="UXH30" s="822"/>
      <c r="UXI30" s="822"/>
      <c r="UXJ30" s="822"/>
      <c r="UXK30" s="822"/>
      <c r="UXL30" s="822"/>
      <c r="UXM30" s="822"/>
      <c r="UXN30" s="822"/>
      <c r="UXO30" s="822"/>
      <c r="UXP30" s="822"/>
      <c r="UXQ30" s="822"/>
      <c r="UXR30" s="822"/>
      <c r="UXS30" s="822"/>
      <c r="UXT30" s="822"/>
      <c r="UXU30" s="822"/>
      <c r="UXV30" s="822"/>
      <c r="UXW30" s="822"/>
      <c r="UXX30" s="822"/>
      <c r="UXY30" s="822"/>
      <c r="UXZ30" s="822"/>
      <c r="UYA30" s="822"/>
      <c r="UYB30" s="822"/>
      <c r="UYC30" s="822"/>
      <c r="UYD30" s="822"/>
      <c r="UYE30" s="822"/>
      <c r="UYF30" s="822"/>
      <c r="UYG30" s="822"/>
      <c r="UYH30" s="822"/>
      <c r="UYI30" s="822"/>
      <c r="UYJ30" s="822"/>
      <c r="UYK30" s="822"/>
      <c r="UYL30" s="822"/>
      <c r="UYM30" s="822"/>
      <c r="UYN30" s="822"/>
      <c r="UYO30" s="822"/>
      <c r="UYP30" s="822"/>
      <c r="UYQ30" s="822"/>
      <c r="UYR30" s="822"/>
      <c r="UYS30" s="822"/>
      <c r="UYT30" s="822"/>
      <c r="UYU30" s="822"/>
      <c r="UYV30" s="822"/>
      <c r="UYW30" s="822"/>
      <c r="UYX30" s="822"/>
      <c r="UYY30" s="822"/>
      <c r="UYZ30" s="822"/>
      <c r="UZA30" s="822"/>
      <c r="UZB30" s="822"/>
      <c r="UZC30" s="822"/>
      <c r="UZD30" s="822"/>
      <c r="UZE30" s="822"/>
      <c r="UZF30" s="822"/>
      <c r="UZG30" s="822"/>
      <c r="UZH30" s="822"/>
      <c r="UZI30" s="822"/>
      <c r="UZJ30" s="822"/>
      <c r="UZK30" s="822"/>
      <c r="UZL30" s="822"/>
      <c r="UZM30" s="822"/>
      <c r="UZN30" s="822"/>
      <c r="UZO30" s="822"/>
      <c r="UZP30" s="822"/>
      <c r="UZQ30" s="822"/>
      <c r="UZR30" s="822"/>
      <c r="UZS30" s="822"/>
      <c r="UZT30" s="822"/>
      <c r="UZU30" s="822"/>
      <c r="UZV30" s="822"/>
      <c r="UZW30" s="822"/>
      <c r="UZX30" s="822"/>
      <c r="UZY30" s="822"/>
      <c r="UZZ30" s="822"/>
      <c r="VAA30" s="822"/>
      <c r="VAB30" s="822"/>
      <c r="VAC30" s="822"/>
      <c r="VAD30" s="822"/>
      <c r="VAE30" s="822"/>
      <c r="VAF30" s="822"/>
      <c r="VAG30" s="822"/>
      <c r="VAH30" s="822"/>
      <c r="VAI30" s="822"/>
      <c r="VAJ30" s="822"/>
      <c r="VAK30" s="822"/>
      <c r="VAL30" s="822"/>
      <c r="VAM30" s="822"/>
      <c r="VAN30" s="822"/>
      <c r="VAO30" s="822"/>
      <c r="VAP30" s="822"/>
      <c r="VAQ30" s="822"/>
      <c r="VAR30" s="822"/>
      <c r="VAS30" s="822"/>
      <c r="VAT30" s="822"/>
      <c r="VAU30" s="822"/>
      <c r="VAV30" s="822"/>
      <c r="VAW30" s="822"/>
      <c r="VAX30" s="822"/>
      <c r="VAY30" s="822"/>
      <c r="VAZ30" s="822"/>
      <c r="VBA30" s="822"/>
      <c r="VBB30" s="822"/>
      <c r="VBC30" s="822"/>
      <c r="VBD30" s="822"/>
      <c r="VBE30" s="822"/>
      <c r="VBF30" s="822"/>
      <c r="VBG30" s="822"/>
      <c r="VBH30" s="822"/>
      <c r="VBI30" s="822"/>
      <c r="VBJ30" s="822"/>
      <c r="VBK30" s="822"/>
      <c r="VBL30" s="822"/>
      <c r="VBM30" s="822"/>
      <c r="VBN30" s="822"/>
      <c r="VBO30" s="822"/>
      <c r="VBP30" s="822"/>
      <c r="VBQ30" s="822"/>
      <c r="VBR30" s="822"/>
      <c r="VBS30" s="822"/>
      <c r="VBT30" s="822"/>
      <c r="VBU30" s="822"/>
      <c r="VBV30" s="822"/>
      <c r="VBW30" s="822"/>
      <c r="VBX30" s="822"/>
      <c r="VBY30" s="822"/>
      <c r="VBZ30" s="822"/>
      <c r="VCA30" s="822"/>
      <c r="VCB30" s="822"/>
      <c r="VCC30" s="822"/>
      <c r="VCD30" s="822"/>
      <c r="VCE30" s="822"/>
      <c r="VCF30" s="822"/>
      <c r="VCG30" s="822"/>
      <c r="VCH30" s="822"/>
      <c r="VCI30" s="822"/>
      <c r="VCJ30" s="822"/>
      <c r="VCK30" s="822"/>
      <c r="VCL30" s="822"/>
      <c r="VCM30" s="822"/>
      <c r="VCN30" s="822"/>
      <c r="VCO30" s="822"/>
      <c r="VCP30" s="822"/>
      <c r="VCQ30" s="822"/>
      <c r="VCR30" s="822"/>
      <c r="VCS30" s="822"/>
      <c r="VCT30" s="822"/>
      <c r="VCU30" s="822"/>
      <c r="VCV30" s="822"/>
      <c r="VCW30" s="822"/>
      <c r="VCX30" s="822"/>
      <c r="VCY30" s="822"/>
      <c r="VCZ30" s="822"/>
      <c r="VDA30" s="822"/>
      <c r="VDB30" s="822"/>
      <c r="VDC30" s="822"/>
      <c r="VDD30" s="822"/>
      <c r="VDE30" s="822"/>
      <c r="VDF30" s="822"/>
      <c r="VDG30" s="822"/>
      <c r="VDH30" s="822"/>
      <c r="VDI30" s="822"/>
      <c r="VDJ30" s="822"/>
      <c r="VDK30" s="822"/>
      <c r="VDL30" s="822"/>
      <c r="VDM30" s="822"/>
      <c r="VDN30" s="822"/>
      <c r="VDO30" s="822"/>
      <c r="VDP30" s="822"/>
      <c r="VDQ30" s="822"/>
      <c r="VDR30" s="822"/>
      <c r="VDS30" s="822"/>
      <c r="VDT30" s="822"/>
      <c r="VDU30" s="822"/>
      <c r="VDV30" s="822"/>
      <c r="VDW30" s="822"/>
      <c r="VDX30" s="822"/>
      <c r="VDY30" s="822"/>
      <c r="VDZ30" s="822"/>
      <c r="VEA30" s="822"/>
      <c r="VEB30" s="822"/>
      <c r="VEC30" s="822"/>
      <c r="VED30" s="822"/>
      <c r="VEE30" s="822"/>
      <c r="VEF30" s="822"/>
      <c r="VEG30" s="822"/>
      <c r="VEH30" s="822"/>
      <c r="VEI30" s="822"/>
      <c r="VEJ30" s="822"/>
      <c r="VEK30" s="822"/>
      <c r="VEL30" s="822"/>
      <c r="VEM30" s="822"/>
      <c r="VEN30" s="822"/>
      <c r="VEO30" s="822"/>
      <c r="VEP30" s="822"/>
      <c r="VEQ30" s="822"/>
      <c r="VER30" s="822"/>
      <c r="VES30" s="822"/>
      <c r="VET30" s="822"/>
      <c r="VEU30" s="822"/>
      <c r="VEV30" s="822"/>
      <c r="VEW30" s="822"/>
      <c r="VEX30" s="822"/>
      <c r="VEY30" s="822"/>
      <c r="VEZ30" s="822"/>
      <c r="VFA30" s="822"/>
      <c r="VFB30" s="822"/>
      <c r="VFC30" s="822"/>
      <c r="VFD30" s="822"/>
      <c r="VFE30" s="822"/>
      <c r="VFF30" s="822"/>
      <c r="VFG30" s="822"/>
      <c r="VFH30" s="822"/>
      <c r="VFI30" s="822"/>
      <c r="VFJ30" s="822"/>
      <c r="VFK30" s="822"/>
      <c r="VFL30" s="822"/>
      <c r="VFM30" s="822"/>
      <c r="VFN30" s="822"/>
      <c r="VFO30" s="822"/>
      <c r="VFP30" s="822"/>
      <c r="VFQ30" s="822"/>
      <c r="VFR30" s="822"/>
      <c r="VFS30" s="822"/>
      <c r="VFT30" s="822"/>
      <c r="VFU30" s="822"/>
      <c r="VFV30" s="822"/>
      <c r="VFW30" s="822"/>
      <c r="VFX30" s="822"/>
      <c r="VFY30" s="822"/>
      <c r="VFZ30" s="822"/>
      <c r="VGA30" s="822"/>
      <c r="VGB30" s="822"/>
      <c r="VGC30" s="822"/>
      <c r="VGD30" s="822"/>
      <c r="VGE30" s="822"/>
      <c r="VGF30" s="822"/>
      <c r="VGG30" s="822"/>
      <c r="VGH30" s="822"/>
      <c r="VGI30" s="822"/>
      <c r="VGJ30" s="822"/>
      <c r="VGK30" s="822"/>
      <c r="VGL30" s="822"/>
      <c r="VGM30" s="822"/>
      <c r="VGN30" s="822"/>
      <c r="VGO30" s="822"/>
      <c r="VGP30" s="822"/>
      <c r="VGQ30" s="822"/>
      <c r="VGR30" s="822"/>
      <c r="VGS30" s="822"/>
      <c r="VGT30" s="822"/>
      <c r="VGU30" s="822"/>
      <c r="VGV30" s="822"/>
      <c r="VGW30" s="822"/>
      <c r="VGX30" s="822"/>
      <c r="VGY30" s="822"/>
      <c r="VGZ30" s="822"/>
      <c r="VHA30" s="822"/>
      <c r="VHB30" s="822"/>
      <c r="VHC30" s="822"/>
      <c r="VHD30" s="822"/>
      <c r="VHE30" s="822"/>
      <c r="VHF30" s="822"/>
      <c r="VHG30" s="822"/>
      <c r="VHH30" s="822"/>
      <c r="VHI30" s="822"/>
      <c r="VHJ30" s="822"/>
      <c r="VHK30" s="822"/>
      <c r="VHL30" s="822"/>
      <c r="VHM30" s="822"/>
      <c r="VHN30" s="822"/>
      <c r="VHO30" s="822"/>
      <c r="VHP30" s="822"/>
      <c r="VHQ30" s="822"/>
      <c r="VHR30" s="822"/>
      <c r="VHS30" s="822"/>
      <c r="VHT30" s="822"/>
      <c r="VHU30" s="822"/>
      <c r="VHV30" s="822"/>
      <c r="VHW30" s="822"/>
      <c r="VHX30" s="822"/>
      <c r="VHY30" s="822"/>
      <c r="VHZ30" s="822"/>
      <c r="VIA30" s="822"/>
      <c r="VIB30" s="822"/>
      <c r="VIC30" s="822"/>
      <c r="VID30" s="822"/>
      <c r="VIE30" s="822"/>
      <c r="VIF30" s="822"/>
      <c r="VIG30" s="822"/>
      <c r="VIH30" s="822"/>
      <c r="VII30" s="822"/>
      <c r="VIJ30" s="822"/>
      <c r="VIK30" s="822"/>
      <c r="VIL30" s="822"/>
      <c r="VIM30" s="822"/>
      <c r="VIN30" s="822"/>
      <c r="VIO30" s="822"/>
      <c r="VIP30" s="822"/>
      <c r="VIQ30" s="822"/>
      <c r="VIR30" s="822"/>
      <c r="VIS30" s="822"/>
      <c r="VIT30" s="822"/>
      <c r="VIU30" s="822"/>
      <c r="VIV30" s="822"/>
      <c r="VIW30" s="822"/>
      <c r="VIX30" s="822"/>
      <c r="VIY30" s="822"/>
      <c r="VIZ30" s="822"/>
      <c r="VJA30" s="822"/>
      <c r="VJB30" s="822"/>
      <c r="VJC30" s="822"/>
      <c r="VJD30" s="822"/>
      <c r="VJE30" s="822"/>
      <c r="VJF30" s="822"/>
      <c r="VJG30" s="822"/>
      <c r="VJH30" s="822"/>
      <c r="VJI30" s="822"/>
      <c r="VJJ30" s="822"/>
      <c r="VJK30" s="822"/>
      <c r="VJL30" s="822"/>
      <c r="VJM30" s="822"/>
      <c r="VJN30" s="822"/>
      <c r="VJO30" s="822"/>
      <c r="VJP30" s="822"/>
      <c r="VJQ30" s="822"/>
      <c r="VJR30" s="822"/>
      <c r="VJS30" s="822"/>
      <c r="VJT30" s="822"/>
      <c r="VJU30" s="822"/>
      <c r="VJV30" s="822"/>
      <c r="VJW30" s="822"/>
      <c r="VJX30" s="822"/>
      <c r="VJY30" s="822"/>
      <c r="VJZ30" s="822"/>
      <c r="VKA30" s="822"/>
      <c r="VKB30" s="822"/>
      <c r="VKC30" s="822"/>
      <c r="VKD30" s="822"/>
      <c r="VKE30" s="822"/>
      <c r="VKF30" s="822"/>
      <c r="VKG30" s="822"/>
      <c r="VKH30" s="822"/>
      <c r="VKI30" s="822"/>
      <c r="VKJ30" s="822"/>
      <c r="VKK30" s="822"/>
      <c r="VKL30" s="822"/>
      <c r="VKM30" s="822"/>
      <c r="VKN30" s="822"/>
      <c r="VKO30" s="822"/>
      <c r="VKP30" s="822"/>
      <c r="VKQ30" s="822"/>
      <c r="VKR30" s="822"/>
      <c r="VKS30" s="822"/>
      <c r="VKT30" s="822"/>
      <c r="VKU30" s="822"/>
      <c r="VKV30" s="822"/>
      <c r="VKW30" s="822"/>
      <c r="VKX30" s="822"/>
      <c r="VKY30" s="822"/>
      <c r="VKZ30" s="822"/>
      <c r="VLA30" s="822"/>
      <c r="VLB30" s="822"/>
      <c r="VLC30" s="822"/>
      <c r="VLD30" s="822"/>
      <c r="VLE30" s="822"/>
      <c r="VLF30" s="822"/>
      <c r="VLG30" s="822"/>
      <c r="VLH30" s="822"/>
      <c r="VLI30" s="822"/>
      <c r="VLJ30" s="822"/>
      <c r="VLK30" s="822"/>
      <c r="VLL30" s="822"/>
      <c r="VLM30" s="822"/>
      <c r="VLN30" s="822"/>
      <c r="VLO30" s="822"/>
      <c r="VLP30" s="822"/>
      <c r="VLQ30" s="822"/>
      <c r="VLR30" s="822"/>
      <c r="VLS30" s="822"/>
      <c r="VLT30" s="822"/>
      <c r="VLU30" s="822"/>
      <c r="VLV30" s="822"/>
      <c r="VLW30" s="822"/>
      <c r="VLX30" s="822"/>
      <c r="VLY30" s="822"/>
      <c r="VLZ30" s="822"/>
      <c r="VMA30" s="822"/>
      <c r="VMB30" s="822"/>
      <c r="VMC30" s="822"/>
      <c r="VMD30" s="822"/>
      <c r="VME30" s="822"/>
      <c r="VMF30" s="822"/>
      <c r="VMG30" s="822"/>
      <c r="VMH30" s="822"/>
      <c r="VMI30" s="822"/>
      <c r="VMJ30" s="822"/>
      <c r="VMK30" s="822"/>
      <c r="VML30" s="822"/>
      <c r="VMM30" s="822"/>
      <c r="VMN30" s="822"/>
      <c r="VMO30" s="822"/>
      <c r="VMP30" s="822"/>
      <c r="VMQ30" s="822"/>
      <c r="VMR30" s="822"/>
      <c r="VMS30" s="822"/>
      <c r="VMT30" s="822"/>
      <c r="VMU30" s="822"/>
      <c r="VMV30" s="822"/>
      <c r="VMW30" s="822"/>
      <c r="VMX30" s="822"/>
      <c r="VMY30" s="822"/>
      <c r="VMZ30" s="822"/>
      <c r="VNA30" s="822"/>
      <c r="VNB30" s="822"/>
      <c r="VNC30" s="822"/>
      <c r="VND30" s="822"/>
      <c r="VNE30" s="822"/>
      <c r="VNF30" s="822"/>
      <c r="VNG30" s="822"/>
      <c r="VNH30" s="822"/>
      <c r="VNI30" s="822"/>
      <c r="VNJ30" s="822"/>
      <c r="VNK30" s="822"/>
      <c r="VNL30" s="822"/>
      <c r="VNM30" s="822"/>
      <c r="VNN30" s="822"/>
      <c r="VNO30" s="822"/>
      <c r="VNP30" s="822"/>
      <c r="VNQ30" s="822"/>
      <c r="VNR30" s="822"/>
      <c r="VNS30" s="822"/>
      <c r="VNT30" s="822"/>
      <c r="VNU30" s="822"/>
      <c r="VNV30" s="822"/>
      <c r="VNW30" s="822"/>
      <c r="VNX30" s="822"/>
      <c r="VNY30" s="822"/>
      <c r="VNZ30" s="822"/>
      <c r="VOA30" s="822"/>
      <c r="VOB30" s="822"/>
      <c r="VOC30" s="822"/>
      <c r="VOD30" s="822"/>
      <c r="VOE30" s="822"/>
      <c r="VOF30" s="822"/>
      <c r="VOG30" s="822"/>
      <c r="VOH30" s="822"/>
      <c r="VOI30" s="822"/>
      <c r="VOJ30" s="822"/>
      <c r="VOK30" s="822"/>
      <c r="VOL30" s="822"/>
      <c r="VOM30" s="822"/>
      <c r="VON30" s="822"/>
      <c r="VOO30" s="822"/>
      <c r="VOP30" s="822"/>
      <c r="VOQ30" s="822"/>
      <c r="VOR30" s="822"/>
      <c r="VOS30" s="822"/>
      <c r="VOT30" s="822"/>
      <c r="VOU30" s="822"/>
      <c r="VOV30" s="822"/>
      <c r="VOW30" s="822"/>
      <c r="VOX30" s="822"/>
      <c r="VOY30" s="822"/>
      <c r="VOZ30" s="822"/>
      <c r="VPA30" s="822"/>
      <c r="VPB30" s="822"/>
      <c r="VPC30" s="822"/>
      <c r="VPD30" s="822"/>
      <c r="VPE30" s="822"/>
      <c r="VPF30" s="822"/>
      <c r="VPG30" s="822"/>
      <c r="VPH30" s="822"/>
      <c r="VPI30" s="822"/>
      <c r="VPJ30" s="822"/>
      <c r="VPK30" s="822"/>
      <c r="VPL30" s="822"/>
      <c r="VPM30" s="822"/>
      <c r="VPN30" s="822"/>
      <c r="VPO30" s="822"/>
      <c r="VPP30" s="822"/>
      <c r="VPQ30" s="822"/>
      <c r="VPR30" s="822"/>
      <c r="VPS30" s="822"/>
      <c r="VPT30" s="822"/>
      <c r="VPU30" s="822"/>
      <c r="VPV30" s="822"/>
      <c r="VPW30" s="822"/>
      <c r="VPX30" s="822"/>
      <c r="VPY30" s="822"/>
      <c r="VPZ30" s="822"/>
      <c r="VQA30" s="822"/>
      <c r="VQB30" s="822"/>
      <c r="VQC30" s="822"/>
      <c r="VQD30" s="822"/>
      <c r="VQE30" s="822"/>
      <c r="VQF30" s="822"/>
      <c r="VQG30" s="822"/>
      <c r="VQH30" s="822"/>
      <c r="VQI30" s="822"/>
      <c r="VQJ30" s="822"/>
      <c r="VQK30" s="822"/>
      <c r="VQL30" s="822"/>
      <c r="VQM30" s="822"/>
      <c r="VQN30" s="822"/>
      <c r="VQO30" s="822"/>
      <c r="VQP30" s="822"/>
      <c r="VQQ30" s="822"/>
      <c r="VQR30" s="822"/>
      <c r="VQS30" s="822"/>
      <c r="VQT30" s="822"/>
      <c r="VQU30" s="822"/>
      <c r="VQV30" s="822"/>
      <c r="VQW30" s="822"/>
      <c r="VQX30" s="822"/>
      <c r="VQY30" s="822"/>
      <c r="VQZ30" s="822"/>
      <c r="VRA30" s="822"/>
      <c r="VRB30" s="822"/>
      <c r="VRC30" s="822"/>
      <c r="VRD30" s="822"/>
      <c r="VRE30" s="822"/>
      <c r="VRF30" s="822"/>
      <c r="VRG30" s="822"/>
      <c r="VRH30" s="822"/>
      <c r="VRI30" s="822"/>
      <c r="VRJ30" s="822"/>
      <c r="VRK30" s="822"/>
      <c r="VRL30" s="822"/>
      <c r="VRM30" s="822"/>
      <c r="VRN30" s="822"/>
      <c r="VRO30" s="822"/>
      <c r="VRP30" s="822"/>
      <c r="VRQ30" s="822"/>
      <c r="VRR30" s="822"/>
      <c r="VRS30" s="822"/>
      <c r="VRT30" s="822"/>
      <c r="VRU30" s="822"/>
      <c r="VRV30" s="822"/>
      <c r="VRW30" s="822"/>
      <c r="VRX30" s="822"/>
      <c r="VRY30" s="822"/>
      <c r="VRZ30" s="822"/>
      <c r="VSA30" s="822"/>
      <c r="VSB30" s="822"/>
      <c r="VSC30" s="822"/>
      <c r="VSD30" s="822"/>
      <c r="VSE30" s="822"/>
      <c r="VSF30" s="822"/>
      <c r="VSG30" s="822"/>
      <c r="VSH30" s="822"/>
      <c r="VSI30" s="822"/>
      <c r="VSJ30" s="822"/>
      <c r="VSK30" s="822"/>
      <c r="VSL30" s="822"/>
      <c r="VSM30" s="822"/>
      <c r="VSN30" s="822"/>
      <c r="VSO30" s="822"/>
      <c r="VSP30" s="822"/>
      <c r="VSQ30" s="822"/>
      <c r="VSR30" s="822"/>
      <c r="VSS30" s="822"/>
      <c r="VST30" s="822"/>
      <c r="VSU30" s="822"/>
      <c r="VSV30" s="822"/>
      <c r="VSW30" s="822"/>
      <c r="VSX30" s="822"/>
      <c r="VSY30" s="822"/>
      <c r="VSZ30" s="822"/>
      <c r="VTA30" s="822"/>
      <c r="VTB30" s="822"/>
      <c r="VTC30" s="822"/>
      <c r="VTD30" s="822"/>
      <c r="VTE30" s="822"/>
      <c r="VTF30" s="822"/>
      <c r="VTG30" s="822"/>
      <c r="VTH30" s="822"/>
      <c r="VTI30" s="822"/>
      <c r="VTJ30" s="822"/>
      <c r="VTK30" s="822"/>
      <c r="VTL30" s="822"/>
      <c r="VTM30" s="822"/>
      <c r="VTN30" s="822"/>
      <c r="VTO30" s="822"/>
      <c r="VTP30" s="822"/>
      <c r="VTQ30" s="822"/>
      <c r="VTR30" s="822"/>
      <c r="VTS30" s="822"/>
      <c r="VTT30" s="822"/>
      <c r="VTU30" s="822"/>
      <c r="VTV30" s="822"/>
      <c r="VTW30" s="822"/>
      <c r="VTX30" s="822"/>
      <c r="VTY30" s="822"/>
      <c r="VTZ30" s="822"/>
      <c r="VUA30" s="822"/>
      <c r="VUB30" s="822"/>
      <c r="VUC30" s="822"/>
      <c r="VUD30" s="822"/>
      <c r="VUE30" s="822"/>
      <c r="VUF30" s="822"/>
      <c r="VUG30" s="822"/>
      <c r="VUH30" s="822"/>
      <c r="VUI30" s="822"/>
      <c r="VUJ30" s="822"/>
      <c r="VUK30" s="822"/>
      <c r="VUL30" s="822"/>
      <c r="VUM30" s="822"/>
      <c r="VUN30" s="822"/>
      <c r="VUO30" s="822"/>
      <c r="VUP30" s="822"/>
      <c r="VUQ30" s="822"/>
      <c r="VUR30" s="822"/>
      <c r="VUS30" s="822"/>
      <c r="VUT30" s="822"/>
      <c r="VUU30" s="822"/>
      <c r="VUV30" s="822"/>
      <c r="VUW30" s="822"/>
      <c r="VUX30" s="822"/>
      <c r="VUY30" s="822"/>
      <c r="VUZ30" s="822"/>
      <c r="VVA30" s="822"/>
      <c r="VVB30" s="822"/>
      <c r="VVC30" s="822"/>
      <c r="VVD30" s="822"/>
      <c r="VVE30" s="822"/>
      <c r="VVF30" s="822"/>
      <c r="VVG30" s="822"/>
      <c r="VVH30" s="822"/>
      <c r="VVI30" s="822"/>
      <c r="VVJ30" s="822"/>
      <c r="VVK30" s="822"/>
      <c r="VVL30" s="822"/>
      <c r="VVM30" s="822"/>
      <c r="VVN30" s="822"/>
      <c r="VVO30" s="822"/>
      <c r="VVP30" s="822"/>
      <c r="VVQ30" s="822"/>
      <c r="VVR30" s="822"/>
      <c r="VVS30" s="822"/>
      <c r="VVT30" s="822"/>
      <c r="VVU30" s="822"/>
      <c r="VVV30" s="822"/>
      <c r="VVW30" s="822"/>
      <c r="VVX30" s="822"/>
      <c r="VVY30" s="822"/>
      <c r="VVZ30" s="822"/>
      <c r="VWA30" s="822"/>
      <c r="VWB30" s="822"/>
      <c r="VWC30" s="822"/>
      <c r="VWD30" s="822"/>
      <c r="VWE30" s="822"/>
      <c r="VWF30" s="822"/>
      <c r="VWG30" s="822"/>
      <c r="VWH30" s="822"/>
      <c r="VWI30" s="822"/>
      <c r="VWJ30" s="822"/>
      <c r="VWK30" s="822"/>
      <c r="VWL30" s="822"/>
      <c r="VWM30" s="822"/>
      <c r="VWN30" s="822"/>
      <c r="VWO30" s="822"/>
      <c r="VWP30" s="822"/>
      <c r="VWQ30" s="822"/>
      <c r="VWR30" s="822"/>
      <c r="VWS30" s="822"/>
      <c r="VWT30" s="822"/>
      <c r="VWU30" s="822"/>
      <c r="VWV30" s="822"/>
      <c r="VWW30" s="822"/>
      <c r="VWX30" s="822"/>
      <c r="VWY30" s="822"/>
      <c r="VWZ30" s="822"/>
      <c r="VXA30" s="822"/>
      <c r="VXB30" s="822"/>
      <c r="VXC30" s="822"/>
      <c r="VXD30" s="822"/>
      <c r="VXE30" s="822"/>
      <c r="VXF30" s="822"/>
      <c r="VXG30" s="822"/>
      <c r="VXH30" s="822"/>
      <c r="VXI30" s="822"/>
      <c r="VXJ30" s="822"/>
      <c r="VXK30" s="822"/>
      <c r="VXL30" s="822"/>
      <c r="VXM30" s="822"/>
      <c r="VXN30" s="822"/>
      <c r="VXO30" s="822"/>
      <c r="VXP30" s="822"/>
      <c r="VXQ30" s="822"/>
      <c r="VXR30" s="822"/>
      <c r="VXS30" s="822"/>
      <c r="VXT30" s="822"/>
      <c r="VXU30" s="822"/>
      <c r="VXV30" s="822"/>
      <c r="VXW30" s="822"/>
      <c r="VXX30" s="822"/>
      <c r="VXY30" s="822"/>
      <c r="VXZ30" s="822"/>
      <c r="VYA30" s="822"/>
      <c r="VYB30" s="822"/>
      <c r="VYC30" s="822"/>
      <c r="VYD30" s="822"/>
      <c r="VYE30" s="822"/>
      <c r="VYF30" s="822"/>
      <c r="VYG30" s="822"/>
      <c r="VYH30" s="822"/>
      <c r="VYI30" s="822"/>
      <c r="VYJ30" s="822"/>
      <c r="VYK30" s="822"/>
      <c r="VYL30" s="822"/>
      <c r="VYM30" s="822"/>
      <c r="VYN30" s="822"/>
      <c r="VYO30" s="822"/>
      <c r="VYP30" s="822"/>
      <c r="VYQ30" s="822"/>
      <c r="VYR30" s="822"/>
      <c r="VYS30" s="822"/>
      <c r="VYT30" s="822"/>
      <c r="VYU30" s="822"/>
      <c r="VYV30" s="822"/>
      <c r="VYW30" s="822"/>
      <c r="VYX30" s="822"/>
      <c r="VYY30" s="822"/>
      <c r="VYZ30" s="822"/>
      <c r="VZA30" s="822"/>
      <c r="VZB30" s="822"/>
      <c r="VZC30" s="822"/>
      <c r="VZD30" s="822"/>
      <c r="VZE30" s="822"/>
      <c r="VZF30" s="822"/>
      <c r="VZG30" s="822"/>
      <c r="VZH30" s="822"/>
      <c r="VZI30" s="822"/>
      <c r="VZJ30" s="822"/>
      <c r="VZK30" s="822"/>
      <c r="VZL30" s="822"/>
      <c r="VZM30" s="822"/>
      <c r="VZN30" s="822"/>
      <c r="VZO30" s="822"/>
      <c r="VZP30" s="822"/>
      <c r="VZQ30" s="822"/>
      <c r="VZR30" s="822"/>
      <c r="VZS30" s="822"/>
      <c r="VZT30" s="822"/>
      <c r="VZU30" s="822"/>
      <c r="VZV30" s="822"/>
      <c r="VZW30" s="822"/>
      <c r="VZX30" s="822"/>
      <c r="VZY30" s="822"/>
      <c r="VZZ30" s="822"/>
      <c r="WAA30" s="822"/>
      <c r="WAB30" s="822"/>
      <c r="WAC30" s="822"/>
      <c r="WAD30" s="822"/>
      <c r="WAE30" s="822"/>
      <c r="WAF30" s="822"/>
      <c r="WAG30" s="822"/>
      <c r="WAH30" s="822"/>
      <c r="WAI30" s="822"/>
      <c r="WAJ30" s="822"/>
      <c r="WAK30" s="822"/>
      <c r="WAL30" s="822"/>
      <c r="WAM30" s="822"/>
      <c r="WAN30" s="822"/>
      <c r="WAO30" s="822"/>
      <c r="WAP30" s="822"/>
      <c r="WAQ30" s="822"/>
      <c r="WAR30" s="822"/>
      <c r="WAS30" s="822"/>
      <c r="WAT30" s="822"/>
      <c r="WAU30" s="822"/>
      <c r="WAV30" s="822"/>
      <c r="WAW30" s="822"/>
      <c r="WAX30" s="822"/>
      <c r="WAY30" s="822"/>
      <c r="WAZ30" s="822"/>
      <c r="WBA30" s="822"/>
      <c r="WBB30" s="822"/>
      <c r="WBC30" s="822"/>
      <c r="WBD30" s="822"/>
      <c r="WBE30" s="822"/>
      <c r="WBF30" s="822"/>
      <c r="WBG30" s="822"/>
      <c r="WBH30" s="822"/>
      <c r="WBI30" s="822"/>
      <c r="WBJ30" s="822"/>
      <c r="WBK30" s="822"/>
      <c r="WBL30" s="822"/>
      <c r="WBM30" s="822"/>
      <c r="WBN30" s="822"/>
      <c r="WBO30" s="822"/>
      <c r="WBP30" s="822"/>
      <c r="WBQ30" s="822"/>
      <c r="WBR30" s="822"/>
      <c r="WBS30" s="822"/>
      <c r="WBT30" s="822"/>
      <c r="WBU30" s="822"/>
      <c r="WBV30" s="822"/>
      <c r="WBW30" s="822"/>
      <c r="WBX30" s="822"/>
      <c r="WBY30" s="822"/>
      <c r="WBZ30" s="822"/>
      <c r="WCA30" s="822"/>
      <c r="WCB30" s="822"/>
      <c r="WCC30" s="822"/>
      <c r="WCD30" s="822"/>
      <c r="WCE30" s="822"/>
      <c r="WCF30" s="822"/>
      <c r="WCG30" s="822"/>
      <c r="WCH30" s="822"/>
      <c r="WCI30" s="822"/>
      <c r="WCJ30" s="822"/>
      <c r="WCK30" s="822"/>
      <c r="WCL30" s="822"/>
      <c r="WCM30" s="822"/>
      <c r="WCN30" s="822"/>
      <c r="WCO30" s="822"/>
      <c r="WCP30" s="822"/>
      <c r="WCQ30" s="822"/>
      <c r="WCR30" s="822"/>
      <c r="WCS30" s="822"/>
      <c r="WCT30" s="822"/>
      <c r="WCU30" s="822"/>
      <c r="WCV30" s="822"/>
      <c r="WCW30" s="822"/>
      <c r="WCX30" s="822"/>
      <c r="WCY30" s="822"/>
      <c r="WCZ30" s="822"/>
      <c r="WDA30" s="822"/>
      <c r="WDB30" s="822"/>
      <c r="WDC30" s="822"/>
      <c r="WDD30" s="822"/>
      <c r="WDE30" s="822"/>
      <c r="WDF30" s="822"/>
      <c r="WDG30" s="822"/>
      <c r="WDH30" s="822"/>
      <c r="WDI30" s="822"/>
      <c r="WDJ30" s="822"/>
      <c r="WDK30" s="822"/>
      <c r="WDL30" s="822"/>
      <c r="WDM30" s="822"/>
      <c r="WDN30" s="822"/>
      <c r="WDO30" s="822"/>
      <c r="WDP30" s="822"/>
      <c r="WDQ30" s="822"/>
      <c r="WDR30" s="822"/>
      <c r="WDS30" s="822"/>
      <c r="WDT30" s="822"/>
      <c r="WDU30" s="822"/>
      <c r="WDV30" s="822"/>
      <c r="WDW30" s="822"/>
      <c r="WDX30" s="822"/>
      <c r="WDY30" s="822"/>
      <c r="WDZ30" s="822"/>
      <c r="WEA30" s="822"/>
      <c r="WEB30" s="822"/>
      <c r="WEC30" s="822"/>
      <c r="WED30" s="822"/>
      <c r="WEE30" s="822"/>
      <c r="WEF30" s="822"/>
      <c r="WEG30" s="822"/>
      <c r="WEH30" s="822"/>
      <c r="WEI30" s="822"/>
      <c r="WEJ30" s="822"/>
      <c r="WEK30" s="822"/>
      <c r="WEL30" s="822"/>
      <c r="WEM30" s="822"/>
      <c r="WEN30" s="822"/>
      <c r="WEO30" s="822"/>
      <c r="WEP30" s="822"/>
      <c r="WEQ30" s="822"/>
      <c r="WER30" s="822"/>
      <c r="WES30" s="822"/>
      <c r="WET30" s="822"/>
      <c r="WEU30" s="822"/>
      <c r="WEV30" s="822"/>
      <c r="WEW30" s="822"/>
      <c r="WEX30" s="822"/>
      <c r="WEY30" s="822"/>
      <c r="WEZ30" s="822"/>
      <c r="WFA30" s="822"/>
      <c r="WFB30" s="822"/>
      <c r="WFC30" s="822"/>
      <c r="WFD30" s="822"/>
      <c r="WFE30" s="822"/>
      <c r="WFF30" s="822"/>
      <c r="WFG30" s="822"/>
      <c r="WFH30" s="822"/>
      <c r="WFI30" s="822"/>
      <c r="WFJ30" s="822"/>
      <c r="WFK30" s="822"/>
      <c r="WFL30" s="822"/>
      <c r="WFM30" s="822"/>
      <c r="WFN30" s="822"/>
      <c r="WFO30" s="822"/>
      <c r="WFP30" s="822"/>
      <c r="WFQ30" s="822"/>
      <c r="WFR30" s="822"/>
      <c r="WFS30" s="822"/>
      <c r="WFT30" s="822"/>
      <c r="WFU30" s="822"/>
      <c r="WFV30" s="822"/>
      <c r="WFW30" s="822"/>
      <c r="WFX30" s="822"/>
      <c r="WFY30" s="822"/>
      <c r="WFZ30" s="822"/>
      <c r="WGA30" s="822"/>
      <c r="WGB30" s="822"/>
      <c r="WGC30" s="822"/>
      <c r="WGD30" s="822"/>
      <c r="WGE30" s="822"/>
      <c r="WGF30" s="822"/>
      <c r="WGG30" s="822"/>
      <c r="WGH30" s="822"/>
      <c r="WGI30" s="822"/>
      <c r="WGJ30" s="822"/>
      <c r="WGK30" s="822"/>
      <c r="WGL30" s="822"/>
      <c r="WGM30" s="822"/>
      <c r="WGN30" s="822"/>
      <c r="WGO30" s="822"/>
      <c r="WGP30" s="822"/>
      <c r="WGQ30" s="822"/>
      <c r="WGR30" s="822"/>
      <c r="WGS30" s="822"/>
      <c r="WGT30" s="822"/>
      <c r="WGU30" s="822"/>
      <c r="WGV30" s="822"/>
      <c r="WGW30" s="822"/>
      <c r="WGX30" s="822"/>
      <c r="WGY30" s="822"/>
      <c r="WGZ30" s="822"/>
      <c r="WHA30" s="822"/>
      <c r="WHB30" s="822"/>
      <c r="WHC30" s="822"/>
      <c r="WHD30" s="822"/>
      <c r="WHE30" s="822"/>
      <c r="WHF30" s="822"/>
      <c r="WHG30" s="822"/>
      <c r="WHH30" s="822"/>
      <c r="WHI30" s="822"/>
      <c r="WHJ30" s="822"/>
      <c r="WHK30" s="822"/>
      <c r="WHL30" s="822"/>
      <c r="WHM30" s="822"/>
      <c r="WHN30" s="822"/>
      <c r="WHO30" s="822"/>
      <c r="WHP30" s="822"/>
      <c r="WHQ30" s="822"/>
      <c r="WHR30" s="822"/>
      <c r="WHS30" s="822"/>
      <c r="WHT30" s="822"/>
      <c r="WHU30" s="822"/>
      <c r="WHV30" s="822"/>
      <c r="WHW30" s="822"/>
      <c r="WHX30" s="822"/>
      <c r="WHY30" s="822"/>
      <c r="WHZ30" s="822"/>
      <c r="WIA30" s="822"/>
      <c r="WIB30" s="822"/>
      <c r="WIC30" s="822"/>
      <c r="WID30" s="822"/>
      <c r="WIE30" s="822"/>
      <c r="WIF30" s="822"/>
      <c r="WIG30" s="822"/>
      <c r="WIH30" s="822"/>
      <c r="WII30" s="822"/>
      <c r="WIJ30" s="822"/>
      <c r="WIK30" s="822"/>
      <c r="WIL30" s="822"/>
      <c r="WIM30" s="822"/>
      <c r="WIN30" s="822"/>
      <c r="WIO30" s="822"/>
      <c r="WIP30" s="822"/>
      <c r="WIQ30" s="822"/>
      <c r="WIR30" s="822"/>
      <c r="WIS30" s="822"/>
      <c r="WIT30" s="822"/>
      <c r="WIU30" s="822"/>
      <c r="WIV30" s="822"/>
      <c r="WIW30" s="822"/>
      <c r="WIX30" s="822"/>
      <c r="WIY30" s="822"/>
      <c r="WIZ30" s="822"/>
      <c r="WJA30" s="822"/>
      <c r="WJB30" s="822"/>
      <c r="WJC30" s="822"/>
      <c r="WJD30" s="822"/>
      <c r="WJE30" s="822"/>
      <c r="WJF30" s="822"/>
      <c r="WJG30" s="822"/>
      <c r="WJH30" s="822"/>
      <c r="WJI30" s="822"/>
      <c r="WJJ30" s="822"/>
      <c r="WJK30" s="822"/>
      <c r="WJL30" s="822"/>
      <c r="WJM30" s="822"/>
      <c r="WJN30" s="822"/>
      <c r="WJO30" s="822"/>
      <c r="WJP30" s="822"/>
      <c r="WJQ30" s="822"/>
      <c r="WJR30" s="822"/>
      <c r="WJS30" s="822"/>
      <c r="WJT30" s="822"/>
      <c r="WJU30" s="822"/>
      <c r="WJV30" s="822"/>
      <c r="WJW30" s="822"/>
      <c r="WJX30" s="822"/>
      <c r="WJY30" s="822"/>
      <c r="WJZ30" s="822"/>
      <c r="WKA30" s="822"/>
      <c r="WKB30" s="822"/>
      <c r="WKC30" s="822"/>
      <c r="WKD30" s="822"/>
      <c r="WKE30" s="822"/>
      <c r="WKF30" s="822"/>
      <c r="WKG30" s="822"/>
      <c r="WKH30" s="822"/>
      <c r="WKI30" s="822"/>
      <c r="WKJ30" s="822"/>
      <c r="WKK30" s="822"/>
      <c r="WKL30" s="822"/>
      <c r="WKM30" s="822"/>
      <c r="WKN30" s="822"/>
      <c r="WKO30" s="822"/>
      <c r="WKP30" s="822"/>
      <c r="WKQ30" s="822"/>
      <c r="WKR30" s="822"/>
      <c r="WKS30" s="822"/>
      <c r="WKT30" s="822"/>
      <c r="WKU30" s="822"/>
      <c r="WKV30" s="822"/>
      <c r="WKW30" s="822"/>
      <c r="WKX30" s="822"/>
      <c r="WKY30" s="822"/>
      <c r="WKZ30" s="822"/>
      <c r="WLA30" s="822"/>
      <c r="WLB30" s="822"/>
      <c r="WLC30" s="822"/>
      <c r="WLD30" s="822"/>
      <c r="WLE30" s="822"/>
      <c r="WLF30" s="822"/>
      <c r="WLG30" s="822"/>
      <c r="WLH30" s="822"/>
      <c r="WLI30" s="822"/>
      <c r="WLJ30" s="822"/>
      <c r="WLK30" s="822"/>
      <c r="WLL30" s="822"/>
      <c r="WLM30" s="822"/>
      <c r="WLN30" s="822"/>
      <c r="WLO30" s="822"/>
      <c r="WLP30" s="822"/>
      <c r="WLQ30" s="822"/>
      <c r="WLR30" s="822"/>
      <c r="WLS30" s="822"/>
      <c r="WLT30" s="822"/>
      <c r="WLU30" s="822"/>
      <c r="WLV30" s="822"/>
      <c r="WLW30" s="822"/>
      <c r="WLX30" s="822"/>
      <c r="WLY30" s="822"/>
      <c r="WLZ30" s="822"/>
      <c r="WMA30" s="822"/>
      <c r="WMB30" s="822"/>
      <c r="WMC30" s="822"/>
      <c r="WMD30" s="822"/>
      <c r="WME30" s="822"/>
      <c r="WMF30" s="822"/>
      <c r="WMG30" s="822"/>
      <c r="WMH30" s="822"/>
      <c r="WMI30" s="822"/>
      <c r="WMJ30" s="822"/>
      <c r="WMK30" s="822"/>
      <c r="WML30" s="822"/>
      <c r="WMM30" s="822"/>
      <c r="WMN30" s="822"/>
      <c r="WMO30" s="822"/>
      <c r="WMP30" s="822"/>
      <c r="WMQ30" s="822"/>
      <c r="WMR30" s="822"/>
      <c r="WMS30" s="822"/>
      <c r="WMT30" s="822"/>
      <c r="WMU30" s="822"/>
      <c r="WMV30" s="822"/>
      <c r="WMW30" s="822"/>
      <c r="WMX30" s="822"/>
      <c r="WMY30" s="822"/>
      <c r="WMZ30" s="822"/>
      <c r="WNA30" s="822"/>
      <c r="WNB30" s="822"/>
      <c r="WNC30" s="822"/>
      <c r="WND30" s="822"/>
      <c r="WNE30" s="822"/>
      <c r="WNF30" s="822"/>
      <c r="WNG30" s="822"/>
      <c r="WNH30" s="822"/>
      <c r="WNI30" s="822"/>
      <c r="WNJ30" s="822"/>
      <c r="WNK30" s="822"/>
      <c r="WNL30" s="822"/>
      <c r="WNM30" s="822"/>
      <c r="WNN30" s="822"/>
      <c r="WNO30" s="822"/>
      <c r="WNP30" s="822"/>
      <c r="WNQ30" s="822"/>
      <c r="WNR30" s="822"/>
      <c r="WNS30" s="822"/>
      <c r="WNT30" s="822"/>
      <c r="WNU30" s="822"/>
      <c r="WNV30" s="822"/>
      <c r="WNW30" s="822"/>
      <c r="WNX30" s="822"/>
      <c r="WNY30" s="822"/>
      <c r="WNZ30" s="822"/>
      <c r="WOA30" s="822"/>
      <c r="WOB30" s="822"/>
      <c r="WOC30" s="822"/>
      <c r="WOD30" s="822"/>
      <c r="WOE30" s="822"/>
      <c r="WOF30" s="822"/>
      <c r="WOG30" s="822"/>
      <c r="WOH30" s="822"/>
      <c r="WOI30" s="822"/>
      <c r="WOJ30" s="822"/>
      <c r="WOK30" s="822"/>
      <c r="WOL30" s="822"/>
      <c r="WOM30" s="822"/>
      <c r="WON30" s="822"/>
      <c r="WOO30" s="822"/>
      <c r="WOP30" s="822"/>
      <c r="WOQ30" s="822"/>
      <c r="WOR30" s="822"/>
      <c r="WOS30" s="822"/>
      <c r="WOT30" s="822"/>
      <c r="WOU30" s="822"/>
      <c r="WOV30" s="822"/>
      <c r="WOW30" s="822"/>
      <c r="WOX30" s="822"/>
      <c r="WOY30" s="822"/>
      <c r="WOZ30" s="822"/>
      <c r="WPA30" s="822"/>
      <c r="WPB30" s="822"/>
      <c r="WPC30" s="822"/>
      <c r="WPD30" s="822"/>
      <c r="WPE30" s="822"/>
      <c r="WPF30" s="822"/>
      <c r="WPG30" s="822"/>
      <c r="WPH30" s="822"/>
      <c r="WPI30" s="822"/>
      <c r="WPJ30" s="822"/>
      <c r="WPK30" s="822"/>
      <c r="WPL30" s="822"/>
      <c r="WPM30" s="822"/>
      <c r="WPN30" s="822"/>
      <c r="WPO30" s="822"/>
      <c r="WPP30" s="822"/>
      <c r="WPQ30" s="822"/>
      <c r="WPR30" s="822"/>
      <c r="WPS30" s="822"/>
      <c r="WPT30" s="822"/>
      <c r="WPU30" s="822"/>
      <c r="WPV30" s="822"/>
      <c r="WPW30" s="822"/>
      <c r="WPX30" s="822"/>
      <c r="WPY30" s="822"/>
      <c r="WPZ30" s="822"/>
      <c r="WQA30" s="822"/>
      <c r="WQB30" s="822"/>
      <c r="WQC30" s="822"/>
      <c r="WQD30" s="822"/>
      <c r="WQE30" s="822"/>
      <c r="WQF30" s="822"/>
      <c r="WQG30" s="822"/>
      <c r="WQH30" s="822"/>
      <c r="WQI30" s="822"/>
      <c r="WQJ30" s="822"/>
      <c r="WQK30" s="822"/>
      <c r="WQL30" s="822"/>
      <c r="WQM30" s="822"/>
      <c r="WQN30" s="822"/>
      <c r="WQO30" s="822"/>
      <c r="WQP30" s="822"/>
      <c r="WQQ30" s="822"/>
      <c r="WQR30" s="822"/>
      <c r="WQS30" s="822"/>
      <c r="WQT30" s="822"/>
      <c r="WQU30" s="822"/>
      <c r="WQV30" s="822"/>
      <c r="WQW30" s="822"/>
      <c r="WQX30" s="822"/>
      <c r="WQY30" s="822"/>
      <c r="WQZ30" s="822"/>
      <c r="WRA30" s="822"/>
      <c r="WRB30" s="822"/>
      <c r="WRC30" s="822"/>
      <c r="WRD30" s="822"/>
      <c r="WRE30" s="822"/>
      <c r="WRF30" s="822"/>
      <c r="WRG30" s="822"/>
      <c r="WRH30" s="822"/>
      <c r="WRI30" s="822"/>
      <c r="WRJ30" s="822"/>
      <c r="WRK30" s="822"/>
      <c r="WRL30" s="822"/>
      <c r="WRM30" s="822"/>
      <c r="WRN30" s="822"/>
      <c r="WRO30" s="822"/>
      <c r="WRP30" s="822"/>
      <c r="WRQ30" s="822"/>
      <c r="WRR30" s="822"/>
      <c r="WRS30" s="822"/>
      <c r="WRT30" s="822"/>
      <c r="WRU30" s="822"/>
      <c r="WRV30" s="822"/>
      <c r="WRW30" s="822"/>
      <c r="WRX30" s="822"/>
      <c r="WRY30" s="822"/>
      <c r="WRZ30" s="822"/>
      <c r="WSA30" s="822"/>
      <c r="WSB30" s="822"/>
      <c r="WSC30" s="822"/>
      <c r="WSD30" s="822"/>
      <c r="WSE30" s="822"/>
      <c r="WSF30" s="822"/>
      <c r="WSG30" s="822"/>
      <c r="WSH30" s="822"/>
      <c r="WSI30" s="822"/>
      <c r="WSJ30" s="822"/>
      <c r="WSK30" s="822"/>
      <c r="WSL30" s="822"/>
      <c r="WSM30" s="822"/>
      <c r="WSN30" s="822"/>
      <c r="WSO30" s="822"/>
      <c r="WSP30" s="822"/>
      <c r="WSQ30" s="822"/>
      <c r="WSR30" s="822"/>
      <c r="WSS30" s="822"/>
      <c r="WST30" s="822"/>
      <c r="WSU30" s="822"/>
      <c r="WSV30" s="822"/>
      <c r="WSW30" s="822"/>
      <c r="WSX30" s="822"/>
      <c r="WSY30" s="822"/>
      <c r="WSZ30" s="822"/>
      <c r="WTA30" s="822"/>
      <c r="WTB30" s="822"/>
      <c r="WTC30" s="822"/>
      <c r="WTD30" s="822"/>
      <c r="WTE30" s="822"/>
      <c r="WTF30" s="822"/>
      <c r="WTG30" s="822"/>
      <c r="WTH30" s="822"/>
      <c r="WTI30" s="822"/>
      <c r="WTJ30" s="822"/>
      <c r="WTK30" s="822"/>
      <c r="WTL30" s="822"/>
      <c r="WTM30" s="822"/>
      <c r="WTN30" s="822"/>
      <c r="WTO30" s="822"/>
      <c r="WTP30" s="822"/>
      <c r="WTQ30" s="822"/>
      <c r="WTR30" s="822"/>
      <c r="WTS30" s="822"/>
      <c r="WTT30" s="822"/>
      <c r="WTU30" s="822"/>
      <c r="WTV30" s="822"/>
      <c r="WTW30" s="822"/>
      <c r="WTX30" s="822"/>
      <c r="WTY30" s="822"/>
      <c r="WTZ30" s="822"/>
      <c r="WUA30" s="822"/>
      <c r="WUB30" s="822"/>
      <c r="WUC30" s="822"/>
      <c r="WUD30" s="822"/>
      <c r="WUE30" s="822"/>
      <c r="WUF30" s="822"/>
      <c r="WUG30" s="822"/>
      <c r="WUH30" s="822"/>
      <c r="WUI30" s="822"/>
      <c r="WUJ30" s="822"/>
      <c r="WUK30" s="822"/>
      <c r="WUL30" s="822"/>
      <c r="WUM30" s="822"/>
      <c r="WUN30" s="822"/>
      <c r="WUO30" s="822"/>
      <c r="WUP30" s="822"/>
      <c r="WUQ30" s="822"/>
      <c r="WUR30" s="822"/>
      <c r="WUS30" s="822"/>
      <c r="WUT30" s="822"/>
      <c r="WUU30" s="822"/>
      <c r="WUV30" s="822"/>
      <c r="WUW30" s="822"/>
      <c r="WUX30" s="822"/>
      <c r="WUY30" s="822"/>
      <c r="WUZ30" s="822"/>
      <c r="WVA30" s="822"/>
      <c r="WVB30" s="822"/>
      <c r="WVC30" s="822"/>
      <c r="WVD30" s="822"/>
      <c r="WVE30" s="822"/>
      <c r="WVF30" s="822"/>
      <c r="WVG30" s="822"/>
      <c r="WVH30" s="822"/>
      <c r="WVI30" s="822"/>
      <c r="WVJ30" s="822"/>
      <c r="WVK30" s="822"/>
      <c r="WVL30" s="822"/>
      <c r="WVM30" s="822"/>
      <c r="WVN30" s="822"/>
      <c r="WVO30" s="822"/>
      <c r="WVP30" s="822"/>
      <c r="WVQ30" s="822"/>
      <c r="WVR30" s="822"/>
      <c r="WVS30" s="822"/>
      <c r="WVT30" s="822"/>
      <c r="WVU30" s="822"/>
      <c r="WVV30" s="822"/>
      <c r="WVW30" s="822"/>
      <c r="WVX30" s="822"/>
      <c r="WVY30" s="822"/>
      <c r="WVZ30" s="822"/>
    </row>
    <row r="31" spans="1:16146">
      <c r="A31" s="930"/>
      <c r="B31" s="765"/>
      <c r="C31" s="930"/>
      <c r="D31" s="930"/>
      <c r="E31" s="930"/>
      <c r="F31" s="930"/>
      <c r="G31" s="930"/>
      <c r="H31" s="930"/>
      <c r="I31" s="765"/>
      <c r="J31" s="765"/>
      <c r="K31" s="765"/>
      <c r="L31" s="765"/>
    </row>
    <row r="32" spans="1:16146">
      <c r="A32" s="930"/>
      <c r="B32" s="930"/>
      <c r="C32" s="930"/>
      <c r="D32" s="930"/>
      <c r="E32" s="930"/>
      <c r="F32" s="930"/>
      <c r="G32" s="930"/>
      <c r="H32" s="930"/>
      <c r="I32" s="765"/>
      <c r="J32" s="765"/>
      <c r="K32" s="765"/>
      <c r="L32" s="765"/>
    </row>
    <row r="33" spans="1:12">
      <c r="A33" s="930"/>
      <c r="B33" s="930"/>
      <c r="C33" s="930"/>
      <c r="D33" s="930"/>
      <c r="E33" s="930"/>
      <c r="F33" s="930"/>
      <c r="G33" s="930"/>
      <c r="H33" s="930"/>
      <c r="I33" s="765"/>
      <c r="J33" s="765"/>
      <c r="K33" s="765"/>
      <c r="L33" s="765"/>
    </row>
  </sheetData>
  <mergeCells count="28">
    <mergeCell ref="E24:E25"/>
    <mergeCell ref="B3:D3"/>
    <mergeCell ref="B4:B6"/>
    <mergeCell ref="C4:D4"/>
    <mergeCell ref="C5:D5"/>
    <mergeCell ref="C6:D6"/>
    <mergeCell ref="C7:D7"/>
    <mergeCell ref="A24:A25"/>
    <mergeCell ref="B24:B25"/>
    <mergeCell ref="C24:C25"/>
    <mergeCell ref="A26:A29"/>
    <mergeCell ref="B16:D16"/>
    <mergeCell ref="B17:D17"/>
    <mergeCell ref="B18:D18"/>
    <mergeCell ref="A3:A23"/>
    <mergeCell ref="B7:B9"/>
    <mergeCell ref="B10:D12"/>
    <mergeCell ref="B13:D15"/>
    <mergeCell ref="B23:D23"/>
    <mergeCell ref="D24:D25"/>
    <mergeCell ref="H10:H12"/>
    <mergeCell ref="H13:H15"/>
    <mergeCell ref="C8:D8"/>
    <mergeCell ref="C9:D9"/>
    <mergeCell ref="B22:D22"/>
    <mergeCell ref="B19:D19"/>
    <mergeCell ref="B20:D20"/>
    <mergeCell ref="B21:D21"/>
  </mergeCells>
  <phoneticPr fontId="84" type="noConversion"/>
  <printOptions horizontalCentered="1"/>
  <pageMargins left="0" right="0" top="0.39" bottom="0.39" header="0.2" footer="0.2"/>
  <pageSetup paperSize="8" scale="62" orientation="portrait"/>
  <headerFooter alignWithMargins="0">
    <oddFooter>&amp;C&amp;"黑体,常规"&amp;10第 &amp;P 页，共 &amp;N 页</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81FE-2EEA-4E45-8C59-96730D5698EA}">
  <sheetPr>
    <tabColor theme="9"/>
  </sheetPr>
  <dimension ref="A1:T11"/>
  <sheetViews>
    <sheetView view="pageBreakPreview" zoomScale="216" zoomScaleNormal="100" workbookViewId="0">
      <selection activeCell="D18" sqref="D18"/>
    </sheetView>
  </sheetViews>
  <sheetFormatPr baseColWidth="10" defaultColWidth="9" defaultRowHeight="13"/>
  <cols>
    <col min="1" max="1" width="9" style="931"/>
    <col min="2" max="2" width="8.5" style="932" customWidth="1"/>
    <col min="3" max="3" width="10" style="932" customWidth="1"/>
    <col min="4" max="4" width="10.33203125" style="931" customWidth="1"/>
    <col min="5" max="5" width="6.5" style="931" customWidth="1"/>
    <col min="6" max="6" width="16.5" style="931" customWidth="1"/>
    <col min="7" max="7" width="6" style="931" customWidth="1"/>
    <col min="8" max="8" width="7" style="931" customWidth="1"/>
    <col min="9" max="9" width="4.6640625" style="931" customWidth="1"/>
    <col min="10" max="12" width="4.1640625" style="931" customWidth="1"/>
    <col min="13" max="15" width="8.83203125" style="933" customWidth="1"/>
    <col min="16" max="16" width="9" style="931"/>
    <col min="17" max="18" width="11.1640625" style="931" bestFit="1" customWidth="1"/>
    <col min="19" max="19" width="9" style="931"/>
    <col min="20" max="20" width="13.33203125" style="931" customWidth="1"/>
    <col min="21" max="239" width="9" style="931"/>
    <col min="240" max="240" width="11.5" style="931" customWidth="1"/>
    <col min="241" max="241" width="3.6640625" style="931" customWidth="1"/>
    <col min="242" max="242" width="14.1640625" style="931" customWidth="1"/>
    <col min="243" max="243" width="7.5" style="931" customWidth="1"/>
    <col min="244" max="244" width="11.5" style="931" customWidth="1"/>
    <col min="245" max="245" width="3.83203125" style="931" customWidth="1"/>
    <col min="246" max="246" width="3" style="931" customWidth="1"/>
    <col min="247" max="247" width="7.6640625" style="931" customWidth="1"/>
    <col min="248" max="248" width="8.83203125" style="931" customWidth="1"/>
    <col min="249" max="249" width="11.83203125" style="931" customWidth="1"/>
    <col min="250" max="250" width="12.5" style="931" customWidth="1"/>
    <col min="251" max="251" width="8.1640625" style="931" customWidth="1"/>
    <col min="252" max="252" width="8" style="931" customWidth="1"/>
    <col min="253" max="254" width="11.33203125" style="931" customWidth="1"/>
    <col min="255" max="255" width="4.1640625" style="931" customWidth="1"/>
    <col min="256" max="257" width="7.1640625" style="931" customWidth="1"/>
    <col min="258" max="258" width="7" style="931" customWidth="1"/>
    <col min="259" max="259" width="5.83203125" style="931" customWidth="1"/>
    <col min="260" max="260" width="15.1640625" style="931" customWidth="1"/>
    <col min="261" max="495" width="9" style="931"/>
    <col min="496" max="496" width="11.5" style="931" customWidth="1"/>
    <col min="497" max="497" width="3.6640625" style="931" customWidth="1"/>
    <col min="498" max="498" width="14.1640625" style="931" customWidth="1"/>
    <col min="499" max="499" width="7.5" style="931" customWidth="1"/>
    <col min="500" max="500" width="11.5" style="931" customWidth="1"/>
    <col min="501" max="501" width="3.83203125" style="931" customWidth="1"/>
    <col min="502" max="502" width="3" style="931" customWidth="1"/>
    <col min="503" max="503" width="7.6640625" style="931" customWidth="1"/>
    <col min="504" max="504" width="8.83203125" style="931" customWidth="1"/>
    <col min="505" max="505" width="11.83203125" style="931" customWidth="1"/>
    <col min="506" max="506" width="12.5" style="931" customWidth="1"/>
    <col min="507" max="507" width="8.1640625" style="931" customWidth="1"/>
    <col min="508" max="508" width="8" style="931" customWidth="1"/>
    <col min="509" max="510" width="11.33203125" style="931" customWidth="1"/>
    <col min="511" max="511" width="4.1640625" style="931" customWidth="1"/>
    <col min="512" max="513" width="7.1640625" style="931" customWidth="1"/>
    <col min="514" max="514" width="7" style="931" customWidth="1"/>
    <col min="515" max="515" width="5.83203125" style="931" customWidth="1"/>
    <col min="516" max="516" width="15.1640625" style="931" customWidth="1"/>
    <col min="517" max="751" width="9" style="931"/>
    <col min="752" max="752" width="11.5" style="931" customWidth="1"/>
    <col min="753" max="753" width="3.6640625" style="931" customWidth="1"/>
    <col min="754" max="754" width="14.1640625" style="931" customWidth="1"/>
    <col min="755" max="755" width="7.5" style="931" customWidth="1"/>
    <col min="756" max="756" width="11.5" style="931" customWidth="1"/>
    <col min="757" max="757" width="3.83203125" style="931" customWidth="1"/>
    <col min="758" max="758" width="3" style="931" customWidth="1"/>
    <col min="759" max="759" width="7.6640625" style="931" customWidth="1"/>
    <col min="760" max="760" width="8.83203125" style="931" customWidth="1"/>
    <col min="761" max="761" width="11.83203125" style="931" customWidth="1"/>
    <col min="762" max="762" width="12.5" style="931" customWidth="1"/>
    <col min="763" max="763" width="8.1640625" style="931" customWidth="1"/>
    <col min="764" max="764" width="8" style="931" customWidth="1"/>
    <col min="765" max="766" width="11.33203125" style="931" customWidth="1"/>
    <col min="767" max="767" width="4.1640625" style="931" customWidth="1"/>
    <col min="768" max="769" width="7.1640625" style="931" customWidth="1"/>
    <col min="770" max="770" width="7" style="931" customWidth="1"/>
    <col min="771" max="771" width="5.83203125" style="931" customWidth="1"/>
    <col min="772" max="772" width="15.1640625" style="931" customWidth="1"/>
    <col min="773" max="1007" width="9" style="931"/>
    <col min="1008" max="1008" width="11.5" style="931" customWidth="1"/>
    <col min="1009" max="1009" width="3.6640625" style="931" customWidth="1"/>
    <col min="1010" max="1010" width="14.1640625" style="931" customWidth="1"/>
    <col min="1011" max="1011" width="7.5" style="931" customWidth="1"/>
    <col min="1012" max="1012" width="11.5" style="931" customWidth="1"/>
    <col min="1013" max="1013" width="3.83203125" style="931" customWidth="1"/>
    <col min="1014" max="1014" width="3" style="931" customWidth="1"/>
    <col min="1015" max="1015" width="7.6640625" style="931" customWidth="1"/>
    <col min="1016" max="1016" width="8.83203125" style="931" customWidth="1"/>
    <col min="1017" max="1017" width="11.83203125" style="931" customWidth="1"/>
    <col min="1018" max="1018" width="12.5" style="931" customWidth="1"/>
    <col min="1019" max="1019" width="8.1640625" style="931" customWidth="1"/>
    <col min="1020" max="1020" width="8" style="931" customWidth="1"/>
    <col min="1021" max="1022" width="11.33203125" style="931" customWidth="1"/>
    <col min="1023" max="1023" width="4.1640625" style="931" customWidth="1"/>
    <col min="1024" max="1025" width="7.1640625" style="931" customWidth="1"/>
    <col min="1026" max="1026" width="7" style="931" customWidth="1"/>
    <col min="1027" max="1027" width="5.83203125" style="931" customWidth="1"/>
    <col min="1028" max="1028" width="15.1640625" style="931" customWidth="1"/>
    <col min="1029" max="1263" width="9" style="931"/>
    <col min="1264" max="1264" width="11.5" style="931" customWidth="1"/>
    <col min="1265" max="1265" width="3.6640625" style="931" customWidth="1"/>
    <col min="1266" max="1266" width="14.1640625" style="931" customWidth="1"/>
    <col min="1267" max="1267" width="7.5" style="931" customWidth="1"/>
    <col min="1268" max="1268" width="11.5" style="931" customWidth="1"/>
    <col min="1269" max="1269" width="3.83203125" style="931" customWidth="1"/>
    <col min="1270" max="1270" width="3" style="931" customWidth="1"/>
    <col min="1271" max="1271" width="7.6640625" style="931" customWidth="1"/>
    <col min="1272" max="1272" width="8.83203125" style="931" customWidth="1"/>
    <col min="1273" max="1273" width="11.83203125" style="931" customWidth="1"/>
    <col min="1274" max="1274" width="12.5" style="931" customWidth="1"/>
    <col min="1275" max="1275" width="8.1640625" style="931" customWidth="1"/>
    <col min="1276" max="1276" width="8" style="931" customWidth="1"/>
    <col min="1277" max="1278" width="11.33203125" style="931" customWidth="1"/>
    <col min="1279" max="1279" width="4.1640625" style="931" customWidth="1"/>
    <col min="1280" max="1281" width="7.1640625" style="931" customWidth="1"/>
    <col min="1282" max="1282" width="7" style="931" customWidth="1"/>
    <col min="1283" max="1283" width="5.83203125" style="931" customWidth="1"/>
    <col min="1284" max="1284" width="15.1640625" style="931" customWidth="1"/>
    <col min="1285" max="1519" width="9" style="931"/>
    <col min="1520" max="1520" width="11.5" style="931" customWidth="1"/>
    <col min="1521" max="1521" width="3.6640625" style="931" customWidth="1"/>
    <col min="1522" max="1522" width="14.1640625" style="931" customWidth="1"/>
    <col min="1523" max="1523" width="7.5" style="931" customWidth="1"/>
    <col min="1524" max="1524" width="11.5" style="931" customWidth="1"/>
    <col min="1525" max="1525" width="3.83203125" style="931" customWidth="1"/>
    <col min="1526" max="1526" width="3" style="931" customWidth="1"/>
    <col min="1527" max="1527" width="7.6640625" style="931" customWidth="1"/>
    <col min="1528" max="1528" width="8.83203125" style="931" customWidth="1"/>
    <col min="1529" max="1529" width="11.83203125" style="931" customWidth="1"/>
    <col min="1530" max="1530" width="12.5" style="931" customWidth="1"/>
    <col min="1531" max="1531" width="8.1640625" style="931" customWidth="1"/>
    <col min="1532" max="1532" width="8" style="931" customWidth="1"/>
    <col min="1533" max="1534" width="11.33203125" style="931" customWidth="1"/>
    <col min="1535" max="1535" width="4.1640625" style="931" customWidth="1"/>
    <col min="1536" max="1537" width="7.1640625" style="931" customWidth="1"/>
    <col min="1538" max="1538" width="7" style="931" customWidth="1"/>
    <col min="1539" max="1539" width="5.83203125" style="931" customWidth="1"/>
    <col min="1540" max="1540" width="15.1640625" style="931" customWidth="1"/>
    <col min="1541" max="1775" width="9" style="931"/>
    <col min="1776" max="1776" width="11.5" style="931" customWidth="1"/>
    <col min="1777" max="1777" width="3.6640625" style="931" customWidth="1"/>
    <col min="1778" max="1778" width="14.1640625" style="931" customWidth="1"/>
    <col min="1779" max="1779" width="7.5" style="931" customWidth="1"/>
    <col min="1780" max="1780" width="11.5" style="931" customWidth="1"/>
    <col min="1781" max="1781" width="3.83203125" style="931" customWidth="1"/>
    <col min="1782" max="1782" width="3" style="931" customWidth="1"/>
    <col min="1783" max="1783" width="7.6640625" style="931" customWidth="1"/>
    <col min="1784" max="1784" width="8.83203125" style="931" customWidth="1"/>
    <col min="1785" max="1785" width="11.83203125" style="931" customWidth="1"/>
    <col min="1786" max="1786" width="12.5" style="931" customWidth="1"/>
    <col min="1787" max="1787" width="8.1640625" style="931" customWidth="1"/>
    <col min="1788" max="1788" width="8" style="931" customWidth="1"/>
    <col min="1789" max="1790" width="11.33203125" style="931" customWidth="1"/>
    <col min="1791" max="1791" width="4.1640625" style="931" customWidth="1"/>
    <col min="1792" max="1793" width="7.1640625" style="931" customWidth="1"/>
    <col min="1794" max="1794" width="7" style="931" customWidth="1"/>
    <col min="1795" max="1795" width="5.83203125" style="931" customWidth="1"/>
    <col min="1796" max="1796" width="15.1640625" style="931" customWidth="1"/>
    <col min="1797" max="2031" width="9" style="931"/>
    <col min="2032" max="2032" width="11.5" style="931" customWidth="1"/>
    <col min="2033" max="2033" width="3.6640625" style="931" customWidth="1"/>
    <col min="2034" max="2034" width="14.1640625" style="931" customWidth="1"/>
    <col min="2035" max="2035" width="7.5" style="931" customWidth="1"/>
    <col min="2036" max="2036" width="11.5" style="931" customWidth="1"/>
    <col min="2037" max="2037" width="3.83203125" style="931" customWidth="1"/>
    <col min="2038" max="2038" width="3" style="931" customWidth="1"/>
    <col min="2039" max="2039" width="7.6640625" style="931" customWidth="1"/>
    <col min="2040" max="2040" width="8.83203125" style="931" customWidth="1"/>
    <col min="2041" max="2041" width="11.83203125" style="931" customWidth="1"/>
    <col min="2042" max="2042" width="12.5" style="931" customWidth="1"/>
    <col min="2043" max="2043" width="8.1640625" style="931" customWidth="1"/>
    <col min="2044" max="2044" width="8" style="931" customWidth="1"/>
    <col min="2045" max="2046" width="11.33203125" style="931" customWidth="1"/>
    <col min="2047" max="2047" width="4.1640625" style="931" customWidth="1"/>
    <col min="2048" max="2049" width="7.1640625" style="931" customWidth="1"/>
    <col min="2050" max="2050" width="7" style="931" customWidth="1"/>
    <col min="2051" max="2051" width="5.83203125" style="931" customWidth="1"/>
    <col min="2052" max="2052" width="15.1640625" style="931" customWidth="1"/>
    <col min="2053" max="2287" width="9" style="931"/>
    <col min="2288" max="2288" width="11.5" style="931" customWidth="1"/>
    <col min="2289" max="2289" width="3.6640625" style="931" customWidth="1"/>
    <col min="2290" max="2290" width="14.1640625" style="931" customWidth="1"/>
    <col min="2291" max="2291" width="7.5" style="931" customWidth="1"/>
    <col min="2292" max="2292" width="11.5" style="931" customWidth="1"/>
    <col min="2293" max="2293" width="3.83203125" style="931" customWidth="1"/>
    <col min="2294" max="2294" width="3" style="931" customWidth="1"/>
    <col min="2295" max="2295" width="7.6640625" style="931" customWidth="1"/>
    <col min="2296" max="2296" width="8.83203125" style="931" customWidth="1"/>
    <col min="2297" max="2297" width="11.83203125" style="931" customWidth="1"/>
    <col min="2298" max="2298" width="12.5" style="931" customWidth="1"/>
    <col min="2299" max="2299" width="8.1640625" style="931" customWidth="1"/>
    <col min="2300" max="2300" width="8" style="931" customWidth="1"/>
    <col min="2301" max="2302" width="11.33203125" style="931" customWidth="1"/>
    <col min="2303" max="2303" width="4.1640625" style="931" customWidth="1"/>
    <col min="2304" max="2305" width="7.1640625" style="931" customWidth="1"/>
    <col min="2306" max="2306" width="7" style="931" customWidth="1"/>
    <col min="2307" max="2307" width="5.83203125" style="931" customWidth="1"/>
    <col min="2308" max="2308" width="15.1640625" style="931" customWidth="1"/>
    <col min="2309" max="2543" width="9" style="931"/>
    <col min="2544" max="2544" width="11.5" style="931" customWidth="1"/>
    <col min="2545" max="2545" width="3.6640625" style="931" customWidth="1"/>
    <col min="2546" max="2546" width="14.1640625" style="931" customWidth="1"/>
    <col min="2547" max="2547" width="7.5" style="931" customWidth="1"/>
    <col min="2548" max="2548" width="11.5" style="931" customWidth="1"/>
    <col min="2549" max="2549" width="3.83203125" style="931" customWidth="1"/>
    <col min="2550" max="2550" width="3" style="931" customWidth="1"/>
    <col min="2551" max="2551" width="7.6640625" style="931" customWidth="1"/>
    <col min="2552" max="2552" width="8.83203125" style="931" customWidth="1"/>
    <col min="2553" max="2553" width="11.83203125" style="931" customWidth="1"/>
    <col min="2554" max="2554" width="12.5" style="931" customWidth="1"/>
    <col min="2555" max="2555" width="8.1640625" style="931" customWidth="1"/>
    <col min="2556" max="2556" width="8" style="931" customWidth="1"/>
    <col min="2557" max="2558" width="11.33203125" style="931" customWidth="1"/>
    <col min="2559" max="2559" width="4.1640625" style="931" customWidth="1"/>
    <col min="2560" max="2561" width="7.1640625" style="931" customWidth="1"/>
    <col min="2562" max="2562" width="7" style="931" customWidth="1"/>
    <col min="2563" max="2563" width="5.83203125" style="931" customWidth="1"/>
    <col min="2564" max="2564" width="15.1640625" style="931" customWidth="1"/>
    <col min="2565" max="2799" width="9" style="931"/>
    <col min="2800" max="2800" width="11.5" style="931" customWidth="1"/>
    <col min="2801" max="2801" width="3.6640625" style="931" customWidth="1"/>
    <col min="2802" max="2802" width="14.1640625" style="931" customWidth="1"/>
    <col min="2803" max="2803" width="7.5" style="931" customWidth="1"/>
    <col min="2804" max="2804" width="11.5" style="931" customWidth="1"/>
    <col min="2805" max="2805" width="3.83203125" style="931" customWidth="1"/>
    <col min="2806" max="2806" width="3" style="931" customWidth="1"/>
    <col min="2807" max="2807" width="7.6640625" style="931" customWidth="1"/>
    <col min="2808" max="2808" width="8.83203125" style="931" customWidth="1"/>
    <col min="2809" max="2809" width="11.83203125" style="931" customWidth="1"/>
    <col min="2810" max="2810" width="12.5" style="931" customWidth="1"/>
    <col min="2811" max="2811" width="8.1640625" style="931" customWidth="1"/>
    <col min="2812" max="2812" width="8" style="931" customWidth="1"/>
    <col min="2813" max="2814" width="11.33203125" style="931" customWidth="1"/>
    <col min="2815" max="2815" width="4.1640625" style="931" customWidth="1"/>
    <col min="2816" max="2817" width="7.1640625" style="931" customWidth="1"/>
    <col min="2818" max="2818" width="7" style="931" customWidth="1"/>
    <col min="2819" max="2819" width="5.83203125" style="931" customWidth="1"/>
    <col min="2820" max="2820" width="15.1640625" style="931" customWidth="1"/>
    <col min="2821" max="3055" width="9" style="931"/>
    <col min="3056" max="3056" width="11.5" style="931" customWidth="1"/>
    <col min="3057" max="3057" width="3.6640625" style="931" customWidth="1"/>
    <col min="3058" max="3058" width="14.1640625" style="931" customWidth="1"/>
    <col min="3059" max="3059" width="7.5" style="931" customWidth="1"/>
    <col min="3060" max="3060" width="11.5" style="931" customWidth="1"/>
    <col min="3061" max="3061" width="3.83203125" style="931" customWidth="1"/>
    <col min="3062" max="3062" width="3" style="931" customWidth="1"/>
    <col min="3063" max="3063" width="7.6640625" style="931" customWidth="1"/>
    <col min="3064" max="3064" width="8.83203125" style="931" customWidth="1"/>
    <col min="3065" max="3065" width="11.83203125" style="931" customWidth="1"/>
    <col min="3066" max="3066" width="12.5" style="931" customWidth="1"/>
    <col min="3067" max="3067" width="8.1640625" style="931" customWidth="1"/>
    <col min="3068" max="3068" width="8" style="931" customWidth="1"/>
    <col min="3069" max="3070" width="11.33203125" style="931" customWidth="1"/>
    <col min="3071" max="3071" width="4.1640625" style="931" customWidth="1"/>
    <col min="3072" max="3073" width="7.1640625" style="931" customWidth="1"/>
    <col min="3074" max="3074" width="7" style="931" customWidth="1"/>
    <col min="3075" max="3075" width="5.83203125" style="931" customWidth="1"/>
    <col min="3076" max="3076" width="15.1640625" style="931" customWidth="1"/>
    <col min="3077" max="3311" width="9" style="931"/>
    <col min="3312" max="3312" width="11.5" style="931" customWidth="1"/>
    <col min="3313" max="3313" width="3.6640625" style="931" customWidth="1"/>
    <col min="3314" max="3314" width="14.1640625" style="931" customWidth="1"/>
    <col min="3315" max="3315" width="7.5" style="931" customWidth="1"/>
    <col min="3316" max="3316" width="11.5" style="931" customWidth="1"/>
    <col min="3317" max="3317" width="3.83203125" style="931" customWidth="1"/>
    <col min="3318" max="3318" width="3" style="931" customWidth="1"/>
    <col min="3319" max="3319" width="7.6640625" style="931" customWidth="1"/>
    <col min="3320" max="3320" width="8.83203125" style="931" customWidth="1"/>
    <col min="3321" max="3321" width="11.83203125" style="931" customWidth="1"/>
    <col min="3322" max="3322" width="12.5" style="931" customWidth="1"/>
    <col min="3323" max="3323" width="8.1640625" style="931" customWidth="1"/>
    <col min="3324" max="3324" width="8" style="931" customWidth="1"/>
    <col min="3325" max="3326" width="11.33203125" style="931" customWidth="1"/>
    <col min="3327" max="3327" width="4.1640625" style="931" customWidth="1"/>
    <col min="3328" max="3329" width="7.1640625" style="931" customWidth="1"/>
    <col min="3330" max="3330" width="7" style="931" customWidth="1"/>
    <col min="3331" max="3331" width="5.83203125" style="931" customWidth="1"/>
    <col min="3332" max="3332" width="15.1640625" style="931" customWidth="1"/>
    <col min="3333" max="3567" width="9" style="931"/>
    <col min="3568" max="3568" width="11.5" style="931" customWidth="1"/>
    <col min="3569" max="3569" width="3.6640625" style="931" customWidth="1"/>
    <col min="3570" max="3570" width="14.1640625" style="931" customWidth="1"/>
    <col min="3571" max="3571" width="7.5" style="931" customWidth="1"/>
    <col min="3572" max="3572" width="11.5" style="931" customWidth="1"/>
    <col min="3573" max="3573" width="3.83203125" style="931" customWidth="1"/>
    <col min="3574" max="3574" width="3" style="931" customWidth="1"/>
    <col min="3575" max="3575" width="7.6640625" style="931" customWidth="1"/>
    <col min="3576" max="3576" width="8.83203125" style="931" customWidth="1"/>
    <col min="3577" max="3577" width="11.83203125" style="931" customWidth="1"/>
    <col min="3578" max="3578" width="12.5" style="931" customWidth="1"/>
    <col min="3579" max="3579" width="8.1640625" style="931" customWidth="1"/>
    <col min="3580" max="3580" width="8" style="931" customWidth="1"/>
    <col min="3581" max="3582" width="11.33203125" style="931" customWidth="1"/>
    <col min="3583" max="3583" width="4.1640625" style="931" customWidth="1"/>
    <col min="3584" max="3585" width="7.1640625" style="931" customWidth="1"/>
    <col min="3586" max="3586" width="7" style="931" customWidth="1"/>
    <col min="3587" max="3587" width="5.83203125" style="931" customWidth="1"/>
    <col min="3588" max="3588" width="15.1640625" style="931" customWidth="1"/>
    <col min="3589" max="3823" width="9" style="931"/>
    <col min="3824" max="3824" width="11.5" style="931" customWidth="1"/>
    <col min="3825" max="3825" width="3.6640625" style="931" customWidth="1"/>
    <col min="3826" max="3826" width="14.1640625" style="931" customWidth="1"/>
    <col min="3827" max="3827" width="7.5" style="931" customWidth="1"/>
    <col min="3828" max="3828" width="11.5" style="931" customWidth="1"/>
    <col min="3829" max="3829" width="3.83203125" style="931" customWidth="1"/>
    <col min="3830" max="3830" width="3" style="931" customWidth="1"/>
    <col min="3831" max="3831" width="7.6640625" style="931" customWidth="1"/>
    <col min="3832" max="3832" width="8.83203125" style="931" customWidth="1"/>
    <col min="3833" max="3833" width="11.83203125" style="931" customWidth="1"/>
    <col min="3834" max="3834" width="12.5" style="931" customWidth="1"/>
    <col min="3835" max="3835" width="8.1640625" style="931" customWidth="1"/>
    <col min="3836" max="3836" width="8" style="931" customWidth="1"/>
    <col min="3837" max="3838" width="11.33203125" style="931" customWidth="1"/>
    <col min="3839" max="3839" width="4.1640625" style="931" customWidth="1"/>
    <col min="3840" max="3841" width="7.1640625" style="931" customWidth="1"/>
    <col min="3842" max="3842" width="7" style="931" customWidth="1"/>
    <col min="3843" max="3843" width="5.83203125" style="931" customWidth="1"/>
    <col min="3844" max="3844" width="15.1640625" style="931" customWidth="1"/>
    <col min="3845" max="4079" width="9" style="931"/>
    <col min="4080" max="4080" width="11.5" style="931" customWidth="1"/>
    <col min="4081" max="4081" width="3.6640625" style="931" customWidth="1"/>
    <col min="4082" max="4082" width="14.1640625" style="931" customWidth="1"/>
    <col min="4083" max="4083" width="7.5" style="931" customWidth="1"/>
    <col min="4084" max="4084" width="11.5" style="931" customWidth="1"/>
    <col min="4085" max="4085" width="3.83203125" style="931" customWidth="1"/>
    <col min="4086" max="4086" width="3" style="931" customWidth="1"/>
    <col min="4087" max="4087" width="7.6640625" style="931" customWidth="1"/>
    <col min="4088" max="4088" width="8.83203125" style="931" customWidth="1"/>
    <col min="4089" max="4089" width="11.83203125" style="931" customWidth="1"/>
    <col min="4090" max="4090" width="12.5" style="931" customWidth="1"/>
    <col min="4091" max="4091" width="8.1640625" style="931" customWidth="1"/>
    <col min="4092" max="4092" width="8" style="931" customWidth="1"/>
    <col min="4093" max="4094" width="11.33203125" style="931" customWidth="1"/>
    <col min="4095" max="4095" width="4.1640625" style="931" customWidth="1"/>
    <col min="4096" max="4097" width="7.1640625" style="931" customWidth="1"/>
    <col min="4098" max="4098" width="7" style="931" customWidth="1"/>
    <col min="4099" max="4099" width="5.83203125" style="931" customWidth="1"/>
    <col min="4100" max="4100" width="15.1640625" style="931" customWidth="1"/>
    <col min="4101" max="4335" width="9" style="931"/>
    <col min="4336" max="4336" width="11.5" style="931" customWidth="1"/>
    <col min="4337" max="4337" width="3.6640625" style="931" customWidth="1"/>
    <col min="4338" max="4338" width="14.1640625" style="931" customWidth="1"/>
    <col min="4339" max="4339" width="7.5" style="931" customWidth="1"/>
    <col min="4340" max="4340" width="11.5" style="931" customWidth="1"/>
    <col min="4341" max="4341" width="3.83203125" style="931" customWidth="1"/>
    <col min="4342" max="4342" width="3" style="931" customWidth="1"/>
    <col min="4343" max="4343" width="7.6640625" style="931" customWidth="1"/>
    <col min="4344" max="4344" width="8.83203125" style="931" customWidth="1"/>
    <col min="4345" max="4345" width="11.83203125" style="931" customWidth="1"/>
    <col min="4346" max="4346" width="12.5" style="931" customWidth="1"/>
    <col min="4347" max="4347" width="8.1640625" style="931" customWidth="1"/>
    <col min="4348" max="4348" width="8" style="931" customWidth="1"/>
    <col min="4349" max="4350" width="11.33203125" style="931" customWidth="1"/>
    <col min="4351" max="4351" width="4.1640625" style="931" customWidth="1"/>
    <col min="4352" max="4353" width="7.1640625" style="931" customWidth="1"/>
    <col min="4354" max="4354" width="7" style="931" customWidth="1"/>
    <col min="4355" max="4355" width="5.83203125" style="931" customWidth="1"/>
    <col min="4356" max="4356" width="15.1640625" style="931" customWidth="1"/>
    <col min="4357" max="4591" width="9" style="931"/>
    <col min="4592" max="4592" width="11.5" style="931" customWidth="1"/>
    <col min="4593" max="4593" width="3.6640625" style="931" customWidth="1"/>
    <col min="4594" max="4594" width="14.1640625" style="931" customWidth="1"/>
    <col min="4595" max="4595" width="7.5" style="931" customWidth="1"/>
    <col min="4596" max="4596" width="11.5" style="931" customWidth="1"/>
    <col min="4597" max="4597" width="3.83203125" style="931" customWidth="1"/>
    <col min="4598" max="4598" width="3" style="931" customWidth="1"/>
    <col min="4599" max="4599" width="7.6640625" style="931" customWidth="1"/>
    <col min="4600" max="4600" width="8.83203125" style="931" customWidth="1"/>
    <col min="4601" max="4601" width="11.83203125" style="931" customWidth="1"/>
    <col min="4602" max="4602" width="12.5" style="931" customWidth="1"/>
    <col min="4603" max="4603" width="8.1640625" style="931" customWidth="1"/>
    <col min="4604" max="4604" width="8" style="931" customWidth="1"/>
    <col min="4605" max="4606" width="11.33203125" style="931" customWidth="1"/>
    <col min="4607" max="4607" width="4.1640625" style="931" customWidth="1"/>
    <col min="4608" max="4609" width="7.1640625" style="931" customWidth="1"/>
    <col min="4610" max="4610" width="7" style="931" customWidth="1"/>
    <col min="4611" max="4611" width="5.83203125" style="931" customWidth="1"/>
    <col min="4612" max="4612" width="15.1640625" style="931" customWidth="1"/>
    <col min="4613" max="4847" width="9" style="931"/>
    <col min="4848" max="4848" width="11.5" style="931" customWidth="1"/>
    <col min="4849" max="4849" width="3.6640625" style="931" customWidth="1"/>
    <col min="4850" max="4850" width="14.1640625" style="931" customWidth="1"/>
    <col min="4851" max="4851" width="7.5" style="931" customWidth="1"/>
    <col min="4852" max="4852" width="11.5" style="931" customWidth="1"/>
    <col min="4853" max="4853" width="3.83203125" style="931" customWidth="1"/>
    <col min="4854" max="4854" width="3" style="931" customWidth="1"/>
    <col min="4855" max="4855" width="7.6640625" style="931" customWidth="1"/>
    <col min="4856" max="4856" width="8.83203125" style="931" customWidth="1"/>
    <col min="4857" max="4857" width="11.83203125" style="931" customWidth="1"/>
    <col min="4858" max="4858" width="12.5" style="931" customWidth="1"/>
    <col min="4859" max="4859" width="8.1640625" style="931" customWidth="1"/>
    <col min="4860" max="4860" width="8" style="931" customWidth="1"/>
    <col min="4861" max="4862" width="11.33203125" style="931" customWidth="1"/>
    <col min="4863" max="4863" width="4.1640625" style="931" customWidth="1"/>
    <col min="4864" max="4865" width="7.1640625" style="931" customWidth="1"/>
    <col min="4866" max="4866" width="7" style="931" customWidth="1"/>
    <col min="4867" max="4867" width="5.83203125" style="931" customWidth="1"/>
    <col min="4868" max="4868" width="15.1640625" style="931" customWidth="1"/>
    <col min="4869" max="5103" width="9" style="931"/>
    <col min="5104" max="5104" width="11.5" style="931" customWidth="1"/>
    <col min="5105" max="5105" width="3.6640625" style="931" customWidth="1"/>
    <col min="5106" max="5106" width="14.1640625" style="931" customWidth="1"/>
    <col min="5107" max="5107" width="7.5" style="931" customWidth="1"/>
    <col min="5108" max="5108" width="11.5" style="931" customWidth="1"/>
    <col min="5109" max="5109" width="3.83203125" style="931" customWidth="1"/>
    <col min="5110" max="5110" width="3" style="931" customWidth="1"/>
    <col min="5111" max="5111" width="7.6640625" style="931" customWidth="1"/>
    <col min="5112" max="5112" width="8.83203125" style="931" customWidth="1"/>
    <col min="5113" max="5113" width="11.83203125" style="931" customWidth="1"/>
    <col min="5114" max="5114" width="12.5" style="931" customWidth="1"/>
    <col min="5115" max="5115" width="8.1640625" style="931" customWidth="1"/>
    <col min="5116" max="5116" width="8" style="931" customWidth="1"/>
    <col min="5117" max="5118" width="11.33203125" style="931" customWidth="1"/>
    <col min="5119" max="5119" width="4.1640625" style="931" customWidth="1"/>
    <col min="5120" max="5121" width="7.1640625" style="931" customWidth="1"/>
    <col min="5122" max="5122" width="7" style="931" customWidth="1"/>
    <col min="5123" max="5123" width="5.83203125" style="931" customWidth="1"/>
    <col min="5124" max="5124" width="15.1640625" style="931" customWidth="1"/>
    <col min="5125" max="5359" width="9" style="931"/>
    <col min="5360" max="5360" width="11.5" style="931" customWidth="1"/>
    <col min="5361" max="5361" width="3.6640625" style="931" customWidth="1"/>
    <col min="5362" max="5362" width="14.1640625" style="931" customWidth="1"/>
    <col min="5363" max="5363" width="7.5" style="931" customWidth="1"/>
    <col min="5364" max="5364" width="11.5" style="931" customWidth="1"/>
    <col min="5365" max="5365" width="3.83203125" style="931" customWidth="1"/>
    <col min="5366" max="5366" width="3" style="931" customWidth="1"/>
    <col min="5367" max="5367" width="7.6640625" style="931" customWidth="1"/>
    <col min="5368" max="5368" width="8.83203125" style="931" customWidth="1"/>
    <col min="5369" max="5369" width="11.83203125" style="931" customWidth="1"/>
    <col min="5370" max="5370" width="12.5" style="931" customWidth="1"/>
    <col min="5371" max="5371" width="8.1640625" style="931" customWidth="1"/>
    <col min="5372" max="5372" width="8" style="931" customWidth="1"/>
    <col min="5373" max="5374" width="11.33203125" style="931" customWidth="1"/>
    <col min="5375" max="5375" width="4.1640625" style="931" customWidth="1"/>
    <col min="5376" max="5377" width="7.1640625" style="931" customWidth="1"/>
    <col min="5378" max="5378" width="7" style="931" customWidth="1"/>
    <col min="5379" max="5379" width="5.83203125" style="931" customWidth="1"/>
    <col min="5380" max="5380" width="15.1640625" style="931" customWidth="1"/>
    <col min="5381" max="5615" width="9" style="931"/>
    <col min="5616" max="5616" width="11.5" style="931" customWidth="1"/>
    <col min="5617" max="5617" width="3.6640625" style="931" customWidth="1"/>
    <col min="5618" max="5618" width="14.1640625" style="931" customWidth="1"/>
    <col min="5619" max="5619" width="7.5" style="931" customWidth="1"/>
    <col min="5620" max="5620" width="11.5" style="931" customWidth="1"/>
    <col min="5621" max="5621" width="3.83203125" style="931" customWidth="1"/>
    <col min="5622" max="5622" width="3" style="931" customWidth="1"/>
    <col min="5623" max="5623" width="7.6640625" style="931" customWidth="1"/>
    <col min="5624" max="5624" width="8.83203125" style="931" customWidth="1"/>
    <col min="5625" max="5625" width="11.83203125" style="931" customWidth="1"/>
    <col min="5626" max="5626" width="12.5" style="931" customWidth="1"/>
    <col min="5627" max="5627" width="8.1640625" style="931" customWidth="1"/>
    <col min="5628" max="5628" width="8" style="931" customWidth="1"/>
    <col min="5629" max="5630" width="11.33203125" style="931" customWidth="1"/>
    <col min="5631" max="5631" width="4.1640625" style="931" customWidth="1"/>
    <col min="5632" max="5633" width="7.1640625" style="931" customWidth="1"/>
    <col min="5634" max="5634" width="7" style="931" customWidth="1"/>
    <col min="5635" max="5635" width="5.83203125" style="931" customWidth="1"/>
    <col min="5636" max="5636" width="15.1640625" style="931" customWidth="1"/>
    <col min="5637" max="5871" width="9" style="931"/>
    <col min="5872" max="5872" width="11.5" style="931" customWidth="1"/>
    <col min="5873" max="5873" width="3.6640625" style="931" customWidth="1"/>
    <col min="5874" max="5874" width="14.1640625" style="931" customWidth="1"/>
    <col min="5875" max="5875" width="7.5" style="931" customWidth="1"/>
    <col min="5876" max="5876" width="11.5" style="931" customWidth="1"/>
    <col min="5877" max="5877" width="3.83203125" style="931" customWidth="1"/>
    <col min="5878" max="5878" width="3" style="931" customWidth="1"/>
    <col min="5879" max="5879" width="7.6640625" style="931" customWidth="1"/>
    <col min="5880" max="5880" width="8.83203125" style="931" customWidth="1"/>
    <col min="5881" max="5881" width="11.83203125" style="931" customWidth="1"/>
    <col min="5882" max="5882" width="12.5" style="931" customWidth="1"/>
    <col min="5883" max="5883" width="8.1640625" style="931" customWidth="1"/>
    <col min="5884" max="5884" width="8" style="931" customWidth="1"/>
    <col min="5885" max="5886" width="11.33203125" style="931" customWidth="1"/>
    <col min="5887" max="5887" width="4.1640625" style="931" customWidth="1"/>
    <col min="5888" max="5889" width="7.1640625" style="931" customWidth="1"/>
    <col min="5890" max="5890" width="7" style="931" customWidth="1"/>
    <col min="5891" max="5891" width="5.83203125" style="931" customWidth="1"/>
    <col min="5892" max="5892" width="15.1640625" style="931" customWidth="1"/>
    <col min="5893" max="6127" width="9" style="931"/>
    <col min="6128" max="6128" width="11.5" style="931" customWidth="1"/>
    <col min="6129" max="6129" width="3.6640625" style="931" customWidth="1"/>
    <col min="6130" max="6130" width="14.1640625" style="931" customWidth="1"/>
    <col min="6131" max="6131" width="7.5" style="931" customWidth="1"/>
    <col min="6132" max="6132" width="11.5" style="931" customWidth="1"/>
    <col min="6133" max="6133" width="3.83203125" style="931" customWidth="1"/>
    <col min="6134" max="6134" width="3" style="931" customWidth="1"/>
    <col min="6135" max="6135" width="7.6640625" style="931" customWidth="1"/>
    <col min="6136" max="6136" width="8.83203125" style="931" customWidth="1"/>
    <col min="6137" max="6137" width="11.83203125" style="931" customWidth="1"/>
    <col min="6138" max="6138" width="12.5" style="931" customWidth="1"/>
    <col min="6139" max="6139" width="8.1640625" style="931" customWidth="1"/>
    <col min="6140" max="6140" width="8" style="931" customWidth="1"/>
    <col min="6141" max="6142" width="11.33203125" style="931" customWidth="1"/>
    <col min="6143" max="6143" width="4.1640625" style="931" customWidth="1"/>
    <col min="6144" max="6145" width="7.1640625" style="931" customWidth="1"/>
    <col min="6146" max="6146" width="7" style="931" customWidth="1"/>
    <col min="6147" max="6147" width="5.83203125" style="931" customWidth="1"/>
    <col min="6148" max="6148" width="15.1640625" style="931" customWidth="1"/>
    <col min="6149" max="6383" width="9" style="931"/>
    <col min="6384" max="6384" width="11.5" style="931" customWidth="1"/>
    <col min="6385" max="6385" width="3.6640625" style="931" customWidth="1"/>
    <col min="6386" max="6386" width="14.1640625" style="931" customWidth="1"/>
    <col min="6387" max="6387" width="7.5" style="931" customWidth="1"/>
    <col min="6388" max="6388" width="11.5" style="931" customWidth="1"/>
    <col min="6389" max="6389" width="3.83203125" style="931" customWidth="1"/>
    <col min="6390" max="6390" width="3" style="931" customWidth="1"/>
    <col min="6391" max="6391" width="7.6640625" style="931" customWidth="1"/>
    <col min="6392" max="6392" width="8.83203125" style="931" customWidth="1"/>
    <col min="6393" max="6393" width="11.83203125" style="931" customWidth="1"/>
    <col min="6394" max="6394" width="12.5" style="931" customWidth="1"/>
    <col min="6395" max="6395" width="8.1640625" style="931" customWidth="1"/>
    <col min="6396" max="6396" width="8" style="931" customWidth="1"/>
    <col min="6397" max="6398" width="11.33203125" style="931" customWidth="1"/>
    <col min="6399" max="6399" width="4.1640625" style="931" customWidth="1"/>
    <col min="6400" max="6401" width="7.1640625" style="931" customWidth="1"/>
    <col min="6402" max="6402" width="7" style="931" customWidth="1"/>
    <col min="6403" max="6403" width="5.83203125" style="931" customWidth="1"/>
    <col min="6404" max="6404" width="15.1640625" style="931" customWidth="1"/>
    <col min="6405" max="6639" width="9" style="931"/>
    <col min="6640" max="6640" width="11.5" style="931" customWidth="1"/>
    <col min="6641" max="6641" width="3.6640625" style="931" customWidth="1"/>
    <col min="6642" max="6642" width="14.1640625" style="931" customWidth="1"/>
    <col min="6643" max="6643" width="7.5" style="931" customWidth="1"/>
    <col min="6644" max="6644" width="11.5" style="931" customWidth="1"/>
    <col min="6645" max="6645" width="3.83203125" style="931" customWidth="1"/>
    <col min="6646" max="6646" width="3" style="931" customWidth="1"/>
    <col min="6647" max="6647" width="7.6640625" style="931" customWidth="1"/>
    <col min="6648" max="6648" width="8.83203125" style="931" customWidth="1"/>
    <col min="6649" max="6649" width="11.83203125" style="931" customWidth="1"/>
    <col min="6650" max="6650" width="12.5" style="931" customWidth="1"/>
    <col min="6651" max="6651" width="8.1640625" style="931" customWidth="1"/>
    <col min="6652" max="6652" width="8" style="931" customWidth="1"/>
    <col min="6653" max="6654" width="11.33203125" style="931" customWidth="1"/>
    <col min="6655" max="6655" width="4.1640625" style="931" customWidth="1"/>
    <col min="6656" max="6657" width="7.1640625" style="931" customWidth="1"/>
    <col min="6658" max="6658" width="7" style="931" customWidth="1"/>
    <col min="6659" max="6659" width="5.83203125" style="931" customWidth="1"/>
    <col min="6660" max="6660" width="15.1640625" style="931" customWidth="1"/>
    <col min="6661" max="6895" width="9" style="931"/>
    <col min="6896" max="6896" width="11.5" style="931" customWidth="1"/>
    <col min="6897" max="6897" width="3.6640625" style="931" customWidth="1"/>
    <col min="6898" max="6898" width="14.1640625" style="931" customWidth="1"/>
    <col min="6899" max="6899" width="7.5" style="931" customWidth="1"/>
    <col min="6900" max="6900" width="11.5" style="931" customWidth="1"/>
    <col min="6901" max="6901" width="3.83203125" style="931" customWidth="1"/>
    <col min="6902" max="6902" width="3" style="931" customWidth="1"/>
    <col min="6903" max="6903" width="7.6640625" style="931" customWidth="1"/>
    <col min="6904" max="6904" width="8.83203125" style="931" customWidth="1"/>
    <col min="6905" max="6905" width="11.83203125" style="931" customWidth="1"/>
    <col min="6906" max="6906" width="12.5" style="931" customWidth="1"/>
    <col min="6907" max="6907" width="8.1640625" style="931" customWidth="1"/>
    <col min="6908" max="6908" width="8" style="931" customWidth="1"/>
    <col min="6909" max="6910" width="11.33203125" style="931" customWidth="1"/>
    <col min="6911" max="6911" width="4.1640625" style="931" customWidth="1"/>
    <col min="6912" max="6913" width="7.1640625" style="931" customWidth="1"/>
    <col min="6914" max="6914" width="7" style="931" customWidth="1"/>
    <col min="6915" max="6915" width="5.83203125" style="931" customWidth="1"/>
    <col min="6916" max="6916" width="15.1640625" style="931" customWidth="1"/>
    <col min="6917" max="7151" width="9" style="931"/>
    <col min="7152" max="7152" width="11.5" style="931" customWidth="1"/>
    <col min="7153" max="7153" width="3.6640625" style="931" customWidth="1"/>
    <col min="7154" max="7154" width="14.1640625" style="931" customWidth="1"/>
    <col min="7155" max="7155" width="7.5" style="931" customWidth="1"/>
    <col min="7156" max="7156" width="11.5" style="931" customWidth="1"/>
    <col min="7157" max="7157" width="3.83203125" style="931" customWidth="1"/>
    <col min="7158" max="7158" width="3" style="931" customWidth="1"/>
    <col min="7159" max="7159" width="7.6640625" style="931" customWidth="1"/>
    <col min="7160" max="7160" width="8.83203125" style="931" customWidth="1"/>
    <col min="7161" max="7161" width="11.83203125" style="931" customWidth="1"/>
    <col min="7162" max="7162" width="12.5" style="931" customWidth="1"/>
    <col min="7163" max="7163" width="8.1640625" style="931" customWidth="1"/>
    <col min="7164" max="7164" width="8" style="931" customWidth="1"/>
    <col min="7165" max="7166" width="11.33203125" style="931" customWidth="1"/>
    <col min="7167" max="7167" width="4.1640625" style="931" customWidth="1"/>
    <col min="7168" max="7169" width="7.1640625" style="931" customWidth="1"/>
    <col min="7170" max="7170" width="7" style="931" customWidth="1"/>
    <col min="7171" max="7171" width="5.83203125" style="931" customWidth="1"/>
    <col min="7172" max="7172" width="15.1640625" style="931" customWidth="1"/>
    <col min="7173" max="7407" width="9" style="931"/>
    <col min="7408" max="7408" width="11.5" style="931" customWidth="1"/>
    <col min="7409" max="7409" width="3.6640625" style="931" customWidth="1"/>
    <col min="7410" max="7410" width="14.1640625" style="931" customWidth="1"/>
    <col min="7411" max="7411" width="7.5" style="931" customWidth="1"/>
    <col min="7412" max="7412" width="11.5" style="931" customWidth="1"/>
    <col min="7413" max="7413" width="3.83203125" style="931" customWidth="1"/>
    <col min="7414" max="7414" width="3" style="931" customWidth="1"/>
    <col min="7415" max="7415" width="7.6640625" style="931" customWidth="1"/>
    <col min="7416" max="7416" width="8.83203125" style="931" customWidth="1"/>
    <col min="7417" max="7417" width="11.83203125" style="931" customWidth="1"/>
    <col min="7418" max="7418" width="12.5" style="931" customWidth="1"/>
    <col min="7419" max="7419" width="8.1640625" style="931" customWidth="1"/>
    <col min="7420" max="7420" width="8" style="931" customWidth="1"/>
    <col min="7421" max="7422" width="11.33203125" style="931" customWidth="1"/>
    <col min="7423" max="7423" width="4.1640625" style="931" customWidth="1"/>
    <col min="7424" max="7425" width="7.1640625" style="931" customWidth="1"/>
    <col min="7426" max="7426" width="7" style="931" customWidth="1"/>
    <col min="7427" max="7427" width="5.83203125" style="931" customWidth="1"/>
    <col min="7428" max="7428" width="15.1640625" style="931" customWidth="1"/>
    <col min="7429" max="7663" width="9" style="931"/>
    <col min="7664" max="7664" width="11.5" style="931" customWidth="1"/>
    <col min="7665" max="7665" width="3.6640625" style="931" customWidth="1"/>
    <col min="7666" max="7666" width="14.1640625" style="931" customWidth="1"/>
    <col min="7667" max="7667" width="7.5" style="931" customWidth="1"/>
    <col min="7668" max="7668" width="11.5" style="931" customWidth="1"/>
    <col min="7669" max="7669" width="3.83203125" style="931" customWidth="1"/>
    <col min="7670" max="7670" width="3" style="931" customWidth="1"/>
    <col min="7671" max="7671" width="7.6640625" style="931" customWidth="1"/>
    <col min="7672" max="7672" width="8.83203125" style="931" customWidth="1"/>
    <col min="7673" max="7673" width="11.83203125" style="931" customWidth="1"/>
    <col min="7674" max="7674" width="12.5" style="931" customWidth="1"/>
    <col min="7675" max="7675" width="8.1640625" style="931" customWidth="1"/>
    <col min="7676" max="7676" width="8" style="931" customWidth="1"/>
    <col min="7677" max="7678" width="11.33203125" style="931" customWidth="1"/>
    <col min="7679" max="7679" width="4.1640625" style="931" customWidth="1"/>
    <col min="7680" max="7681" width="7.1640625" style="931" customWidth="1"/>
    <col min="7682" max="7682" width="7" style="931" customWidth="1"/>
    <col min="7683" max="7683" width="5.83203125" style="931" customWidth="1"/>
    <col min="7684" max="7684" width="15.1640625" style="931" customWidth="1"/>
    <col min="7685" max="7919" width="9" style="931"/>
    <col min="7920" max="7920" width="11.5" style="931" customWidth="1"/>
    <col min="7921" max="7921" width="3.6640625" style="931" customWidth="1"/>
    <col min="7922" max="7922" width="14.1640625" style="931" customWidth="1"/>
    <col min="7923" max="7923" width="7.5" style="931" customWidth="1"/>
    <col min="7924" max="7924" width="11.5" style="931" customWidth="1"/>
    <col min="7925" max="7925" width="3.83203125" style="931" customWidth="1"/>
    <col min="7926" max="7926" width="3" style="931" customWidth="1"/>
    <col min="7927" max="7927" width="7.6640625" style="931" customWidth="1"/>
    <col min="7928" max="7928" width="8.83203125" style="931" customWidth="1"/>
    <col min="7929" max="7929" width="11.83203125" style="931" customWidth="1"/>
    <col min="7930" max="7930" width="12.5" style="931" customWidth="1"/>
    <col min="7931" max="7931" width="8.1640625" style="931" customWidth="1"/>
    <col min="7932" max="7932" width="8" style="931" customWidth="1"/>
    <col min="7933" max="7934" width="11.33203125" style="931" customWidth="1"/>
    <col min="7935" max="7935" width="4.1640625" style="931" customWidth="1"/>
    <col min="7936" max="7937" width="7.1640625" style="931" customWidth="1"/>
    <col min="7938" max="7938" width="7" style="931" customWidth="1"/>
    <col min="7939" max="7939" width="5.83203125" style="931" customWidth="1"/>
    <col min="7940" max="7940" width="15.1640625" style="931" customWidth="1"/>
    <col min="7941" max="8175" width="9" style="931"/>
    <col min="8176" max="8176" width="11.5" style="931" customWidth="1"/>
    <col min="8177" max="8177" width="3.6640625" style="931" customWidth="1"/>
    <col min="8178" max="8178" width="14.1640625" style="931" customWidth="1"/>
    <col min="8179" max="8179" width="7.5" style="931" customWidth="1"/>
    <col min="8180" max="8180" width="11.5" style="931" customWidth="1"/>
    <col min="8181" max="8181" width="3.83203125" style="931" customWidth="1"/>
    <col min="8182" max="8182" width="3" style="931" customWidth="1"/>
    <col min="8183" max="8183" width="7.6640625" style="931" customWidth="1"/>
    <col min="8184" max="8184" width="8.83203125" style="931" customWidth="1"/>
    <col min="8185" max="8185" width="11.83203125" style="931" customWidth="1"/>
    <col min="8186" max="8186" width="12.5" style="931" customWidth="1"/>
    <col min="8187" max="8187" width="8.1640625" style="931" customWidth="1"/>
    <col min="8188" max="8188" width="8" style="931" customWidth="1"/>
    <col min="8189" max="8190" width="11.33203125" style="931" customWidth="1"/>
    <col min="8191" max="8191" width="4.1640625" style="931" customWidth="1"/>
    <col min="8192" max="8193" width="7.1640625" style="931" customWidth="1"/>
    <col min="8194" max="8194" width="7" style="931" customWidth="1"/>
    <col min="8195" max="8195" width="5.83203125" style="931" customWidth="1"/>
    <col min="8196" max="8196" width="15.1640625" style="931" customWidth="1"/>
    <col min="8197" max="8431" width="9" style="931"/>
    <col min="8432" max="8432" width="11.5" style="931" customWidth="1"/>
    <col min="8433" max="8433" width="3.6640625" style="931" customWidth="1"/>
    <col min="8434" max="8434" width="14.1640625" style="931" customWidth="1"/>
    <col min="8435" max="8435" width="7.5" style="931" customWidth="1"/>
    <col min="8436" max="8436" width="11.5" style="931" customWidth="1"/>
    <col min="8437" max="8437" width="3.83203125" style="931" customWidth="1"/>
    <col min="8438" max="8438" width="3" style="931" customWidth="1"/>
    <col min="8439" max="8439" width="7.6640625" style="931" customWidth="1"/>
    <col min="8440" max="8440" width="8.83203125" style="931" customWidth="1"/>
    <col min="8441" max="8441" width="11.83203125" style="931" customWidth="1"/>
    <col min="8442" max="8442" width="12.5" style="931" customWidth="1"/>
    <col min="8443" max="8443" width="8.1640625" style="931" customWidth="1"/>
    <col min="8444" max="8444" width="8" style="931" customWidth="1"/>
    <col min="8445" max="8446" width="11.33203125" style="931" customWidth="1"/>
    <col min="8447" max="8447" width="4.1640625" style="931" customWidth="1"/>
    <col min="8448" max="8449" width="7.1640625" style="931" customWidth="1"/>
    <col min="8450" max="8450" width="7" style="931" customWidth="1"/>
    <col min="8451" max="8451" width="5.83203125" style="931" customWidth="1"/>
    <col min="8452" max="8452" width="15.1640625" style="931" customWidth="1"/>
    <col min="8453" max="8687" width="9" style="931"/>
    <col min="8688" max="8688" width="11.5" style="931" customWidth="1"/>
    <col min="8689" max="8689" width="3.6640625" style="931" customWidth="1"/>
    <col min="8690" max="8690" width="14.1640625" style="931" customWidth="1"/>
    <col min="8691" max="8691" width="7.5" style="931" customWidth="1"/>
    <col min="8692" max="8692" width="11.5" style="931" customWidth="1"/>
    <col min="8693" max="8693" width="3.83203125" style="931" customWidth="1"/>
    <col min="8694" max="8694" width="3" style="931" customWidth="1"/>
    <col min="8695" max="8695" width="7.6640625" style="931" customWidth="1"/>
    <col min="8696" max="8696" width="8.83203125" style="931" customWidth="1"/>
    <col min="8697" max="8697" width="11.83203125" style="931" customWidth="1"/>
    <col min="8698" max="8698" width="12.5" style="931" customWidth="1"/>
    <col min="8699" max="8699" width="8.1640625" style="931" customWidth="1"/>
    <col min="8700" max="8700" width="8" style="931" customWidth="1"/>
    <col min="8701" max="8702" width="11.33203125" style="931" customWidth="1"/>
    <col min="8703" max="8703" width="4.1640625" style="931" customWidth="1"/>
    <col min="8704" max="8705" width="7.1640625" style="931" customWidth="1"/>
    <col min="8706" max="8706" width="7" style="931" customWidth="1"/>
    <col min="8707" max="8707" width="5.83203125" style="931" customWidth="1"/>
    <col min="8708" max="8708" width="15.1640625" style="931" customWidth="1"/>
    <col min="8709" max="8943" width="9" style="931"/>
    <col min="8944" max="8944" width="11.5" style="931" customWidth="1"/>
    <col min="8945" max="8945" width="3.6640625" style="931" customWidth="1"/>
    <col min="8946" max="8946" width="14.1640625" style="931" customWidth="1"/>
    <col min="8947" max="8947" width="7.5" style="931" customWidth="1"/>
    <col min="8948" max="8948" width="11.5" style="931" customWidth="1"/>
    <col min="8949" max="8949" width="3.83203125" style="931" customWidth="1"/>
    <col min="8950" max="8950" width="3" style="931" customWidth="1"/>
    <col min="8951" max="8951" width="7.6640625" style="931" customWidth="1"/>
    <col min="8952" max="8952" width="8.83203125" style="931" customWidth="1"/>
    <col min="8953" max="8953" width="11.83203125" style="931" customWidth="1"/>
    <col min="8954" max="8954" width="12.5" style="931" customWidth="1"/>
    <col min="8955" max="8955" width="8.1640625" style="931" customWidth="1"/>
    <col min="8956" max="8956" width="8" style="931" customWidth="1"/>
    <col min="8957" max="8958" width="11.33203125" style="931" customWidth="1"/>
    <col min="8959" max="8959" width="4.1640625" style="931" customWidth="1"/>
    <col min="8960" max="8961" width="7.1640625" style="931" customWidth="1"/>
    <col min="8962" max="8962" width="7" style="931" customWidth="1"/>
    <col min="8963" max="8963" width="5.83203125" style="931" customWidth="1"/>
    <col min="8964" max="8964" width="15.1640625" style="931" customWidth="1"/>
    <col min="8965" max="9199" width="9" style="931"/>
    <col min="9200" max="9200" width="11.5" style="931" customWidth="1"/>
    <col min="9201" max="9201" width="3.6640625" style="931" customWidth="1"/>
    <col min="9202" max="9202" width="14.1640625" style="931" customWidth="1"/>
    <col min="9203" max="9203" width="7.5" style="931" customWidth="1"/>
    <col min="9204" max="9204" width="11.5" style="931" customWidth="1"/>
    <col min="9205" max="9205" width="3.83203125" style="931" customWidth="1"/>
    <col min="9206" max="9206" width="3" style="931" customWidth="1"/>
    <col min="9207" max="9207" width="7.6640625" style="931" customWidth="1"/>
    <col min="9208" max="9208" width="8.83203125" style="931" customWidth="1"/>
    <col min="9209" max="9209" width="11.83203125" style="931" customWidth="1"/>
    <col min="9210" max="9210" width="12.5" style="931" customWidth="1"/>
    <col min="9211" max="9211" width="8.1640625" style="931" customWidth="1"/>
    <col min="9212" max="9212" width="8" style="931" customWidth="1"/>
    <col min="9213" max="9214" width="11.33203125" style="931" customWidth="1"/>
    <col min="9215" max="9215" width="4.1640625" style="931" customWidth="1"/>
    <col min="9216" max="9217" width="7.1640625" style="931" customWidth="1"/>
    <col min="9218" max="9218" width="7" style="931" customWidth="1"/>
    <col min="9219" max="9219" width="5.83203125" style="931" customWidth="1"/>
    <col min="9220" max="9220" width="15.1640625" style="931" customWidth="1"/>
    <col min="9221" max="9455" width="9" style="931"/>
    <col min="9456" max="9456" width="11.5" style="931" customWidth="1"/>
    <col min="9457" max="9457" width="3.6640625" style="931" customWidth="1"/>
    <col min="9458" max="9458" width="14.1640625" style="931" customWidth="1"/>
    <col min="9459" max="9459" width="7.5" style="931" customWidth="1"/>
    <col min="9460" max="9460" width="11.5" style="931" customWidth="1"/>
    <col min="9461" max="9461" width="3.83203125" style="931" customWidth="1"/>
    <col min="9462" max="9462" width="3" style="931" customWidth="1"/>
    <col min="9463" max="9463" width="7.6640625" style="931" customWidth="1"/>
    <col min="9464" max="9464" width="8.83203125" style="931" customWidth="1"/>
    <col min="9465" max="9465" width="11.83203125" style="931" customWidth="1"/>
    <col min="9466" max="9466" width="12.5" style="931" customWidth="1"/>
    <col min="9467" max="9467" width="8.1640625" style="931" customWidth="1"/>
    <col min="9468" max="9468" width="8" style="931" customWidth="1"/>
    <col min="9469" max="9470" width="11.33203125" style="931" customWidth="1"/>
    <col min="9471" max="9471" width="4.1640625" style="931" customWidth="1"/>
    <col min="9472" max="9473" width="7.1640625" style="931" customWidth="1"/>
    <col min="9474" max="9474" width="7" style="931" customWidth="1"/>
    <col min="9475" max="9475" width="5.83203125" style="931" customWidth="1"/>
    <col min="9476" max="9476" width="15.1640625" style="931" customWidth="1"/>
    <col min="9477" max="9711" width="9" style="931"/>
    <col min="9712" max="9712" width="11.5" style="931" customWidth="1"/>
    <col min="9713" max="9713" width="3.6640625" style="931" customWidth="1"/>
    <col min="9714" max="9714" width="14.1640625" style="931" customWidth="1"/>
    <col min="9715" max="9715" width="7.5" style="931" customWidth="1"/>
    <col min="9716" max="9716" width="11.5" style="931" customWidth="1"/>
    <col min="9717" max="9717" width="3.83203125" style="931" customWidth="1"/>
    <col min="9718" max="9718" width="3" style="931" customWidth="1"/>
    <col min="9719" max="9719" width="7.6640625" style="931" customWidth="1"/>
    <col min="9720" max="9720" width="8.83203125" style="931" customWidth="1"/>
    <col min="9721" max="9721" width="11.83203125" style="931" customWidth="1"/>
    <col min="9722" max="9722" width="12.5" style="931" customWidth="1"/>
    <col min="9723" max="9723" width="8.1640625" style="931" customWidth="1"/>
    <col min="9724" max="9724" width="8" style="931" customWidth="1"/>
    <col min="9725" max="9726" width="11.33203125" style="931" customWidth="1"/>
    <col min="9727" max="9727" width="4.1640625" style="931" customWidth="1"/>
    <col min="9728" max="9729" width="7.1640625" style="931" customWidth="1"/>
    <col min="9730" max="9730" width="7" style="931" customWidth="1"/>
    <col min="9731" max="9731" width="5.83203125" style="931" customWidth="1"/>
    <col min="9732" max="9732" width="15.1640625" style="931" customWidth="1"/>
    <col min="9733" max="9967" width="9" style="931"/>
    <col min="9968" max="9968" width="11.5" style="931" customWidth="1"/>
    <col min="9969" max="9969" width="3.6640625" style="931" customWidth="1"/>
    <col min="9970" max="9970" width="14.1640625" style="931" customWidth="1"/>
    <col min="9971" max="9971" width="7.5" style="931" customWidth="1"/>
    <col min="9972" max="9972" width="11.5" style="931" customWidth="1"/>
    <col min="9973" max="9973" width="3.83203125" style="931" customWidth="1"/>
    <col min="9974" max="9974" width="3" style="931" customWidth="1"/>
    <col min="9975" max="9975" width="7.6640625" style="931" customWidth="1"/>
    <col min="9976" max="9976" width="8.83203125" style="931" customWidth="1"/>
    <col min="9977" max="9977" width="11.83203125" style="931" customWidth="1"/>
    <col min="9978" max="9978" width="12.5" style="931" customWidth="1"/>
    <col min="9979" max="9979" width="8.1640625" style="931" customWidth="1"/>
    <col min="9980" max="9980" width="8" style="931" customWidth="1"/>
    <col min="9981" max="9982" width="11.33203125" style="931" customWidth="1"/>
    <col min="9983" max="9983" width="4.1640625" style="931" customWidth="1"/>
    <col min="9984" max="9985" width="7.1640625" style="931" customWidth="1"/>
    <col min="9986" max="9986" width="7" style="931" customWidth="1"/>
    <col min="9987" max="9987" width="5.83203125" style="931" customWidth="1"/>
    <col min="9988" max="9988" width="15.1640625" style="931" customWidth="1"/>
    <col min="9989" max="10223" width="9" style="931"/>
    <col min="10224" max="10224" width="11.5" style="931" customWidth="1"/>
    <col min="10225" max="10225" width="3.6640625" style="931" customWidth="1"/>
    <col min="10226" max="10226" width="14.1640625" style="931" customWidth="1"/>
    <col min="10227" max="10227" width="7.5" style="931" customWidth="1"/>
    <col min="10228" max="10228" width="11.5" style="931" customWidth="1"/>
    <col min="10229" max="10229" width="3.83203125" style="931" customWidth="1"/>
    <col min="10230" max="10230" width="3" style="931" customWidth="1"/>
    <col min="10231" max="10231" width="7.6640625" style="931" customWidth="1"/>
    <col min="10232" max="10232" width="8.83203125" style="931" customWidth="1"/>
    <col min="10233" max="10233" width="11.83203125" style="931" customWidth="1"/>
    <col min="10234" max="10234" width="12.5" style="931" customWidth="1"/>
    <col min="10235" max="10235" width="8.1640625" style="931" customWidth="1"/>
    <col min="10236" max="10236" width="8" style="931" customWidth="1"/>
    <col min="10237" max="10238" width="11.33203125" style="931" customWidth="1"/>
    <col min="10239" max="10239" width="4.1640625" style="931" customWidth="1"/>
    <col min="10240" max="10241" width="7.1640625" style="931" customWidth="1"/>
    <col min="10242" max="10242" width="7" style="931" customWidth="1"/>
    <col min="10243" max="10243" width="5.83203125" style="931" customWidth="1"/>
    <col min="10244" max="10244" width="15.1640625" style="931" customWidth="1"/>
    <col min="10245" max="10479" width="9" style="931"/>
    <col min="10480" max="10480" width="11.5" style="931" customWidth="1"/>
    <col min="10481" max="10481" width="3.6640625" style="931" customWidth="1"/>
    <col min="10482" max="10482" width="14.1640625" style="931" customWidth="1"/>
    <col min="10483" max="10483" width="7.5" style="931" customWidth="1"/>
    <col min="10484" max="10484" width="11.5" style="931" customWidth="1"/>
    <col min="10485" max="10485" width="3.83203125" style="931" customWidth="1"/>
    <col min="10486" max="10486" width="3" style="931" customWidth="1"/>
    <col min="10487" max="10487" width="7.6640625" style="931" customWidth="1"/>
    <col min="10488" max="10488" width="8.83203125" style="931" customWidth="1"/>
    <col min="10489" max="10489" width="11.83203125" style="931" customWidth="1"/>
    <col min="10490" max="10490" width="12.5" style="931" customWidth="1"/>
    <col min="10491" max="10491" width="8.1640625" style="931" customWidth="1"/>
    <col min="10492" max="10492" width="8" style="931" customWidth="1"/>
    <col min="10493" max="10494" width="11.33203125" style="931" customWidth="1"/>
    <col min="10495" max="10495" width="4.1640625" style="931" customWidth="1"/>
    <col min="10496" max="10497" width="7.1640625" style="931" customWidth="1"/>
    <col min="10498" max="10498" width="7" style="931" customWidth="1"/>
    <col min="10499" max="10499" width="5.83203125" style="931" customWidth="1"/>
    <col min="10500" max="10500" width="15.1640625" style="931" customWidth="1"/>
    <col min="10501" max="10735" width="9" style="931"/>
    <col min="10736" max="10736" width="11.5" style="931" customWidth="1"/>
    <col min="10737" max="10737" width="3.6640625" style="931" customWidth="1"/>
    <col min="10738" max="10738" width="14.1640625" style="931" customWidth="1"/>
    <col min="10739" max="10739" width="7.5" style="931" customWidth="1"/>
    <col min="10740" max="10740" width="11.5" style="931" customWidth="1"/>
    <col min="10741" max="10741" width="3.83203125" style="931" customWidth="1"/>
    <col min="10742" max="10742" width="3" style="931" customWidth="1"/>
    <col min="10743" max="10743" width="7.6640625" style="931" customWidth="1"/>
    <col min="10744" max="10744" width="8.83203125" style="931" customWidth="1"/>
    <col min="10745" max="10745" width="11.83203125" style="931" customWidth="1"/>
    <col min="10746" max="10746" width="12.5" style="931" customWidth="1"/>
    <col min="10747" max="10747" width="8.1640625" style="931" customWidth="1"/>
    <col min="10748" max="10748" width="8" style="931" customWidth="1"/>
    <col min="10749" max="10750" width="11.33203125" style="931" customWidth="1"/>
    <col min="10751" max="10751" width="4.1640625" style="931" customWidth="1"/>
    <col min="10752" max="10753" width="7.1640625" style="931" customWidth="1"/>
    <col min="10754" max="10754" width="7" style="931" customWidth="1"/>
    <col min="10755" max="10755" width="5.83203125" style="931" customWidth="1"/>
    <col min="10756" max="10756" width="15.1640625" style="931" customWidth="1"/>
    <col min="10757" max="10991" width="9" style="931"/>
    <col min="10992" max="10992" width="11.5" style="931" customWidth="1"/>
    <col min="10993" max="10993" width="3.6640625" style="931" customWidth="1"/>
    <col min="10994" max="10994" width="14.1640625" style="931" customWidth="1"/>
    <col min="10995" max="10995" width="7.5" style="931" customWidth="1"/>
    <col min="10996" max="10996" width="11.5" style="931" customWidth="1"/>
    <col min="10997" max="10997" width="3.83203125" style="931" customWidth="1"/>
    <col min="10998" max="10998" width="3" style="931" customWidth="1"/>
    <col min="10999" max="10999" width="7.6640625" style="931" customWidth="1"/>
    <col min="11000" max="11000" width="8.83203125" style="931" customWidth="1"/>
    <col min="11001" max="11001" width="11.83203125" style="931" customWidth="1"/>
    <col min="11002" max="11002" width="12.5" style="931" customWidth="1"/>
    <col min="11003" max="11003" width="8.1640625" style="931" customWidth="1"/>
    <col min="11004" max="11004" width="8" style="931" customWidth="1"/>
    <col min="11005" max="11006" width="11.33203125" style="931" customWidth="1"/>
    <col min="11007" max="11007" width="4.1640625" style="931" customWidth="1"/>
    <col min="11008" max="11009" width="7.1640625" style="931" customWidth="1"/>
    <col min="11010" max="11010" width="7" style="931" customWidth="1"/>
    <col min="11011" max="11011" width="5.83203125" style="931" customWidth="1"/>
    <col min="11012" max="11012" width="15.1640625" style="931" customWidth="1"/>
    <col min="11013" max="11247" width="9" style="931"/>
    <col min="11248" max="11248" width="11.5" style="931" customWidth="1"/>
    <col min="11249" max="11249" width="3.6640625" style="931" customWidth="1"/>
    <col min="11250" max="11250" width="14.1640625" style="931" customWidth="1"/>
    <col min="11251" max="11251" width="7.5" style="931" customWidth="1"/>
    <col min="11252" max="11252" width="11.5" style="931" customWidth="1"/>
    <col min="11253" max="11253" width="3.83203125" style="931" customWidth="1"/>
    <col min="11254" max="11254" width="3" style="931" customWidth="1"/>
    <col min="11255" max="11255" width="7.6640625" style="931" customWidth="1"/>
    <col min="11256" max="11256" width="8.83203125" style="931" customWidth="1"/>
    <col min="11257" max="11257" width="11.83203125" style="931" customWidth="1"/>
    <col min="11258" max="11258" width="12.5" style="931" customWidth="1"/>
    <col min="11259" max="11259" width="8.1640625" style="931" customWidth="1"/>
    <col min="11260" max="11260" width="8" style="931" customWidth="1"/>
    <col min="11261" max="11262" width="11.33203125" style="931" customWidth="1"/>
    <col min="11263" max="11263" width="4.1640625" style="931" customWidth="1"/>
    <col min="11264" max="11265" width="7.1640625" style="931" customWidth="1"/>
    <col min="11266" max="11266" width="7" style="931" customWidth="1"/>
    <col min="11267" max="11267" width="5.83203125" style="931" customWidth="1"/>
    <col min="11268" max="11268" width="15.1640625" style="931" customWidth="1"/>
    <col min="11269" max="11503" width="9" style="931"/>
    <col min="11504" max="11504" width="11.5" style="931" customWidth="1"/>
    <col min="11505" max="11505" width="3.6640625" style="931" customWidth="1"/>
    <col min="11506" max="11506" width="14.1640625" style="931" customWidth="1"/>
    <col min="11507" max="11507" width="7.5" style="931" customWidth="1"/>
    <col min="11508" max="11508" width="11.5" style="931" customWidth="1"/>
    <col min="11509" max="11509" width="3.83203125" style="931" customWidth="1"/>
    <col min="11510" max="11510" width="3" style="931" customWidth="1"/>
    <col min="11511" max="11511" width="7.6640625" style="931" customWidth="1"/>
    <col min="11512" max="11512" width="8.83203125" style="931" customWidth="1"/>
    <col min="11513" max="11513" width="11.83203125" style="931" customWidth="1"/>
    <col min="11514" max="11514" width="12.5" style="931" customWidth="1"/>
    <col min="11515" max="11515" width="8.1640625" style="931" customWidth="1"/>
    <col min="11516" max="11516" width="8" style="931" customWidth="1"/>
    <col min="11517" max="11518" width="11.33203125" style="931" customWidth="1"/>
    <col min="11519" max="11519" width="4.1640625" style="931" customWidth="1"/>
    <col min="11520" max="11521" width="7.1640625" style="931" customWidth="1"/>
    <col min="11522" max="11522" width="7" style="931" customWidth="1"/>
    <col min="11523" max="11523" width="5.83203125" style="931" customWidth="1"/>
    <col min="11524" max="11524" width="15.1640625" style="931" customWidth="1"/>
    <col min="11525" max="11759" width="9" style="931"/>
    <col min="11760" max="11760" width="11.5" style="931" customWidth="1"/>
    <col min="11761" max="11761" width="3.6640625" style="931" customWidth="1"/>
    <col min="11762" max="11762" width="14.1640625" style="931" customWidth="1"/>
    <col min="11763" max="11763" width="7.5" style="931" customWidth="1"/>
    <col min="11764" max="11764" width="11.5" style="931" customWidth="1"/>
    <col min="11765" max="11765" width="3.83203125" style="931" customWidth="1"/>
    <col min="11766" max="11766" width="3" style="931" customWidth="1"/>
    <col min="11767" max="11767" width="7.6640625" style="931" customWidth="1"/>
    <col min="11768" max="11768" width="8.83203125" style="931" customWidth="1"/>
    <col min="11769" max="11769" width="11.83203125" style="931" customWidth="1"/>
    <col min="11770" max="11770" width="12.5" style="931" customWidth="1"/>
    <col min="11771" max="11771" width="8.1640625" style="931" customWidth="1"/>
    <col min="11772" max="11772" width="8" style="931" customWidth="1"/>
    <col min="11773" max="11774" width="11.33203125" style="931" customWidth="1"/>
    <col min="11775" max="11775" width="4.1640625" style="931" customWidth="1"/>
    <col min="11776" max="11777" width="7.1640625" style="931" customWidth="1"/>
    <col min="11778" max="11778" width="7" style="931" customWidth="1"/>
    <col min="11779" max="11779" width="5.83203125" style="931" customWidth="1"/>
    <col min="11780" max="11780" width="15.1640625" style="931" customWidth="1"/>
    <col min="11781" max="12015" width="9" style="931"/>
    <col min="12016" max="12016" width="11.5" style="931" customWidth="1"/>
    <col min="12017" max="12017" width="3.6640625" style="931" customWidth="1"/>
    <col min="12018" max="12018" width="14.1640625" style="931" customWidth="1"/>
    <col min="12019" max="12019" width="7.5" style="931" customWidth="1"/>
    <col min="12020" max="12020" width="11.5" style="931" customWidth="1"/>
    <col min="12021" max="12021" width="3.83203125" style="931" customWidth="1"/>
    <col min="12022" max="12022" width="3" style="931" customWidth="1"/>
    <col min="12023" max="12023" width="7.6640625" style="931" customWidth="1"/>
    <col min="12024" max="12024" width="8.83203125" style="931" customWidth="1"/>
    <col min="12025" max="12025" width="11.83203125" style="931" customWidth="1"/>
    <col min="12026" max="12026" width="12.5" style="931" customWidth="1"/>
    <col min="12027" max="12027" width="8.1640625" style="931" customWidth="1"/>
    <col min="12028" max="12028" width="8" style="931" customWidth="1"/>
    <col min="12029" max="12030" width="11.33203125" style="931" customWidth="1"/>
    <col min="12031" max="12031" width="4.1640625" style="931" customWidth="1"/>
    <col min="12032" max="12033" width="7.1640625" style="931" customWidth="1"/>
    <col min="12034" max="12034" width="7" style="931" customWidth="1"/>
    <col min="12035" max="12035" width="5.83203125" style="931" customWidth="1"/>
    <col min="12036" max="12036" width="15.1640625" style="931" customWidth="1"/>
    <col min="12037" max="12271" width="9" style="931"/>
    <col min="12272" max="12272" width="11.5" style="931" customWidth="1"/>
    <col min="12273" max="12273" width="3.6640625" style="931" customWidth="1"/>
    <col min="12274" max="12274" width="14.1640625" style="931" customWidth="1"/>
    <col min="12275" max="12275" width="7.5" style="931" customWidth="1"/>
    <col min="12276" max="12276" width="11.5" style="931" customWidth="1"/>
    <col min="12277" max="12277" width="3.83203125" style="931" customWidth="1"/>
    <col min="12278" max="12278" width="3" style="931" customWidth="1"/>
    <col min="12279" max="12279" width="7.6640625" style="931" customWidth="1"/>
    <col min="12280" max="12280" width="8.83203125" style="931" customWidth="1"/>
    <col min="12281" max="12281" width="11.83203125" style="931" customWidth="1"/>
    <col min="12282" max="12282" width="12.5" style="931" customWidth="1"/>
    <col min="12283" max="12283" width="8.1640625" style="931" customWidth="1"/>
    <col min="12284" max="12284" width="8" style="931" customWidth="1"/>
    <col min="12285" max="12286" width="11.33203125" style="931" customWidth="1"/>
    <col min="12287" max="12287" width="4.1640625" style="931" customWidth="1"/>
    <col min="12288" max="12289" width="7.1640625" style="931" customWidth="1"/>
    <col min="12290" max="12290" width="7" style="931" customWidth="1"/>
    <col min="12291" max="12291" width="5.83203125" style="931" customWidth="1"/>
    <col min="12292" max="12292" width="15.1640625" style="931" customWidth="1"/>
    <col min="12293" max="12527" width="9" style="931"/>
    <col min="12528" max="12528" width="11.5" style="931" customWidth="1"/>
    <col min="12529" max="12529" width="3.6640625" style="931" customWidth="1"/>
    <col min="12530" max="12530" width="14.1640625" style="931" customWidth="1"/>
    <col min="12531" max="12531" width="7.5" style="931" customWidth="1"/>
    <col min="12532" max="12532" width="11.5" style="931" customWidth="1"/>
    <col min="12533" max="12533" width="3.83203125" style="931" customWidth="1"/>
    <col min="12534" max="12534" width="3" style="931" customWidth="1"/>
    <col min="12535" max="12535" width="7.6640625" style="931" customWidth="1"/>
    <col min="12536" max="12536" width="8.83203125" style="931" customWidth="1"/>
    <col min="12537" max="12537" width="11.83203125" style="931" customWidth="1"/>
    <col min="12538" max="12538" width="12.5" style="931" customWidth="1"/>
    <col min="12539" max="12539" width="8.1640625" style="931" customWidth="1"/>
    <col min="12540" max="12540" width="8" style="931" customWidth="1"/>
    <col min="12541" max="12542" width="11.33203125" style="931" customWidth="1"/>
    <col min="12543" max="12543" width="4.1640625" style="931" customWidth="1"/>
    <col min="12544" max="12545" width="7.1640625" style="931" customWidth="1"/>
    <col min="12546" max="12546" width="7" style="931" customWidth="1"/>
    <col min="12547" max="12547" width="5.83203125" style="931" customWidth="1"/>
    <col min="12548" max="12548" width="15.1640625" style="931" customWidth="1"/>
    <col min="12549" max="12783" width="9" style="931"/>
    <col min="12784" max="12784" width="11.5" style="931" customWidth="1"/>
    <col min="12785" max="12785" width="3.6640625" style="931" customWidth="1"/>
    <col min="12786" max="12786" width="14.1640625" style="931" customWidth="1"/>
    <col min="12787" max="12787" width="7.5" style="931" customWidth="1"/>
    <col min="12788" max="12788" width="11.5" style="931" customWidth="1"/>
    <col min="12789" max="12789" width="3.83203125" style="931" customWidth="1"/>
    <col min="12790" max="12790" width="3" style="931" customWidth="1"/>
    <col min="12791" max="12791" width="7.6640625" style="931" customWidth="1"/>
    <col min="12792" max="12792" width="8.83203125" style="931" customWidth="1"/>
    <col min="12793" max="12793" width="11.83203125" style="931" customWidth="1"/>
    <col min="12794" max="12794" width="12.5" style="931" customWidth="1"/>
    <col min="12795" max="12795" width="8.1640625" style="931" customWidth="1"/>
    <col min="12796" max="12796" width="8" style="931" customWidth="1"/>
    <col min="12797" max="12798" width="11.33203125" style="931" customWidth="1"/>
    <col min="12799" max="12799" width="4.1640625" style="931" customWidth="1"/>
    <col min="12800" max="12801" width="7.1640625" style="931" customWidth="1"/>
    <col min="12802" max="12802" width="7" style="931" customWidth="1"/>
    <col min="12803" max="12803" width="5.83203125" style="931" customWidth="1"/>
    <col min="12804" max="12804" width="15.1640625" style="931" customWidth="1"/>
    <col min="12805" max="13039" width="9" style="931"/>
    <col min="13040" max="13040" width="11.5" style="931" customWidth="1"/>
    <col min="13041" max="13041" width="3.6640625" style="931" customWidth="1"/>
    <col min="13042" max="13042" width="14.1640625" style="931" customWidth="1"/>
    <col min="13043" max="13043" width="7.5" style="931" customWidth="1"/>
    <col min="13044" max="13044" width="11.5" style="931" customWidth="1"/>
    <col min="13045" max="13045" width="3.83203125" style="931" customWidth="1"/>
    <col min="13046" max="13046" width="3" style="931" customWidth="1"/>
    <col min="13047" max="13047" width="7.6640625" style="931" customWidth="1"/>
    <col min="13048" max="13048" width="8.83203125" style="931" customWidth="1"/>
    <col min="13049" max="13049" width="11.83203125" style="931" customWidth="1"/>
    <col min="13050" max="13050" width="12.5" style="931" customWidth="1"/>
    <col min="13051" max="13051" width="8.1640625" style="931" customWidth="1"/>
    <col min="13052" max="13052" width="8" style="931" customWidth="1"/>
    <col min="13053" max="13054" width="11.33203125" style="931" customWidth="1"/>
    <col min="13055" max="13055" width="4.1640625" style="931" customWidth="1"/>
    <col min="13056" max="13057" width="7.1640625" style="931" customWidth="1"/>
    <col min="13058" max="13058" width="7" style="931" customWidth="1"/>
    <col min="13059" max="13059" width="5.83203125" style="931" customWidth="1"/>
    <col min="13060" max="13060" width="15.1640625" style="931" customWidth="1"/>
    <col min="13061" max="13295" width="9" style="931"/>
    <col min="13296" max="13296" width="11.5" style="931" customWidth="1"/>
    <col min="13297" max="13297" width="3.6640625" style="931" customWidth="1"/>
    <col min="13298" max="13298" width="14.1640625" style="931" customWidth="1"/>
    <col min="13299" max="13299" width="7.5" style="931" customWidth="1"/>
    <col min="13300" max="13300" width="11.5" style="931" customWidth="1"/>
    <col min="13301" max="13301" width="3.83203125" style="931" customWidth="1"/>
    <col min="13302" max="13302" width="3" style="931" customWidth="1"/>
    <col min="13303" max="13303" width="7.6640625" style="931" customWidth="1"/>
    <col min="13304" max="13304" width="8.83203125" style="931" customWidth="1"/>
    <col min="13305" max="13305" width="11.83203125" style="931" customWidth="1"/>
    <col min="13306" max="13306" width="12.5" style="931" customWidth="1"/>
    <col min="13307" max="13307" width="8.1640625" style="931" customWidth="1"/>
    <col min="13308" max="13308" width="8" style="931" customWidth="1"/>
    <col min="13309" max="13310" width="11.33203125" style="931" customWidth="1"/>
    <col min="13311" max="13311" width="4.1640625" style="931" customWidth="1"/>
    <col min="13312" max="13313" width="7.1640625" style="931" customWidth="1"/>
    <col min="13314" max="13314" width="7" style="931" customWidth="1"/>
    <col min="13315" max="13315" width="5.83203125" style="931" customWidth="1"/>
    <col min="13316" max="13316" width="15.1640625" style="931" customWidth="1"/>
    <col min="13317" max="13551" width="9" style="931"/>
    <col min="13552" max="13552" width="11.5" style="931" customWidth="1"/>
    <col min="13553" max="13553" width="3.6640625" style="931" customWidth="1"/>
    <col min="13554" max="13554" width="14.1640625" style="931" customWidth="1"/>
    <col min="13555" max="13555" width="7.5" style="931" customWidth="1"/>
    <col min="13556" max="13556" width="11.5" style="931" customWidth="1"/>
    <col min="13557" max="13557" width="3.83203125" style="931" customWidth="1"/>
    <col min="13558" max="13558" width="3" style="931" customWidth="1"/>
    <col min="13559" max="13559" width="7.6640625" style="931" customWidth="1"/>
    <col min="13560" max="13560" width="8.83203125" style="931" customWidth="1"/>
    <col min="13561" max="13561" width="11.83203125" style="931" customWidth="1"/>
    <col min="13562" max="13562" width="12.5" style="931" customWidth="1"/>
    <col min="13563" max="13563" width="8.1640625" style="931" customWidth="1"/>
    <col min="13564" max="13564" width="8" style="931" customWidth="1"/>
    <col min="13565" max="13566" width="11.33203125" style="931" customWidth="1"/>
    <col min="13567" max="13567" width="4.1640625" style="931" customWidth="1"/>
    <col min="13568" max="13569" width="7.1640625" style="931" customWidth="1"/>
    <col min="13570" max="13570" width="7" style="931" customWidth="1"/>
    <col min="13571" max="13571" width="5.83203125" style="931" customWidth="1"/>
    <col min="13572" max="13572" width="15.1640625" style="931" customWidth="1"/>
    <col min="13573" max="13807" width="9" style="931"/>
    <col min="13808" max="13808" width="11.5" style="931" customWidth="1"/>
    <col min="13809" max="13809" width="3.6640625" style="931" customWidth="1"/>
    <col min="13810" max="13810" width="14.1640625" style="931" customWidth="1"/>
    <col min="13811" max="13811" width="7.5" style="931" customWidth="1"/>
    <col min="13812" max="13812" width="11.5" style="931" customWidth="1"/>
    <col min="13813" max="13813" width="3.83203125" style="931" customWidth="1"/>
    <col min="13814" max="13814" width="3" style="931" customWidth="1"/>
    <col min="13815" max="13815" width="7.6640625" style="931" customWidth="1"/>
    <col min="13816" max="13816" width="8.83203125" style="931" customWidth="1"/>
    <col min="13817" max="13817" width="11.83203125" style="931" customWidth="1"/>
    <col min="13818" max="13818" width="12.5" style="931" customWidth="1"/>
    <col min="13819" max="13819" width="8.1640625" style="931" customWidth="1"/>
    <col min="13820" max="13820" width="8" style="931" customWidth="1"/>
    <col min="13821" max="13822" width="11.33203125" style="931" customWidth="1"/>
    <col min="13823" max="13823" width="4.1640625" style="931" customWidth="1"/>
    <col min="13824" max="13825" width="7.1640625" style="931" customWidth="1"/>
    <col min="13826" max="13826" width="7" style="931" customWidth="1"/>
    <col min="13827" max="13827" width="5.83203125" style="931" customWidth="1"/>
    <col min="13828" max="13828" width="15.1640625" style="931" customWidth="1"/>
    <col min="13829" max="14063" width="9" style="931"/>
    <col min="14064" max="14064" width="11.5" style="931" customWidth="1"/>
    <col min="14065" max="14065" width="3.6640625" style="931" customWidth="1"/>
    <col min="14066" max="14066" width="14.1640625" style="931" customWidth="1"/>
    <col min="14067" max="14067" width="7.5" style="931" customWidth="1"/>
    <col min="14068" max="14068" width="11.5" style="931" customWidth="1"/>
    <col min="14069" max="14069" width="3.83203125" style="931" customWidth="1"/>
    <col min="14070" max="14070" width="3" style="931" customWidth="1"/>
    <col min="14071" max="14071" width="7.6640625" style="931" customWidth="1"/>
    <col min="14072" max="14072" width="8.83203125" style="931" customWidth="1"/>
    <col min="14073" max="14073" width="11.83203125" style="931" customWidth="1"/>
    <col min="14074" max="14074" width="12.5" style="931" customWidth="1"/>
    <col min="14075" max="14075" width="8.1640625" style="931" customWidth="1"/>
    <col min="14076" max="14076" width="8" style="931" customWidth="1"/>
    <col min="14077" max="14078" width="11.33203125" style="931" customWidth="1"/>
    <col min="14079" max="14079" width="4.1640625" style="931" customWidth="1"/>
    <col min="14080" max="14081" width="7.1640625" style="931" customWidth="1"/>
    <col min="14082" max="14082" width="7" style="931" customWidth="1"/>
    <col min="14083" max="14083" width="5.83203125" style="931" customWidth="1"/>
    <col min="14084" max="14084" width="15.1640625" style="931" customWidth="1"/>
    <col min="14085" max="14319" width="9" style="931"/>
    <col min="14320" max="14320" width="11.5" style="931" customWidth="1"/>
    <col min="14321" max="14321" width="3.6640625" style="931" customWidth="1"/>
    <col min="14322" max="14322" width="14.1640625" style="931" customWidth="1"/>
    <col min="14323" max="14323" width="7.5" style="931" customWidth="1"/>
    <col min="14324" max="14324" width="11.5" style="931" customWidth="1"/>
    <col min="14325" max="14325" width="3.83203125" style="931" customWidth="1"/>
    <col min="14326" max="14326" width="3" style="931" customWidth="1"/>
    <col min="14327" max="14327" width="7.6640625" style="931" customWidth="1"/>
    <col min="14328" max="14328" width="8.83203125" style="931" customWidth="1"/>
    <col min="14329" max="14329" width="11.83203125" style="931" customWidth="1"/>
    <col min="14330" max="14330" width="12.5" style="931" customWidth="1"/>
    <col min="14331" max="14331" width="8.1640625" style="931" customWidth="1"/>
    <col min="14332" max="14332" width="8" style="931" customWidth="1"/>
    <col min="14333" max="14334" width="11.33203125" style="931" customWidth="1"/>
    <col min="14335" max="14335" width="4.1640625" style="931" customWidth="1"/>
    <col min="14336" max="14337" width="7.1640625" style="931" customWidth="1"/>
    <col min="14338" max="14338" width="7" style="931" customWidth="1"/>
    <col min="14339" max="14339" width="5.83203125" style="931" customWidth="1"/>
    <col min="14340" max="14340" width="15.1640625" style="931" customWidth="1"/>
    <col min="14341" max="14575" width="9" style="931"/>
    <col min="14576" max="14576" width="11.5" style="931" customWidth="1"/>
    <col min="14577" max="14577" width="3.6640625" style="931" customWidth="1"/>
    <col min="14578" max="14578" width="14.1640625" style="931" customWidth="1"/>
    <col min="14579" max="14579" width="7.5" style="931" customWidth="1"/>
    <col min="14580" max="14580" width="11.5" style="931" customWidth="1"/>
    <col min="14581" max="14581" width="3.83203125" style="931" customWidth="1"/>
    <col min="14582" max="14582" width="3" style="931" customWidth="1"/>
    <col min="14583" max="14583" width="7.6640625" style="931" customWidth="1"/>
    <col min="14584" max="14584" width="8.83203125" style="931" customWidth="1"/>
    <col min="14585" max="14585" width="11.83203125" style="931" customWidth="1"/>
    <col min="14586" max="14586" width="12.5" style="931" customWidth="1"/>
    <col min="14587" max="14587" width="8.1640625" style="931" customWidth="1"/>
    <col min="14588" max="14588" width="8" style="931" customWidth="1"/>
    <col min="14589" max="14590" width="11.33203125" style="931" customWidth="1"/>
    <col min="14591" max="14591" width="4.1640625" style="931" customWidth="1"/>
    <col min="14592" max="14593" width="7.1640625" style="931" customWidth="1"/>
    <col min="14594" max="14594" width="7" style="931" customWidth="1"/>
    <col min="14595" max="14595" width="5.83203125" style="931" customWidth="1"/>
    <col min="14596" max="14596" width="15.1640625" style="931" customWidth="1"/>
    <col min="14597" max="14831" width="9" style="931"/>
    <col min="14832" max="14832" width="11.5" style="931" customWidth="1"/>
    <col min="14833" max="14833" width="3.6640625" style="931" customWidth="1"/>
    <col min="14834" max="14834" width="14.1640625" style="931" customWidth="1"/>
    <col min="14835" max="14835" width="7.5" style="931" customWidth="1"/>
    <col min="14836" max="14836" width="11.5" style="931" customWidth="1"/>
    <col min="14837" max="14837" width="3.83203125" style="931" customWidth="1"/>
    <col min="14838" max="14838" width="3" style="931" customWidth="1"/>
    <col min="14839" max="14839" width="7.6640625" style="931" customWidth="1"/>
    <col min="14840" max="14840" width="8.83203125" style="931" customWidth="1"/>
    <col min="14841" max="14841" width="11.83203125" style="931" customWidth="1"/>
    <col min="14842" max="14842" width="12.5" style="931" customWidth="1"/>
    <col min="14843" max="14843" width="8.1640625" style="931" customWidth="1"/>
    <col min="14844" max="14844" width="8" style="931" customWidth="1"/>
    <col min="14845" max="14846" width="11.33203125" style="931" customWidth="1"/>
    <col min="14847" max="14847" width="4.1640625" style="931" customWidth="1"/>
    <col min="14848" max="14849" width="7.1640625" style="931" customWidth="1"/>
    <col min="14850" max="14850" width="7" style="931" customWidth="1"/>
    <col min="14851" max="14851" width="5.83203125" style="931" customWidth="1"/>
    <col min="14852" max="14852" width="15.1640625" style="931" customWidth="1"/>
    <col min="14853" max="15087" width="9" style="931"/>
    <col min="15088" max="15088" width="11.5" style="931" customWidth="1"/>
    <col min="15089" max="15089" width="3.6640625" style="931" customWidth="1"/>
    <col min="15090" max="15090" width="14.1640625" style="931" customWidth="1"/>
    <col min="15091" max="15091" width="7.5" style="931" customWidth="1"/>
    <col min="15092" max="15092" width="11.5" style="931" customWidth="1"/>
    <col min="15093" max="15093" width="3.83203125" style="931" customWidth="1"/>
    <col min="15094" max="15094" width="3" style="931" customWidth="1"/>
    <col min="15095" max="15095" width="7.6640625" style="931" customWidth="1"/>
    <col min="15096" max="15096" width="8.83203125" style="931" customWidth="1"/>
    <col min="15097" max="15097" width="11.83203125" style="931" customWidth="1"/>
    <col min="15098" max="15098" width="12.5" style="931" customWidth="1"/>
    <col min="15099" max="15099" width="8.1640625" style="931" customWidth="1"/>
    <col min="15100" max="15100" width="8" style="931" customWidth="1"/>
    <col min="15101" max="15102" width="11.33203125" style="931" customWidth="1"/>
    <col min="15103" max="15103" width="4.1640625" style="931" customWidth="1"/>
    <col min="15104" max="15105" width="7.1640625" style="931" customWidth="1"/>
    <col min="15106" max="15106" width="7" style="931" customWidth="1"/>
    <col min="15107" max="15107" width="5.83203125" style="931" customWidth="1"/>
    <col min="15108" max="15108" width="15.1640625" style="931" customWidth="1"/>
    <col min="15109" max="15343" width="9" style="931"/>
    <col min="15344" max="15344" width="11.5" style="931" customWidth="1"/>
    <col min="15345" max="15345" width="3.6640625" style="931" customWidth="1"/>
    <col min="15346" max="15346" width="14.1640625" style="931" customWidth="1"/>
    <col min="15347" max="15347" width="7.5" style="931" customWidth="1"/>
    <col min="15348" max="15348" width="11.5" style="931" customWidth="1"/>
    <col min="15349" max="15349" width="3.83203125" style="931" customWidth="1"/>
    <col min="15350" max="15350" width="3" style="931" customWidth="1"/>
    <col min="15351" max="15351" width="7.6640625" style="931" customWidth="1"/>
    <col min="15352" max="15352" width="8.83203125" style="931" customWidth="1"/>
    <col min="15353" max="15353" width="11.83203125" style="931" customWidth="1"/>
    <col min="15354" max="15354" width="12.5" style="931" customWidth="1"/>
    <col min="15355" max="15355" width="8.1640625" style="931" customWidth="1"/>
    <col min="15356" max="15356" width="8" style="931" customWidth="1"/>
    <col min="15357" max="15358" width="11.33203125" style="931" customWidth="1"/>
    <col min="15359" max="15359" width="4.1640625" style="931" customWidth="1"/>
    <col min="15360" max="15361" width="7.1640625" style="931" customWidth="1"/>
    <col min="15362" max="15362" width="7" style="931" customWidth="1"/>
    <col min="15363" max="15363" width="5.83203125" style="931" customWidth="1"/>
    <col min="15364" max="15364" width="15.1640625" style="931" customWidth="1"/>
    <col min="15365" max="15599" width="9" style="931"/>
    <col min="15600" max="15600" width="11.5" style="931" customWidth="1"/>
    <col min="15601" max="15601" width="3.6640625" style="931" customWidth="1"/>
    <col min="15602" max="15602" width="14.1640625" style="931" customWidth="1"/>
    <col min="15603" max="15603" width="7.5" style="931" customWidth="1"/>
    <col min="15604" max="15604" width="11.5" style="931" customWidth="1"/>
    <col min="15605" max="15605" width="3.83203125" style="931" customWidth="1"/>
    <col min="15606" max="15606" width="3" style="931" customWidth="1"/>
    <col min="15607" max="15607" width="7.6640625" style="931" customWidth="1"/>
    <col min="15608" max="15608" width="8.83203125" style="931" customWidth="1"/>
    <col min="15609" max="15609" width="11.83203125" style="931" customWidth="1"/>
    <col min="15610" max="15610" width="12.5" style="931" customWidth="1"/>
    <col min="15611" max="15611" width="8.1640625" style="931" customWidth="1"/>
    <col min="15612" max="15612" width="8" style="931" customWidth="1"/>
    <col min="15613" max="15614" width="11.33203125" style="931" customWidth="1"/>
    <col min="15615" max="15615" width="4.1640625" style="931" customWidth="1"/>
    <col min="15616" max="15617" width="7.1640625" style="931" customWidth="1"/>
    <col min="15618" max="15618" width="7" style="931" customWidth="1"/>
    <col min="15619" max="15619" width="5.83203125" style="931" customWidth="1"/>
    <col min="15620" max="15620" width="15.1640625" style="931" customWidth="1"/>
    <col min="15621" max="15855" width="9" style="931"/>
    <col min="15856" max="15856" width="11.5" style="931" customWidth="1"/>
    <col min="15857" max="15857" width="3.6640625" style="931" customWidth="1"/>
    <col min="15858" max="15858" width="14.1640625" style="931" customWidth="1"/>
    <col min="15859" max="15859" width="7.5" style="931" customWidth="1"/>
    <col min="15860" max="15860" width="11.5" style="931" customWidth="1"/>
    <col min="15861" max="15861" width="3.83203125" style="931" customWidth="1"/>
    <col min="15862" max="15862" width="3" style="931" customWidth="1"/>
    <col min="15863" max="15863" width="7.6640625" style="931" customWidth="1"/>
    <col min="15864" max="15864" width="8.83203125" style="931" customWidth="1"/>
    <col min="15865" max="15865" width="11.83203125" style="931" customWidth="1"/>
    <col min="15866" max="15866" width="12.5" style="931" customWidth="1"/>
    <col min="15867" max="15867" width="8.1640625" style="931" customWidth="1"/>
    <col min="15868" max="15868" width="8" style="931" customWidth="1"/>
    <col min="15869" max="15870" width="11.33203125" style="931" customWidth="1"/>
    <col min="15871" max="15871" width="4.1640625" style="931" customWidth="1"/>
    <col min="15872" max="15873" width="7.1640625" style="931" customWidth="1"/>
    <col min="15874" max="15874" width="7" style="931" customWidth="1"/>
    <col min="15875" max="15875" width="5.83203125" style="931" customWidth="1"/>
    <col min="15876" max="15876" width="15.1640625" style="931" customWidth="1"/>
    <col min="15877" max="16111" width="9" style="931"/>
    <col min="16112" max="16112" width="11.5" style="931" customWidth="1"/>
    <col min="16113" max="16113" width="3.6640625" style="931" customWidth="1"/>
    <col min="16114" max="16114" width="14.1640625" style="931" customWidth="1"/>
    <col min="16115" max="16115" width="7.5" style="931" customWidth="1"/>
    <col min="16116" max="16116" width="11.5" style="931" customWidth="1"/>
    <col min="16117" max="16117" width="3.83203125" style="931" customWidth="1"/>
    <col min="16118" max="16118" width="3" style="931" customWidth="1"/>
    <col min="16119" max="16119" width="7.6640625" style="931" customWidth="1"/>
    <col min="16120" max="16120" width="8.83203125" style="931" customWidth="1"/>
    <col min="16121" max="16121" width="11.83203125" style="931" customWidth="1"/>
    <col min="16122" max="16122" width="12.5" style="931" customWidth="1"/>
    <col min="16123" max="16123" width="8.1640625" style="931" customWidth="1"/>
    <col min="16124" max="16124" width="8" style="931" customWidth="1"/>
    <col min="16125" max="16126" width="11.33203125" style="931" customWidth="1"/>
    <col min="16127" max="16127" width="4.1640625" style="931" customWidth="1"/>
    <col min="16128" max="16129" width="7.1640625" style="931" customWidth="1"/>
    <col min="16130" max="16130" width="7" style="931" customWidth="1"/>
    <col min="16131" max="16131" width="5.83203125" style="931" customWidth="1"/>
    <col min="16132" max="16132" width="15.1640625" style="931" customWidth="1"/>
    <col min="16133" max="16384" width="9" style="931"/>
  </cols>
  <sheetData>
    <row r="1" spans="1:20" ht="35.25" customHeight="1">
      <c r="B1" s="1747" t="s">
        <v>7539</v>
      </c>
      <c r="C1" s="1748"/>
      <c r="D1" s="1748"/>
      <c r="E1" s="1748"/>
      <c r="F1" s="1748"/>
      <c r="G1" s="1748"/>
      <c r="H1" s="1748"/>
      <c r="I1" s="1748"/>
      <c r="J1" s="1748"/>
      <c r="K1" s="1748"/>
      <c r="L1" s="1748"/>
      <c r="M1" s="1748"/>
      <c r="N1" s="1748"/>
      <c r="O1" s="1748"/>
      <c r="P1" s="1748"/>
      <c r="Q1" s="1748"/>
      <c r="R1" s="1748"/>
      <c r="S1" s="1749"/>
    </row>
    <row r="2" spans="1:20" ht="21" customHeight="1">
      <c r="A2" s="1750" t="s">
        <v>7540</v>
      </c>
      <c r="B2" s="1750" t="s">
        <v>8033</v>
      </c>
      <c r="C2" s="1750" t="s">
        <v>7541</v>
      </c>
      <c r="D2" s="1750" t="s">
        <v>7542</v>
      </c>
      <c r="E2" s="1750" t="s">
        <v>6807</v>
      </c>
      <c r="F2" s="1750" t="s">
        <v>7543</v>
      </c>
      <c r="G2" s="1750" t="s">
        <v>7544</v>
      </c>
      <c r="H2" s="1750" t="s">
        <v>7545</v>
      </c>
      <c r="I2" s="1750" t="s">
        <v>7546</v>
      </c>
      <c r="J2" s="1750" t="s">
        <v>1838</v>
      </c>
      <c r="K2" s="1750" t="s">
        <v>7547</v>
      </c>
      <c r="L2" s="1750" t="s">
        <v>7548</v>
      </c>
      <c r="M2" s="1753" t="s">
        <v>7549</v>
      </c>
      <c r="N2" s="1755" t="s">
        <v>7550</v>
      </c>
      <c r="O2" s="1753" t="s">
        <v>7551</v>
      </c>
      <c r="P2" s="1750" t="s">
        <v>7552</v>
      </c>
      <c r="Q2" s="1751" t="s">
        <v>7958</v>
      </c>
      <c r="R2" s="1750" t="s">
        <v>844</v>
      </c>
      <c r="S2" s="1750" t="s">
        <v>536</v>
      </c>
    </row>
    <row r="3" spans="1:20" ht="18" customHeight="1">
      <c r="A3" s="1750"/>
      <c r="B3" s="1750"/>
      <c r="C3" s="1750"/>
      <c r="D3" s="1750"/>
      <c r="E3" s="1750"/>
      <c r="F3" s="1750"/>
      <c r="G3" s="1750"/>
      <c r="H3" s="1750"/>
      <c r="I3" s="1750"/>
      <c r="J3" s="1750"/>
      <c r="K3" s="1750"/>
      <c r="L3" s="1750"/>
      <c r="M3" s="1753"/>
      <c r="N3" s="1756"/>
      <c r="O3" s="1753"/>
      <c r="P3" s="1750"/>
      <c r="Q3" s="1752"/>
      <c r="R3" s="1750"/>
      <c r="S3" s="1750"/>
    </row>
    <row r="4" spans="1:20" ht="30" customHeight="1">
      <c r="A4" s="1245">
        <v>2</v>
      </c>
      <c r="B4" s="1315" t="s">
        <v>7709</v>
      </c>
      <c r="C4" s="1245" t="s">
        <v>8032</v>
      </c>
      <c r="D4" s="1246" t="s">
        <v>7553</v>
      </c>
      <c r="E4" s="1245" t="s">
        <v>7716</v>
      </c>
      <c r="F4" s="1245" t="s">
        <v>7554</v>
      </c>
      <c r="G4" s="1245">
        <v>1000</v>
      </c>
      <c r="H4" s="1245">
        <v>1.75</v>
      </c>
      <c r="I4" s="1245">
        <v>13</v>
      </c>
      <c r="J4" s="1245">
        <v>12</v>
      </c>
      <c r="K4" s="1245">
        <v>12</v>
      </c>
      <c r="L4" s="1245">
        <v>24</v>
      </c>
      <c r="M4" s="1245">
        <v>31.9</v>
      </c>
      <c r="N4" s="1245">
        <v>2700</v>
      </c>
      <c r="O4" s="1245" t="s">
        <v>7555</v>
      </c>
      <c r="P4" s="1247">
        <v>176557</v>
      </c>
      <c r="Q4" s="1247">
        <f>P4*1.12</f>
        <v>197743.84000000003</v>
      </c>
      <c r="R4" s="1247">
        <v>37806</v>
      </c>
      <c r="S4" s="1247">
        <f>(P4+R4)*I4</f>
        <v>2786719</v>
      </c>
      <c r="T4" s="931" t="s">
        <v>7959</v>
      </c>
    </row>
    <row r="5" spans="1:20" ht="69" customHeight="1">
      <c r="A5" s="1754" t="s">
        <v>7556</v>
      </c>
      <c r="B5" s="1754"/>
      <c r="C5" s="1754"/>
      <c r="D5" s="1754"/>
      <c r="E5" s="1754"/>
      <c r="F5" s="1754"/>
      <c r="G5" s="1754"/>
      <c r="H5" s="1754"/>
      <c r="I5" s="1754"/>
      <c r="J5" s="1754"/>
      <c r="K5" s="1754"/>
      <c r="L5" s="1754"/>
      <c r="M5" s="1754"/>
      <c r="N5" s="1754"/>
      <c r="O5" s="1754"/>
      <c r="P5" s="1247"/>
      <c r="Q5" s="1247"/>
      <c r="R5" s="1247"/>
    </row>
    <row r="6" spans="1:20" ht="33" customHeight="1"/>
    <row r="11" spans="1:20" hidden="1"/>
  </sheetData>
  <mergeCells count="21">
    <mergeCell ref="A2:A3"/>
    <mergeCell ref="A5:O5"/>
    <mergeCell ref="N2:N3"/>
    <mergeCell ref="O2:O3"/>
    <mergeCell ref="P2:P3"/>
    <mergeCell ref="B1:S1"/>
    <mergeCell ref="S2:S3"/>
    <mergeCell ref="B2:B3"/>
    <mergeCell ref="C2:C3"/>
    <mergeCell ref="D2:D3"/>
    <mergeCell ref="E2:E3"/>
    <mergeCell ref="F2:F3"/>
    <mergeCell ref="G2:G3"/>
    <mergeCell ref="H2:H3"/>
    <mergeCell ref="I2:I3"/>
    <mergeCell ref="J2:J3"/>
    <mergeCell ref="Q2:Q3"/>
    <mergeCell ref="R2:R3"/>
    <mergeCell ref="K2:K3"/>
    <mergeCell ref="L2:L3"/>
    <mergeCell ref="M2:M3"/>
  </mergeCells>
  <phoneticPr fontId="84" type="noConversion"/>
  <pageMargins left="0.75" right="0.75" top="1" bottom="1" header="0.5" footer="0.5"/>
  <pageSetup paperSize="9" scale="4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10E9B-0A22-8643-802A-A08CD4A9777F}">
  <sheetPr>
    <tabColor theme="9"/>
  </sheetPr>
  <dimension ref="A1:Y21"/>
  <sheetViews>
    <sheetView zoomScale="125" zoomScaleNormal="100" workbookViewId="0">
      <pane ySplit="3" topLeftCell="A9" activePane="bottomLeft" state="frozen"/>
      <selection activeCell="D22" sqref="D22"/>
      <selection pane="bottomLeft" activeCell="D16" sqref="D16"/>
    </sheetView>
  </sheetViews>
  <sheetFormatPr baseColWidth="10" defaultColWidth="10.33203125" defaultRowHeight="21.75" customHeight="1"/>
  <cols>
    <col min="1" max="1" width="7.33203125" style="1079" customWidth="1"/>
    <col min="2" max="2" width="13.33203125" style="1079" customWidth="1"/>
    <col min="3" max="3" width="11.83203125" style="1079" customWidth="1"/>
    <col min="4" max="4" width="14.1640625" style="1079" customWidth="1"/>
    <col min="5" max="5" width="12" style="1079" customWidth="1"/>
    <col min="6" max="6" width="10" style="1079" customWidth="1"/>
    <col min="7" max="7" width="8.5" style="1079" customWidth="1"/>
    <col min="8" max="8" width="14.6640625" style="1079" customWidth="1"/>
    <col min="9" max="9" width="11.6640625" style="1079" customWidth="1"/>
    <col min="10" max="10" width="14.1640625" style="1079" customWidth="1"/>
    <col min="11" max="14" width="9" style="1079" customWidth="1"/>
    <col min="15" max="15" width="11.1640625" style="1079" customWidth="1"/>
    <col min="16" max="16" width="12.5" style="1079" customWidth="1"/>
    <col min="17" max="17" width="9.5" style="1079" customWidth="1"/>
    <col min="18" max="18" width="9.83203125" style="1079" customWidth="1"/>
    <col min="19" max="19" width="10" style="1079" customWidth="1"/>
    <col min="20" max="20" width="9.5" style="1079" customWidth="1"/>
    <col min="21" max="21" width="9.6640625" style="1079" customWidth="1"/>
    <col min="22" max="22" width="10.83203125" style="1079" customWidth="1"/>
    <col min="23" max="23" width="10" style="1079" customWidth="1"/>
    <col min="24" max="24" width="10.6640625" style="1079" customWidth="1"/>
    <col min="25" max="25" width="8.1640625" style="1079" customWidth="1"/>
    <col min="26" max="26" width="10.6640625" style="1079" customWidth="1"/>
    <col min="27" max="27" width="11.6640625" style="1079" customWidth="1"/>
    <col min="28" max="29" width="13.83203125" style="1079" customWidth="1"/>
    <col min="30" max="33" width="14.6640625" style="1079" customWidth="1"/>
    <col min="34" max="16384" width="10.33203125" style="1079"/>
  </cols>
  <sheetData>
    <row r="1" spans="1:25" ht="21.75" customHeight="1">
      <c r="A1" s="821" t="s">
        <v>7557</v>
      </c>
    </row>
    <row r="2" spans="1:25" ht="37.5" customHeight="1">
      <c r="A2" s="1759" t="s">
        <v>11</v>
      </c>
      <c r="B2" s="1761" t="s">
        <v>7447</v>
      </c>
      <c r="C2" s="1761"/>
      <c r="D2" s="1761"/>
      <c r="E2" s="1762" t="s">
        <v>8045</v>
      </c>
      <c r="F2" s="1763"/>
      <c r="G2" s="1762" t="s">
        <v>8030</v>
      </c>
      <c r="H2" s="1763"/>
      <c r="I2" s="1762" t="s">
        <v>7558</v>
      </c>
      <c r="J2" s="1763"/>
      <c r="K2" s="1757" t="s">
        <v>8043</v>
      </c>
      <c r="L2" s="1763"/>
      <c r="M2" s="1757" t="s">
        <v>8044</v>
      </c>
      <c r="N2" s="1763"/>
      <c r="O2" s="1762" t="s">
        <v>7559</v>
      </c>
      <c r="P2" s="1763"/>
      <c r="Q2" s="1757" t="s">
        <v>7560</v>
      </c>
      <c r="R2" s="1758"/>
      <c r="S2" s="1081" t="s">
        <v>7561</v>
      </c>
      <c r="T2" s="1757" t="s">
        <v>7710</v>
      </c>
      <c r="U2" s="1758"/>
      <c r="V2" s="1757" t="s">
        <v>7562</v>
      </c>
      <c r="W2" s="1758"/>
      <c r="X2" s="1757" t="s">
        <v>7563</v>
      </c>
      <c r="Y2" s="1758"/>
    </row>
    <row r="3" spans="1:25" ht="35" customHeight="1">
      <c r="A3" s="1760"/>
      <c r="B3" s="1080" t="s">
        <v>7564</v>
      </c>
      <c r="C3" s="1080" t="s">
        <v>7145</v>
      </c>
      <c r="D3" s="1080" t="s">
        <v>309</v>
      </c>
      <c r="E3" s="1080" t="s">
        <v>7565</v>
      </c>
      <c r="F3" s="1080" t="s">
        <v>7566</v>
      </c>
      <c r="G3" s="1080" t="s">
        <v>7565</v>
      </c>
      <c r="H3" s="1080" t="s">
        <v>7566</v>
      </c>
      <c r="I3" s="1080" t="s">
        <v>7565</v>
      </c>
      <c r="J3" s="1080" t="s">
        <v>7566</v>
      </c>
      <c r="K3" s="1080" t="s">
        <v>7565</v>
      </c>
      <c r="L3" s="1080" t="s">
        <v>7566</v>
      </c>
      <c r="M3" s="1080" t="s">
        <v>7565</v>
      </c>
      <c r="N3" s="1080" t="s">
        <v>7566</v>
      </c>
      <c r="O3" s="1080" t="s">
        <v>7565</v>
      </c>
      <c r="P3" s="1080" t="s">
        <v>7566</v>
      </c>
      <c r="Q3" s="1080" t="s">
        <v>7711</v>
      </c>
      <c r="R3" s="1080" t="s">
        <v>7567</v>
      </c>
      <c r="S3" s="1080" t="s">
        <v>7567</v>
      </c>
      <c r="T3" s="1080" t="s">
        <v>7568</v>
      </c>
      <c r="U3" s="1080" t="s">
        <v>7569</v>
      </c>
      <c r="V3" s="1080" t="s">
        <v>7568</v>
      </c>
      <c r="W3" s="1080" t="s">
        <v>7569</v>
      </c>
      <c r="X3" s="1080" t="s">
        <v>7568</v>
      </c>
      <c r="Y3" s="1080" t="s">
        <v>7569</v>
      </c>
    </row>
    <row r="4" spans="1:25" ht="18" customHeight="1">
      <c r="A4" s="934" t="s">
        <v>483</v>
      </c>
      <c r="B4" s="934" t="s">
        <v>6796</v>
      </c>
      <c r="C4" s="935"/>
      <c r="D4" s="936"/>
      <c r="E4" s="935"/>
      <c r="F4" s="935"/>
      <c r="G4" s="935"/>
      <c r="H4" s="935"/>
      <c r="I4" s="935"/>
      <c r="J4" s="935"/>
      <c r="K4" s="935"/>
      <c r="L4" s="935"/>
      <c r="M4" s="935"/>
      <c r="N4" s="935"/>
      <c r="O4" s="935"/>
      <c r="P4" s="935"/>
      <c r="Q4" s="935"/>
      <c r="R4" s="935"/>
      <c r="S4" s="937"/>
      <c r="T4" s="936"/>
      <c r="U4" s="937"/>
      <c r="V4" s="936"/>
      <c r="W4" s="937"/>
      <c r="X4" s="936"/>
      <c r="Y4" s="937"/>
    </row>
    <row r="5" spans="1:25" ht="18" customHeight="1">
      <c r="A5" s="934">
        <v>1</v>
      </c>
      <c r="B5" s="938">
        <f>总指标!J24</f>
        <v>143</v>
      </c>
      <c r="C5" s="935"/>
      <c r="D5" s="939">
        <f>总指标!L24</f>
        <v>200</v>
      </c>
      <c r="E5" s="940">
        <f>6.4*2.5+1.8*2.5</f>
        <v>20.5</v>
      </c>
      <c r="F5" s="937">
        <f t="shared" ref="F5:H6" si="0">$D5*E5</f>
        <v>4100</v>
      </c>
      <c r="G5" s="940">
        <f>(2.3+1.8+0.6)*1.8</f>
        <v>8.4599999999999991</v>
      </c>
      <c r="H5" s="937">
        <f>$D5*G5</f>
        <v>1691.9999999999998</v>
      </c>
      <c r="I5" s="940"/>
      <c r="J5" s="941">
        <f>$D5*I5</f>
        <v>0</v>
      </c>
      <c r="K5" s="936">
        <f>1.8*2.5+1.2*2.5</f>
        <v>7.5</v>
      </c>
      <c r="L5" s="941">
        <f>$D5*K5</f>
        <v>1500</v>
      </c>
      <c r="M5" s="1327">
        <f>3.55*2.5+1.8*2.5</f>
        <v>13.375</v>
      </c>
      <c r="N5" s="941">
        <f>$D5*M5</f>
        <v>2675</v>
      </c>
      <c r="O5" s="940">
        <f>(0.9+0.9+1.2+2.35)*1.5</f>
        <v>8.0249999999999986</v>
      </c>
      <c r="P5" s="941">
        <f>$D5*O5</f>
        <v>1604.9999999999998</v>
      </c>
      <c r="Q5" s="940">
        <v>2.25</v>
      </c>
      <c r="R5" s="937">
        <f>D5*Q5</f>
        <v>450</v>
      </c>
      <c r="S5" s="941">
        <f>J5+L5+P5+R5+F5+H5+N5</f>
        <v>12022</v>
      </c>
      <c r="T5" s="936"/>
      <c r="U5" s="937">
        <f>D5*T5</f>
        <v>0</v>
      </c>
      <c r="V5" s="936">
        <v>1.8</v>
      </c>
      <c r="W5" s="937">
        <f>V5*D5</f>
        <v>360</v>
      </c>
      <c r="X5" s="936">
        <f>E5/2.5</f>
        <v>8.1999999999999993</v>
      </c>
      <c r="Y5" s="937">
        <f>X5*D5</f>
        <v>1639.9999999999998</v>
      </c>
    </row>
    <row r="6" spans="1:25" ht="18" customHeight="1">
      <c r="A6" s="934">
        <v>2</v>
      </c>
      <c r="B6" s="938">
        <f>总指标!J25</f>
        <v>176</v>
      </c>
      <c r="C6" s="935"/>
      <c r="D6" s="939">
        <f>总指标!L25</f>
        <v>100</v>
      </c>
      <c r="E6" s="936">
        <f>7.5*2.5+1.8*2.5</f>
        <v>23.25</v>
      </c>
      <c r="F6" s="941">
        <f t="shared" si="0"/>
        <v>2325</v>
      </c>
      <c r="G6" s="940">
        <f>(2.4+1.8+0.6)*1.8</f>
        <v>8.64</v>
      </c>
      <c r="H6" s="937">
        <f t="shared" si="0"/>
        <v>864</v>
      </c>
      <c r="I6" s="940"/>
      <c r="J6" s="937">
        <f>$D6*I6</f>
        <v>0</v>
      </c>
      <c r="K6" s="936">
        <f>(1.8+1)*2.5</f>
        <v>7</v>
      </c>
      <c r="L6" s="941">
        <f>$D6*K6</f>
        <v>700</v>
      </c>
      <c r="M6" s="1327">
        <f>4.2*2.5+1.8*2.5</f>
        <v>15</v>
      </c>
      <c r="N6" s="941">
        <f>$D6*M6</f>
        <v>1500</v>
      </c>
      <c r="O6" s="936">
        <f>(1.2+0.9+1.65+0.9)*1.5</f>
        <v>6.9750000000000005</v>
      </c>
      <c r="P6" s="941">
        <f>$D6*O6</f>
        <v>697.5</v>
      </c>
      <c r="Q6" s="936">
        <v>2.25</v>
      </c>
      <c r="R6" s="937">
        <f>D6*Q6</f>
        <v>225</v>
      </c>
      <c r="S6" s="941">
        <f t="shared" ref="S6" si="1">J6+L6+P6+R6+F6+H6+N6</f>
        <v>6311.5</v>
      </c>
      <c r="T6" s="936"/>
      <c r="U6" s="937">
        <f>D6*T6</f>
        <v>0</v>
      </c>
      <c r="V6" s="936">
        <v>1.8</v>
      </c>
      <c r="W6" s="937">
        <f>V6*D6</f>
        <v>180</v>
      </c>
      <c r="X6" s="936">
        <f t="shared" ref="X6" si="2">E6/2.5</f>
        <v>9.3000000000000007</v>
      </c>
      <c r="Y6" s="937">
        <f>X6*D6</f>
        <v>930.00000000000011</v>
      </c>
    </row>
    <row r="7" spans="1:25" ht="18" customHeight="1">
      <c r="A7" s="934">
        <v>3</v>
      </c>
      <c r="B7" s="938">
        <v>0</v>
      </c>
      <c r="C7" s="935"/>
      <c r="D7" s="939">
        <f>总指标!L27</f>
        <v>0</v>
      </c>
      <c r="E7" s="936"/>
      <c r="F7" s="937"/>
      <c r="G7" s="936"/>
      <c r="H7" s="937"/>
      <c r="I7" s="940"/>
      <c r="J7" s="937"/>
      <c r="K7" s="936"/>
      <c r="L7" s="941"/>
      <c r="M7" s="1327"/>
      <c r="N7" s="941"/>
      <c r="O7" s="936"/>
      <c r="P7" s="941"/>
      <c r="Q7" s="936"/>
      <c r="R7" s="937"/>
      <c r="S7" s="941"/>
      <c r="T7" s="936"/>
      <c r="U7" s="937"/>
      <c r="V7" s="936"/>
      <c r="W7" s="937"/>
      <c r="X7" s="936"/>
      <c r="Y7" s="937"/>
    </row>
    <row r="8" spans="1:25" ht="21.75" customHeight="1">
      <c r="A8" s="942" t="s">
        <v>7570</v>
      </c>
      <c r="B8" s="939"/>
      <c r="C8" s="943"/>
      <c r="D8" s="939">
        <f>SUM(D5:D7)</f>
        <v>300</v>
      </c>
      <c r="E8" s="939"/>
      <c r="F8" s="944">
        <f>SUM(F5:F7)</f>
        <v>6425</v>
      </c>
      <c r="G8" s="939"/>
      <c r="H8" s="939">
        <f>SUM(H5:H7)</f>
        <v>2556</v>
      </c>
      <c r="I8" s="939"/>
      <c r="J8" s="939">
        <f>SUM(J5:J7)</f>
        <v>0</v>
      </c>
      <c r="K8" s="939"/>
      <c r="L8" s="939">
        <f>SUM(L5:L7)</f>
        <v>2200</v>
      </c>
      <c r="M8" s="939"/>
      <c r="N8" s="944">
        <f>SUM(N5:N7)</f>
        <v>4175</v>
      </c>
      <c r="O8" s="939"/>
      <c r="P8" s="944">
        <f>SUM(P5:P7)</f>
        <v>2302.5</v>
      </c>
      <c r="Q8" s="944"/>
      <c r="R8" s="944">
        <f>SUM(R5:R7)</f>
        <v>675</v>
      </c>
      <c r="S8" s="939">
        <f>SUM(S4:S7)</f>
        <v>18333.5</v>
      </c>
      <c r="T8" s="945">
        <f>U8/$D$8</f>
        <v>0</v>
      </c>
      <c r="U8" s="939">
        <f>SUM(U5:U7)</f>
        <v>0</v>
      </c>
      <c r="V8" s="945">
        <f>W8/$D$8</f>
        <v>1.8</v>
      </c>
      <c r="W8" s="939">
        <f>SUM(W5:W7)</f>
        <v>540</v>
      </c>
      <c r="X8" s="945">
        <f>Y8/$D$8</f>
        <v>8.5666666666666664</v>
      </c>
      <c r="Y8" s="939">
        <f>SUM(Y5:Y7)</f>
        <v>2570</v>
      </c>
    </row>
    <row r="9" spans="1:25" ht="21.75" customHeight="1">
      <c r="A9" s="1764" t="s">
        <v>7570</v>
      </c>
      <c r="B9" s="1765" t="s">
        <v>7712</v>
      </c>
      <c r="C9" s="1765"/>
      <c r="D9" s="1765"/>
      <c r="E9" s="1084">
        <f>S8-N8</f>
        <v>14158.5</v>
      </c>
      <c r="F9" s="1765" t="s">
        <v>7571</v>
      </c>
      <c r="G9" s="1765"/>
      <c r="H9" s="1765"/>
      <c r="I9" s="1084">
        <f>N8</f>
        <v>4175</v>
      </c>
    </row>
    <row r="10" spans="1:25" s="1082" customFormat="1" ht="21.75" customHeight="1">
      <c r="A10" s="1764"/>
      <c r="B10" s="1765" t="s">
        <v>7572</v>
      </c>
      <c r="C10" s="1765"/>
      <c r="D10" s="1765"/>
      <c r="E10" s="1085">
        <f>'02 项目基础信息（输入）'!C42</f>
        <v>51879.834600000002</v>
      </c>
      <c r="F10" s="1765" t="s">
        <v>7572</v>
      </c>
      <c r="G10" s="1765"/>
      <c r="H10" s="1765"/>
      <c r="I10" s="1088">
        <f>E10</f>
        <v>51879.834600000002</v>
      </c>
      <c r="J10" s="1079"/>
      <c r="K10" s="1079"/>
      <c r="L10" s="1079"/>
      <c r="M10" s="1079"/>
      <c r="N10" s="1079"/>
      <c r="O10" s="1079"/>
    </row>
    <row r="11" spans="1:25" s="1082" customFormat="1" ht="21.75" customHeight="1">
      <c r="A11" s="1764"/>
      <c r="B11" s="1766" t="s">
        <v>754</v>
      </c>
      <c r="C11" s="1766"/>
      <c r="D11" s="1766"/>
      <c r="E11" s="1086">
        <f>E9/E10</f>
        <v>0.27290950538227043</v>
      </c>
      <c r="F11" s="1766" t="s">
        <v>754</v>
      </c>
      <c r="G11" s="1766"/>
      <c r="H11" s="1766"/>
      <c r="I11" s="1086">
        <f>I9/I10</f>
        <v>8.0474427726876366E-2</v>
      </c>
      <c r="J11" s="1079"/>
      <c r="K11" s="1079"/>
      <c r="L11" s="1079"/>
      <c r="M11" s="1079"/>
      <c r="N11" s="1079"/>
      <c r="O11" s="1079"/>
      <c r="P11" s="1083"/>
      <c r="Q11" s="1083"/>
      <c r="R11" s="1083"/>
      <c r="S11" s="1083"/>
      <c r="T11" s="1083"/>
      <c r="U11" s="1083"/>
      <c r="V11" s="1083"/>
    </row>
    <row r="12" spans="1:25" ht="21.75" customHeight="1">
      <c r="B12" s="1765" t="s">
        <v>7713</v>
      </c>
      <c r="C12" s="1765"/>
      <c r="D12" s="1765"/>
      <c r="E12" s="1084">
        <v>924.3</v>
      </c>
      <c r="F12" s="1765" t="s">
        <v>7719</v>
      </c>
      <c r="G12" s="1765"/>
      <c r="H12" s="1765"/>
      <c r="I12" s="1084">
        <v>400</v>
      </c>
    </row>
    <row r="13" spans="1:25" ht="21.75" customHeight="1">
      <c r="B13" s="1768" t="s">
        <v>7714</v>
      </c>
      <c r="C13" s="1768"/>
      <c r="D13" s="1768"/>
      <c r="E13" s="1086">
        <f>(E12*E9+I12*I9)/SUM(E9,I9)</f>
        <v>804.90367633021515</v>
      </c>
    </row>
    <row r="14" spans="1:25" ht="21.75" customHeight="1">
      <c r="I14" s="1358">
        <f>I11*I12</f>
        <v>32.189771090750547</v>
      </c>
    </row>
    <row r="15" spans="1:25" ht="25" customHeight="1">
      <c r="B15" s="1359" t="s">
        <v>8105</v>
      </c>
      <c r="C15" s="1767" t="s">
        <v>8106</v>
      </c>
      <c r="D15" s="1767"/>
      <c r="E15" s="1767"/>
    </row>
    <row r="16" spans="1:25" ht="21.75" customHeight="1">
      <c r="B16" s="1359"/>
      <c r="C16" s="1359"/>
      <c r="D16" s="1359" t="s">
        <v>8049</v>
      </c>
      <c r="E16" s="1359">
        <f>F8/E10</f>
        <v>0.12384387979525285</v>
      </c>
      <c r="I16" s="1358"/>
    </row>
    <row r="17" spans="2:5" ht="21.75" customHeight="1">
      <c r="B17" s="1359"/>
      <c r="C17" s="1359"/>
      <c r="D17" s="1359" t="s">
        <v>7921</v>
      </c>
      <c r="E17" s="1359">
        <f>F8*E12/E10</f>
        <v>114.46889809475221</v>
      </c>
    </row>
    <row r="19" spans="2:5" ht="50" customHeight="1">
      <c r="B19" s="1359" t="s">
        <v>8108</v>
      </c>
      <c r="C19" s="1359" t="s">
        <v>8107</v>
      </c>
      <c r="D19" s="1359" t="s">
        <v>8104</v>
      </c>
      <c r="E19" s="1359" t="s">
        <v>8102</v>
      </c>
    </row>
    <row r="20" spans="2:5" ht="21.75" customHeight="1">
      <c r="B20" s="1359" t="s">
        <v>8103</v>
      </c>
      <c r="C20" s="1360">
        <f>E11+I11</f>
        <v>0.35338393310914679</v>
      </c>
      <c r="D20" s="1360">
        <f>E11+I11-E16</f>
        <v>0.22954005331389393</v>
      </c>
      <c r="E20" s="1361">
        <f>E16</f>
        <v>0.12384387979525285</v>
      </c>
    </row>
    <row r="21" spans="2:5" ht="21.75" customHeight="1">
      <c r="B21" s="1359" t="s">
        <v>7921</v>
      </c>
      <c r="C21" s="1361">
        <f>C20*E13</f>
        <v>284.44002691558308</v>
      </c>
      <c r="D21" s="1361">
        <f>D20*E12</f>
        <v>212.16387127803216</v>
      </c>
      <c r="E21" s="1361">
        <f>C21-D21</f>
        <v>72.276155637550914</v>
      </c>
    </row>
  </sheetData>
  <mergeCells count="23">
    <mergeCell ref="C15:E15"/>
    <mergeCell ref="B12:D12"/>
    <mergeCell ref="F12:H12"/>
    <mergeCell ref="B13:D13"/>
    <mergeCell ref="M2:N2"/>
    <mergeCell ref="F9:H9"/>
    <mergeCell ref="F10:H10"/>
    <mergeCell ref="F11:H11"/>
    <mergeCell ref="A9:A11"/>
    <mergeCell ref="B9:D9"/>
    <mergeCell ref="B10:D10"/>
    <mergeCell ref="B11:D11"/>
    <mergeCell ref="O2:P2"/>
    <mergeCell ref="T2:U2"/>
    <mergeCell ref="V2:W2"/>
    <mergeCell ref="X2:Y2"/>
    <mergeCell ref="Q2:R2"/>
    <mergeCell ref="A2:A3"/>
    <mergeCell ref="B2:D2"/>
    <mergeCell ref="E2:F2"/>
    <mergeCell ref="G2:H2"/>
    <mergeCell ref="I2:J2"/>
    <mergeCell ref="K2:L2"/>
  </mergeCells>
  <phoneticPr fontId="84" type="noConversion"/>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F5754-5C2E-2E43-B032-C688B34406BB}">
  <sheetPr>
    <tabColor theme="9"/>
  </sheetPr>
  <dimension ref="A1:M508"/>
  <sheetViews>
    <sheetView zoomScale="115" workbookViewId="0">
      <pane xSplit="5" ySplit="4" topLeftCell="F5" activePane="bottomRight" state="frozen"/>
      <selection pane="topRight"/>
      <selection pane="bottomLeft"/>
      <selection pane="bottomRight" activeCell="W40" sqref="W40"/>
    </sheetView>
  </sheetViews>
  <sheetFormatPr baseColWidth="10" defaultColWidth="9" defaultRowHeight="14"/>
  <cols>
    <col min="1" max="1" width="2.6640625" style="1248" customWidth="1"/>
    <col min="2" max="2" width="5.1640625" style="1248" customWidth="1"/>
    <col min="3" max="3" width="30.6640625" style="1248" customWidth="1"/>
    <col min="4" max="4" width="4.83203125" style="1248" customWidth="1"/>
    <col min="5" max="5" width="15.1640625" style="1286" customWidth="1"/>
    <col min="6" max="6" width="10.1640625" style="1286" customWidth="1"/>
    <col min="7" max="7" width="12.5" style="1286" customWidth="1"/>
    <col min="8" max="8" width="7.5" style="1286" customWidth="1"/>
    <col min="9" max="10" width="8.6640625" style="1286" customWidth="1"/>
    <col min="11" max="11" width="13.1640625" style="1286" customWidth="1"/>
    <col min="12" max="12" width="12.6640625" style="1286" customWidth="1"/>
    <col min="13" max="13" width="20.83203125" style="1248" customWidth="1"/>
    <col min="14" max="174" width="9" style="1248"/>
    <col min="175" max="175" width="4.1640625" style="1248" customWidth="1"/>
    <col min="176" max="176" width="5.1640625" style="1248" customWidth="1"/>
    <col min="177" max="177" width="7.1640625" style="1248" customWidth="1"/>
    <col min="178" max="178" width="8.6640625" style="1248" customWidth="1"/>
    <col min="179" max="179" width="33" style="1248" customWidth="1"/>
    <col min="180" max="180" width="5.83203125" style="1248" customWidth="1"/>
    <col min="181" max="187" width="8.1640625" style="1248" customWidth="1"/>
    <col min="188" max="193" width="9.6640625" style="1248" customWidth="1"/>
    <col min="194" max="430" width="9" style="1248"/>
    <col min="431" max="431" width="4.1640625" style="1248" customWidth="1"/>
    <col min="432" max="432" width="5.1640625" style="1248" customWidth="1"/>
    <col min="433" max="433" width="7.1640625" style="1248" customWidth="1"/>
    <col min="434" max="434" width="8.6640625" style="1248" customWidth="1"/>
    <col min="435" max="435" width="33" style="1248" customWidth="1"/>
    <col min="436" max="436" width="5.83203125" style="1248" customWidth="1"/>
    <col min="437" max="443" width="8.1640625" style="1248" customWidth="1"/>
    <col min="444" max="449" width="9.6640625" style="1248" customWidth="1"/>
    <col min="450" max="686" width="9" style="1248"/>
    <col min="687" max="687" width="4.1640625" style="1248" customWidth="1"/>
    <col min="688" max="688" width="5.1640625" style="1248" customWidth="1"/>
    <col min="689" max="689" width="7.1640625" style="1248" customWidth="1"/>
    <col min="690" max="690" width="8.6640625" style="1248" customWidth="1"/>
    <col min="691" max="691" width="33" style="1248" customWidth="1"/>
    <col min="692" max="692" width="5.83203125" style="1248" customWidth="1"/>
    <col min="693" max="699" width="8.1640625" style="1248" customWidth="1"/>
    <col min="700" max="705" width="9.6640625" style="1248" customWidth="1"/>
    <col min="706" max="942" width="9" style="1248"/>
    <col min="943" max="943" width="4.1640625" style="1248" customWidth="1"/>
    <col min="944" max="944" width="5.1640625" style="1248" customWidth="1"/>
    <col min="945" max="945" width="7.1640625" style="1248" customWidth="1"/>
    <col min="946" max="946" width="8.6640625" style="1248" customWidth="1"/>
    <col min="947" max="947" width="33" style="1248" customWidth="1"/>
    <col min="948" max="948" width="5.83203125" style="1248" customWidth="1"/>
    <col min="949" max="955" width="8.1640625" style="1248" customWidth="1"/>
    <col min="956" max="961" width="9.6640625" style="1248" customWidth="1"/>
    <col min="962" max="1198" width="9" style="1248"/>
    <col min="1199" max="1199" width="4.1640625" style="1248" customWidth="1"/>
    <col min="1200" max="1200" width="5.1640625" style="1248" customWidth="1"/>
    <col min="1201" max="1201" width="7.1640625" style="1248" customWidth="1"/>
    <col min="1202" max="1202" width="8.6640625" style="1248" customWidth="1"/>
    <col min="1203" max="1203" width="33" style="1248" customWidth="1"/>
    <col min="1204" max="1204" width="5.83203125" style="1248" customWidth="1"/>
    <col min="1205" max="1211" width="8.1640625" style="1248" customWidth="1"/>
    <col min="1212" max="1217" width="9.6640625" style="1248" customWidth="1"/>
    <col min="1218" max="1454" width="9" style="1248"/>
    <col min="1455" max="1455" width="4.1640625" style="1248" customWidth="1"/>
    <col min="1456" max="1456" width="5.1640625" style="1248" customWidth="1"/>
    <col min="1457" max="1457" width="7.1640625" style="1248" customWidth="1"/>
    <col min="1458" max="1458" width="8.6640625" style="1248" customWidth="1"/>
    <col min="1459" max="1459" width="33" style="1248" customWidth="1"/>
    <col min="1460" max="1460" width="5.83203125" style="1248" customWidth="1"/>
    <col min="1461" max="1467" width="8.1640625" style="1248" customWidth="1"/>
    <col min="1468" max="1473" width="9.6640625" style="1248" customWidth="1"/>
    <col min="1474" max="1710" width="9" style="1248"/>
    <col min="1711" max="1711" width="4.1640625" style="1248" customWidth="1"/>
    <col min="1712" max="1712" width="5.1640625" style="1248" customWidth="1"/>
    <col min="1713" max="1713" width="7.1640625" style="1248" customWidth="1"/>
    <col min="1714" max="1714" width="8.6640625" style="1248" customWidth="1"/>
    <col min="1715" max="1715" width="33" style="1248" customWidth="1"/>
    <col min="1716" max="1716" width="5.83203125" style="1248" customWidth="1"/>
    <col min="1717" max="1723" width="8.1640625" style="1248" customWidth="1"/>
    <col min="1724" max="1729" width="9.6640625" style="1248" customWidth="1"/>
    <col min="1730" max="1966" width="9" style="1248"/>
    <col min="1967" max="1967" width="4.1640625" style="1248" customWidth="1"/>
    <col min="1968" max="1968" width="5.1640625" style="1248" customWidth="1"/>
    <col min="1969" max="1969" width="7.1640625" style="1248" customWidth="1"/>
    <col min="1970" max="1970" width="8.6640625" style="1248" customWidth="1"/>
    <col min="1971" max="1971" width="33" style="1248" customWidth="1"/>
    <col min="1972" max="1972" width="5.83203125" style="1248" customWidth="1"/>
    <col min="1973" max="1979" width="8.1640625" style="1248" customWidth="1"/>
    <col min="1980" max="1985" width="9.6640625" style="1248" customWidth="1"/>
    <col min="1986" max="2222" width="9" style="1248"/>
    <col min="2223" max="2223" width="4.1640625" style="1248" customWidth="1"/>
    <col min="2224" max="2224" width="5.1640625" style="1248" customWidth="1"/>
    <col min="2225" max="2225" width="7.1640625" style="1248" customWidth="1"/>
    <col min="2226" max="2226" width="8.6640625" style="1248" customWidth="1"/>
    <col min="2227" max="2227" width="33" style="1248" customWidth="1"/>
    <col min="2228" max="2228" width="5.83203125" style="1248" customWidth="1"/>
    <col min="2229" max="2235" width="8.1640625" style="1248" customWidth="1"/>
    <col min="2236" max="2241" width="9.6640625" style="1248" customWidth="1"/>
    <col min="2242" max="2478" width="9" style="1248"/>
    <col min="2479" max="2479" width="4.1640625" style="1248" customWidth="1"/>
    <col min="2480" max="2480" width="5.1640625" style="1248" customWidth="1"/>
    <col min="2481" max="2481" width="7.1640625" style="1248" customWidth="1"/>
    <col min="2482" max="2482" width="8.6640625" style="1248" customWidth="1"/>
    <col min="2483" max="2483" width="33" style="1248" customWidth="1"/>
    <col min="2484" max="2484" width="5.83203125" style="1248" customWidth="1"/>
    <col min="2485" max="2491" width="8.1640625" style="1248" customWidth="1"/>
    <col min="2492" max="2497" width="9.6640625" style="1248" customWidth="1"/>
    <col min="2498" max="2734" width="9" style="1248"/>
    <col min="2735" max="2735" width="4.1640625" style="1248" customWidth="1"/>
    <col min="2736" max="2736" width="5.1640625" style="1248" customWidth="1"/>
    <col min="2737" max="2737" width="7.1640625" style="1248" customWidth="1"/>
    <col min="2738" max="2738" width="8.6640625" style="1248" customWidth="1"/>
    <col min="2739" max="2739" width="33" style="1248" customWidth="1"/>
    <col min="2740" max="2740" width="5.83203125" style="1248" customWidth="1"/>
    <col min="2741" max="2747" width="8.1640625" style="1248" customWidth="1"/>
    <col min="2748" max="2753" width="9.6640625" style="1248" customWidth="1"/>
    <col min="2754" max="2990" width="9" style="1248"/>
    <col min="2991" max="2991" width="4.1640625" style="1248" customWidth="1"/>
    <col min="2992" max="2992" width="5.1640625" style="1248" customWidth="1"/>
    <col min="2993" max="2993" width="7.1640625" style="1248" customWidth="1"/>
    <col min="2994" max="2994" width="8.6640625" style="1248" customWidth="1"/>
    <col min="2995" max="2995" width="33" style="1248" customWidth="1"/>
    <col min="2996" max="2996" width="5.83203125" style="1248" customWidth="1"/>
    <col min="2997" max="3003" width="8.1640625" style="1248" customWidth="1"/>
    <col min="3004" max="3009" width="9.6640625" style="1248" customWidth="1"/>
    <col min="3010" max="3246" width="9" style="1248"/>
    <col min="3247" max="3247" width="4.1640625" style="1248" customWidth="1"/>
    <col min="3248" max="3248" width="5.1640625" style="1248" customWidth="1"/>
    <col min="3249" max="3249" width="7.1640625" style="1248" customWidth="1"/>
    <col min="3250" max="3250" width="8.6640625" style="1248" customWidth="1"/>
    <col min="3251" max="3251" width="33" style="1248" customWidth="1"/>
    <col min="3252" max="3252" width="5.83203125" style="1248" customWidth="1"/>
    <col min="3253" max="3259" width="8.1640625" style="1248" customWidth="1"/>
    <col min="3260" max="3265" width="9.6640625" style="1248" customWidth="1"/>
    <col min="3266" max="3502" width="9" style="1248"/>
    <col min="3503" max="3503" width="4.1640625" style="1248" customWidth="1"/>
    <col min="3504" max="3504" width="5.1640625" style="1248" customWidth="1"/>
    <col min="3505" max="3505" width="7.1640625" style="1248" customWidth="1"/>
    <col min="3506" max="3506" width="8.6640625" style="1248" customWidth="1"/>
    <col min="3507" max="3507" width="33" style="1248" customWidth="1"/>
    <col min="3508" max="3508" width="5.83203125" style="1248" customWidth="1"/>
    <col min="3509" max="3515" width="8.1640625" style="1248" customWidth="1"/>
    <col min="3516" max="3521" width="9.6640625" style="1248" customWidth="1"/>
    <col min="3522" max="3758" width="9" style="1248"/>
    <col min="3759" max="3759" width="4.1640625" style="1248" customWidth="1"/>
    <col min="3760" max="3760" width="5.1640625" style="1248" customWidth="1"/>
    <col min="3761" max="3761" width="7.1640625" style="1248" customWidth="1"/>
    <col min="3762" max="3762" width="8.6640625" style="1248" customWidth="1"/>
    <col min="3763" max="3763" width="33" style="1248" customWidth="1"/>
    <col min="3764" max="3764" width="5.83203125" style="1248" customWidth="1"/>
    <col min="3765" max="3771" width="8.1640625" style="1248" customWidth="1"/>
    <col min="3772" max="3777" width="9.6640625" style="1248" customWidth="1"/>
    <col min="3778" max="4014" width="9" style="1248"/>
    <col min="4015" max="4015" width="4.1640625" style="1248" customWidth="1"/>
    <col min="4016" max="4016" width="5.1640625" style="1248" customWidth="1"/>
    <col min="4017" max="4017" width="7.1640625" style="1248" customWidth="1"/>
    <col min="4018" max="4018" width="8.6640625" style="1248" customWidth="1"/>
    <col min="4019" max="4019" width="33" style="1248" customWidth="1"/>
    <col min="4020" max="4020" width="5.83203125" style="1248" customWidth="1"/>
    <col min="4021" max="4027" width="8.1640625" style="1248" customWidth="1"/>
    <col min="4028" max="4033" width="9.6640625" style="1248" customWidth="1"/>
    <col min="4034" max="4270" width="9" style="1248"/>
    <col min="4271" max="4271" width="4.1640625" style="1248" customWidth="1"/>
    <col min="4272" max="4272" width="5.1640625" style="1248" customWidth="1"/>
    <col min="4273" max="4273" width="7.1640625" style="1248" customWidth="1"/>
    <col min="4274" max="4274" width="8.6640625" style="1248" customWidth="1"/>
    <col min="4275" max="4275" width="33" style="1248" customWidth="1"/>
    <col min="4276" max="4276" width="5.83203125" style="1248" customWidth="1"/>
    <col min="4277" max="4283" width="8.1640625" style="1248" customWidth="1"/>
    <col min="4284" max="4289" width="9.6640625" style="1248" customWidth="1"/>
    <col min="4290" max="4526" width="9" style="1248"/>
    <col min="4527" max="4527" width="4.1640625" style="1248" customWidth="1"/>
    <col min="4528" max="4528" width="5.1640625" style="1248" customWidth="1"/>
    <col min="4529" max="4529" width="7.1640625" style="1248" customWidth="1"/>
    <col min="4530" max="4530" width="8.6640625" style="1248" customWidth="1"/>
    <col min="4531" max="4531" width="33" style="1248" customWidth="1"/>
    <col min="4532" max="4532" width="5.83203125" style="1248" customWidth="1"/>
    <col min="4533" max="4539" width="8.1640625" style="1248" customWidth="1"/>
    <col min="4540" max="4545" width="9.6640625" style="1248" customWidth="1"/>
    <col min="4546" max="4782" width="9" style="1248"/>
    <col min="4783" max="4783" width="4.1640625" style="1248" customWidth="1"/>
    <col min="4784" max="4784" width="5.1640625" style="1248" customWidth="1"/>
    <col min="4785" max="4785" width="7.1640625" style="1248" customWidth="1"/>
    <col min="4786" max="4786" width="8.6640625" style="1248" customWidth="1"/>
    <col min="4787" max="4787" width="33" style="1248" customWidth="1"/>
    <col min="4788" max="4788" width="5.83203125" style="1248" customWidth="1"/>
    <col min="4789" max="4795" width="8.1640625" style="1248" customWidth="1"/>
    <col min="4796" max="4801" width="9.6640625" style="1248" customWidth="1"/>
    <col min="4802" max="5038" width="9" style="1248"/>
    <col min="5039" max="5039" width="4.1640625" style="1248" customWidth="1"/>
    <col min="5040" max="5040" width="5.1640625" style="1248" customWidth="1"/>
    <col min="5041" max="5041" width="7.1640625" style="1248" customWidth="1"/>
    <col min="5042" max="5042" width="8.6640625" style="1248" customWidth="1"/>
    <col min="5043" max="5043" width="33" style="1248" customWidth="1"/>
    <col min="5044" max="5044" width="5.83203125" style="1248" customWidth="1"/>
    <col min="5045" max="5051" width="8.1640625" style="1248" customWidth="1"/>
    <col min="5052" max="5057" width="9.6640625" style="1248" customWidth="1"/>
    <col min="5058" max="5294" width="9" style="1248"/>
    <col min="5295" max="5295" width="4.1640625" style="1248" customWidth="1"/>
    <col min="5296" max="5296" width="5.1640625" style="1248" customWidth="1"/>
    <col min="5297" max="5297" width="7.1640625" style="1248" customWidth="1"/>
    <col min="5298" max="5298" width="8.6640625" style="1248" customWidth="1"/>
    <col min="5299" max="5299" width="33" style="1248" customWidth="1"/>
    <col min="5300" max="5300" width="5.83203125" style="1248" customWidth="1"/>
    <col min="5301" max="5307" width="8.1640625" style="1248" customWidth="1"/>
    <col min="5308" max="5313" width="9.6640625" style="1248" customWidth="1"/>
    <col min="5314" max="5550" width="9" style="1248"/>
    <col min="5551" max="5551" width="4.1640625" style="1248" customWidth="1"/>
    <col min="5552" max="5552" width="5.1640625" style="1248" customWidth="1"/>
    <col min="5553" max="5553" width="7.1640625" style="1248" customWidth="1"/>
    <col min="5554" max="5554" width="8.6640625" style="1248" customWidth="1"/>
    <col min="5555" max="5555" width="33" style="1248" customWidth="1"/>
    <col min="5556" max="5556" width="5.83203125" style="1248" customWidth="1"/>
    <col min="5557" max="5563" width="8.1640625" style="1248" customWidth="1"/>
    <col min="5564" max="5569" width="9.6640625" style="1248" customWidth="1"/>
    <col min="5570" max="5806" width="9" style="1248"/>
    <col min="5807" max="5807" width="4.1640625" style="1248" customWidth="1"/>
    <col min="5808" max="5808" width="5.1640625" style="1248" customWidth="1"/>
    <col min="5809" max="5809" width="7.1640625" style="1248" customWidth="1"/>
    <col min="5810" max="5810" width="8.6640625" style="1248" customWidth="1"/>
    <col min="5811" max="5811" width="33" style="1248" customWidth="1"/>
    <col min="5812" max="5812" width="5.83203125" style="1248" customWidth="1"/>
    <col min="5813" max="5819" width="8.1640625" style="1248" customWidth="1"/>
    <col min="5820" max="5825" width="9.6640625" style="1248" customWidth="1"/>
    <col min="5826" max="6062" width="9" style="1248"/>
    <col min="6063" max="6063" width="4.1640625" style="1248" customWidth="1"/>
    <col min="6064" max="6064" width="5.1640625" style="1248" customWidth="1"/>
    <col min="6065" max="6065" width="7.1640625" style="1248" customWidth="1"/>
    <col min="6066" max="6066" width="8.6640625" style="1248" customWidth="1"/>
    <col min="6067" max="6067" width="33" style="1248" customWidth="1"/>
    <col min="6068" max="6068" width="5.83203125" style="1248" customWidth="1"/>
    <col min="6069" max="6075" width="8.1640625" style="1248" customWidth="1"/>
    <col min="6076" max="6081" width="9.6640625" style="1248" customWidth="1"/>
    <col min="6082" max="6318" width="9" style="1248"/>
    <col min="6319" max="6319" width="4.1640625" style="1248" customWidth="1"/>
    <col min="6320" max="6320" width="5.1640625" style="1248" customWidth="1"/>
    <col min="6321" max="6321" width="7.1640625" style="1248" customWidth="1"/>
    <col min="6322" max="6322" width="8.6640625" style="1248" customWidth="1"/>
    <col min="6323" max="6323" width="33" style="1248" customWidth="1"/>
    <col min="6324" max="6324" width="5.83203125" style="1248" customWidth="1"/>
    <col min="6325" max="6331" width="8.1640625" style="1248" customWidth="1"/>
    <col min="6332" max="6337" width="9.6640625" style="1248" customWidth="1"/>
    <col min="6338" max="6574" width="9" style="1248"/>
    <col min="6575" max="6575" width="4.1640625" style="1248" customWidth="1"/>
    <col min="6576" max="6576" width="5.1640625" style="1248" customWidth="1"/>
    <col min="6577" max="6577" width="7.1640625" style="1248" customWidth="1"/>
    <col min="6578" max="6578" width="8.6640625" style="1248" customWidth="1"/>
    <col min="6579" max="6579" width="33" style="1248" customWidth="1"/>
    <col min="6580" max="6580" width="5.83203125" style="1248" customWidth="1"/>
    <col min="6581" max="6587" width="8.1640625" style="1248" customWidth="1"/>
    <col min="6588" max="6593" width="9.6640625" style="1248" customWidth="1"/>
    <col min="6594" max="6830" width="9" style="1248"/>
    <col min="6831" max="6831" width="4.1640625" style="1248" customWidth="1"/>
    <col min="6832" max="6832" width="5.1640625" style="1248" customWidth="1"/>
    <col min="6833" max="6833" width="7.1640625" style="1248" customWidth="1"/>
    <col min="6834" max="6834" width="8.6640625" style="1248" customWidth="1"/>
    <col min="6835" max="6835" width="33" style="1248" customWidth="1"/>
    <col min="6836" max="6836" width="5.83203125" style="1248" customWidth="1"/>
    <col min="6837" max="6843" width="8.1640625" style="1248" customWidth="1"/>
    <col min="6844" max="6849" width="9.6640625" style="1248" customWidth="1"/>
    <col min="6850" max="7086" width="9" style="1248"/>
    <col min="7087" max="7087" width="4.1640625" style="1248" customWidth="1"/>
    <col min="7088" max="7088" width="5.1640625" style="1248" customWidth="1"/>
    <col min="7089" max="7089" width="7.1640625" style="1248" customWidth="1"/>
    <col min="7090" max="7090" width="8.6640625" style="1248" customWidth="1"/>
    <col min="7091" max="7091" width="33" style="1248" customWidth="1"/>
    <col min="7092" max="7092" width="5.83203125" style="1248" customWidth="1"/>
    <col min="7093" max="7099" width="8.1640625" style="1248" customWidth="1"/>
    <col min="7100" max="7105" width="9.6640625" style="1248" customWidth="1"/>
    <col min="7106" max="7342" width="9" style="1248"/>
    <col min="7343" max="7343" width="4.1640625" style="1248" customWidth="1"/>
    <col min="7344" max="7344" width="5.1640625" style="1248" customWidth="1"/>
    <col min="7345" max="7345" width="7.1640625" style="1248" customWidth="1"/>
    <col min="7346" max="7346" width="8.6640625" style="1248" customWidth="1"/>
    <col min="7347" max="7347" width="33" style="1248" customWidth="1"/>
    <col min="7348" max="7348" width="5.83203125" style="1248" customWidth="1"/>
    <col min="7349" max="7355" width="8.1640625" style="1248" customWidth="1"/>
    <col min="7356" max="7361" width="9.6640625" style="1248" customWidth="1"/>
    <col min="7362" max="7598" width="9" style="1248"/>
    <col min="7599" max="7599" width="4.1640625" style="1248" customWidth="1"/>
    <col min="7600" max="7600" width="5.1640625" style="1248" customWidth="1"/>
    <col min="7601" max="7601" width="7.1640625" style="1248" customWidth="1"/>
    <col min="7602" max="7602" width="8.6640625" style="1248" customWidth="1"/>
    <col min="7603" max="7603" width="33" style="1248" customWidth="1"/>
    <col min="7604" max="7604" width="5.83203125" style="1248" customWidth="1"/>
    <col min="7605" max="7611" width="8.1640625" style="1248" customWidth="1"/>
    <col min="7612" max="7617" width="9.6640625" style="1248" customWidth="1"/>
    <col min="7618" max="7854" width="9" style="1248"/>
    <col min="7855" max="7855" width="4.1640625" style="1248" customWidth="1"/>
    <col min="7856" max="7856" width="5.1640625" style="1248" customWidth="1"/>
    <col min="7857" max="7857" width="7.1640625" style="1248" customWidth="1"/>
    <col min="7858" max="7858" width="8.6640625" style="1248" customWidth="1"/>
    <col min="7859" max="7859" width="33" style="1248" customWidth="1"/>
    <col min="7860" max="7860" width="5.83203125" style="1248" customWidth="1"/>
    <col min="7861" max="7867" width="8.1640625" style="1248" customWidth="1"/>
    <col min="7868" max="7873" width="9.6640625" style="1248" customWidth="1"/>
    <col min="7874" max="8110" width="9" style="1248"/>
    <col min="8111" max="8111" width="4.1640625" style="1248" customWidth="1"/>
    <col min="8112" max="8112" width="5.1640625" style="1248" customWidth="1"/>
    <col min="8113" max="8113" width="7.1640625" style="1248" customWidth="1"/>
    <col min="8114" max="8114" width="8.6640625" style="1248" customWidth="1"/>
    <col min="8115" max="8115" width="33" style="1248" customWidth="1"/>
    <col min="8116" max="8116" width="5.83203125" style="1248" customWidth="1"/>
    <col min="8117" max="8123" width="8.1640625" style="1248" customWidth="1"/>
    <col min="8124" max="8129" width="9.6640625" style="1248" customWidth="1"/>
    <col min="8130" max="8366" width="9" style="1248"/>
    <col min="8367" max="8367" width="4.1640625" style="1248" customWidth="1"/>
    <col min="8368" max="8368" width="5.1640625" style="1248" customWidth="1"/>
    <col min="8369" max="8369" width="7.1640625" style="1248" customWidth="1"/>
    <col min="8370" max="8370" width="8.6640625" style="1248" customWidth="1"/>
    <col min="8371" max="8371" width="33" style="1248" customWidth="1"/>
    <col min="8372" max="8372" width="5.83203125" style="1248" customWidth="1"/>
    <col min="8373" max="8379" width="8.1640625" style="1248" customWidth="1"/>
    <col min="8380" max="8385" width="9.6640625" style="1248" customWidth="1"/>
    <col min="8386" max="8622" width="9" style="1248"/>
    <col min="8623" max="8623" width="4.1640625" style="1248" customWidth="1"/>
    <col min="8624" max="8624" width="5.1640625" style="1248" customWidth="1"/>
    <col min="8625" max="8625" width="7.1640625" style="1248" customWidth="1"/>
    <col min="8626" max="8626" width="8.6640625" style="1248" customWidth="1"/>
    <col min="8627" max="8627" width="33" style="1248" customWidth="1"/>
    <col min="8628" max="8628" width="5.83203125" style="1248" customWidth="1"/>
    <col min="8629" max="8635" width="8.1640625" style="1248" customWidth="1"/>
    <col min="8636" max="8641" width="9.6640625" style="1248" customWidth="1"/>
    <col min="8642" max="8878" width="9" style="1248"/>
    <col min="8879" max="8879" width="4.1640625" style="1248" customWidth="1"/>
    <col min="8880" max="8880" width="5.1640625" style="1248" customWidth="1"/>
    <col min="8881" max="8881" width="7.1640625" style="1248" customWidth="1"/>
    <col min="8882" max="8882" width="8.6640625" style="1248" customWidth="1"/>
    <col min="8883" max="8883" width="33" style="1248" customWidth="1"/>
    <col min="8884" max="8884" width="5.83203125" style="1248" customWidth="1"/>
    <col min="8885" max="8891" width="8.1640625" style="1248" customWidth="1"/>
    <col min="8892" max="8897" width="9.6640625" style="1248" customWidth="1"/>
    <col min="8898" max="9134" width="9" style="1248"/>
    <col min="9135" max="9135" width="4.1640625" style="1248" customWidth="1"/>
    <col min="9136" max="9136" width="5.1640625" style="1248" customWidth="1"/>
    <col min="9137" max="9137" width="7.1640625" style="1248" customWidth="1"/>
    <col min="9138" max="9138" width="8.6640625" style="1248" customWidth="1"/>
    <col min="9139" max="9139" width="33" style="1248" customWidth="1"/>
    <col min="9140" max="9140" width="5.83203125" style="1248" customWidth="1"/>
    <col min="9141" max="9147" width="8.1640625" style="1248" customWidth="1"/>
    <col min="9148" max="9153" width="9.6640625" style="1248" customWidth="1"/>
    <col min="9154" max="9390" width="9" style="1248"/>
    <col min="9391" max="9391" width="4.1640625" style="1248" customWidth="1"/>
    <col min="9392" max="9392" width="5.1640625" style="1248" customWidth="1"/>
    <col min="9393" max="9393" width="7.1640625" style="1248" customWidth="1"/>
    <col min="9394" max="9394" width="8.6640625" style="1248" customWidth="1"/>
    <col min="9395" max="9395" width="33" style="1248" customWidth="1"/>
    <col min="9396" max="9396" width="5.83203125" style="1248" customWidth="1"/>
    <col min="9397" max="9403" width="8.1640625" style="1248" customWidth="1"/>
    <col min="9404" max="9409" width="9.6640625" style="1248" customWidth="1"/>
    <col min="9410" max="9646" width="9" style="1248"/>
    <col min="9647" max="9647" width="4.1640625" style="1248" customWidth="1"/>
    <col min="9648" max="9648" width="5.1640625" style="1248" customWidth="1"/>
    <col min="9649" max="9649" width="7.1640625" style="1248" customWidth="1"/>
    <col min="9650" max="9650" width="8.6640625" style="1248" customWidth="1"/>
    <col min="9651" max="9651" width="33" style="1248" customWidth="1"/>
    <col min="9652" max="9652" width="5.83203125" style="1248" customWidth="1"/>
    <col min="9653" max="9659" width="8.1640625" style="1248" customWidth="1"/>
    <col min="9660" max="9665" width="9.6640625" style="1248" customWidth="1"/>
    <col min="9666" max="9902" width="9" style="1248"/>
    <col min="9903" max="9903" width="4.1640625" style="1248" customWidth="1"/>
    <col min="9904" max="9904" width="5.1640625" style="1248" customWidth="1"/>
    <col min="9905" max="9905" width="7.1640625" style="1248" customWidth="1"/>
    <col min="9906" max="9906" width="8.6640625" style="1248" customWidth="1"/>
    <col min="9907" max="9907" width="33" style="1248" customWidth="1"/>
    <col min="9908" max="9908" width="5.83203125" style="1248" customWidth="1"/>
    <col min="9909" max="9915" width="8.1640625" style="1248" customWidth="1"/>
    <col min="9916" max="9921" width="9.6640625" style="1248" customWidth="1"/>
    <col min="9922" max="10158" width="9" style="1248"/>
    <col min="10159" max="10159" width="4.1640625" style="1248" customWidth="1"/>
    <col min="10160" max="10160" width="5.1640625" style="1248" customWidth="1"/>
    <col min="10161" max="10161" width="7.1640625" style="1248" customWidth="1"/>
    <col min="10162" max="10162" width="8.6640625" style="1248" customWidth="1"/>
    <col min="10163" max="10163" width="33" style="1248" customWidth="1"/>
    <col min="10164" max="10164" width="5.83203125" style="1248" customWidth="1"/>
    <col min="10165" max="10171" width="8.1640625" style="1248" customWidth="1"/>
    <col min="10172" max="10177" width="9.6640625" style="1248" customWidth="1"/>
    <col min="10178" max="10414" width="9" style="1248"/>
    <col min="10415" max="10415" width="4.1640625" style="1248" customWidth="1"/>
    <col min="10416" max="10416" width="5.1640625" style="1248" customWidth="1"/>
    <col min="10417" max="10417" width="7.1640625" style="1248" customWidth="1"/>
    <col min="10418" max="10418" width="8.6640625" style="1248" customWidth="1"/>
    <col min="10419" max="10419" width="33" style="1248" customWidth="1"/>
    <col min="10420" max="10420" width="5.83203125" style="1248" customWidth="1"/>
    <col min="10421" max="10427" width="8.1640625" style="1248" customWidth="1"/>
    <col min="10428" max="10433" width="9.6640625" style="1248" customWidth="1"/>
    <col min="10434" max="10670" width="9" style="1248"/>
    <col min="10671" max="10671" width="4.1640625" style="1248" customWidth="1"/>
    <col min="10672" max="10672" width="5.1640625" style="1248" customWidth="1"/>
    <col min="10673" max="10673" width="7.1640625" style="1248" customWidth="1"/>
    <col min="10674" max="10674" width="8.6640625" style="1248" customWidth="1"/>
    <col min="10675" max="10675" width="33" style="1248" customWidth="1"/>
    <col min="10676" max="10676" width="5.83203125" style="1248" customWidth="1"/>
    <col min="10677" max="10683" width="8.1640625" style="1248" customWidth="1"/>
    <col min="10684" max="10689" width="9.6640625" style="1248" customWidth="1"/>
    <col min="10690" max="10926" width="9" style="1248"/>
    <col min="10927" max="10927" width="4.1640625" style="1248" customWidth="1"/>
    <col min="10928" max="10928" width="5.1640625" style="1248" customWidth="1"/>
    <col min="10929" max="10929" width="7.1640625" style="1248" customWidth="1"/>
    <col min="10930" max="10930" width="8.6640625" style="1248" customWidth="1"/>
    <col min="10931" max="10931" width="33" style="1248" customWidth="1"/>
    <col min="10932" max="10932" width="5.83203125" style="1248" customWidth="1"/>
    <col min="10933" max="10939" width="8.1640625" style="1248" customWidth="1"/>
    <col min="10940" max="10945" width="9.6640625" style="1248" customWidth="1"/>
    <col min="10946" max="11182" width="9" style="1248"/>
    <col min="11183" max="11183" width="4.1640625" style="1248" customWidth="1"/>
    <col min="11184" max="11184" width="5.1640625" style="1248" customWidth="1"/>
    <col min="11185" max="11185" width="7.1640625" style="1248" customWidth="1"/>
    <col min="11186" max="11186" width="8.6640625" style="1248" customWidth="1"/>
    <col min="11187" max="11187" width="33" style="1248" customWidth="1"/>
    <col min="11188" max="11188" width="5.83203125" style="1248" customWidth="1"/>
    <col min="11189" max="11195" width="8.1640625" style="1248" customWidth="1"/>
    <col min="11196" max="11201" width="9.6640625" style="1248" customWidth="1"/>
    <col min="11202" max="11438" width="9" style="1248"/>
    <col min="11439" max="11439" width="4.1640625" style="1248" customWidth="1"/>
    <col min="11440" max="11440" width="5.1640625" style="1248" customWidth="1"/>
    <col min="11441" max="11441" width="7.1640625" style="1248" customWidth="1"/>
    <col min="11442" max="11442" width="8.6640625" style="1248" customWidth="1"/>
    <col min="11443" max="11443" width="33" style="1248" customWidth="1"/>
    <col min="11444" max="11444" width="5.83203125" style="1248" customWidth="1"/>
    <col min="11445" max="11451" width="8.1640625" style="1248" customWidth="1"/>
    <col min="11452" max="11457" width="9.6640625" style="1248" customWidth="1"/>
    <col min="11458" max="11694" width="9" style="1248"/>
    <col min="11695" max="11695" width="4.1640625" style="1248" customWidth="1"/>
    <col min="11696" max="11696" width="5.1640625" style="1248" customWidth="1"/>
    <col min="11697" max="11697" width="7.1640625" style="1248" customWidth="1"/>
    <col min="11698" max="11698" width="8.6640625" style="1248" customWidth="1"/>
    <col min="11699" max="11699" width="33" style="1248" customWidth="1"/>
    <col min="11700" max="11700" width="5.83203125" style="1248" customWidth="1"/>
    <col min="11701" max="11707" width="8.1640625" style="1248" customWidth="1"/>
    <col min="11708" max="11713" width="9.6640625" style="1248" customWidth="1"/>
    <col min="11714" max="11950" width="9" style="1248"/>
    <col min="11951" max="11951" width="4.1640625" style="1248" customWidth="1"/>
    <col min="11952" max="11952" width="5.1640625" style="1248" customWidth="1"/>
    <col min="11953" max="11953" width="7.1640625" style="1248" customWidth="1"/>
    <col min="11954" max="11954" width="8.6640625" style="1248" customWidth="1"/>
    <col min="11955" max="11955" width="33" style="1248" customWidth="1"/>
    <col min="11956" max="11956" width="5.83203125" style="1248" customWidth="1"/>
    <col min="11957" max="11963" width="8.1640625" style="1248" customWidth="1"/>
    <col min="11964" max="11969" width="9.6640625" style="1248" customWidth="1"/>
    <col min="11970" max="12206" width="9" style="1248"/>
    <col min="12207" max="12207" width="4.1640625" style="1248" customWidth="1"/>
    <col min="12208" max="12208" width="5.1640625" style="1248" customWidth="1"/>
    <col min="12209" max="12209" width="7.1640625" style="1248" customWidth="1"/>
    <col min="12210" max="12210" width="8.6640625" style="1248" customWidth="1"/>
    <col min="12211" max="12211" width="33" style="1248" customWidth="1"/>
    <col min="12212" max="12212" width="5.83203125" style="1248" customWidth="1"/>
    <col min="12213" max="12219" width="8.1640625" style="1248" customWidth="1"/>
    <col min="12220" max="12225" width="9.6640625" style="1248" customWidth="1"/>
    <col min="12226" max="12462" width="9" style="1248"/>
    <col min="12463" max="12463" width="4.1640625" style="1248" customWidth="1"/>
    <col min="12464" max="12464" width="5.1640625" style="1248" customWidth="1"/>
    <col min="12465" max="12465" width="7.1640625" style="1248" customWidth="1"/>
    <col min="12466" max="12466" width="8.6640625" style="1248" customWidth="1"/>
    <col min="12467" max="12467" width="33" style="1248" customWidth="1"/>
    <col min="12468" max="12468" width="5.83203125" style="1248" customWidth="1"/>
    <col min="12469" max="12475" width="8.1640625" style="1248" customWidth="1"/>
    <col min="12476" max="12481" width="9.6640625" style="1248" customWidth="1"/>
    <col min="12482" max="12718" width="9" style="1248"/>
    <col min="12719" max="12719" width="4.1640625" style="1248" customWidth="1"/>
    <col min="12720" max="12720" width="5.1640625" style="1248" customWidth="1"/>
    <col min="12721" max="12721" width="7.1640625" style="1248" customWidth="1"/>
    <col min="12722" max="12722" width="8.6640625" style="1248" customWidth="1"/>
    <col min="12723" max="12723" width="33" style="1248" customWidth="1"/>
    <col min="12724" max="12724" width="5.83203125" style="1248" customWidth="1"/>
    <col min="12725" max="12731" width="8.1640625" style="1248" customWidth="1"/>
    <col min="12732" max="12737" width="9.6640625" style="1248" customWidth="1"/>
    <col min="12738" max="12974" width="9" style="1248"/>
    <col min="12975" max="12975" width="4.1640625" style="1248" customWidth="1"/>
    <col min="12976" max="12976" width="5.1640625" style="1248" customWidth="1"/>
    <col min="12977" max="12977" width="7.1640625" style="1248" customWidth="1"/>
    <col min="12978" max="12978" width="8.6640625" style="1248" customWidth="1"/>
    <col min="12979" max="12979" width="33" style="1248" customWidth="1"/>
    <col min="12980" max="12980" width="5.83203125" style="1248" customWidth="1"/>
    <col min="12981" max="12987" width="8.1640625" style="1248" customWidth="1"/>
    <col min="12988" max="12993" width="9.6640625" style="1248" customWidth="1"/>
    <col min="12994" max="13230" width="9" style="1248"/>
    <col min="13231" max="13231" width="4.1640625" style="1248" customWidth="1"/>
    <col min="13232" max="13232" width="5.1640625" style="1248" customWidth="1"/>
    <col min="13233" max="13233" width="7.1640625" style="1248" customWidth="1"/>
    <col min="13234" max="13234" width="8.6640625" style="1248" customWidth="1"/>
    <col min="13235" max="13235" width="33" style="1248" customWidth="1"/>
    <col min="13236" max="13236" width="5.83203125" style="1248" customWidth="1"/>
    <col min="13237" max="13243" width="8.1640625" style="1248" customWidth="1"/>
    <col min="13244" max="13249" width="9.6640625" style="1248" customWidth="1"/>
    <col min="13250" max="13486" width="9" style="1248"/>
    <col min="13487" max="13487" width="4.1640625" style="1248" customWidth="1"/>
    <col min="13488" max="13488" width="5.1640625" style="1248" customWidth="1"/>
    <col min="13489" max="13489" width="7.1640625" style="1248" customWidth="1"/>
    <col min="13490" max="13490" width="8.6640625" style="1248" customWidth="1"/>
    <col min="13491" max="13491" width="33" style="1248" customWidth="1"/>
    <col min="13492" max="13492" width="5.83203125" style="1248" customWidth="1"/>
    <col min="13493" max="13499" width="8.1640625" style="1248" customWidth="1"/>
    <col min="13500" max="13505" width="9.6640625" style="1248" customWidth="1"/>
    <col min="13506" max="13742" width="9" style="1248"/>
    <col min="13743" max="13743" width="4.1640625" style="1248" customWidth="1"/>
    <col min="13744" max="13744" width="5.1640625" style="1248" customWidth="1"/>
    <col min="13745" max="13745" width="7.1640625" style="1248" customWidth="1"/>
    <col min="13746" max="13746" width="8.6640625" style="1248" customWidth="1"/>
    <col min="13747" max="13747" width="33" style="1248" customWidth="1"/>
    <col min="13748" max="13748" width="5.83203125" style="1248" customWidth="1"/>
    <col min="13749" max="13755" width="8.1640625" style="1248" customWidth="1"/>
    <col min="13756" max="13761" width="9.6640625" style="1248" customWidth="1"/>
    <col min="13762" max="13998" width="9" style="1248"/>
    <col min="13999" max="13999" width="4.1640625" style="1248" customWidth="1"/>
    <col min="14000" max="14000" width="5.1640625" style="1248" customWidth="1"/>
    <col min="14001" max="14001" width="7.1640625" style="1248" customWidth="1"/>
    <col min="14002" max="14002" width="8.6640625" style="1248" customWidth="1"/>
    <col min="14003" max="14003" width="33" style="1248" customWidth="1"/>
    <col min="14004" max="14004" width="5.83203125" style="1248" customWidth="1"/>
    <col min="14005" max="14011" width="8.1640625" style="1248" customWidth="1"/>
    <col min="14012" max="14017" width="9.6640625" style="1248" customWidth="1"/>
    <col min="14018" max="14254" width="9" style="1248"/>
    <col min="14255" max="14255" width="4.1640625" style="1248" customWidth="1"/>
    <col min="14256" max="14256" width="5.1640625" style="1248" customWidth="1"/>
    <col min="14257" max="14257" width="7.1640625" style="1248" customWidth="1"/>
    <col min="14258" max="14258" width="8.6640625" style="1248" customWidth="1"/>
    <col min="14259" max="14259" width="33" style="1248" customWidth="1"/>
    <col min="14260" max="14260" width="5.83203125" style="1248" customWidth="1"/>
    <col min="14261" max="14267" width="8.1640625" style="1248" customWidth="1"/>
    <col min="14268" max="14273" width="9.6640625" style="1248" customWidth="1"/>
    <col min="14274" max="14510" width="9" style="1248"/>
    <col min="14511" max="14511" width="4.1640625" style="1248" customWidth="1"/>
    <col min="14512" max="14512" width="5.1640625" style="1248" customWidth="1"/>
    <col min="14513" max="14513" width="7.1640625" style="1248" customWidth="1"/>
    <col min="14514" max="14514" width="8.6640625" style="1248" customWidth="1"/>
    <col min="14515" max="14515" width="33" style="1248" customWidth="1"/>
    <col min="14516" max="14516" width="5.83203125" style="1248" customWidth="1"/>
    <col min="14517" max="14523" width="8.1640625" style="1248" customWidth="1"/>
    <col min="14524" max="14529" width="9.6640625" style="1248" customWidth="1"/>
    <col min="14530" max="14766" width="9" style="1248"/>
    <col min="14767" max="14767" width="4.1640625" style="1248" customWidth="1"/>
    <col min="14768" max="14768" width="5.1640625" style="1248" customWidth="1"/>
    <col min="14769" max="14769" width="7.1640625" style="1248" customWidth="1"/>
    <col min="14770" max="14770" width="8.6640625" style="1248" customWidth="1"/>
    <col min="14771" max="14771" width="33" style="1248" customWidth="1"/>
    <col min="14772" max="14772" width="5.83203125" style="1248" customWidth="1"/>
    <col min="14773" max="14779" width="8.1640625" style="1248" customWidth="1"/>
    <col min="14780" max="14785" width="9.6640625" style="1248" customWidth="1"/>
    <col min="14786" max="15022" width="9" style="1248"/>
    <col min="15023" max="15023" width="4.1640625" style="1248" customWidth="1"/>
    <col min="15024" max="15024" width="5.1640625" style="1248" customWidth="1"/>
    <col min="15025" max="15025" width="7.1640625" style="1248" customWidth="1"/>
    <col min="15026" max="15026" width="8.6640625" style="1248" customWidth="1"/>
    <col min="15027" max="15027" width="33" style="1248" customWidth="1"/>
    <col min="15028" max="15028" width="5.83203125" style="1248" customWidth="1"/>
    <col min="15029" max="15035" width="8.1640625" style="1248" customWidth="1"/>
    <col min="15036" max="15041" width="9.6640625" style="1248" customWidth="1"/>
    <col min="15042" max="15278" width="9" style="1248"/>
    <col min="15279" max="15279" width="4.1640625" style="1248" customWidth="1"/>
    <col min="15280" max="15280" width="5.1640625" style="1248" customWidth="1"/>
    <col min="15281" max="15281" width="7.1640625" style="1248" customWidth="1"/>
    <col min="15282" max="15282" width="8.6640625" style="1248" customWidth="1"/>
    <col min="15283" max="15283" width="33" style="1248" customWidth="1"/>
    <col min="15284" max="15284" width="5.83203125" style="1248" customWidth="1"/>
    <col min="15285" max="15291" width="8.1640625" style="1248" customWidth="1"/>
    <col min="15292" max="15297" width="9.6640625" style="1248" customWidth="1"/>
    <col min="15298" max="15534" width="9" style="1248"/>
    <col min="15535" max="15535" width="4.1640625" style="1248" customWidth="1"/>
    <col min="15536" max="15536" width="5.1640625" style="1248" customWidth="1"/>
    <col min="15537" max="15537" width="7.1640625" style="1248" customWidth="1"/>
    <col min="15538" max="15538" width="8.6640625" style="1248" customWidth="1"/>
    <col min="15539" max="15539" width="33" style="1248" customWidth="1"/>
    <col min="15540" max="15540" width="5.83203125" style="1248" customWidth="1"/>
    <col min="15541" max="15547" width="8.1640625" style="1248" customWidth="1"/>
    <col min="15548" max="15553" width="9.6640625" style="1248" customWidth="1"/>
    <col min="15554" max="15790" width="9" style="1248"/>
    <col min="15791" max="15791" width="4.1640625" style="1248" customWidth="1"/>
    <col min="15792" max="15792" width="5.1640625" style="1248" customWidth="1"/>
    <col min="15793" max="15793" width="7.1640625" style="1248" customWidth="1"/>
    <col min="15794" max="15794" width="8.6640625" style="1248" customWidth="1"/>
    <col min="15795" max="15795" width="33" style="1248" customWidth="1"/>
    <col min="15796" max="15796" width="5.83203125" style="1248" customWidth="1"/>
    <col min="15797" max="15803" width="8.1640625" style="1248" customWidth="1"/>
    <col min="15804" max="15809" width="9.6640625" style="1248" customWidth="1"/>
    <col min="15810" max="16046" width="9" style="1248"/>
    <col min="16047" max="16047" width="4.1640625" style="1248" customWidth="1"/>
    <col min="16048" max="16048" width="5.1640625" style="1248" customWidth="1"/>
    <col min="16049" max="16049" width="7.1640625" style="1248" customWidth="1"/>
    <col min="16050" max="16050" width="8.6640625" style="1248" customWidth="1"/>
    <col min="16051" max="16051" width="33" style="1248" customWidth="1"/>
    <col min="16052" max="16052" width="5.83203125" style="1248" customWidth="1"/>
    <col min="16053" max="16059" width="8.1640625" style="1248" customWidth="1"/>
    <col min="16060" max="16065" width="9.6640625" style="1248" customWidth="1"/>
    <col min="16066" max="16384" width="9" style="1248"/>
  </cols>
  <sheetData>
    <row r="1" spans="1:13" ht="20.25" customHeight="1">
      <c r="B1" s="1769"/>
      <c r="C1" s="1769"/>
      <c r="D1" s="1769"/>
      <c r="E1" s="1249"/>
      <c r="F1" s="1249"/>
      <c r="G1" s="1249"/>
      <c r="H1" s="1249"/>
      <c r="I1" s="1249"/>
      <c r="J1" s="1249"/>
      <c r="K1" s="1249"/>
      <c r="L1" s="1249"/>
    </row>
    <row r="2" spans="1:13" ht="30" customHeight="1">
      <c r="B2" s="1770" t="s">
        <v>8077</v>
      </c>
      <c r="C2" s="1770"/>
      <c r="D2" s="1770"/>
      <c r="E2" s="1770"/>
      <c r="F2" s="1770"/>
      <c r="G2" s="1770"/>
      <c r="H2" s="1770"/>
      <c r="I2" s="1770"/>
      <c r="J2" s="1770"/>
      <c r="K2" s="1770"/>
      <c r="L2" s="1770"/>
    </row>
    <row r="3" spans="1:13" ht="31.5" customHeight="1">
      <c r="A3" s="1769"/>
      <c r="B3" s="1774" t="s">
        <v>11</v>
      </c>
      <c r="C3" s="1775" t="s">
        <v>7967</v>
      </c>
      <c r="D3" s="1775" t="s">
        <v>74</v>
      </c>
      <c r="E3" s="1777" t="s">
        <v>7968</v>
      </c>
      <c r="F3" s="1777" t="s">
        <v>7969</v>
      </c>
      <c r="G3" s="1777" t="s">
        <v>7970</v>
      </c>
      <c r="H3" s="1777" t="s">
        <v>7971</v>
      </c>
      <c r="I3" s="1777" t="s">
        <v>7972</v>
      </c>
      <c r="J3" s="1779" t="s">
        <v>7973</v>
      </c>
      <c r="K3" s="1785" t="s">
        <v>8078</v>
      </c>
      <c r="L3" s="1785" t="s">
        <v>7974</v>
      </c>
      <c r="M3" s="1786" t="s">
        <v>1409</v>
      </c>
    </row>
    <row r="4" spans="1:13" ht="26.25" customHeight="1">
      <c r="A4" s="1769"/>
      <c r="B4" s="1774"/>
      <c r="C4" s="1776"/>
      <c r="D4" s="1776"/>
      <c r="E4" s="1778"/>
      <c r="F4" s="1779"/>
      <c r="G4" s="1779"/>
      <c r="H4" s="1779"/>
      <c r="I4" s="1778"/>
      <c r="J4" s="1784"/>
      <c r="K4" s="1779"/>
      <c r="L4" s="1779"/>
      <c r="M4" s="1787"/>
    </row>
    <row r="5" spans="1:13" ht="26" customHeight="1">
      <c r="A5" s="1769"/>
      <c r="B5" s="1250">
        <v>1</v>
      </c>
      <c r="C5" s="1251" t="s">
        <v>8079</v>
      </c>
      <c r="D5" s="1252" t="s">
        <v>1946</v>
      </c>
      <c r="E5" s="1253">
        <v>3</v>
      </c>
      <c r="F5" s="1254">
        <v>420</v>
      </c>
      <c r="G5" s="1254">
        <f>F5*E5</f>
        <v>1260</v>
      </c>
      <c r="H5" s="1255">
        <v>50</v>
      </c>
      <c r="I5" s="1255"/>
      <c r="J5" s="1255"/>
      <c r="K5" s="1255">
        <f>H5+I5+J5</f>
        <v>50</v>
      </c>
      <c r="L5" s="1256">
        <f>K5*E5</f>
        <v>150</v>
      </c>
      <c r="M5" s="1257"/>
    </row>
    <row r="6" spans="1:13" ht="26" customHeight="1">
      <c r="A6" s="1769"/>
      <c r="B6" s="1250">
        <v>2</v>
      </c>
      <c r="C6" s="1251" t="s">
        <v>7975</v>
      </c>
      <c r="D6" s="1252" t="s">
        <v>1946</v>
      </c>
      <c r="E6" s="1253">
        <v>12</v>
      </c>
      <c r="F6" s="1254">
        <v>3</v>
      </c>
      <c r="G6" s="1254">
        <f>F6*E6</f>
        <v>36</v>
      </c>
      <c r="H6" s="1255">
        <v>20</v>
      </c>
      <c r="I6" s="1255"/>
      <c r="J6" s="1255"/>
      <c r="K6" s="1255">
        <f>H6+I6+J6</f>
        <v>20</v>
      </c>
      <c r="L6" s="1256">
        <f t="shared" ref="L6:L37" si="0">K6*E6</f>
        <v>240</v>
      </c>
      <c r="M6" s="1348"/>
    </row>
    <row r="7" spans="1:13" ht="26" customHeight="1">
      <c r="A7" s="1769"/>
      <c r="B7" s="1250">
        <v>3</v>
      </c>
      <c r="C7" s="1251" t="s">
        <v>7976</v>
      </c>
      <c r="D7" s="1252" t="s">
        <v>400</v>
      </c>
      <c r="E7" s="1253">
        <v>12</v>
      </c>
      <c r="F7" s="1254">
        <v>3</v>
      </c>
      <c r="G7" s="1254">
        <f>F7*E7</f>
        <v>36</v>
      </c>
      <c r="H7" s="1255">
        <v>20</v>
      </c>
      <c r="I7" s="1255"/>
      <c r="J7" s="1255"/>
      <c r="K7" s="1255">
        <f t="shared" ref="K7:K37" si="1">H7+I7+J7</f>
        <v>20</v>
      </c>
      <c r="L7" s="1256">
        <f t="shared" si="0"/>
        <v>240</v>
      </c>
      <c r="M7" s="1348"/>
    </row>
    <row r="8" spans="1:13" s="1260" customFormat="1" ht="26" customHeight="1">
      <c r="A8" s="1769"/>
      <c r="B8" s="1250">
        <v>5</v>
      </c>
      <c r="C8" s="1251" t="s">
        <v>8080</v>
      </c>
      <c r="D8" s="1258" t="s">
        <v>1946</v>
      </c>
      <c r="E8" s="1253">
        <v>1</v>
      </c>
      <c r="F8" s="1254">
        <v>1700</v>
      </c>
      <c r="G8" s="1254">
        <f>F8*E8</f>
        <v>1700</v>
      </c>
      <c r="H8" s="1255">
        <v>100</v>
      </c>
      <c r="I8" s="1255"/>
      <c r="J8" s="1255"/>
      <c r="K8" s="1255">
        <f t="shared" si="1"/>
        <v>100</v>
      </c>
      <c r="L8" s="1256">
        <f t="shared" si="0"/>
        <v>100</v>
      </c>
      <c r="M8" s="1348"/>
    </row>
    <row r="9" spans="1:13" ht="20" customHeight="1">
      <c r="A9" s="1769"/>
      <c r="B9" s="1250">
        <v>10</v>
      </c>
      <c r="C9" s="1258" t="s">
        <v>7977</v>
      </c>
      <c r="D9" s="1252" t="s">
        <v>2198</v>
      </c>
      <c r="E9" s="1253">
        <v>1</v>
      </c>
      <c r="F9" s="1349">
        <v>650</v>
      </c>
      <c r="G9" s="1254">
        <f t="shared" ref="G9:G34" si="2">F9*E9</f>
        <v>650</v>
      </c>
      <c r="H9" s="1350">
        <v>100</v>
      </c>
      <c r="I9" s="1255"/>
      <c r="J9" s="1255"/>
      <c r="K9" s="1255">
        <f t="shared" si="1"/>
        <v>100</v>
      </c>
      <c r="L9" s="1256">
        <f t="shared" si="0"/>
        <v>100</v>
      </c>
      <c r="M9" s="1259"/>
    </row>
    <row r="10" spans="1:13" ht="20" customHeight="1">
      <c r="A10" s="1769"/>
      <c r="B10" s="1250">
        <v>11</v>
      </c>
      <c r="C10" s="1258" t="s">
        <v>7978</v>
      </c>
      <c r="D10" s="1252" t="s">
        <v>400</v>
      </c>
      <c r="E10" s="1253">
        <v>2</v>
      </c>
      <c r="F10" s="1261">
        <v>20</v>
      </c>
      <c r="G10" s="1254">
        <f t="shared" si="2"/>
        <v>40</v>
      </c>
      <c r="H10" s="1256">
        <v>10</v>
      </c>
      <c r="I10" s="1255"/>
      <c r="J10" s="1255"/>
      <c r="K10" s="1255">
        <f t="shared" si="1"/>
        <v>10</v>
      </c>
      <c r="L10" s="1256">
        <f t="shared" si="0"/>
        <v>20</v>
      </c>
      <c r="M10" s="1348"/>
    </row>
    <row r="11" spans="1:13" ht="20" customHeight="1">
      <c r="A11" s="1769"/>
      <c r="B11" s="1250">
        <v>12</v>
      </c>
      <c r="C11" s="1262" t="s">
        <v>7979</v>
      </c>
      <c r="D11" s="1258" t="s">
        <v>400</v>
      </c>
      <c r="E11" s="1253">
        <v>4</v>
      </c>
      <c r="F11" s="1254">
        <v>33</v>
      </c>
      <c r="G11" s="1254">
        <f t="shared" si="2"/>
        <v>132</v>
      </c>
      <c r="H11" s="1255">
        <v>0</v>
      </c>
      <c r="I11" s="1255"/>
      <c r="J11" s="1255"/>
      <c r="K11" s="1255">
        <f t="shared" si="1"/>
        <v>0</v>
      </c>
      <c r="L11" s="1256">
        <f t="shared" si="0"/>
        <v>0</v>
      </c>
      <c r="M11" s="1257"/>
    </row>
    <row r="12" spans="1:13" ht="25" customHeight="1">
      <c r="A12" s="1769"/>
      <c r="B12" s="1250">
        <v>13</v>
      </c>
      <c r="C12" s="1258" t="s">
        <v>7980</v>
      </c>
      <c r="D12" s="1252" t="s">
        <v>1946</v>
      </c>
      <c r="E12" s="1253">
        <v>1</v>
      </c>
      <c r="F12" s="1254">
        <v>100</v>
      </c>
      <c r="G12" s="1254">
        <f t="shared" si="2"/>
        <v>100</v>
      </c>
      <c r="H12" s="1255">
        <v>10</v>
      </c>
      <c r="I12" s="1255"/>
      <c r="J12" s="1255"/>
      <c r="K12" s="1255">
        <f t="shared" si="1"/>
        <v>10</v>
      </c>
      <c r="L12" s="1256">
        <f t="shared" si="0"/>
        <v>10</v>
      </c>
      <c r="M12" s="1257"/>
    </row>
    <row r="13" spans="1:13" ht="20" customHeight="1">
      <c r="A13" s="1769"/>
      <c r="B13" s="1250">
        <v>14</v>
      </c>
      <c r="C13" s="1258" t="s">
        <v>7981</v>
      </c>
      <c r="D13" s="1263" t="s">
        <v>2198</v>
      </c>
      <c r="E13" s="1253">
        <v>1</v>
      </c>
      <c r="F13" s="1254">
        <v>85</v>
      </c>
      <c r="G13" s="1254">
        <f t="shared" si="2"/>
        <v>85</v>
      </c>
      <c r="H13" s="1255">
        <v>10</v>
      </c>
      <c r="I13" s="1255"/>
      <c r="J13" s="1255"/>
      <c r="K13" s="1255">
        <f t="shared" si="1"/>
        <v>10</v>
      </c>
      <c r="L13" s="1256">
        <f t="shared" si="0"/>
        <v>10</v>
      </c>
      <c r="M13" s="1257"/>
    </row>
    <row r="14" spans="1:13" ht="18" customHeight="1">
      <c r="A14" s="1769"/>
      <c r="B14" s="1250">
        <v>15</v>
      </c>
      <c r="C14" s="1258" t="s">
        <v>7982</v>
      </c>
      <c r="D14" s="1258" t="s">
        <v>1946</v>
      </c>
      <c r="E14" s="1253">
        <v>1</v>
      </c>
      <c r="F14" s="1254">
        <v>50</v>
      </c>
      <c r="G14" s="1254">
        <f t="shared" si="2"/>
        <v>50</v>
      </c>
      <c r="H14" s="1255">
        <v>10</v>
      </c>
      <c r="I14" s="1255"/>
      <c r="J14" s="1255"/>
      <c r="K14" s="1255">
        <f t="shared" si="1"/>
        <v>10</v>
      </c>
      <c r="L14" s="1256">
        <f t="shared" si="0"/>
        <v>10</v>
      </c>
      <c r="M14" s="1257"/>
    </row>
    <row r="15" spans="1:13" ht="24" customHeight="1">
      <c r="A15" s="1769"/>
      <c r="B15" s="1250">
        <v>16</v>
      </c>
      <c r="C15" s="1252" t="s">
        <v>7983</v>
      </c>
      <c r="D15" s="1252" t="s">
        <v>1946</v>
      </c>
      <c r="E15" s="1253">
        <v>1</v>
      </c>
      <c r="F15" s="1254">
        <v>80</v>
      </c>
      <c r="G15" s="1254">
        <f t="shared" si="2"/>
        <v>80</v>
      </c>
      <c r="H15" s="1255">
        <v>20</v>
      </c>
      <c r="I15" s="1255"/>
      <c r="J15" s="1255"/>
      <c r="K15" s="1255">
        <f t="shared" si="1"/>
        <v>20</v>
      </c>
      <c r="L15" s="1256">
        <f t="shared" si="0"/>
        <v>20</v>
      </c>
      <c r="M15" s="1348"/>
    </row>
    <row r="16" spans="1:13" s="1266" customFormat="1" ht="20" customHeight="1">
      <c r="A16" s="1771"/>
      <c r="B16" s="1250">
        <v>17</v>
      </c>
      <c r="C16" s="1264" t="s">
        <v>7984</v>
      </c>
      <c r="D16" s="1264" t="s">
        <v>400</v>
      </c>
      <c r="E16" s="1265">
        <v>1</v>
      </c>
      <c r="F16" s="1254">
        <v>50</v>
      </c>
      <c r="G16" s="1254">
        <f t="shared" si="2"/>
        <v>50</v>
      </c>
      <c r="H16" s="1255">
        <v>0</v>
      </c>
      <c r="I16" s="1255"/>
      <c r="J16" s="1255"/>
      <c r="K16" s="1255">
        <f t="shared" si="1"/>
        <v>0</v>
      </c>
      <c r="L16" s="1256">
        <f t="shared" si="0"/>
        <v>0</v>
      </c>
      <c r="M16" s="1259"/>
    </row>
    <row r="17" spans="1:13" ht="20" customHeight="1">
      <c r="A17" s="1769"/>
      <c r="B17" s="1250">
        <v>18</v>
      </c>
      <c r="C17" s="1258" t="s">
        <v>7985</v>
      </c>
      <c r="D17" s="1258" t="s">
        <v>400</v>
      </c>
      <c r="E17" s="1267">
        <v>8</v>
      </c>
      <c r="F17" s="1254">
        <v>30</v>
      </c>
      <c r="G17" s="1254">
        <f t="shared" si="2"/>
        <v>240</v>
      </c>
      <c r="H17" s="1255">
        <v>0</v>
      </c>
      <c r="I17" s="1255"/>
      <c r="J17" s="1255"/>
      <c r="K17" s="1255">
        <f t="shared" si="1"/>
        <v>0</v>
      </c>
      <c r="L17" s="1256">
        <f t="shared" si="0"/>
        <v>0</v>
      </c>
      <c r="M17" s="1257"/>
    </row>
    <row r="18" spans="1:13" ht="20" customHeight="1">
      <c r="A18" s="1769"/>
      <c r="B18" s="1250">
        <v>19</v>
      </c>
      <c r="C18" s="1252" t="s">
        <v>7986</v>
      </c>
      <c r="D18" s="1252" t="s">
        <v>400</v>
      </c>
      <c r="E18" s="1253">
        <v>1</v>
      </c>
      <c r="F18" s="1254">
        <v>22</v>
      </c>
      <c r="G18" s="1254">
        <f t="shared" si="2"/>
        <v>22</v>
      </c>
      <c r="H18" s="1255">
        <v>0</v>
      </c>
      <c r="I18" s="1255"/>
      <c r="J18" s="1255"/>
      <c r="K18" s="1255">
        <f t="shared" si="1"/>
        <v>0</v>
      </c>
      <c r="L18" s="1256">
        <f t="shared" si="0"/>
        <v>0</v>
      </c>
      <c r="M18" s="1257"/>
    </row>
    <row r="19" spans="1:13" s="1268" customFormat="1" ht="22" customHeight="1">
      <c r="A19" s="1769"/>
      <c r="B19" s="1250">
        <v>20</v>
      </c>
      <c r="C19" s="1258" t="s">
        <v>7987</v>
      </c>
      <c r="D19" s="1252" t="s">
        <v>400</v>
      </c>
      <c r="E19" s="1253">
        <v>2</v>
      </c>
      <c r="F19" s="1254">
        <v>25</v>
      </c>
      <c r="G19" s="1254">
        <f t="shared" si="2"/>
        <v>50</v>
      </c>
      <c r="H19" s="1255">
        <v>0</v>
      </c>
      <c r="I19" s="1255"/>
      <c r="J19" s="1255"/>
      <c r="K19" s="1255">
        <f t="shared" si="1"/>
        <v>0</v>
      </c>
      <c r="L19" s="1256">
        <f t="shared" si="0"/>
        <v>0</v>
      </c>
      <c r="M19" s="1351"/>
    </row>
    <row r="20" spans="1:13" ht="20" customHeight="1">
      <c r="A20" s="1769"/>
      <c r="B20" s="1250">
        <v>21</v>
      </c>
      <c r="C20" s="1252" t="s">
        <v>7988</v>
      </c>
      <c r="D20" s="1252" t="s">
        <v>400</v>
      </c>
      <c r="E20" s="1253">
        <v>2</v>
      </c>
      <c r="F20" s="1254">
        <v>25</v>
      </c>
      <c r="G20" s="1254">
        <f t="shared" si="2"/>
        <v>50</v>
      </c>
      <c r="H20" s="1255">
        <v>0</v>
      </c>
      <c r="I20" s="1255"/>
      <c r="J20" s="1255"/>
      <c r="K20" s="1255">
        <f t="shared" si="1"/>
        <v>0</v>
      </c>
      <c r="L20" s="1256">
        <f t="shared" si="0"/>
        <v>0</v>
      </c>
      <c r="M20" s="1257"/>
    </row>
    <row r="21" spans="1:13" s="1266" customFormat="1" ht="20" customHeight="1">
      <c r="A21" s="1771"/>
      <c r="B21" s="1250">
        <v>22</v>
      </c>
      <c r="C21" s="1264" t="s">
        <v>7989</v>
      </c>
      <c r="D21" s="1264" t="s">
        <v>400</v>
      </c>
      <c r="E21" s="1265">
        <v>2</v>
      </c>
      <c r="F21" s="1254">
        <v>30</v>
      </c>
      <c r="G21" s="1254">
        <f t="shared" si="2"/>
        <v>60</v>
      </c>
      <c r="H21" s="1255">
        <v>0</v>
      </c>
      <c r="I21" s="1255"/>
      <c r="J21" s="1255"/>
      <c r="K21" s="1255">
        <f t="shared" si="1"/>
        <v>0</v>
      </c>
      <c r="L21" s="1256">
        <f t="shared" si="0"/>
        <v>0</v>
      </c>
      <c r="M21" s="1259"/>
    </row>
    <row r="22" spans="1:13" ht="20" customHeight="1">
      <c r="A22" s="1769"/>
      <c r="B22" s="1250">
        <v>23</v>
      </c>
      <c r="C22" s="1252" t="s">
        <v>7990</v>
      </c>
      <c r="D22" s="1252" t="s">
        <v>400</v>
      </c>
      <c r="E22" s="1253">
        <v>1</v>
      </c>
      <c r="F22" s="1254">
        <v>30</v>
      </c>
      <c r="G22" s="1254">
        <f t="shared" si="2"/>
        <v>30</v>
      </c>
      <c r="H22" s="1255">
        <v>0</v>
      </c>
      <c r="I22" s="1255"/>
      <c r="J22" s="1255"/>
      <c r="K22" s="1255">
        <f t="shared" si="1"/>
        <v>0</v>
      </c>
      <c r="L22" s="1256">
        <f t="shared" si="0"/>
        <v>0</v>
      </c>
      <c r="M22" s="1257"/>
    </row>
    <row r="23" spans="1:13" ht="20" customHeight="1">
      <c r="A23" s="1769"/>
      <c r="B23" s="1250"/>
      <c r="C23" s="1269" t="s">
        <v>7991</v>
      </c>
      <c r="D23" s="1252" t="s">
        <v>400</v>
      </c>
      <c r="E23" s="1253">
        <v>1</v>
      </c>
      <c r="F23" s="1254">
        <v>25</v>
      </c>
      <c r="G23" s="1254">
        <f t="shared" si="2"/>
        <v>25</v>
      </c>
      <c r="H23" s="1255">
        <v>0</v>
      </c>
      <c r="I23" s="1255"/>
      <c r="J23" s="1255"/>
      <c r="K23" s="1255">
        <f t="shared" si="1"/>
        <v>0</v>
      </c>
      <c r="L23" s="1256">
        <f t="shared" si="0"/>
        <v>0</v>
      </c>
      <c r="M23" s="1257"/>
    </row>
    <row r="24" spans="1:13" ht="20" customHeight="1">
      <c r="A24" s="1769"/>
      <c r="B24" s="1250">
        <v>24</v>
      </c>
      <c r="C24" s="1262" t="s">
        <v>7992</v>
      </c>
      <c r="D24" s="1258" t="s">
        <v>400</v>
      </c>
      <c r="E24" s="1253">
        <v>5</v>
      </c>
      <c r="F24" s="1254">
        <v>33</v>
      </c>
      <c r="G24" s="1254">
        <f t="shared" si="2"/>
        <v>165</v>
      </c>
      <c r="H24" s="1255">
        <v>0</v>
      </c>
      <c r="I24" s="1255"/>
      <c r="J24" s="1255"/>
      <c r="K24" s="1255">
        <f t="shared" si="1"/>
        <v>0</v>
      </c>
      <c r="L24" s="1256">
        <f t="shared" si="0"/>
        <v>0</v>
      </c>
      <c r="M24" s="1257"/>
    </row>
    <row r="25" spans="1:13" s="1266" customFormat="1" ht="20" customHeight="1">
      <c r="A25" s="1771"/>
      <c r="B25" s="1250">
        <v>25</v>
      </c>
      <c r="C25" s="1270" t="s">
        <v>7993</v>
      </c>
      <c r="D25" s="1264" t="s">
        <v>7994</v>
      </c>
      <c r="E25" s="1265">
        <v>20</v>
      </c>
      <c r="F25" s="1254">
        <v>20</v>
      </c>
      <c r="G25" s="1254">
        <f t="shared" si="2"/>
        <v>400</v>
      </c>
      <c r="H25" s="1255">
        <v>0</v>
      </c>
      <c r="I25" s="1255"/>
      <c r="J25" s="1255"/>
      <c r="K25" s="1255">
        <f t="shared" si="1"/>
        <v>0</v>
      </c>
      <c r="L25" s="1256">
        <f t="shared" si="0"/>
        <v>0</v>
      </c>
      <c r="M25" s="1259"/>
    </row>
    <row r="26" spans="1:13" s="1271" customFormat="1" ht="22" customHeight="1">
      <c r="A26" s="1772"/>
      <c r="B26" s="1250">
        <v>26</v>
      </c>
      <c r="C26" s="1264" t="s">
        <v>7995</v>
      </c>
      <c r="D26" s="1264" t="s">
        <v>7996</v>
      </c>
      <c r="E26" s="1265">
        <f>E5*5+E8*5+E9*2+E13*9+3.14*0.01*0.01*1000*E25</f>
        <v>37.28</v>
      </c>
      <c r="F26" s="1254">
        <v>4</v>
      </c>
      <c r="G26" s="1254">
        <f t="shared" si="2"/>
        <v>149.12</v>
      </c>
      <c r="H26" s="1255">
        <v>20</v>
      </c>
      <c r="I26" s="1255"/>
      <c r="J26" s="1255"/>
      <c r="K26" s="1255">
        <f t="shared" si="1"/>
        <v>20</v>
      </c>
      <c r="L26" s="1256">
        <f t="shared" si="0"/>
        <v>745.6</v>
      </c>
      <c r="M26" s="1259"/>
    </row>
    <row r="27" spans="1:13" s="1271" customFormat="1" ht="20" customHeight="1">
      <c r="A27" s="1772"/>
      <c r="B27" s="1250">
        <v>27</v>
      </c>
      <c r="C27" s="1264" t="s">
        <v>7997</v>
      </c>
      <c r="D27" s="1264" t="s">
        <v>7994</v>
      </c>
      <c r="E27" s="1265">
        <f>E25</f>
        <v>20</v>
      </c>
      <c r="F27" s="1254">
        <v>11</v>
      </c>
      <c r="G27" s="1254">
        <f t="shared" si="2"/>
        <v>220</v>
      </c>
      <c r="H27" s="1255">
        <v>0</v>
      </c>
      <c r="I27" s="1255"/>
      <c r="J27" s="1255"/>
      <c r="K27" s="1255">
        <f t="shared" si="1"/>
        <v>0</v>
      </c>
      <c r="L27" s="1256">
        <f t="shared" si="0"/>
        <v>0</v>
      </c>
      <c r="M27" s="1259"/>
    </row>
    <row r="28" spans="1:13" s="1271" customFormat="1" ht="20" customHeight="1">
      <c r="A28" s="1772"/>
      <c r="B28" s="1250">
        <v>28</v>
      </c>
      <c r="C28" s="1264" t="s">
        <v>7998</v>
      </c>
      <c r="D28" s="1264" t="s">
        <v>7994</v>
      </c>
      <c r="E28" s="1265">
        <f>3.14*0.12*E27</f>
        <v>7.5360000000000005</v>
      </c>
      <c r="F28" s="1254">
        <v>20</v>
      </c>
      <c r="G28" s="1254">
        <f t="shared" si="2"/>
        <v>150.72</v>
      </c>
      <c r="H28" s="1255">
        <v>0</v>
      </c>
      <c r="I28" s="1255"/>
      <c r="J28" s="1255"/>
      <c r="K28" s="1255">
        <f t="shared" si="1"/>
        <v>0</v>
      </c>
      <c r="L28" s="1256">
        <f t="shared" si="0"/>
        <v>0</v>
      </c>
      <c r="M28" s="1259"/>
    </row>
    <row r="29" spans="1:13" ht="20" customHeight="1">
      <c r="A29" s="1769"/>
      <c r="B29" s="1250">
        <v>30</v>
      </c>
      <c r="C29" s="1258" t="s">
        <v>7999</v>
      </c>
      <c r="D29" s="1258" t="s">
        <v>7994</v>
      </c>
      <c r="E29" s="1253">
        <v>10</v>
      </c>
      <c r="F29" s="1254">
        <v>2.68</v>
      </c>
      <c r="G29" s="1254">
        <f t="shared" si="2"/>
        <v>26.8</v>
      </c>
      <c r="H29" s="1255">
        <v>0</v>
      </c>
      <c r="I29" s="1255"/>
      <c r="J29" s="1255"/>
      <c r="K29" s="1255">
        <f t="shared" si="1"/>
        <v>0</v>
      </c>
      <c r="L29" s="1256">
        <f t="shared" si="0"/>
        <v>0</v>
      </c>
      <c r="M29" s="1257"/>
    </row>
    <row r="30" spans="1:13" ht="20" customHeight="1">
      <c r="A30" s="1769"/>
      <c r="B30" s="1250">
        <v>31</v>
      </c>
      <c r="C30" s="1258" t="s">
        <v>8000</v>
      </c>
      <c r="D30" s="1258" t="s">
        <v>7994</v>
      </c>
      <c r="E30" s="1253">
        <v>10</v>
      </c>
      <c r="F30" s="1254">
        <v>8.3000000000000007</v>
      </c>
      <c r="G30" s="1254">
        <f t="shared" si="2"/>
        <v>83</v>
      </c>
      <c r="H30" s="1255">
        <v>0</v>
      </c>
      <c r="I30" s="1272"/>
      <c r="J30" s="1272"/>
      <c r="K30" s="1255">
        <f t="shared" si="1"/>
        <v>0</v>
      </c>
      <c r="L30" s="1256">
        <f t="shared" si="0"/>
        <v>0</v>
      </c>
      <c r="M30" s="1257"/>
    </row>
    <row r="31" spans="1:13" s="1268" customFormat="1" ht="20" customHeight="1">
      <c r="A31" s="1773"/>
      <c r="B31" s="1250">
        <v>32</v>
      </c>
      <c r="C31" s="1264" t="s">
        <v>8001</v>
      </c>
      <c r="D31" s="1264" t="s">
        <v>7994</v>
      </c>
      <c r="E31" s="1253">
        <v>20</v>
      </c>
      <c r="F31" s="1254">
        <v>2.2000000000000002</v>
      </c>
      <c r="G31" s="1254">
        <f t="shared" si="2"/>
        <v>44</v>
      </c>
      <c r="H31" s="1255">
        <v>0</v>
      </c>
      <c r="I31" s="1255"/>
      <c r="J31" s="1255"/>
      <c r="K31" s="1255">
        <f t="shared" si="1"/>
        <v>0</v>
      </c>
      <c r="L31" s="1256">
        <f t="shared" si="0"/>
        <v>0</v>
      </c>
      <c r="M31" s="1257"/>
    </row>
    <row r="32" spans="1:13" s="1268" customFormat="1" ht="20" customHeight="1">
      <c r="A32" s="1773"/>
      <c r="B32" s="1250"/>
      <c r="C32" s="1273" t="s">
        <v>8002</v>
      </c>
      <c r="D32" s="1264" t="s">
        <v>400</v>
      </c>
      <c r="E32" s="1253">
        <v>8</v>
      </c>
      <c r="F32" s="1254">
        <v>20</v>
      </c>
      <c r="G32" s="1254">
        <f t="shared" si="2"/>
        <v>160</v>
      </c>
      <c r="H32" s="1255">
        <v>20</v>
      </c>
      <c r="I32" s="1255"/>
      <c r="J32" s="1255"/>
      <c r="K32" s="1255">
        <f t="shared" si="1"/>
        <v>20</v>
      </c>
      <c r="L32" s="1256">
        <f t="shared" si="0"/>
        <v>160</v>
      </c>
      <c r="M32" s="1348"/>
    </row>
    <row r="33" spans="1:13" s="1268" customFormat="1" ht="20" customHeight="1">
      <c r="A33" s="1773"/>
      <c r="B33" s="1250"/>
      <c r="C33" s="1273" t="s">
        <v>8003</v>
      </c>
      <c r="D33" s="1264" t="s">
        <v>7994</v>
      </c>
      <c r="E33" s="1253">
        <v>30</v>
      </c>
      <c r="F33" s="1254">
        <v>5.5</v>
      </c>
      <c r="G33" s="1254">
        <f t="shared" si="2"/>
        <v>165</v>
      </c>
      <c r="H33" s="1255">
        <v>0</v>
      </c>
      <c r="I33" s="1255"/>
      <c r="J33" s="1255"/>
      <c r="K33" s="1255">
        <f t="shared" si="1"/>
        <v>0</v>
      </c>
      <c r="L33" s="1256">
        <f t="shared" si="0"/>
        <v>0</v>
      </c>
      <c r="M33" s="1257"/>
    </row>
    <row r="34" spans="1:13" s="1268" customFormat="1" ht="20" customHeight="1">
      <c r="A34" s="1773"/>
      <c r="B34" s="1250"/>
      <c r="C34" s="1273"/>
      <c r="D34" s="1264"/>
      <c r="E34" s="1253"/>
      <c r="F34" s="1254"/>
      <c r="G34" s="1254">
        <f t="shared" si="2"/>
        <v>0</v>
      </c>
      <c r="H34" s="1255"/>
      <c r="I34" s="1255"/>
      <c r="J34" s="1255"/>
      <c r="K34" s="1255">
        <f t="shared" si="1"/>
        <v>0</v>
      </c>
      <c r="L34" s="1256">
        <f t="shared" si="0"/>
        <v>0</v>
      </c>
      <c r="M34" s="1257"/>
    </row>
    <row r="35" spans="1:13" s="1268" customFormat="1" ht="20" customHeight="1">
      <c r="A35" s="1773"/>
      <c r="B35" s="1250"/>
      <c r="C35" s="1273"/>
      <c r="D35" s="1264"/>
      <c r="E35" s="1253"/>
      <c r="F35" s="1254"/>
      <c r="G35" s="1254"/>
      <c r="H35" s="1255"/>
      <c r="I35" s="1255"/>
      <c r="J35" s="1255"/>
      <c r="K35" s="1255">
        <f t="shared" si="1"/>
        <v>0</v>
      </c>
      <c r="L35" s="1256">
        <f t="shared" si="0"/>
        <v>0</v>
      </c>
      <c r="M35" s="1257"/>
    </row>
    <row r="36" spans="1:13" s="1268" customFormat="1" ht="20" customHeight="1">
      <c r="A36" s="1773"/>
      <c r="B36" s="1250">
        <v>33</v>
      </c>
      <c r="C36" s="1273" t="s">
        <v>8004</v>
      </c>
      <c r="D36" s="1264" t="s">
        <v>7994</v>
      </c>
      <c r="E36" s="1253">
        <f>E5*10</f>
        <v>30</v>
      </c>
      <c r="F36" s="1254">
        <v>12</v>
      </c>
      <c r="G36" s="1254">
        <f>F36*E36</f>
        <v>360</v>
      </c>
      <c r="H36" s="1255">
        <v>0</v>
      </c>
      <c r="I36" s="1255"/>
      <c r="J36" s="1255"/>
      <c r="K36" s="1255">
        <f t="shared" si="1"/>
        <v>0</v>
      </c>
      <c r="L36" s="1256">
        <f t="shared" si="0"/>
        <v>0</v>
      </c>
      <c r="M36" s="1257"/>
    </row>
    <row r="37" spans="1:13" ht="21" customHeight="1">
      <c r="A37" s="1769"/>
      <c r="B37" s="1250">
        <v>34</v>
      </c>
      <c r="C37" s="1274" t="s">
        <v>8005</v>
      </c>
      <c r="D37" s="1258" t="s">
        <v>1617</v>
      </c>
      <c r="E37" s="1253">
        <f>E25*0.2</f>
        <v>4</v>
      </c>
      <c r="F37" s="1254">
        <v>9.6</v>
      </c>
      <c r="G37" s="1254">
        <f>F37*E37</f>
        <v>38.4</v>
      </c>
      <c r="H37" s="1255">
        <v>0</v>
      </c>
      <c r="I37" s="1255"/>
      <c r="J37" s="1255"/>
      <c r="K37" s="1255">
        <f t="shared" si="1"/>
        <v>0</v>
      </c>
      <c r="L37" s="1256">
        <f t="shared" si="0"/>
        <v>0</v>
      </c>
      <c r="M37" s="1257"/>
    </row>
    <row r="38" spans="1:13" s="1268" customFormat="1" ht="48" customHeight="1">
      <c r="A38" s="1773"/>
      <c r="B38" s="1275"/>
      <c r="C38" s="1276"/>
      <c r="D38" s="1276"/>
      <c r="E38" s="1277"/>
      <c r="F38" s="1278" t="s">
        <v>8006</v>
      </c>
      <c r="G38" s="1278">
        <f>SUM(G5:G37)</f>
        <v>6658.04</v>
      </c>
      <c r="H38" s="1279"/>
      <c r="I38" s="1788" t="s">
        <v>8007</v>
      </c>
      <c r="J38" s="1789"/>
      <c r="K38" s="1281"/>
      <c r="L38" s="1280">
        <f>SUM(L5:L37)</f>
        <v>1805.6</v>
      </c>
      <c r="M38" s="1282"/>
    </row>
    <row r="39" spans="1:13" ht="27" customHeight="1">
      <c r="A39" s="1769"/>
      <c r="B39" s="1780" t="s">
        <v>8008</v>
      </c>
      <c r="C39" s="1781"/>
      <c r="D39" s="1781"/>
      <c r="E39" s="1781"/>
      <c r="F39" s="1781"/>
      <c r="G39" s="1781"/>
      <c r="H39" s="1781"/>
      <c r="I39" s="1781"/>
      <c r="J39" s="1782"/>
      <c r="K39" s="1283">
        <f>L38+G38*1.1</f>
        <v>9129.4440000000013</v>
      </c>
      <c r="L39" s="1284"/>
      <c r="M39" s="1285"/>
    </row>
    <row r="40" spans="1:13" ht="77" customHeight="1">
      <c r="B40" s="1783" t="s">
        <v>8063</v>
      </c>
      <c r="C40" s="1783"/>
      <c r="D40" s="1783"/>
      <c r="E40" s="1783"/>
      <c r="F40" s="1783"/>
      <c r="G40" s="1783"/>
      <c r="H40" s="1783"/>
      <c r="I40" s="1783"/>
      <c r="J40" s="1783"/>
      <c r="K40" s="1783"/>
      <c r="L40" s="1783"/>
      <c r="M40" s="1783"/>
    </row>
    <row r="41" spans="1:13">
      <c r="E41" s="1248"/>
      <c r="F41" s="1248"/>
      <c r="G41" s="1248"/>
      <c r="H41" s="1248"/>
      <c r="I41" s="1248"/>
      <c r="J41" s="1248"/>
      <c r="K41" s="1248"/>
    </row>
    <row r="42" spans="1:13">
      <c r="B42" s="1286"/>
      <c r="C42" s="1286"/>
      <c r="D42" s="1286"/>
      <c r="E42" s="1248"/>
      <c r="F42" s="1248"/>
      <c r="H42" s="1248"/>
      <c r="I42" s="1248"/>
      <c r="J42" s="1248"/>
      <c r="L42" s="1248"/>
    </row>
    <row r="43" spans="1:13">
      <c r="A43" s="1286"/>
      <c r="B43" s="1286"/>
      <c r="C43" s="1286"/>
      <c r="D43" s="1286"/>
      <c r="E43" s="1248"/>
      <c r="F43" s="1248"/>
      <c r="G43" s="1248"/>
      <c r="H43" s="1248"/>
      <c r="I43" s="1248"/>
      <c r="J43" s="1248"/>
      <c r="K43" s="1248"/>
    </row>
    <row r="44" spans="1:13">
      <c r="B44" s="1286"/>
      <c r="C44" s="1286"/>
      <c r="D44" s="1286"/>
      <c r="E44" s="1248"/>
      <c r="F44" s="1248"/>
      <c r="G44" s="1248"/>
      <c r="H44" s="1248"/>
      <c r="I44" s="1248"/>
      <c r="J44" s="1248"/>
      <c r="K44" s="1248"/>
      <c r="L44" s="1248"/>
    </row>
    <row r="45" spans="1:13">
      <c r="C45" s="1286"/>
      <c r="D45" s="1286"/>
      <c r="E45" s="1248"/>
      <c r="F45" s="1248"/>
      <c r="G45" s="1248"/>
      <c r="H45" s="1248"/>
      <c r="I45" s="1248"/>
      <c r="J45" s="1248"/>
      <c r="K45" s="1248"/>
    </row>
    <row r="46" spans="1:13">
      <c r="C46" s="1286"/>
      <c r="D46" s="1286"/>
      <c r="E46" s="1248"/>
      <c r="F46" s="1248"/>
      <c r="G46" s="1248"/>
      <c r="H46" s="1248"/>
      <c r="I46" s="1248"/>
      <c r="J46" s="1248"/>
      <c r="K46" s="1248"/>
    </row>
    <row r="47" spans="1:13">
      <c r="E47" s="1248"/>
      <c r="F47" s="1248"/>
      <c r="G47" s="1248"/>
      <c r="H47" s="1248"/>
      <c r="I47" s="1248"/>
      <c r="J47" s="1248"/>
      <c r="K47" s="1248"/>
    </row>
    <row r="48" spans="1:13">
      <c r="E48" s="1248"/>
      <c r="F48" s="1248"/>
      <c r="G48" s="1248"/>
      <c r="H48" s="1248"/>
      <c r="I48" s="1248"/>
      <c r="J48" s="1248"/>
      <c r="K48" s="1248"/>
    </row>
    <row r="49" spans="5:11">
      <c r="E49" s="1248"/>
      <c r="F49" s="1248"/>
      <c r="G49" s="1248"/>
      <c r="H49" s="1248"/>
      <c r="I49" s="1248"/>
      <c r="J49" s="1248"/>
      <c r="K49" s="1248"/>
    </row>
    <row r="50" spans="5:11">
      <c r="E50" s="1248"/>
      <c r="F50" s="1248"/>
      <c r="G50" s="1248"/>
      <c r="H50" s="1248"/>
      <c r="I50" s="1248"/>
      <c r="J50" s="1248"/>
      <c r="K50" s="1248"/>
    </row>
    <row r="51" spans="5:11">
      <c r="E51" s="1248"/>
      <c r="F51" s="1248"/>
      <c r="G51" s="1248"/>
      <c r="H51" s="1248"/>
      <c r="I51" s="1248"/>
      <c r="J51" s="1248"/>
      <c r="K51" s="1248"/>
    </row>
    <row r="52" spans="5:11">
      <c r="E52" s="1248"/>
      <c r="F52" s="1248"/>
      <c r="G52" s="1248"/>
      <c r="H52" s="1248"/>
      <c r="I52" s="1248"/>
      <c r="J52" s="1248"/>
      <c r="K52" s="1248"/>
    </row>
    <row r="53" spans="5:11">
      <c r="E53" s="1248"/>
      <c r="F53" s="1248"/>
      <c r="G53" s="1248"/>
      <c r="H53" s="1248"/>
      <c r="I53" s="1248"/>
      <c r="J53" s="1248"/>
      <c r="K53" s="1248"/>
    </row>
    <row r="54" spans="5:11">
      <c r="E54" s="1248"/>
      <c r="F54" s="1248"/>
      <c r="G54" s="1248"/>
      <c r="H54" s="1248"/>
      <c r="I54" s="1248"/>
      <c r="J54" s="1248"/>
      <c r="K54" s="1248"/>
    </row>
    <row r="55" spans="5:11">
      <c r="E55" s="1248"/>
      <c r="F55" s="1248"/>
      <c r="G55" s="1248"/>
      <c r="H55" s="1248"/>
      <c r="I55" s="1248"/>
      <c r="J55" s="1248"/>
      <c r="K55" s="1248"/>
    </row>
    <row r="56" spans="5:11">
      <c r="E56" s="1248"/>
      <c r="F56" s="1248"/>
      <c r="G56" s="1248"/>
      <c r="H56" s="1248"/>
      <c r="I56" s="1248"/>
      <c r="J56" s="1248"/>
      <c r="K56" s="1248"/>
    </row>
    <row r="57" spans="5:11">
      <c r="E57" s="1248"/>
      <c r="F57" s="1248"/>
      <c r="G57" s="1248"/>
      <c r="H57" s="1248"/>
      <c r="I57" s="1248"/>
      <c r="J57" s="1248"/>
      <c r="K57" s="1248"/>
    </row>
    <row r="58" spans="5:11">
      <c r="E58" s="1248"/>
      <c r="F58" s="1248"/>
      <c r="G58" s="1248"/>
      <c r="H58" s="1248"/>
      <c r="I58" s="1248"/>
      <c r="J58" s="1248"/>
      <c r="K58" s="1248"/>
    </row>
    <row r="59" spans="5:11">
      <c r="E59" s="1248"/>
      <c r="F59" s="1248"/>
      <c r="G59" s="1248"/>
      <c r="H59" s="1248"/>
      <c r="I59" s="1248"/>
      <c r="J59" s="1248"/>
      <c r="K59" s="1248"/>
    </row>
    <row r="60" spans="5:11">
      <c r="E60" s="1248"/>
      <c r="F60" s="1248"/>
      <c r="G60" s="1248"/>
      <c r="H60" s="1248"/>
      <c r="I60" s="1248"/>
      <c r="J60" s="1248"/>
      <c r="K60" s="1248"/>
    </row>
    <row r="61" spans="5:11">
      <c r="E61" s="1248"/>
      <c r="F61" s="1248"/>
      <c r="G61" s="1248"/>
      <c r="H61" s="1248"/>
      <c r="I61" s="1248"/>
      <c r="J61" s="1248"/>
      <c r="K61" s="1248"/>
    </row>
    <row r="62" spans="5:11">
      <c r="E62" s="1248"/>
      <c r="F62" s="1248"/>
      <c r="G62" s="1248"/>
      <c r="H62" s="1248"/>
      <c r="I62" s="1248"/>
      <c r="J62" s="1248"/>
      <c r="K62" s="1248"/>
    </row>
    <row r="63" spans="5:11">
      <c r="E63" s="1248"/>
      <c r="F63" s="1248"/>
      <c r="G63" s="1248"/>
      <c r="H63" s="1248"/>
      <c r="I63" s="1248"/>
      <c r="J63" s="1248"/>
      <c r="K63" s="1248"/>
    </row>
    <row r="64" spans="5:11">
      <c r="E64" s="1248"/>
      <c r="F64" s="1248"/>
      <c r="G64" s="1248"/>
      <c r="H64" s="1248"/>
      <c r="I64" s="1248"/>
      <c r="J64" s="1248"/>
      <c r="K64" s="1248"/>
    </row>
    <row r="65" spans="5:11">
      <c r="E65" s="1248"/>
      <c r="F65" s="1248"/>
      <c r="G65" s="1248"/>
      <c r="H65" s="1248"/>
      <c r="I65" s="1248"/>
      <c r="J65" s="1248"/>
      <c r="K65" s="1248"/>
    </row>
    <row r="66" spans="5:11">
      <c r="E66" s="1248"/>
      <c r="F66" s="1248"/>
      <c r="G66" s="1248"/>
      <c r="H66" s="1248"/>
      <c r="I66" s="1248"/>
      <c r="J66" s="1248"/>
      <c r="K66" s="1248"/>
    </row>
    <row r="67" spans="5:11">
      <c r="E67" s="1248"/>
      <c r="F67" s="1248"/>
      <c r="G67" s="1248"/>
      <c r="H67" s="1248"/>
      <c r="I67" s="1248"/>
      <c r="J67" s="1248"/>
      <c r="K67" s="1248"/>
    </row>
    <row r="68" spans="5:11">
      <c r="E68" s="1248"/>
      <c r="F68" s="1248"/>
      <c r="G68" s="1248"/>
      <c r="H68" s="1248"/>
      <c r="I68" s="1248"/>
      <c r="J68" s="1248"/>
      <c r="K68" s="1248"/>
    </row>
    <row r="69" spans="5:11">
      <c r="E69" s="1248"/>
      <c r="F69" s="1248"/>
      <c r="G69" s="1248"/>
      <c r="H69" s="1248"/>
      <c r="I69" s="1248"/>
      <c r="J69" s="1248"/>
      <c r="K69" s="1248"/>
    </row>
    <row r="70" spans="5:11">
      <c r="E70" s="1248"/>
      <c r="F70" s="1248"/>
      <c r="G70" s="1248"/>
      <c r="H70" s="1248"/>
      <c r="I70" s="1248"/>
      <c r="J70" s="1248"/>
      <c r="K70" s="1248"/>
    </row>
    <row r="71" spans="5:11">
      <c r="E71" s="1248"/>
      <c r="F71" s="1248"/>
      <c r="G71" s="1248"/>
      <c r="H71" s="1248"/>
      <c r="I71" s="1248"/>
      <c r="J71" s="1248"/>
      <c r="K71" s="1248"/>
    </row>
    <row r="72" spans="5:11">
      <c r="E72" s="1248"/>
      <c r="F72" s="1248"/>
      <c r="G72" s="1248"/>
      <c r="H72" s="1248"/>
      <c r="I72" s="1248"/>
      <c r="J72" s="1248"/>
      <c r="K72" s="1248"/>
    </row>
    <row r="73" spans="5:11">
      <c r="E73" s="1248"/>
      <c r="F73" s="1248"/>
      <c r="G73" s="1248"/>
      <c r="H73" s="1248"/>
      <c r="I73" s="1248"/>
      <c r="J73" s="1248"/>
      <c r="K73" s="1248"/>
    </row>
    <row r="74" spans="5:11">
      <c r="E74" s="1248"/>
      <c r="F74" s="1248"/>
      <c r="G74" s="1248"/>
      <c r="H74" s="1248"/>
      <c r="I74" s="1248"/>
      <c r="J74" s="1248"/>
      <c r="K74" s="1248"/>
    </row>
    <row r="75" spans="5:11">
      <c r="E75" s="1248"/>
      <c r="F75" s="1248"/>
      <c r="G75" s="1248"/>
      <c r="H75" s="1248"/>
      <c r="I75" s="1248"/>
      <c r="J75" s="1248"/>
      <c r="K75" s="1248"/>
    </row>
    <row r="76" spans="5:11">
      <c r="E76" s="1248"/>
      <c r="F76" s="1248"/>
      <c r="G76" s="1248"/>
      <c r="H76" s="1248"/>
      <c r="I76" s="1248"/>
      <c r="J76" s="1248"/>
      <c r="K76" s="1248"/>
    </row>
    <row r="77" spans="5:11">
      <c r="E77" s="1248"/>
      <c r="F77" s="1248"/>
      <c r="G77" s="1248"/>
      <c r="H77" s="1248"/>
      <c r="I77" s="1248"/>
      <c r="J77" s="1248"/>
      <c r="K77" s="1248"/>
    </row>
    <row r="78" spans="5:11">
      <c r="E78" s="1248"/>
      <c r="F78" s="1248"/>
      <c r="G78" s="1248"/>
      <c r="H78" s="1248"/>
      <c r="I78" s="1248"/>
      <c r="J78" s="1248"/>
      <c r="K78" s="1248"/>
    </row>
    <row r="79" spans="5:11">
      <c r="E79" s="1248"/>
      <c r="F79" s="1248"/>
      <c r="G79" s="1248"/>
      <c r="H79" s="1248"/>
      <c r="I79" s="1248"/>
      <c r="J79" s="1248"/>
      <c r="K79" s="1248"/>
    </row>
    <row r="80" spans="5:11">
      <c r="E80" s="1248"/>
      <c r="F80" s="1248"/>
      <c r="G80" s="1248"/>
      <c r="H80" s="1248"/>
      <c r="I80" s="1248"/>
      <c r="J80" s="1248"/>
      <c r="K80" s="1248"/>
    </row>
    <row r="81" spans="5:11">
      <c r="E81" s="1248"/>
      <c r="F81" s="1248"/>
      <c r="G81" s="1248"/>
      <c r="H81" s="1248"/>
      <c r="I81" s="1248"/>
      <c r="J81" s="1248"/>
      <c r="K81" s="1248"/>
    </row>
    <row r="82" spans="5:11">
      <c r="E82" s="1248"/>
      <c r="F82" s="1248"/>
      <c r="G82" s="1248"/>
      <c r="H82" s="1248"/>
      <c r="I82" s="1248"/>
      <c r="J82" s="1248"/>
      <c r="K82" s="1248"/>
    </row>
    <row r="83" spans="5:11">
      <c r="E83" s="1248"/>
      <c r="F83" s="1248"/>
      <c r="G83" s="1248"/>
      <c r="H83" s="1248"/>
      <c r="I83" s="1248"/>
      <c r="J83" s="1248"/>
      <c r="K83" s="1248"/>
    </row>
    <row r="84" spans="5:11">
      <c r="E84" s="1248"/>
      <c r="F84" s="1248"/>
      <c r="G84" s="1248"/>
      <c r="H84" s="1248"/>
      <c r="I84" s="1248"/>
      <c r="J84" s="1248"/>
      <c r="K84" s="1248"/>
    </row>
    <row r="85" spans="5:11">
      <c r="E85" s="1248"/>
      <c r="F85" s="1248"/>
      <c r="G85" s="1248"/>
      <c r="H85" s="1248"/>
      <c r="I85" s="1248"/>
      <c r="J85" s="1248"/>
      <c r="K85" s="1248"/>
    </row>
    <row r="86" spans="5:11">
      <c r="E86" s="1248"/>
      <c r="F86" s="1248"/>
      <c r="G86" s="1248"/>
      <c r="H86" s="1248"/>
      <c r="I86" s="1248"/>
      <c r="J86" s="1248"/>
      <c r="K86" s="1248"/>
    </row>
    <row r="87" spans="5:11">
      <c r="E87" s="1248"/>
      <c r="F87" s="1248"/>
      <c r="G87" s="1248"/>
      <c r="H87" s="1248"/>
      <c r="I87" s="1248"/>
      <c r="J87" s="1248"/>
      <c r="K87" s="1248"/>
    </row>
    <row r="88" spans="5:11">
      <c r="E88" s="1248"/>
      <c r="F88" s="1248"/>
      <c r="G88" s="1248"/>
      <c r="H88" s="1248"/>
      <c r="I88" s="1248"/>
      <c r="J88" s="1248"/>
      <c r="K88" s="1248"/>
    </row>
    <row r="89" spans="5:11">
      <c r="E89" s="1248"/>
      <c r="F89" s="1248"/>
      <c r="G89" s="1248"/>
      <c r="H89" s="1248"/>
      <c r="I89" s="1248"/>
      <c r="J89" s="1248"/>
      <c r="K89" s="1248"/>
    </row>
    <row r="90" spans="5:11">
      <c r="E90" s="1248"/>
      <c r="F90" s="1248"/>
      <c r="G90" s="1248"/>
      <c r="H90" s="1248"/>
      <c r="I90" s="1248"/>
      <c r="J90" s="1248"/>
      <c r="K90" s="1248"/>
    </row>
    <row r="91" spans="5:11">
      <c r="E91" s="1248"/>
      <c r="F91" s="1248"/>
      <c r="G91" s="1248"/>
      <c r="H91" s="1248"/>
      <c r="I91" s="1248"/>
      <c r="J91" s="1248"/>
      <c r="K91" s="1248"/>
    </row>
    <row r="92" spans="5:11">
      <c r="E92" s="1248"/>
      <c r="F92" s="1248"/>
      <c r="G92" s="1248"/>
      <c r="H92" s="1248"/>
      <c r="I92" s="1248"/>
      <c r="J92" s="1248"/>
      <c r="K92" s="1248"/>
    </row>
    <row r="93" spans="5:11">
      <c r="E93" s="1248"/>
      <c r="F93" s="1248"/>
      <c r="G93" s="1248"/>
      <c r="H93" s="1248"/>
      <c r="I93" s="1248"/>
      <c r="J93" s="1248"/>
      <c r="K93" s="1248"/>
    </row>
    <row r="94" spans="5:11">
      <c r="E94" s="1248"/>
      <c r="F94" s="1248"/>
      <c r="G94" s="1248"/>
      <c r="H94" s="1248"/>
      <c r="I94" s="1248"/>
      <c r="J94" s="1248"/>
      <c r="K94" s="1248"/>
    </row>
    <row r="95" spans="5:11">
      <c r="E95" s="1248"/>
      <c r="F95" s="1248"/>
      <c r="G95" s="1248"/>
      <c r="H95" s="1248"/>
      <c r="I95" s="1248"/>
      <c r="J95" s="1248"/>
      <c r="K95" s="1248"/>
    </row>
    <row r="96" spans="5:11">
      <c r="E96" s="1248"/>
      <c r="F96" s="1248"/>
      <c r="G96" s="1248"/>
      <c r="H96" s="1248"/>
      <c r="I96" s="1248"/>
      <c r="J96" s="1248"/>
      <c r="K96" s="1248"/>
    </row>
    <row r="97" spans="5:11">
      <c r="E97" s="1248"/>
      <c r="F97" s="1248"/>
      <c r="G97" s="1248"/>
      <c r="H97" s="1248"/>
      <c r="I97" s="1248"/>
      <c r="J97" s="1248"/>
      <c r="K97" s="1248"/>
    </row>
    <row r="98" spans="5:11">
      <c r="E98" s="1248"/>
      <c r="F98" s="1248"/>
      <c r="G98" s="1248"/>
      <c r="H98" s="1248"/>
      <c r="I98" s="1248"/>
      <c r="J98" s="1248"/>
      <c r="K98" s="1248"/>
    </row>
    <row r="99" spans="5:11">
      <c r="E99" s="1248"/>
      <c r="F99" s="1248"/>
      <c r="G99" s="1248"/>
      <c r="H99" s="1248"/>
      <c r="I99" s="1248"/>
      <c r="J99" s="1248"/>
      <c r="K99" s="1248"/>
    </row>
    <row r="100" spans="5:11">
      <c r="E100" s="1248"/>
      <c r="F100" s="1248"/>
      <c r="G100" s="1248"/>
      <c r="H100" s="1248"/>
      <c r="I100" s="1248"/>
      <c r="J100" s="1248"/>
      <c r="K100" s="1248"/>
    </row>
    <row r="101" spans="5:11">
      <c r="E101" s="1248"/>
      <c r="F101" s="1248"/>
      <c r="G101" s="1248"/>
      <c r="H101" s="1248"/>
      <c r="I101" s="1248"/>
      <c r="J101" s="1248"/>
      <c r="K101" s="1248"/>
    </row>
    <row r="102" spans="5:11">
      <c r="E102" s="1248"/>
      <c r="F102" s="1248"/>
      <c r="G102" s="1248"/>
      <c r="H102" s="1248"/>
      <c r="I102" s="1248"/>
      <c r="J102" s="1248"/>
      <c r="K102" s="1248"/>
    </row>
    <row r="103" spans="5:11">
      <c r="E103" s="1248"/>
      <c r="F103" s="1248"/>
      <c r="G103" s="1248"/>
      <c r="H103" s="1248"/>
      <c r="I103" s="1248"/>
      <c r="J103" s="1248"/>
      <c r="K103" s="1248"/>
    </row>
    <row r="104" spans="5:11">
      <c r="E104" s="1248"/>
      <c r="F104" s="1248"/>
      <c r="G104" s="1248"/>
      <c r="H104" s="1248"/>
      <c r="I104" s="1248"/>
      <c r="J104" s="1248"/>
      <c r="K104" s="1248"/>
    </row>
    <row r="105" spans="5:11">
      <c r="E105" s="1248"/>
      <c r="F105" s="1248"/>
      <c r="G105" s="1248"/>
      <c r="H105" s="1248"/>
      <c r="I105" s="1248"/>
      <c r="J105" s="1248"/>
      <c r="K105" s="1248"/>
    </row>
    <row r="106" spans="5:11">
      <c r="E106" s="1248"/>
      <c r="F106" s="1248"/>
      <c r="G106" s="1248"/>
      <c r="H106" s="1248"/>
      <c r="I106" s="1248"/>
      <c r="J106" s="1248"/>
      <c r="K106" s="1248"/>
    </row>
    <row r="107" spans="5:11">
      <c r="E107" s="1248"/>
      <c r="F107" s="1248"/>
      <c r="G107" s="1248"/>
      <c r="H107" s="1248"/>
      <c r="I107" s="1248"/>
      <c r="J107" s="1248"/>
      <c r="K107" s="1248"/>
    </row>
    <row r="108" spans="5:11">
      <c r="E108" s="1248"/>
      <c r="F108" s="1248"/>
      <c r="G108" s="1248"/>
      <c r="H108" s="1248"/>
      <c r="I108" s="1248"/>
      <c r="J108" s="1248"/>
      <c r="K108" s="1248"/>
    </row>
    <row r="109" spans="5:11">
      <c r="E109" s="1248"/>
      <c r="F109" s="1248"/>
      <c r="G109" s="1248"/>
      <c r="H109" s="1248"/>
      <c r="I109" s="1248"/>
      <c r="J109" s="1248"/>
      <c r="K109" s="1248"/>
    </row>
    <row r="110" spans="5:11">
      <c r="E110" s="1248"/>
      <c r="F110" s="1248"/>
      <c r="G110" s="1248"/>
      <c r="H110" s="1248"/>
      <c r="I110" s="1248"/>
      <c r="J110" s="1248"/>
      <c r="K110" s="1248"/>
    </row>
    <row r="111" spans="5:11">
      <c r="E111" s="1248"/>
      <c r="F111" s="1248"/>
      <c r="G111" s="1248"/>
      <c r="H111" s="1248"/>
      <c r="I111" s="1248"/>
      <c r="J111" s="1248"/>
      <c r="K111" s="1248"/>
    </row>
    <row r="112" spans="5:11">
      <c r="E112" s="1248"/>
      <c r="F112" s="1248"/>
      <c r="G112" s="1248"/>
      <c r="H112" s="1248"/>
      <c r="I112" s="1248"/>
      <c r="J112" s="1248"/>
      <c r="K112" s="1248"/>
    </row>
    <row r="113" spans="5:11">
      <c r="E113" s="1248"/>
      <c r="F113" s="1248"/>
      <c r="G113" s="1248"/>
      <c r="H113" s="1248"/>
      <c r="I113" s="1248"/>
      <c r="J113" s="1248"/>
      <c r="K113" s="1248"/>
    </row>
    <row r="114" spans="5:11">
      <c r="E114" s="1248"/>
      <c r="F114" s="1248"/>
      <c r="G114" s="1248"/>
      <c r="H114" s="1248"/>
      <c r="I114" s="1248"/>
      <c r="J114" s="1248"/>
      <c r="K114" s="1248"/>
    </row>
    <row r="115" spans="5:11">
      <c r="E115" s="1248"/>
      <c r="F115" s="1248"/>
      <c r="G115" s="1248"/>
      <c r="H115" s="1248"/>
      <c r="I115" s="1248"/>
      <c r="J115" s="1248"/>
      <c r="K115" s="1248"/>
    </row>
    <row r="116" spans="5:11">
      <c r="E116" s="1248"/>
      <c r="F116" s="1248"/>
      <c r="G116" s="1248"/>
      <c r="H116" s="1248"/>
      <c r="I116" s="1248"/>
      <c r="J116" s="1248"/>
      <c r="K116" s="1248"/>
    </row>
    <row r="117" spans="5:11">
      <c r="E117" s="1248"/>
      <c r="F117" s="1248"/>
      <c r="G117" s="1248"/>
      <c r="H117" s="1248"/>
      <c r="I117" s="1248"/>
      <c r="J117" s="1248"/>
      <c r="K117" s="1248"/>
    </row>
    <row r="118" spans="5:11">
      <c r="E118" s="1248"/>
      <c r="F118" s="1248"/>
      <c r="G118" s="1248"/>
      <c r="H118" s="1248"/>
      <c r="I118" s="1248"/>
      <c r="J118" s="1248"/>
      <c r="K118" s="1248"/>
    </row>
    <row r="119" spans="5:11">
      <c r="E119" s="1248"/>
      <c r="F119" s="1248"/>
      <c r="G119" s="1248"/>
      <c r="H119" s="1248"/>
      <c r="I119" s="1248"/>
      <c r="J119" s="1248"/>
      <c r="K119" s="1248"/>
    </row>
    <row r="120" spans="5:11">
      <c r="E120" s="1248"/>
      <c r="F120" s="1248"/>
      <c r="G120" s="1248"/>
      <c r="H120" s="1248"/>
      <c r="I120" s="1248"/>
      <c r="J120" s="1248"/>
      <c r="K120" s="1248"/>
    </row>
    <row r="121" spans="5:11">
      <c r="E121" s="1248"/>
      <c r="F121" s="1248"/>
      <c r="G121" s="1248"/>
      <c r="H121" s="1248"/>
      <c r="I121" s="1248"/>
      <c r="J121" s="1248"/>
      <c r="K121" s="1248"/>
    </row>
    <row r="122" spans="5:11">
      <c r="E122" s="1248"/>
      <c r="F122" s="1248"/>
      <c r="G122" s="1248"/>
      <c r="H122" s="1248"/>
      <c r="I122" s="1248"/>
      <c r="J122" s="1248"/>
      <c r="K122" s="1248"/>
    </row>
    <row r="123" spans="5:11">
      <c r="E123" s="1248"/>
      <c r="F123" s="1248"/>
      <c r="G123" s="1248"/>
      <c r="H123" s="1248"/>
      <c r="I123" s="1248"/>
      <c r="J123" s="1248"/>
      <c r="K123" s="1248"/>
    </row>
    <row r="124" spans="5:11">
      <c r="E124" s="1248"/>
      <c r="F124" s="1248"/>
      <c r="G124" s="1248"/>
      <c r="H124" s="1248"/>
      <c r="I124" s="1248"/>
      <c r="J124" s="1248"/>
      <c r="K124" s="1248"/>
    </row>
    <row r="125" spans="5:11">
      <c r="E125" s="1248"/>
      <c r="F125" s="1248"/>
      <c r="G125" s="1248"/>
      <c r="H125" s="1248"/>
      <c r="I125" s="1248"/>
      <c r="J125" s="1248"/>
      <c r="K125" s="1248"/>
    </row>
    <row r="126" spans="5:11">
      <c r="E126" s="1248"/>
      <c r="F126" s="1248"/>
      <c r="G126" s="1248"/>
      <c r="H126" s="1248"/>
      <c r="I126" s="1248"/>
      <c r="J126" s="1248"/>
      <c r="K126" s="1248"/>
    </row>
    <row r="127" spans="5:11">
      <c r="E127" s="1248"/>
      <c r="F127" s="1248"/>
      <c r="G127" s="1248"/>
      <c r="H127" s="1248"/>
      <c r="I127" s="1248"/>
      <c r="J127" s="1248"/>
      <c r="K127" s="1248"/>
    </row>
    <row r="128" spans="5:11">
      <c r="E128" s="1248"/>
      <c r="F128" s="1248"/>
      <c r="G128" s="1248"/>
      <c r="H128" s="1248"/>
      <c r="I128" s="1248"/>
      <c r="J128" s="1248"/>
      <c r="K128" s="1248"/>
    </row>
    <row r="129" spans="5:11">
      <c r="E129" s="1248"/>
      <c r="F129" s="1248"/>
      <c r="G129" s="1248"/>
      <c r="H129" s="1248"/>
      <c r="I129" s="1248"/>
      <c r="J129" s="1248"/>
      <c r="K129" s="1248"/>
    </row>
    <row r="130" spans="5:11">
      <c r="E130" s="1248"/>
      <c r="F130" s="1248"/>
      <c r="G130" s="1248"/>
      <c r="H130" s="1248"/>
      <c r="I130" s="1248"/>
      <c r="J130" s="1248"/>
      <c r="K130" s="1248"/>
    </row>
    <row r="131" spans="5:11">
      <c r="E131" s="1248"/>
      <c r="F131" s="1248"/>
      <c r="G131" s="1248"/>
      <c r="H131" s="1248"/>
      <c r="I131" s="1248"/>
      <c r="J131" s="1248"/>
      <c r="K131" s="1248"/>
    </row>
    <row r="132" spans="5:11">
      <c r="E132" s="1248"/>
      <c r="F132" s="1248"/>
      <c r="G132" s="1248"/>
      <c r="H132" s="1248"/>
      <c r="I132" s="1248"/>
      <c r="J132" s="1248"/>
      <c r="K132" s="1248"/>
    </row>
    <row r="133" spans="5:11">
      <c r="E133" s="1248"/>
      <c r="F133" s="1248"/>
      <c r="G133" s="1248"/>
      <c r="H133" s="1248"/>
      <c r="I133" s="1248"/>
      <c r="J133" s="1248"/>
      <c r="K133" s="1248"/>
    </row>
    <row r="134" spans="5:11">
      <c r="E134" s="1248"/>
      <c r="F134" s="1248"/>
      <c r="G134" s="1248"/>
      <c r="H134" s="1248"/>
      <c r="I134" s="1248"/>
      <c r="J134" s="1248"/>
      <c r="K134" s="1248"/>
    </row>
    <row r="135" spans="5:11">
      <c r="E135" s="1248"/>
      <c r="F135" s="1248"/>
      <c r="G135" s="1248"/>
      <c r="H135" s="1248"/>
      <c r="I135" s="1248"/>
      <c r="J135" s="1248"/>
      <c r="K135" s="1248"/>
    </row>
    <row r="136" spans="5:11">
      <c r="E136" s="1248"/>
      <c r="F136" s="1248"/>
      <c r="G136" s="1248"/>
      <c r="H136" s="1248"/>
      <c r="I136" s="1248"/>
      <c r="J136" s="1248"/>
      <c r="K136" s="1248"/>
    </row>
    <row r="137" spans="5:11">
      <c r="E137" s="1248"/>
      <c r="F137" s="1248"/>
      <c r="G137" s="1248"/>
      <c r="H137" s="1248"/>
      <c r="I137" s="1248"/>
      <c r="J137" s="1248"/>
      <c r="K137" s="1248"/>
    </row>
    <row r="138" spans="5:11">
      <c r="E138" s="1248"/>
      <c r="F138" s="1248"/>
      <c r="G138" s="1248"/>
      <c r="H138" s="1248"/>
      <c r="I138" s="1248"/>
      <c r="J138" s="1248"/>
      <c r="K138" s="1248"/>
    </row>
    <row r="139" spans="5:11">
      <c r="E139" s="1248"/>
      <c r="F139" s="1248"/>
      <c r="G139" s="1248"/>
      <c r="H139" s="1248"/>
      <c r="I139" s="1248"/>
      <c r="J139" s="1248"/>
      <c r="K139" s="1248"/>
    </row>
    <row r="140" spans="5:11">
      <c r="E140" s="1248"/>
      <c r="F140" s="1248"/>
      <c r="G140" s="1248"/>
      <c r="H140" s="1248"/>
      <c r="I140" s="1248"/>
      <c r="J140" s="1248"/>
      <c r="K140" s="1248"/>
    </row>
    <row r="141" spans="5:11">
      <c r="E141" s="1248"/>
      <c r="F141" s="1248"/>
      <c r="G141" s="1248"/>
      <c r="H141" s="1248"/>
      <c r="I141" s="1248"/>
      <c r="J141" s="1248"/>
      <c r="K141" s="1248"/>
    </row>
    <row r="142" spans="5:11">
      <c r="E142" s="1248"/>
      <c r="F142" s="1248"/>
      <c r="G142" s="1248"/>
      <c r="H142" s="1248"/>
      <c r="I142" s="1248"/>
      <c r="J142" s="1248"/>
      <c r="K142" s="1248"/>
    </row>
    <row r="143" spans="5:11">
      <c r="E143" s="1248"/>
      <c r="F143" s="1248"/>
      <c r="G143" s="1248"/>
      <c r="H143" s="1248"/>
      <c r="I143" s="1248"/>
      <c r="J143" s="1248"/>
      <c r="K143" s="1248"/>
    </row>
    <row r="144" spans="5:11">
      <c r="E144" s="1248"/>
      <c r="F144" s="1248"/>
      <c r="G144" s="1248"/>
      <c r="H144" s="1248"/>
      <c r="I144" s="1248"/>
      <c r="J144" s="1248"/>
      <c r="K144" s="1248"/>
    </row>
    <row r="145" spans="5:11">
      <c r="E145" s="1248"/>
      <c r="F145" s="1248"/>
      <c r="G145" s="1248"/>
      <c r="H145" s="1248"/>
      <c r="I145" s="1248"/>
      <c r="J145" s="1248"/>
      <c r="K145" s="1248"/>
    </row>
    <row r="146" spans="5:11">
      <c r="E146" s="1248"/>
      <c r="F146" s="1248"/>
      <c r="G146" s="1248"/>
      <c r="H146" s="1248"/>
      <c r="I146" s="1248"/>
      <c r="J146" s="1248"/>
      <c r="K146" s="1248"/>
    </row>
    <row r="147" spans="5:11">
      <c r="E147" s="1248"/>
      <c r="F147" s="1248"/>
      <c r="G147" s="1248"/>
      <c r="H147" s="1248"/>
      <c r="I147" s="1248"/>
      <c r="J147" s="1248"/>
      <c r="K147" s="1248"/>
    </row>
    <row r="148" spans="5:11">
      <c r="E148" s="1248"/>
      <c r="F148" s="1248"/>
      <c r="G148" s="1248"/>
      <c r="H148" s="1248"/>
      <c r="I148" s="1248"/>
      <c r="J148" s="1248"/>
      <c r="K148" s="1248"/>
    </row>
    <row r="149" spans="5:11">
      <c r="E149" s="1248"/>
      <c r="F149" s="1248"/>
      <c r="G149" s="1248"/>
      <c r="H149" s="1248"/>
      <c r="I149" s="1248"/>
      <c r="J149" s="1248"/>
      <c r="K149" s="1248"/>
    </row>
    <row r="150" spans="5:11">
      <c r="E150" s="1248"/>
      <c r="F150" s="1248"/>
      <c r="G150" s="1248"/>
      <c r="H150" s="1248"/>
      <c r="I150" s="1248"/>
      <c r="J150" s="1248"/>
      <c r="K150" s="1248"/>
    </row>
    <row r="151" spans="5:11">
      <c r="E151" s="1248"/>
      <c r="F151" s="1248"/>
      <c r="G151" s="1248"/>
      <c r="H151" s="1248"/>
      <c r="I151" s="1248"/>
      <c r="J151" s="1248"/>
      <c r="K151" s="1248"/>
    </row>
    <row r="152" spans="5:11">
      <c r="E152" s="1248"/>
      <c r="F152" s="1248"/>
      <c r="G152" s="1248"/>
      <c r="H152" s="1248"/>
      <c r="I152" s="1248"/>
      <c r="J152" s="1248"/>
      <c r="K152" s="1248"/>
    </row>
    <row r="153" spans="5:11">
      <c r="E153" s="1248"/>
      <c r="F153" s="1248"/>
      <c r="G153" s="1248"/>
      <c r="H153" s="1248"/>
      <c r="I153" s="1248"/>
      <c r="J153" s="1248"/>
      <c r="K153" s="1248"/>
    </row>
    <row r="154" spans="5:11">
      <c r="E154" s="1248"/>
      <c r="F154" s="1248"/>
      <c r="G154" s="1248"/>
      <c r="H154" s="1248"/>
      <c r="I154" s="1248"/>
      <c r="J154" s="1248"/>
      <c r="K154" s="1248"/>
    </row>
    <row r="155" spans="5:11">
      <c r="E155" s="1248"/>
      <c r="F155" s="1248"/>
      <c r="G155" s="1248"/>
      <c r="H155" s="1248"/>
      <c r="I155" s="1248"/>
      <c r="J155" s="1248"/>
      <c r="K155" s="1248"/>
    </row>
    <row r="156" spans="5:11">
      <c r="E156" s="1248"/>
      <c r="F156" s="1248"/>
      <c r="G156" s="1248"/>
      <c r="H156" s="1248"/>
      <c r="I156" s="1248"/>
      <c r="J156" s="1248"/>
      <c r="K156" s="1248"/>
    </row>
    <row r="157" spans="5:11">
      <c r="E157" s="1248"/>
      <c r="F157" s="1248"/>
      <c r="G157" s="1248"/>
      <c r="H157" s="1248"/>
      <c r="I157" s="1248"/>
      <c r="J157" s="1248"/>
      <c r="K157" s="1248"/>
    </row>
    <row r="158" spans="5:11">
      <c r="E158" s="1248"/>
      <c r="F158" s="1248"/>
      <c r="G158" s="1248"/>
      <c r="H158" s="1248"/>
      <c r="I158" s="1248"/>
      <c r="J158" s="1248"/>
      <c r="K158" s="1248"/>
    </row>
    <row r="159" spans="5:11">
      <c r="E159" s="1248"/>
      <c r="F159" s="1248"/>
      <c r="G159" s="1248"/>
      <c r="H159" s="1248"/>
      <c r="I159" s="1248"/>
      <c r="J159" s="1248"/>
      <c r="K159" s="1248"/>
    </row>
    <row r="160" spans="5:11">
      <c r="E160" s="1248"/>
      <c r="F160" s="1248"/>
      <c r="G160" s="1248"/>
      <c r="H160" s="1248"/>
      <c r="I160" s="1248"/>
      <c r="J160" s="1248"/>
      <c r="K160" s="1248"/>
    </row>
    <row r="161" spans="5:11">
      <c r="E161" s="1248"/>
      <c r="F161" s="1248"/>
      <c r="G161" s="1248"/>
      <c r="H161" s="1248"/>
      <c r="I161" s="1248"/>
      <c r="J161" s="1248"/>
      <c r="K161" s="1248"/>
    </row>
    <row r="162" spans="5:11">
      <c r="E162" s="1248"/>
      <c r="F162" s="1248"/>
      <c r="G162" s="1248"/>
      <c r="H162" s="1248"/>
      <c r="I162" s="1248"/>
      <c r="J162" s="1248"/>
      <c r="K162" s="1248"/>
    </row>
    <row r="163" spans="5:11">
      <c r="E163" s="1248"/>
      <c r="F163" s="1248"/>
      <c r="G163" s="1248"/>
      <c r="H163" s="1248"/>
      <c r="I163" s="1248"/>
      <c r="J163" s="1248"/>
      <c r="K163" s="1248"/>
    </row>
    <row r="164" spans="5:11">
      <c r="E164" s="1248"/>
      <c r="F164" s="1248"/>
      <c r="G164" s="1248"/>
      <c r="H164" s="1248"/>
      <c r="I164" s="1248"/>
      <c r="J164" s="1248"/>
      <c r="K164" s="1248"/>
    </row>
    <row r="165" spans="5:11">
      <c r="E165" s="1248"/>
      <c r="F165" s="1248"/>
      <c r="G165" s="1248"/>
      <c r="H165" s="1248"/>
      <c r="I165" s="1248"/>
      <c r="J165" s="1248"/>
      <c r="K165" s="1248"/>
    </row>
    <row r="166" spans="5:11">
      <c r="E166" s="1248"/>
      <c r="F166" s="1248"/>
      <c r="G166" s="1248"/>
      <c r="H166" s="1248"/>
      <c r="I166" s="1248"/>
      <c r="J166" s="1248"/>
      <c r="K166" s="1248"/>
    </row>
    <row r="167" spans="5:11">
      <c r="E167" s="1248"/>
      <c r="F167" s="1248"/>
      <c r="G167" s="1248"/>
      <c r="H167" s="1248"/>
      <c r="I167" s="1248"/>
      <c r="J167" s="1248"/>
      <c r="K167" s="1248"/>
    </row>
    <row r="168" spans="5:11">
      <c r="E168" s="1248"/>
      <c r="F168" s="1248"/>
      <c r="G168" s="1248"/>
      <c r="H168" s="1248"/>
      <c r="I168" s="1248"/>
      <c r="J168" s="1248"/>
      <c r="K168" s="1248"/>
    </row>
    <row r="169" spans="5:11">
      <c r="E169" s="1248"/>
      <c r="F169" s="1248"/>
      <c r="G169" s="1248"/>
      <c r="H169" s="1248"/>
      <c r="I169" s="1248"/>
      <c r="J169" s="1248"/>
      <c r="K169" s="1248"/>
    </row>
    <row r="170" spans="5:11">
      <c r="E170" s="1248"/>
      <c r="F170" s="1248"/>
      <c r="G170" s="1248"/>
      <c r="H170" s="1248"/>
      <c r="I170" s="1248"/>
      <c r="J170" s="1248"/>
      <c r="K170" s="1248"/>
    </row>
    <row r="171" spans="5:11">
      <c r="E171" s="1248"/>
      <c r="F171" s="1248"/>
      <c r="G171" s="1248"/>
      <c r="H171" s="1248"/>
      <c r="I171" s="1248"/>
      <c r="J171" s="1248"/>
      <c r="K171" s="1248"/>
    </row>
    <row r="172" spans="5:11">
      <c r="E172" s="1248"/>
      <c r="F172" s="1248"/>
      <c r="G172" s="1248"/>
      <c r="H172" s="1248"/>
      <c r="I172" s="1248"/>
      <c r="J172" s="1248"/>
      <c r="K172" s="1248"/>
    </row>
    <row r="173" spans="5:11">
      <c r="E173" s="1248"/>
      <c r="F173" s="1248"/>
      <c r="G173" s="1248"/>
      <c r="H173" s="1248"/>
      <c r="I173" s="1248"/>
      <c r="J173" s="1248"/>
      <c r="K173" s="1248"/>
    </row>
    <row r="174" spans="5:11">
      <c r="E174" s="1248"/>
      <c r="F174" s="1248"/>
      <c r="G174" s="1248"/>
      <c r="H174" s="1248"/>
      <c r="I174" s="1248"/>
      <c r="J174" s="1248"/>
      <c r="K174" s="1248"/>
    </row>
    <row r="175" spans="5:11">
      <c r="E175" s="1248"/>
      <c r="F175" s="1248"/>
      <c r="G175" s="1248"/>
      <c r="H175" s="1248"/>
      <c r="I175" s="1248"/>
      <c r="J175" s="1248"/>
      <c r="K175" s="1248"/>
    </row>
    <row r="176" spans="5:11">
      <c r="E176" s="1248"/>
      <c r="F176" s="1248"/>
      <c r="G176" s="1248"/>
      <c r="H176" s="1248"/>
      <c r="I176" s="1248"/>
      <c r="J176" s="1248"/>
      <c r="K176" s="1248"/>
    </row>
    <row r="177" spans="5:11">
      <c r="E177" s="1248"/>
      <c r="F177" s="1248"/>
      <c r="G177" s="1248"/>
      <c r="H177" s="1248"/>
      <c r="I177" s="1248"/>
      <c r="J177" s="1248"/>
      <c r="K177" s="1248"/>
    </row>
    <row r="178" spans="5:11">
      <c r="E178" s="1248"/>
      <c r="F178" s="1248"/>
      <c r="G178" s="1248"/>
      <c r="H178" s="1248"/>
      <c r="I178" s="1248"/>
      <c r="J178" s="1248"/>
      <c r="K178" s="1248"/>
    </row>
    <row r="179" spans="5:11">
      <c r="E179" s="1248"/>
      <c r="F179" s="1248"/>
      <c r="G179" s="1248"/>
      <c r="H179" s="1248"/>
      <c r="I179" s="1248"/>
      <c r="J179" s="1248"/>
      <c r="K179" s="1248"/>
    </row>
    <row r="180" spans="5:11">
      <c r="E180" s="1248"/>
      <c r="F180" s="1248"/>
      <c r="G180" s="1248"/>
      <c r="H180" s="1248"/>
      <c r="I180" s="1248"/>
      <c r="J180" s="1248"/>
      <c r="K180" s="1248"/>
    </row>
    <row r="181" spans="5:11">
      <c r="E181" s="1248"/>
      <c r="F181" s="1248"/>
      <c r="G181" s="1248"/>
      <c r="H181" s="1248"/>
      <c r="I181" s="1248"/>
      <c r="J181" s="1248"/>
      <c r="K181" s="1248"/>
    </row>
    <row r="182" spans="5:11">
      <c r="E182" s="1248"/>
      <c r="F182" s="1248"/>
      <c r="G182" s="1248"/>
      <c r="H182" s="1248"/>
      <c r="I182" s="1248"/>
      <c r="J182" s="1248"/>
      <c r="K182" s="1248"/>
    </row>
    <row r="183" spans="5:11">
      <c r="E183" s="1248"/>
      <c r="F183" s="1248"/>
      <c r="G183" s="1248"/>
      <c r="H183" s="1248"/>
      <c r="I183" s="1248"/>
      <c r="J183" s="1248"/>
      <c r="K183" s="1248"/>
    </row>
    <row r="184" spans="5:11">
      <c r="E184" s="1248"/>
      <c r="F184" s="1248"/>
      <c r="G184" s="1248"/>
      <c r="H184" s="1248"/>
      <c r="I184" s="1248"/>
      <c r="J184" s="1248"/>
      <c r="K184" s="1248"/>
    </row>
    <row r="185" spans="5:11">
      <c r="E185" s="1248"/>
      <c r="F185" s="1248"/>
      <c r="G185" s="1248"/>
      <c r="H185" s="1248"/>
      <c r="I185" s="1248"/>
      <c r="J185" s="1248"/>
      <c r="K185" s="1248"/>
    </row>
    <row r="186" spans="5:11">
      <c r="E186" s="1248"/>
      <c r="F186" s="1248"/>
      <c r="G186" s="1248"/>
      <c r="H186" s="1248"/>
      <c r="I186" s="1248"/>
      <c r="J186" s="1248"/>
      <c r="K186" s="1248"/>
    </row>
    <row r="187" spans="5:11">
      <c r="E187" s="1248"/>
      <c r="F187" s="1248"/>
      <c r="G187" s="1248"/>
      <c r="H187" s="1248"/>
      <c r="I187" s="1248"/>
      <c r="J187" s="1248"/>
      <c r="K187" s="1248"/>
    </row>
    <row r="188" spans="5:11">
      <c r="E188" s="1248"/>
      <c r="F188" s="1248"/>
      <c r="G188" s="1248"/>
      <c r="H188" s="1248"/>
      <c r="I188" s="1248"/>
      <c r="J188" s="1248"/>
      <c r="K188" s="1248"/>
    </row>
    <row r="189" spans="5:11">
      <c r="E189" s="1248"/>
      <c r="F189" s="1248"/>
      <c r="G189" s="1248"/>
      <c r="H189" s="1248"/>
      <c r="I189" s="1248"/>
      <c r="J189" s="1248"/>
      <c r="K189" s="1248"/>
    </row>
    <row r="190" spans="5:11">
      <c r="E190" s="1248"/>
      <c r="F190" s="1248"/>
      <c r="G190" s="1248"/>
      <c r="H190" s="1248"/>
      <c r="I190" s="1248"/>
      <c r="J190" s="1248"/>
      <c r="K190" s="1248"/>
    </row>
    <row r="191" spans="5:11">
      <c r="E191" s="1248"/>
      <c r="F191" s="1248"/>
      <c r="G191" s="1248"/>
      <c r="H191" s="1248"/>
      <c r="I191" s="1248"/>
      <c r="J191" s="1248"/>
      <c r="K191" s="1248"/>
    </row>
    <row r="192" spans="5:11">
      <c r="E192" s="1248"/>
      <c r="F192" s="1248"/>
      <c r="G192" s="1248"/>
      <c r="H192" s="1248"/>
      <c r="I192" s="1248"/>
      <c r="J192" s="1248"/>
      <c r="K192" s="1248"/>
    </row>
    <row r="193" spans="5:11">
      <c r="E193" s="1248"/>
      <c r="F193" s="1248"/>
      <c r="G193" s="1248"/>
      <c r="H193" s="1248"/>
      <c r="I193" s="1248"/>
      <c r="J193" s="1248"/>
      <c r="K193" s="1248"/>
    </row>
    <row r="194" spans="5:11">
      <c r="E194" s="1248"/>
      <c r="F194" s="1248"/>
      <c r="G194" s="1248"/>
      <c r="H194" s="1248"/>
      <c r="I194" s="1248"/>
      <c r="J194" s="1248"/>
      <c r="K194" s="1248"/>
    </row>
    <row r="195" spans="5:11">
      <c r="E195" s="1248"/>
      <c r="F195" s="1248"/>
      <c r="G195" s="1248"/>
      <c r="H195" s="1248"/>
      <c r="I195" s="1248"/>
      <c r="J195" s="1248"/>
      <c r="K195" s="1248"/>
    </row>
    <row r="196" spans="5:11">
      <c r="E196" s="1248"/>
      <c r="F196" s="1248"/>
      <c r="G196" s="1248"/>
      <c r="H196" s="1248"/>
      <c r="I196" s="1248"/>
      <c r="J196" s="1248"/>
      <c r="K196" s="1248"/>
    </row>
    <row r="197" spans="5:11">
      <c r="E197" s="1248"/>
      <c r="F197" s="1248"/>
      <c r="G197" s="1248"/>
      <c r="H197" s="1248"/>
      <c r="I197" s="1248"/>
      <c r="J197" s="1248"/>
      <c r="K197" s="1248"/>
    </row>
    <row r="198" spans="5:11">
      <c r="E198" s="1248"/>
      <c r="F198" s="1248"/>
      <c r="G198" s="1248"/>
      <c r="H198" s="1248"/>
      <c r="I198" s="1248"/>
      <c r="J198" s="1248"/>
      <c r="K198" s="1248"/>
    </row>
    <row r="199" spans="5:11">
      <c r="E199" s="1248"/>
      <c r="F199" s="1248"/>
      <c r="G199" s="1248"/>
      <c r="H199" s="1248"/>
      <c r="I199" s="1248"/>
      <c r="J199" s="1248"/>
      <c r="K199" s="1248"/>
    </row>
    <row r="200" spans="5:11">
      <c r="E200" s="1248"/>
      <c r="F200" s="1248"/>
      <c r="G200" s="1248"/>
      <c r="H200" s="1248"/>
      <c r="I200" s="1248"/>
      <c r="J200" s="1248"/>
      <c r="K200" s="1248"/>
    </row>
    <row r="201" spans="5:11">
      <c r="E201" s="1248"/>
      <c r="F201" s="1248"/>
      <c r="G201" s="1248"/>
      <c r="H201" s="1248"/>
      <c r="I201" s="1248"/>
      <c r="J201" s="1248"/>
      <c r="K201" s="1248"/>
    </row>
    <row r="202" spans="5:11">
      <c r="E202" s="1248"/>
      <c r="F202" s="1248"/>
      <c r="G202" s="1248"/>
      <c r="H202" s="1248"/>
      <c r="I202" s="1248"/>
      <c r="J202" s="1248"/>
      <c r="K202" s="1248"/>
    </row>
    <row r="203" spans="5:11">
      <c r="E203" s="1248"/>
      <c r="F203" s="1248"/>
      <c r="G203" s="1248"/>
      <c r="H203" s="1248"/>
      <c r="I203" s="1248"/>
      <c r="J203" s="1248"/>
      <c r="K203" s="1248"/>
    </row>
    <row r="204" spans="5:11">
      <c r="E204" s="1248"/>
      <c r="F204" s="1248"/>
      <c r="G204" s="1248"/>
      <c r="H204" s="1248"/>
      <c r="I204" s="1248"/>
      <c r="J204" s="1248"/>
      <c r="K204" s="1248"/>
    </row>
    <row r="205" spans="5:11">
      <c r="E205" s="1248"/>
      <c r="F205" s="1248"/>
      <c r="G205" s="1248"/>
      <c r="H205" s="1248"/>
      <c r="I205" s="1248"/>
      <c r="J205" s="1248"/>
      <c r="K205" s="1248"/>
    </row>
    <row r="206" spans="5:11">
      <c r="E206" s="1248"/>
      <c r="F206" s="1248"/>
      <c r="G206" s="1248"/>
      <c r="H206" s="1248"/>
      <c r="I206" s="1248"/>
      <c r="J206" s="1248"/>
      <c r="K206" s="1248"/>
    </row>
    <row r="207" spans="5:11">
      <c r="E207" s="1248"/>
      <c r="F207" s="1248"/>
      <c r="G207" s="1248"/>
      <c r="H207" s="1248"/>
      <c r="I207" s="1248"/>
      <c r="J207" s="1248"/>
      <c r="K207" s="1248"/>
    </row>
    <row r="208" spans="5:11">
      <c r="E208" s="1248"/>
      <c r="F208" s="1248"/>
      <c r="G208" s="1248"/>
      <c r="H208" s="1248"/>
      <c r="I208" s="1248"/>
      <c r="J208" s="1248"/>
      <c r="K208" s="1248"/>
    </row>
    <row r="209" spans="5:11">
      <c r="E209" s="1248"/>
      <c r="F209" s="1248"/>
      <c r="G209" s="1248"/>
      <c r="H209" s="1248"/>
      <c r="I209" s="1248"/>
      <c r="J209" s="1248"/>
      <c r="K209" s="1248"/>
    </row>
    <row r="210" spans="5:11">
      <c r="E210" s="1248"/>
      <c r="F210" s="1248"/>
      <c r="G210" s="1248"/>
      <c r="H210" s="1248"/>
      <c r="I210" s="1248"/>
      <c r="J210" s="1248"/>
      <c r="K210" s="1248"/>
    </row>
    <row r="211" spans="5:11">
      <c r="E211" s="1248"/>
      <c r="F211" s="1248"/>
      <c r="G211" s="1248"/>
      <c r="H211" s="1248"/>
      <c r="I211" s="1248"/>
      <c r="J211" s="1248"/>
      <c r="K211" s="1248"/>
    </row>
    <row r="212" spans="5:11">
      <c r="E212" s="1248"/>
      <c r="F212" s="1248"/>
      <c r="G212" s="1248"/>
      <c r="H212" s="1248"/>
      <c r="I212" s="1248"/>
      <c r="J212" s="1248"/>
      <c r="K212" s="1248"/>
    </row>
    <row r="213" spans="5:11">
      <c r="E213" s="1248"/>
      <c r="F213" s="1248"/>
      <c r="G213" s="1248"/>
      <c r="H213" s="1248"/>
      <c r="I213" s="1248"/>
      <c r="J213" s="1248"/>
      <c r="K213" s="1248"/>
    </row>
    <row r="214" spans="5:11">
      <c r="E214" s="1248"/>
      <c r="F214" s="1248"/>
      <c r="G214" s="1248"/>
      <c r="H214" s="1248"/>
      <c r="I214" s="1248"/>
      <c r="J214" s="1248"/>
      <c r="K214" s="1248"/>
    </row>
    <row r="215" spans="5:11">
      <c r="E215" s="1248"/>
      <c r="F215" s="1248"/>
      <c r="G215" s="1248"/>
      <c r="H215" s="1248"/>
      <c r="I215" s="1248"/>
      <c r="J215" s="1248"/>
      <c r="K215" s="1248"/>
    </row>
    <row r="216" spans="5:11">
      <c r="E216" s="1248"/>
      <c r="F216" s="1248"/>
      <c r="G216" s="1248"/>
      <c r="H216" s="1248"/>
      <c r="I216" s="1248"/>
      <c r="J216" s="1248"/>
      <c r="K216" s="1248"/>
    </row>
    <row r="217" spans="5:11">
      <c r="E217" s="1248"/>
      <c r="F217" s="1248"/>
      <c r="G217" s="1248"/>
      <c r="H217" s="1248"/>
      <c r="I217" s="1248"/>
      <c r="J217" s="1248"/>
      <c r="K217" s="1248"/>
    </row>
    <row r="218" spans="5:11">
      <c r="E218" s="1248"/>
      <c r="F218" s="1248"/>
      <c r="G218" s="1248"/>
      <c r="H218" s="1248"/>
      <c r="I218" s="1248"/>
      <c r="J218" s="1248"/>
      <c r="K218" s="1248"/>
    </row>
    <row r="219" spans="5:11">
      <c r="E219" s="1248"/>
      <c r="F219" s="1248"/>
      <c r="G219" s="1248"/>
      <c r="H219" s="1248"/>
      <c r="I219" s="1248"/>
      <c r="J219" s="1248"/>
      <c r="K219" s="1248"/>
    </row>
    <row r="220" spans="5:11">
      <c r="E220" s="1248"/>
      <c r="F220" s="1248"/>
      <c r="G220" s="1248"/>
      <c r="H220" s="1248"/>
      <c r="I220" s="1248"/>
      <c r="J220" s="1248"/>
      <c r="K220" s="1248"/>
    </row>
    <row r="221" spans="5:11">
      <c r="E221" s="1248"/>
      <c r="F221" s="1248"/>
      <c r="G221" s="1248"/>
      <c r="H221" s="1248"/>
      <c r="I221" s="1248"/>
      <c r="J221" s="1248"/>
      <c r="K221" s="1248"/>
    </row>
    <row r="222" spans="5:11">
      <c r="E222" s="1248"/>
      <c r="F222" s="1248"/>
      <c r="G222" s="1248"/>
      <c r="H222" s="1248"/>
      <c r="I222" s="1248"/>
      <c r="J222" s="1248"/>
      <c r="K222" s="1248"/>
    </row>
    <row r="223" spans="5:11">
      <c r="E223" s="1248"/>
      <c r="F223" s="1248"/>
      <c r="G223" s="1248"/>
      <c r="H223" s="1248"/>
      <c r="I223" s="1248"/>
      <c r="J223" s="1248"/>
      <c r="K223" s="1248"/>
    </row>
    <row r="224" spans="5:11">
      <c r="E224" s="1248"/>
      <c r="F224" s="1248"/>
      <c r="G224" s="1248"/>
      <c r="H224" s="1248"/>
      <c r="I224" s="1248"/>
      <c r="J224" s="1248"/>
      <c r="K224" s="1248"/>
    </row>
    <row r="225" spans="5:11">
      <c r="E225" s="1248"/>
      <c r="F225" s="1248"/>
      <c r="G225" s="1248"/>
      <c r="H225" s="1248"/>
      <c r="I225" s="1248"/>
      <c r="J225" s="1248"/>
      <c r="K225" s="1248"/>
    </row>
    <row r="226" spans="5:11">
      <c r="E226" s="1248"/>
      <c r="F226" s="1248"/>
      <c r="G226" s="1248"/>
      <c r="H226" s="1248"/>
      <c r="I226" s="1248"/>
      <c r="J226" s="1248"/>
      <c r="K226" s="1248"/>
    </row>
    <row r="227" spans="5:11">
      <c r="E227" s="1248"/>
      <c r="F227" s="1248"/>
      <c r="G227" s="1248"/>
      <c r="H227" s="1248"/>
      <c r="I227" s="1248"/>
      <c r="J227" s="1248"/>
      <c r="K227" s="1248"/>
    </row>
    <row r="228" spans="5:11">
      <c r="E228" s="1248"/>
      <c r="F228" s="1248"/>
      <c r="G228" s="1248"/>
      <c r="H228" s="1248"/>
      <c r="I228" s="1248"/>
      <c r="J228" s="1248"/>
      <c r="K228" s="1248"/>
    </row>
    <row r="229" spans="5:11">
      <c r="E229" s="1248"/>
      <c r="F229" s="1248"/>
      <c r="G229" s="1248"/>
      <c r="H229" s="1248"/>
      <c r="I229" s="1248"/>
      <c r="J229" s="1248"/>
      <c r="K229" s="1248"/>
    </row>
    <row r="230" spans="5:11">
      <c r="E230" s="1248"/>
      <c r="F230" s="1248"/>
      <c r="G230" s="1248"/>
      <c r="H230" s="1248"/>
      <c r="I230" s="1248"/>
      <c r="J230" s="1248"/>
      <c r="K230" s="1248"/>
    </row>
    <row r="231" spans="5:11">
      <c r="E231" s="1248"/>
      <c r="F231" s="1248"/>
      <c r="G231" s="1248"/>
      <c r="H231" s="1248"/>
      <c r="I231" s="1248"/>
      <c r="J231" s="1248"/>
      <c r="K231" s="1248"/>
    </row>
    <row r="232" spans="5:11">
      <c r="E232" s="1248"/>
      <c r="F232" s="1248"/>
      <c r="G232" s="1248"/>
      <c r="H232" s="1248"/>
      <c r="I232" s="1248"/>
      <c r="J232" s="1248"/>
      <c r="K232" s="1248"/>
    </row>
    <row r="233" spans="5:11">
      <c r="E233" s="1248"/>
      <c r="F233" s="1248"/>
      <c r="G233" s="1248"/>
      <c r="H233" s="1248"/>
      <c r="I233" s="1248"/>
      <c r="J233" s="1248"/>
      <c r="K233" s="1248"/>
    </row>
    <row r="234" spans="5:11">
      <c r="E234" s="1248"/>
      <c r="F234" s="1248"/>
      <c r="G234" s="1248"/>
      <c r="H234" s="1248"/>
      <c r="I234" s="1248"/>
      <c r="J234" s="1248"/>
      <c r="K234" s="1248"/>
    </row>
    <row r="235" spans="5:11">
      <c r="E235" s="1248"/>
      <c r="F235" s="1248"/>
      <c r="G235" s="1248"/>
      <c r="H235" s="1248"/>
      <c r="I235" s="1248"/>
      <c r="J235" s="1248"/>
      <c r="K235" s="1248"/>
    </row>
    <row r="236" spans="5:11">
      <c r="E236" s="1248"/>
      <c r="F236" s="1248"/>
      <c r="G236" s="1248"/>
      <c r="H236" s="1248"/>
      <c r="I236" s="1248"/>
      <c r="J236" s="1248"/>
      <c r="K236" s="1248"/>
    </row>
    <row r="237" spans="5:11">
      <c r="E237" s="1248"/>
      <c r="F237" s="1248"/>
      <c r="G237" s="1248"/>
      <c r="H237" s="1248"/>
      <c r="I237" s="1248"/>
      <c r="J237" s="1248"/>
      <c r="K237" s="1248"/>
    </row>
    <row r="238" spans="5:11">
      <c r="E238" s="1248"/>
      <c r="F238" s="1248"/>
      <c r="G238" s="1248"/>
      <c r="H238" s="1248"/>
      <c r="I238" s="1248"/>
      <c r="J238" s="1248"/>
      <c r="K238" s="1248"/>
    </row>
    <row r="239" spans="5:11">
      <c r="E239" s="1248"/>
      <c r="F239" s="1248"/>
      <c r="G239" s="1248"/>
      <c r="H239" s="1248"/>
      <c r="I239" s="1248"/>
      <c r="J239" s="1248"/>
      <c r="K239" s="1248"/>
    </row>
    <row r="240" spans="5:11">
      <c r="E240" s="1248"/>
      <c r="F240" s="1248"/>
      <c r="G240" s="1248"/>
      <c r="H240" s="1248"/>
      <c r="I240" s="1248"/>
      <c r="J240" s="1248"/>
      <c r="K240" s="1248"/>
    </row>
    <row r="241" spans="5:11">
      <c r="E241" s="1248"/>
      <c r="F241" s="1248"/>
      <c r="G241" s="1248"/>
      <c r="H241" s="1248"/>
      <c r="I241" s="1248"/>
      <c r="J241" s="1248"/>
      <c r="K241" s="1248"/>
    </row>
    <row r="242" spans="5:11">
      <c r="E242" s="1248"/>
      <c r="F242" s="1248"/>
      <c r="G242" s="1248"/>
      <c r="H242" s="1248"/>
      <c r="I242" s="1248"/>
      <c r="J242" s="1248"/>
      <c r="K242" s="1248"/>
    </row>
    <row r="243" spans="5:11">
      <c r="E243" s="1248"/>
      <c r="F243" s="1248"/>
      <c r="G243" s="1248"/>
      <c r="H243" s="1248"/>
      <c r="I243" s="1248"/>
      <c r="J243" s="1248"/>
      <c r="K243" s="1248"/>
    </row>
    <row r="244" spans="5:11">
      <c r="E244" s="1248"/>
      <c r="F244" s="1248"/>
      <c r="G244" s="1248"/>
      <c r="H244" s="1248"/>
      <c r="I244" s="1248"/>
      <c r="J244" s="1248"/>
      <c r="K244" s="1248"/>
    </row>
    <row r="245" spans="5:11">
      <c r="E245" s="1248"/>
      <c r="F245" s="1248"/>
      <c r="G245" s="1248"/>
      <c r="H245" s="1248"/>
      <c r="I245" s="1248"/>
      <c r="J245" s="1248"/>
      <c r="K245" s="1248"/>
    </row>
    <row r="246" spans="5:11">
      <c r="E246" s="1248"/>
      <c r="F246" s="1248"/>
      <c r="G246" s="1248"/>
      <c r="H246" s="1248"/>
      <c r="I246" s="1248"/>
      <c r="J246" s="1248"/>
      <c r="K246" s="1248"/>
    </row>
    <row r="247" spans="5:11">
      <c r="E247" s="1248"/>
      <c r="F247" s="1248"/>
      <c r="G247" s="1248"/>
      <c r="H247" s="1248"/>
      <c r="I247" s="1248"/>
      <c r="J247" s="1248"/>
      <c r="K247" s="1248"/>
    </row>
    <row r="248" spans="5:11">
      <c r="E248" s="1248"/>
      <c r="F248" s="1248"/>
      <c r="G248" s="1248"/>
      <c r="H248" s="1248"/>
      <c r="I248" s="1248"/>
      <c r="J248" s="1248"/>
      <c r="K248" s="1248"/>
    </row>
    <row r="249" spans="5:11">
      <c r="E249" s="1248"/>
      <c r="F249" s="1248"/>
      <c r="G249" s="1248"/>
      <c r="H249" s="1248"/>
      <c r="I249" s="1248"/>
      <c r="J249" s="1248"/>
      <c r="K249" s="1248"/>
    </row>
    <row r="250" spans="5:11">
      <c r="E250" s="1248"/>
      <c r="F250" s="1248"/>
      <c r="G250" s="1248"/>
      <c r="H250" s="1248"/>
      <c r="I250" s="1248"/>
      <c r="J250" s="1248"/>
      <c r="K250" s="1248"/>
    </row>
    <row r="251" spans="5:11">
      <c r="E251" s="1248"/>
      <c r="F251" s="1248"/>
      <c r="G251" s="1248"/>
      <c r="H251" s="1248"/>
      <c r="I251" s="1248"/>
      <c r="J251" s="1248"/>
      <c r="K251" s="1248"/>
    </row>
    <row r="252" spans="5:11">
      <c r="E252" s="1248"/>
      <c r="F252" s="1248"/>
      <c r="G252" s="1248"/>
      <c r="H252" s="1248"/>
      <c r="I252" s="1248"/>
      <c r="J252" s="1248"/>
      <c r="K252" s="1248"/>
    </row>
    <row r="253" spans="5:11">
      <c r="E253" s="1248"/>
      <c r="F253" s="1248"/>
      <c r="G253" s="1248"/>
      <c r="H253" s="1248"/>
      <c r="I253" s="1248"/>
      <c r="J253" s="1248"/>
      <c r="K253" s="1248"/>
    </row>
    <row r="254" spans="5:11">
      <c r="E254" s="1248"/>
      <c r="F254" s="1248"/>
      <c r="G254" s="1248"/>
      <c r="H254" s="1248"/>
      <c r="I254" s="1248"/>
      <c r="J254" s="1248"/>
      <c r="K254" s="1248"/>
    </row>
    <row r="255" spans="5:11">
      <c r="E255" s="1248"/>
      <c r="F255" s="1248"/>
      <c r="G255" s="1248"/>
      <c r="H255" s="1248"/>
      <c r="I255" s="1248"/>
      <c r="J255" s="1248"/>
      <c r="K255" s="1248"/>
    </row>
    <row r="256" spans="5:11">
      <c r="E256" s="1248"/>
      <c r="F256" s="1248"/>
      <c r="G256" s="1248"/>
      <c r="H256" s="1248"/>
      <c r="I256" s="1248"/>
      <c r="J256" s="1248"/>
      <c r="K256" s="1248"/>
    </row>
    <row r="257" spans="5:11">
      <c r="E257" s="1248"/>
      <c r="F257" s="1248"/>
      <c r="G257" s="1248"/>
      <c r="H257" s="1248"/>
      <c r="I257" s="1248"/>
      <c r="J257" s="1248"/>
      <c r="K257" s="1248"/>
    </row>
    <row r="258" spans="5:11">
      <c r="E258" s="1248"/>
      <c r="F258" s="1248"/>
      <c r="G258" s="1248"/>
      <c r="H258" s="1248"/>
      <c r="I258" s="1248"/>
      <c r="J258" s="1248"/>
      <c r="K258" s="1248"/>
    </row>
    <row r="259" spans="5:11">
      <c r="E259" s="1248"/>
      <c r="F259" s="1248"/>
      <c r="G259" s="1248"/>
      <c r="H259" s="1248"/>
      <c r="I259" s="1248"/>
      <c r="J259" s="1248"/>
      <c r="K259" s="1248"/>
    </row>
    <row r="260" spans="5:11">
      <c r="E260" s="1248"/>
      <c r="F260" s="1248"/>
      <c r="G260" s="1248"/>
      <c r="H260" s="1248"/>
      <c r="I260" s="1248"/>
      <c r="J260" s="1248"/>
      <c r="K260" s="1248"/>
    </row>
    <row r="261" spans="5:11">
      <c r="E261" s="1248"/>
      <c r="F261" s="1248"/>
      <c r="G261" s="1248"/>
      <c r="H261" s="1248"/>
      <c r="I261" s="1248"/>
      <c r="J261" s="1248"/>
      <c r="K261" s="1248"/>
    </row>
    <row r="262" spans="5:11">
      <c r="E262" s="1248"/>
      <c r="F262" s="1248"/>
      <c r="G262" s="1248"/>
      <c r="H262" s="1248"/>
      <c r="I262" s="1248"/>
      <c r="J262" s="1248"/>
      <c r="K262" s="1248"/>
    </row>
    <row r="263" spans="5:11">
      <c r="E263" s="1248"/>
      <c r="F263" s="1248"/>
      <c r="G263" s="1248"/>
      <c r="H263" s="1248"/>
      <c r="I263" s="1248"/>
      <c r="J263" s="1248"/>
      <c r="K263" s="1248"/>
    </row>
    <row r="264" spans="5:11">
      <c r="E264" s="1248"/>
      <c r="F264" s="1248"/>
      <c r="G264" s="1248"/>
      <c r="H264" s="1248"/>
      <c r="I264" s="1248"/>
      <c r="J264" s="1248"/>
      <c r="K264" s="1248"/>
    </row>
    <row r="265" spans="5:11">
      <c r="E265" s="1248"/>
      <c r="F265" s="1248"/>
      <c r="G265" s="1248"/>
      <c r="H265" s="1248"/>
      <c r="I265" s="1248"/>
      <c r="J265" s="1248"/>
      <c r="K265" s="1248"/>
    </row>
    <row r="266" spans="5:11">
      <c r="E266" s="1248"/>
      <c r="F266" s="1248"/>
      <c r="G266" s="1248"/>
      <c r="H266" s="1248"/>
      <c r="I266" s="1248"/>
      <c r="J266" s="1248"/>
      <c r="K266" s="1248"/>
    </row>
    <row r="267" spans="5:11">
      <c r="E267" s="1248"/>
      <c r="F267" s="1248"/>
      <c r="G267" s="1248"/>
      <c r="H267" s="1248"/>
      <c r="I267" s="1248"/>
      <c r="J267" s="1248"/>
      <c r="K267" s="1248"/>
    </row>
    <row r="268" spans="5:11">
      <c r="E268" s="1248"/>
      <c r="F268" s="1248"/>
      <c r="G268" s="1248"/>
      <c r="H268" s="1248"/>
      <c r="I268" s="1248"/>
      <c r="J268" s="1248"/>
      <c r="K268" s="1248"/>
    </row>
    <row r="269" spans="5:11">
      <c r="E269" s="1248"/>
      <c r="F269" s="1248"/>
      <c r="G269" s="1248"/>
      <c r="H269" s="1248"/>
      <c r="I269" s="1248"/>
      <c r="J269" s="1248"/>
      <c r="K269" s="1248"/>
    </row>
    <row r="270" spans="5:11">
      <c r="E270" s="1248"/>
      <c r="F270" s="1248"/>
      <c r="G270" s="1248"/>
      <c r="H270" s="1248"/>
      <c r="I270" s="1248"/>
      <c r="J270" s="1248"/>
      <c r="K270" s="1248"/>
    </row>
    <row r="271" spans="5:11">
      <c r="E271" s="1248"/>
      <c r="F271" s="1248"/>
      <c r="G271" s="1248"/>
      <c r="H271" s="1248"/>
      <c r="I271" s="1248"/>
      <c r="J271" s="1248"/>
      <c r="K271" s="1248"/>
    </row>
    <row r="272" spans="5:11">
      <c r="E272" s="1248"/>
      <c r="F272" s="1248"/>
      <c r="G272" s="1248"/>
      <c r="H272" s="1248"/>
      <c r="I272" s="1248"/>
      <c r="J272" s="1248"/>
      <c r="K272" s="1248"/>
    </row>
    <row r="273" spans="5:11">
      <c r="E273" s="1248"/>
      <c r="F273" s="1248"/>
      <c r="G273" s="1248"/>
      <c r="H273" s="1248"/>
      <c r="I273" s="1248"/>
      <c r="J273" s="1248"/>
      <c r="K273" s="1248"/>
    </row>
    <row r="274" spans="5:11">
      <c r="E274" s="1248"/>
      <c r="F274" s="1248"/>
      <c r="G274" s="1248"/>
      <c r="H274" s="1248"/>
      <c r="I274" s="1248"/>
      <c r="J274" s="1248"/>
      <c r="K274" s="1248"/>
    </row>
    <row r="275" spans="5:11">
      <c r="E275" s="1248"/>
      <c r="F275" s="1248"/>
      <c r="G275" s="1248"/>
      <c r="H275" s="1248"/>
      <c r="I275" s="1248"/>
      <c r="J275" s="1248"/>
      <c r="K275" s="1248"/>
    </row>
    <row r="276" spans="5:11">
      <c r="E276" s="1248"/>
      <c r="F276" s="1248"/>
      <c r="G276" s="1248"/>
      <c r="H276" s="1248"/>
      <c r="I276" s="1248"/>
      <c r="J276" s="1248"/>
      <c r="K276" s="1248"/>
    </row>
    <row r="277" spans="5:11">
      <c r="E277" s="1248"/>
      <c r="F277" s="1248"/>
      <c r="G277" s="1248"/>
      <c r="H277" s="1248"/>
      <c r="I277" s="1248"/>
      <c r="J277" s="1248"/>
      <c r="K277" s="1248"/>
    </row>
    <row r="278" spans="5:11">
      <c r="E278" s="1248"/>
      <c r="F278" s="1248"/>
      <c r="G278" s="1248"/>
      <c r="H278" s="1248"/>
      <c r="I278" s="1248"/>
      <c r="J278" s="1248"/>
      <c r="K278" s="1248"/>
    </row>
    <row r="279" spans="5:11">
      <c r="E279" s="1248"/>
      <c r="F279" s="1248"/>
      <c r="G279" s="1248"/>
      <c r="H279" s="1248"/>
      <c r="I279" s="1248"/>
      <c r="J279" s="1248"/>
      <c r="K279" s="1248"/>
    </row>
    <row r="280" spans="5:11">
      <c r="E280" s="1248"/>
      <c r="F280" s="1248"/>
      <c r="G280" s="1248"/>
      <c r="H280" s="1248"/>
      <c r="I280" s="1248"/>
      <c r="J280" s="1248"/>
      <c r="K280" s="1248"/>
    </row>
    <row r="281" spans="5:11">
      <c r="E281" s="1248"/>
      <c r="F281" s="1248"/>
      <c r="G281" s="1248"/>
      <c r="H281" s="1248"/>
      <c r="I281" s="1248"/>
      <c r="J281" s="1248"/>
      <c r="K281" s="1248"/>
    </row>
    <row r="282" spans="5:11">
      <c r="E282" s="1248"/>
      <c r="F282" s="1248"/>
      <c r="G282" s="1248"/>
      <c r="H282" s="1248"/>
      <c r="I282" s="1248"/>
      <c r="J282" s="1248"/>
      <c r="K282" s="1248"/>
    </row>
    <row r="283" spans="5:11">
      <c r="E283" s="1248"/>
      <c r="F283" s="1248"/>
      <c r="G283" s="1248"/>
      <c r="H283" s="1248"/>
      <c r="I283" s="1248"/>
      <c r="J283" s="1248"/>
      <c r="K283" s="1248"/>
    </row>
    <row r="284" spans="5:11">
      <c r="E284" s="1248"/>
      <c r="F284" s="1248"/>
      <c r="G284" s="1248"/>
      <c r="H284" s="1248"/>
      <c r="I284" s="1248"/>
      <c r="J284" s="1248"/>
      <c r="K284" s="1248"/>
    </row>
    <row r="285" spans="5:11">
      <c r="E285" s="1248"/>
      <c r="F285" s="1248"/>
      <c r="G285" s="1248"/>
      <c r="H285" s="1248"/>
      <c r="I285" s="1248"/>
      <c r="J285" s="1248"/>
      <c r="K285" s="1248"/>
    </row>
    <row r="286" spans="5:11">
      <c r="E286" s="1248"/>
      <c r="F286" s="1248"/>
      <c r="G286" s="1248"/>
      <c r="H286" s="1248"/>
      <c r="I286" s="1248"/>
      <c r="J286" s="1248"/>
      <c r="K286" s="1248"/>
    </row>
    <row r="287" spans="5:11">
      <c r="E287" s="1248"/>
      <c r="F287" s="1248"/>
      <c r="G287" s="1248"/>
      <c r="H287" s="1248"/>
      <c r="I287" s="1248"/>
      <c r="J287" s="1248"/>
      <c r="K287" s="1248"/>
    </row>
    <row r="288" spans="5:11">
      <c r="E288" s="1248"/>
      <c r="F288" s="1248"/>
      <c r="G288" s="1248"/>
      <c r="H288" s="1248"/>
      <c r="I288" s="1248"/>
      <c r="J288" s="1248"/>
      <c r="K288" s="1248"/>
    </row>
    <row r="289" spans="5:11">
      <c r="E289" s="1248"/>
      <c r="F289" s="1248"/>
      <c r="G289" s="1248"/>
      <c r="H289" s="1248"/>
      <c r="I289" s="1248"/>
      <c r="J289" s="1248"/>
      <c r="K289" s="1248"/>
    </row>
    <row r="290" spans="5:11">
      <c r="E290" s="1248"/>
      <c r="F290" s="1248"/>
      <c r="G290" s="1248"/>
      <c r="H290" s="1248"/>
      <c r="I290" s="1248"/>
      <c r="J290" s="1248"/>
      <c r="K290" s="1248"/>
    </row>
    <row r="291" spans="5:11">
      <c r="E291" s="1248"/>
      <c r="F291" s="1248"/>
      <c r="G291" s="1248"/>
      <c r="H291" s="1248"/>
      <c r="I291" s="1248"/>
      <c r="J291" s="1248"/>
      <c r="K291" s="1248"/>
    </row>
    <row r="292" spans="5:11">
      <c r="E292" s="1248"/>
      <c r="F292" s="1248"/>
      <c r="G292" s="1248"/>
      <c r="H292" s="1248"/>
      <c r="I292" s="1248"/>
      <c r="J292" s="1248"/>
      <c r="K292" s="1248"/>
    </row>
    <row r="293" spans="5:11">
      <c r="E293" s="1248"/>
      <c r="F293" s="1248"/>
      <c r="G293" s="1248"/>
      <c r="H293" s="1248"/>
      <c r="I293" s="1248"/>
      <c r="J293" s="1248"/>
      <c r="K293" s="1248"/>
    </row>
    <row r="294" spans="5:11">
      <c r="E294" s="1248"/>
      <c r="F294" s="1248"/>
      <c r="G294" s="1248"/>
      <c r="H294" s="1248"/>
      <c r="I294" s="1248"/>
      <c r="J294" s="1248"/>
      <c r="K294" s="1248"/>
    </row>
    <row r="295" spans="5:11">
      <c r="E295" s="1248"/>
      <c r="F295" s="1248"/>
      <c r="G295" s="1248"/>
      <c r="H295" s="1248"/>
      <c r="I295" s="1248"/>
      <c r="J295" s="1248"/>
      <c r="K295" s="1248"/>
    </row>
    <row r="296" spans="5:11">
      <c r="E296" s="1248"/>
      <c r="F296" s="1248"/>
      <c r="G296" s="1248"/>
      <c r="H296" s="1248"/>
      <c r="I296" s="1248"/>
      <c r="J296" s="1248"/>
      <c r="K296" s="1248"/>
    </row>
    <row r="297" spans="5:11">
      <c r="E297" s="1248"/>
      <c r="F297" s="1248"/>
      <c r="G297" s="1248"/>
      <c r="H297" s="1248"/>
      <c r="I297" s="1248"/>
      <c r="J297" s="1248"/>
      <c r="K297" s="1248"/>
    </row>
    <row r="298" spans="5:11">
      <c r="E298" s="1248"/>
      <c r="F298" s="1248"/>
      <c r="G298" s="1248"/>
      <c r="H298" s="1248"/>
      <c r="I298" s="1248"/>
      <c r="J298" s="1248"/>
      <c r="K298" s="1248"/>
    </row>
    <row r="299" spans="5:11">
      <c r="E299" s="1248"/>
      <c r="F299" s="1248"/>
      <c r="G299" s="1248"/>
      <c r="H299" s="1248"/>
      <c r="I299" s="1248"/>
      <c r="J299" s="1248"/>
      <c r="K299" s="1248"/>
    </row>
    <row r="300" spans="5:11">
      <c r="E300" s="1248"/>
      <c r="F300" s="1248"/>
      <c r="G300" s="1248"/>
      <c r="H300" s="1248"/>
      <c r="I300" s="1248"/>
      <c r="J300" s="1248"/>
      <c r="K300" s="1248"/>
    </row>
    <row r="301" spans="5:11">
      <c r="E301" s="1248"/>
      <c r="F301" s="1248"/>
      <c r="G301" s="1248"/>
      <c r="H301" s="1248"/>
      <c r="I301" s="1248"/>
      <c r="J301" s="1248"/>
      <c r="K301" s="1248"/>
    </row>
    <row r="302" spans="5:11">
      <c r="E302" s="1248"/>
      <c r="F302" s="1248"/>
      <c r="G302" s="1248"/>
      <c r="H302" s="1248"/>
      <c r="I302" s="1248"/>
      <c r="J302" s="1248"/>
      <c r="K302" s="1248"/>
    </row>
    <row r="303" spans="5:11">
      <c r="E303" s="1248"/>
      <c r="F303" s="1248"/>
      <c r="G303" s="1248"/>
      <c r="H303" s="1248"/>
      <c r="I303" s="1248"/>
      <c r="J303" s="1248"/>
      <c r="K303" s="1248"/>
    </row>
    <row r="304" spans="5:11">
      <c r="E304" s="1248"/>
      <c r="F304" s="1248"/>
      <c r="G304" s="1248"/>
      <c r="H304" s="1248"/>
      <c r="I304" s="1248"/>
      <c r="J304" s="1248"/>
      <c r="K304" s="1248"/>
    </row>
    <row r="305" spans="5:11">
      <c r="E305" s="1248"/>
      <c r="F305" s="1248"/>
      <c r="G305" s="1248"/>
      <c r="H305" s="1248"/>
      <c r="I305" s="1248"/>
      <c r="J305" s="1248"/>
      <c r="K305" s="1248"/>
    </row>
    <row r="306" spans="5:11">
      <c r="E306" s="1248"/>
      <c r="F306" s="1248"/>
      <c r="G306" s="1248"/>
      <c r="H306" s="1248"/>
      <c r="I306" s="1248"/>
      <c r="J306" s="1248"/>
      <c r="K306" s="1248"/>
    </row>
    <row r="307" spans="5:11">
      <c r="E307" s="1248"/>
      <c r="F307" s="1248"/>
      <c r="G307" s="1248"/>
      <c r="H307" s="1248"/>
      <c r="I307" s="1248"/>
      <c r="J307" s="1248"/>
      <c r="K307" s="1248"/>
    </row>
    <row r="308" spans="5:11">
      <c r="E308" s="1248"/>
      <c r="F308" s="1248"/>
      <c r="G308" s="1248"/>
      <c r="H308" s="1248"/>
      <c r="I308" s="1248"/>
      <c r="J308" s="1248"/>
      <c r="K308" s="1248"/>
    </row>
    <row r="309" spans="5:11">
      <c r="E309" s="1248"/>
      <c r="F309" s="1248"/>
      <c r="G309" s="1248"/>
      <c r="H309" s="1248"/>
      <c r="I309" s="1248"/>
      <c r="J309" s="1248"/>
      <c r="K309" s="1248"/>
    </row>
    <row r="310" spans="5:11">
      <c r="E310" s="1248"/>
      <c r="F310" s="1248"/>
      <c r="G310" s="1248"/>
      <c r="H310" s="1248"/>
      <c r="I310" s="1248"/>
      <c r="J310" s="1248"/>
      <c r="K310" s="1248"/>
    </row>
    <row r="311" spans="5:11">
      <c r="E311" s="1248"/>
      <c r="F311" s="1248"/>
      <c r="G311" s="1248"/>
      <c r="H311" s="1248"/>
      <c r="I311" s="1248"/>
      <c r="J311" s="1248"/>
      <c r="K311" s="1248"/>
    </row>
    <row r="312" spans="5:11">
      <c r="E312" s="1248"/>
      <c r="F312" s="1248"/>
      <c r="G312" s="1248"/>
      <c r="H312" s="1248"/>
      <c r="I312" s="1248"/>
      <c r="J312" s="1248"/>
      <c r="K312" s="1248"/>
    </row>
    <row r="313" spans="5:11">
      <c r="E313" s="1248"/>
      <c r="F313" s="1248"/>
      <c r="G313" s="1248"/>
      <c r="H313" s="1248"/>
      <c r="I313" s="1248"/>
      <c r="J313" s="1248"/>
      <c r="K313" s="1248"/>
    </row>
    <row r="314" spans="5:11">
      <c r="E314" s="1248"/>
      <c r="F314" s="1248"/>
      <c r="G314" s="1248"/>
      <c r="H314" s="1248"/>
      <c r="I314" s="1248"/>
      <c r="J314" s="1248"/>
      <c r="K314" s="1248"/>
    </row>
    <row r="315" spans="5:11">
      <c r="E315" s="1248"/>
      <c r="F315" s="1248"/>
      <c r="G315" s="1248"/>
      <c r="H315" s="1248"/>
      <c r="I315" s="1248"/>
      <c r="J315" s="1248"/>
      <c r="K315" s="1248"/>
    </row>
    <row r="316" spans="5:11">
      <c r="E316" s="1248"/>
      <c r="F316" s="1248"/>
      <c r="G316" s="1248"/>
      <c r="H316" s="1248"/>
      <c r="I316" s="1248"/>
      <c r="J316" s="1248"/>
      <c r="K316" s="1248"/>
    </row>
    <row r="317" spans="5:11">
      <c r="E317" s="1248"/>
      <c r="F317" s="1248"/>
      <c r="G317" s="1248"/>
      <c r="H317" s="1248"/>
      <c r="I317" s="1248"/>
      <c r="J317" s="1248"/>
      <c r="K317" s="1248"/>
    </row>
    <row r="318" spans="5:11">
      <c r="E318" s="1248"/>
      <c r="F318" s="1248"/>
      <c r="G318" s="1248"/>
      <c r="H318" s="1248"/>
      <c r="I318" s="1248"/>
      <c r="J318" s="1248"/>
      <c r="K318" s="1248"/>
    </row>
    <row r="319" spans="5:11">
      <c r="E319" s="1248"/>
      <c r="F319" s="1248"/>
      <c r="G319" s="1248"/>
      <c r="H319" s="1248"/>
      <c r="I319" s="1248"/>
      <c r="J319" s="1248"/>
      <c r="K319" s="1248"/>
    </row>
    <row r="320" spans="5:11">
      <c r="E320" s="1248"/>
      <c r="F320" s="1248"/>
      <c r="G320" s="1248"/>
      <c r="H320" s="1248"/>
      <c r="I320" s="1248"/>
      <c r="J320" s="1248"/>
      <c r="K320" s="1248"/>
    </row>
    <row r="321" spans="5:11">
      <c r="E321" s="1248"/>
      <c r="F321" s="1248"/>
      <c r="G321" s="1248"/>
      <c r="H321" s="1248"/>
      <c r="I321" s="1248"/>
      <c r="J321" s="1248"/>
      <c r="K321" s="1248"/>
    </row>
    <row r="322" spans="5:11">
      <c r="E322" s="1248"/>
      <c r="F322" s="1248"/>
      <c r="G322" s="1248"/>
      <c r="H322" s="1248"/>
      <c r="I322" s="1248"/>
      <c r="J322" s="1248"/>
      <c r="K322" s="1248"/>
    </row>
    <row r="323" spans="5:11">
      <c r="E323" s="1248"/>
      <c r="F323" s="1248"/>
      <c r="G323" s="1248"/>
      <c r="H323" s="1248"/>
      <c r="I323" s="1248"/>
      <c r="J323" s="1248"/>
      <c r="K323" s="1248"/>
    </row>
    <row r="324" spans="5:11">
      <c r="E324" s="1248"/>
      <c r="F324" s="1248"/>
      <c r="G324" s="1248"/>
      <c r="H324" s="1248"/>
      <c r="I324" s="1248"/>
      <c r="J324" s="1248"/>
      <c r="K324" s="1248"/>
    </row>
    <row r="325" spans="5:11">
      <c r="E325" s="1248"/>
      <c r="F325" s="1248"/>
      <c r="G325" s="1248"/>
      <c r="H325" s="1248"/>
      <c r="I325" s="1248"/>
      <c r="J325" s="1248"/>
      <c r="K325" s="1248"/>
    </row>
    <row r="326" spans="5:11">
      <c r="E326" s="1248"/>
      <c r="F326" s="1248"/>
      <c r="G326" s="1248"/>
      <c r="H326" s="1248"/>
      <c r="I326" s="1248"/>
      <c r="J326" s="1248"/>
      <c r="K326" s="1248"/>
    </row>
    <row r="327" spans="5:11">
      <c r="E327" s="1248"/>
      <c r="F327" s="1248"/>
      <c r="G327" s="1248"/>
      <c r="H327" s="1248"/>
      <c r="I327" s="1248"/>
      <c r="J327" s="1248"/>
      <c r="K327" s="1248"/>
    </row>
    <row r="328" spans="5:11">
      <c r="E328" s="1248"/>
      <c r="F328" s="1248"/>
      <c r="G328" s="1248"/>
      <c r="H328" s="1248"/>
      <c r="I328" s="1248"/>
      <c r="J328" s="1248"/>
      <c r="K328" s="1248"/>
    </row>
    <row r="329" spans="5:11">
      <c r="E329" s="1248"/>
      <c r="F329" s="1248"/>
      <c r="G329" s="1248"/>
      <c r="H329" s="1248"/>
      <c r="I329" s="1248"/>
      <c r="J329" s="1248"/>
      <c r="K329" s="1248"/>
    </row>
    <row r="330" spans="5:11">
      <c r="E330" s="1248"/>
      <c r="F330" s="1248"/>
      <c r="G330" s="1248"/>
      <c r="H330" s="1248"/>
      <c r="I330" s="1248"/>
      <c r="J330" s="1248"/>
      <c r="K330" s="1248"/>
    </row>
    <row r="331" spans="5:11">
      <c r="E331" s="1248"/>
      <c r="F331" s="1248"/>
      <c r="G331" s="1248"/>
      <c r="H331" s="1248"/>
      <c r="I331" s="1248"/>
      <c r="J331" s="1248"/>
      <c r="K331" s="1248"/>
    </row>
    <row r="332" spans="5:11">
      <c r="E332" s="1248"/>
      <c r="F332" s="1248"/>
      <c r="G332" s="1248"/>
      <c r="H332" s="1248"/>
      <c r="I332" s="1248"/>
      <c r="J332" s="1248"/>
      <c r="K332" s="1248"/>
    </row>
    <row r="333" spans="5:11">
      <c r="E333" s="1248"/>
      <c r="F333" s="1248"/>
      <c r="G333" s="1248"/>
      <c r="H333" s="1248"/>
      <c r="I333" s="1248"/>
      <c r="J333" s="1248"/>
      <c r="K333" s="1248"/>
    </row>
    <row r="334" spans="5:11">
      <c r="E334" s="1248"/>
      <c r="F334" s="1248"/>
      <c r="G334" s="1248"/>
      <c r="H334" s="1248"/>
      <c r="I334" s="1248"/>
      <c r="J334" s="1248"/>
      <c r="K334" s="1248"/>
    </row>
    <row r="335" spans="5:11">
      <c r="E335" s="1248"/>
      <c r="F335" s="1248"/>
      <c r="G335" s="1248"/>
      <c r="H335" s="1248"/>
      <c r="I335" s="1248"/>
      <c r="J335" s="1248"/>
      <c r="K335" s="1248"/>
    </row>
    <row r="336" spans="5:11">
      <c r="E336" s="1248"/>
      <c r="F336" s="1248"/>
      <c r="G336" s="1248"/>
      <c r="H336" s="1248"/>
      <c r="I336" s="1248"/>
      <c r="J336" s="1248"/>
      <c r="K336" s="1248"/>
    </row>
    <row r="337" spans="5:11">
      <c r="E337" s="1248"/>
      <c r="F337" s="1248"/>
      <c r="G337" s="1248"/>
      <c r="H337" s="1248"/>
      <c r="I337" s="1248"/>
      <c r="J337" s="1248"/>
      <c r="K337" s="1248"/>
    </row>
    <row r="338" spans="5:11">
      <c r="E338" s="1248"/>
      <c r="F338" s="1248"/>
      <c r="G338" s="1248"/>
      <c r="H338" s="1248"/>
      <c r="I338" s="1248"/>
      <c r="J338" s="1248"/>
      <c r="K338" s="1248"/>
    </row>
    <row r="339" spans="5:11">
      <c r="E339" s="1248"/>
      <c r="F339" s="1248"/>
      <c r="G339" s="1248"/>
      <c r="H339" s="1248"/>
      <c r="I339" s="1248"/>
      <c r="J339" s="1248"/>
      <c r="K339" s="1248"/>
    </row>
    <row r="340" spans="5:11">
      <c r="E340" s="1248"/>
      <c r="F340" s="1248"/>
      <c r="G340" s="1248"/>
      <c r="H340" s="1248"/>
      <c r="I340" s="1248"/>
      <c r="J340" s="1248"/>
      <c r="K340" s="1248"/>
    </row>
    <row r="341" spans="5:11">
      <c r="E341" s="1248"/>
      <c r="F341" s="1248"/>
      <c r="G341" s="1248"/>
      <c r="H341" s="1248"/>
      <c r="I341" s="1248"/>
      <c r="J341" s="1248"/>
      <c r="K341" s="1248"/>
    </row>
    <row r="342" spans="5:11">
      <c r="E342" s="1248"/>
      <c r="F342" s="1248"/>
      <c r="G342" s="1248"/>
      <c r="H342" s="1248"/>
      <c r="I342" s="1248"/>
      <c r="J342" s="1248"/>
      <c r="K342" s="1248"/>
    </row>
    <row r="343" spans="5:11">
      <c r="E343" s="1248"/>
      <c r="F343" s="1248"/>
      <c r="G343" s="1248"/>
      <c r="H343" s="1248"/>
      <c r="I343" s="1248"/>
      <c r="J343" s="1248"/>
      <c r="K343" s="1248"/>
    </row>
    <row r="344" spans="5:11">
      <c r="E344" s="1248"/>
      <c r="F344" s="1248"/>
      <c r="G344" s="1248"/>
      <c r="H344" s="1248"/>
      <c r="I344" s="1248"/>
      <c r="J344" s="1248"/>
      <c r="K344" s="1248"/>
    </row>
    <row r="345" spans="5:11">
      <c r="E345" s="1248"/>
      <c r="F345" s="1248"/>
      <c r="G345" s="1248"/>
      <c r="H345" s="1248"/>
      <c r="I345" s="1248"/>
      <c r="J345" s="1248"/>
      <c r="K345" s="1248"/>
    </row>
    <row r="346" spans="5:11">
      <c r="E346" s="1248"/>
      <c r="F346" s="1248"/>
      <c r="G346" s="1248"/>
      <c r="H346" s="1248"/>
      <c r="I346" s="1248"/>
      <c r="J346" s="1248"/>
      <c r="K346" s="1248"/>
    </row>
    <row r="347" spans="5:11">
      <c r="E347" s="1248"/>
      <c r="F347" s="1248"/>
      <c r="G347" s="1248"/>
      <c r="H347" s="1248"/>
      <c r="I347" s="1248"/>
      <c r="J347" s="1248"/>
      <c r="K347" s="1248"/>
    </row>
    <row r="348" spans="5:11">
      <c r="E348" s="1248"/>
      <c r="F348" s="1248"/>
      <c r="G348" s="1248"/>
      <c r="H348" s="1248"/>
      <c r="I348" s="1248"/>
      <c r="J348" s="1248"/>
      <c r="K348" s="1248"/>
    </row>
    <row r="349" spans="5:11">
      <c r="E349" s="1248"/>
      <c r="F349" s="1248"/>
      <c r="G349" s="1248"/>
      <c r="H349" s="1248"/>
      <c r="I349" s="1248"/>
      <c r="J349" s="1248"/>
      <c r="K349" s="1248"/>
    </row>
    <row r="350" spans="5:11">
      <c r="E350" s="1248"/>
      <c r="F350" s="1248"/>
      <c r="G350" s="1248"/>
      <c r="H350" s="1248"/>
      <c r="I350" s="1248"/>
      <c r="J350" s="1248"/>
      <c r="K350" s="1248"/>
    </row>
    <row r="351" spans="5:11">
      <c r="E351" s="1248"/>
      <c r="F351" s="1248"/>
      <c r="G351" s="1248"/>
      <c r="H351" s="1248"/>
      <c r="I351" s="1248"/>
      <c r="J351" s="1248"/>
      <c r="K351" s="1248"/>
    </row>
    <row r="352" spans="5:11">
      <c r="E352" s="1248"/>
      <c r="F352" s="1248"/>
      <c r="G352" s="1248"/>
      <c r="H352" s="1248"/>
      <c r="I352" s="1248"/>
      <c r="J352" s="1248"/>
      <c r="K352" s="1248"/>
    </row>
    <row r="353" spans="5:11">
      <c r="E353" s="1248"/>
      <c r="F353" s="1248"/>
      <c r="G353" s="1248"/>
      <c r="H353" s="1248"/>
      <c r="I353" s="1248"/>
      <c r="J353" s="1248"/>
      <c r="K353" s="1248"/>
    </row>
    <row r="354" spans="5:11">
      <c r="E354" s="1248"/>
      <c r="F354" s="1248"/>
      <c r="G354" s="1248"/>
      <c r="H354" s="1248"/>
      <c r="I354" s="1248"/>
      <c r="J354" s="1248"/>
      <c r="K354" s="1248"/>
    </row>
    <row r="355" spans="5:11">
      <c r="E355" s="1248"/>
      <c r="F355" s="1248"/>
      <c r="G355" s="1248"/>
      <c r="H355" s="1248"/>
      <c r="I355" s="1248"/>
      <c r="J355" s="1248"/>
      <c r="K355" s="1248"/>
    </row>
    <row r="356" spans="5:11">
      <c r="E356" s="1248"/>
      <c r="F356" s="1248"/>
      <c r="G356" s="1248"/>
      <c r="H356" s="1248"/>
      <c r="I356" s="1248"/>
      <c r="J356" s="1248"/>
      <c r="K356" s="1248"/>
    </row>
    <row r="357" spans="5:11">
      <c r="E357" s="1248"/>
      <c r="F357" s="1248"/>
      <c r="G357" s="1248"/>
      <c r="H357" s="1248"/>
      <c r="I357" s="1248"/>
      <c r="J357" s="1248"/>
      <c r="K357" s="1248"/>
    </row>
    <row r="358" spans="5:11">
      <c r="E358" s="1248"/>
      <c r="F358" s="1248"/>
      <c r="G358" s="1248"/>
      <c r="H358" s="1248"/>
      <c r="I358" s="1248"/>
      <c r="J358" s="1248"/>
      <c r="K358" s="1248"/>
    </row>
    <row r="359" spans="5:11">
      <c r="E359" s="1248"/>
      <c r="F359" s="1248"/>
      <c r="G359" s="1248"/>
      <c r="H359" s="1248"/>
      <c r="I359" s="1248"/>
      <c r="J359" s="1248"/>
      <c r="K359" s="1248"/>
    </row>
    <row r="360" spans="5:11">
      <c r="E360" s="1248"/>
      <c r="F360" s="1248"/>
      <c r="G360" s="1248"/>
      <c r="H360" s="1248"/>
      <c r="I360" s="1248"/>
      <c r="J360" s="1248"/>
      <c r="K360" s="1248"/>
    </row>
    <row r="361" spans="5:11">
      <c r="E361" s="1248"/>
      <c r="F361" s="1248"/>
      <c r="G361" s="1248"/>
      <c r="H361" s="1248"/>
      <c r="I361" s="1248"/>
      <c r="J361" s="1248"/>
      <c r="K361" s="1248"/>
    </row>
    <row r="362" spans="5:11">
      <c r="E362" s="1248"/>
      <c r="F362" s="1248"/>
      <c r="G362" s="1248"/>
      <c r="H362" s="1248"/>
      <c r="I362" s="1248"/>
      <c r="J362" s="1248"/>
      <c r="K362" s="1248"/>
    </row>
    <row r="363" spans="5:11">
      <c r="E363" s="1248"/>
      <c r="F363" s="1248"/>
      <c r="G363" s="1248"/>
      <c r="H363" s="1248"/>
      <c r="I363" s="1248"/>
      <c r="J363" s="1248"/>
      <c r="K363" s="1248"/>
    </row>
    <row r="364" spans="5:11">
      <c r="E364" s="1248"/>
      <c r="F364" s="1248"/>
      <c r="G364" s="1248"/>
      <c r="H364" s="1248"/>
      <c r="I364" s="1248"/>
      <c r="J364" s="1248"/>
      <c r="K364" s="1248"/>
    </row>
    <row r="365" spans="5:11">
      <c r="E365" s="1248"/>
      <c r="F365" s="1248"/>
      <c r="G365" s="1248"/>
      <c r="H365" s="1248"/>
      <c r="I365" s="1248"/>
      <c r="J365" s="1248"/>
      <c r="K365" s="1248"/>
    </row>
    <row r="366" spans="5:11">
      <c r="E366" s="1248"/>
      <c r="F366" s="1248"/>
      <c r="G366" s="1248"/>
      <c r="H366" s="1248"/>
      <c r="I366" s="1248"/>
      <c r="J366" s="1248"/>
      <c r="K366" s="1248"/>
    </row>
    <row r="367" spans="5:11">
      <c r="E367" s="1248"/>
      <c r="F367" s="1248"/>
      <c r="G367" s="1248"/>
      <c r="H367" s="1248"/>
      <c r="I367" s="1248"/>
      <c r="J367" s="1248"/>
      <c r="K367" s="1248"/>
    </row>
    <row r="368" spans="5:11">
      <c r="E368" s="1248"/>
      <c r="F368" s="1248"/>
      <c r="G368" s="1248"/>
      <c r="H368" s="1248"/>
      <c r="I368" s="1248"/>
      <c r="J368" s="1248"/>
      <c r="K368" s="1248"/>
    </row>
    <row r="369" spans="5:11">
      <c r="E369" s="1248"/>
      <c r="F369" s="1248"/>
      <c r="G369" s="1248"/>
      <c r="H369" s="1248"/>
      <c r="I369" s="1248"/>
      <c r="J369" s="1248"/>
      <c r="K369" s="1248"/>
    </row>
    <row r="370" spans="5:11">
      <c r="E370" s="1248"/>
      <c r="F370" s="1248"/>
      <c r="G370" s="1248"/>
      <c r="H370" s="1248"/>
      <c r="I370" s="1248"/>
      <c r="J370" s="1248"/>
      <c r="K370" s="1248"/>
    </row>
    <row r="371" spans="5:11">
      <c r="E371" s="1248"/>
      <c r="F371" s="1248"/>
      <c r="G371" s="1248"/>
      <c r="H371" s="1248"/>
      <c r="I371" s="1248"/>
      <c r="J371" s="1248"/>
      <c r="K371" s="1248"/>
    </row>
    <row r="372" spans="5:11">
      <c r="E372" s="1248"/>
      <c r="F372" s="1248"/>
      <c r="G372" s="1248"/>
      <c r="H372" s="1248"/>
      <c r="I372" s="1248"/>
      <c r="J372" s="1248"/>
      <c r="K372" s="1248"/>
    </row>
    <row r="373" spans="5:11">
      <c r="E373" s="1248"/>
      <c r="F373" s="1248"/>
      <c r="G373" s="1248"/>
      <c r="H373" s="1248"/>
      <c r="I373" s="1248"/>
      <c r="J373" s="1248"/>
      <c r="K373" s="1248"/>
    </row>
    <row r="374" spans="5:11">
      <c r="E374" s="1248"/>
      <c r="F374" s="1248"/>
      <c r="G374" s="1248"/>
      <c r="H374" s="1248"/>
      <c r="I374" s="1248"/>
      <c r="J374" s="1248"/>
      <c r="K374" s="1248"/>
    </row>
    <row r="375" spans="5:11">
      <c r="E375" s="1248"/>
      <c r="F375" s="1248"/>
      <c r="G375" s="1248"/>
      <c r="H375" s="1248"/>
      <c r="I375" s="1248"/>
      <c r="J375" s="1248"/>
      <c r="K375" s="1248"/>
    </row>
    <row r="376" spans="5:11">
      <c r="E376" s="1248"/>
      <c r="F376" s="1248"/>
      <c r="G376" s="1248"/>
      <c r="H376" s="1248"/>
      <c r="I376" s="1248"/>
      <c r="J376" s="1248"/>
      <c r="K376" s="1248"/>
    </row>
    <row r="377" spans="5:11">
      <c r="E377" s="1248"/>
      <c r="F377" s="1248"/>
      <c r="G377" s="1248"/>
      <c r="H377" s="1248"/>
      <c r="I377" s="1248"/>
      <c r="J377" s="1248"/>
      <c r="K377" s="1248"/>
    </row>
    <row r="378" spans="5:11">
      <c r="E378" s="1248"/>
      <c r="F378" s="1248"/>
      <c r="G378" s="1248"/>
      <c r="H378" s="1248"/>
      <c r="I378" s="1248"/>
      <c r="J378" s="1248"/>
      <c r="K378" s="1248"/>
    </row>
    <row r="379" spans="5:11">
      <c r="E379" s="1248"/>
      <c r="F379" s="1248"/>
      <c r="G379" s="1248"/>
      <c r="H379" s="1248"/>
      <c r="I379" s="1248"/>
      <c r="J379" s="1248"/>
      <c r="K379" s="1248"/>
    </row>
    <row r="380" spans="5:11">
      <c r="E380" s="1248"/>
      <c r="F380" s="1248"/>
      <c r="G380" s="1248"/>
      <c r="H380" s="1248"/>
      <c r="I380" s="1248"/>
      <c r="J380" s="1248"/>
      <c r="K380" s="1248"/>
    </row>
    <row r="381" spans="5:11">
      <c r="E381" s="1248"/>
      <c r="F381" s="1248"/>
      <c r="G381" s="1248"/>
      <c r="H381" s="1248"/>
      <c r="I381" s="1248"/>
      <c r="J381" s="1248"/>
      <c r="K381" s="1248"/>
    </row>
    <row r="382" spans="5:11">
      <c r="E382" s="1248"/>
      <c r="F382" s="1248"/>
      <c r="G382" s="1248"/>
      <c r="H382" s="1248"/>
      <c r="I382" s="1248"/>
      <c r="J382" s="1248"/>
      <c r="K382" s="1248"/>
    </row>
    <row r="383" spans="5:11">
      <c r="E383" s="1248"/>
      <c r="F383" s="1248"/>
      <c r="G383" s="1248"/>
      <c r="H383" s="1248"/>
      <c r="I383" s="1248"/>
      <c r="J383" s="1248"/>
      <c r="K383" s="1248"/>
    </row>
    <row r="384" spans="5:11">
      <c r="E384" s="1248"/>
      <c r="F384" s="1248"/>
      <c r="G384" s="1248"/>
      <c r="H384" s="1248"/>
      <c r="I384" s="1248"/>
      <c r="J384" s="1248"/>
      <c r="K384" s="1248"/>
    </row>
    <row r="385" spans="5:11">
      <c r="E385" s="1248"/>
      <c r="F385" s="1248"/>
      <c r="G385" s="1248"/>
      <c r="H385" s="1248"/>
      <c r="I385" s="1248"/>
      <c r="J385" s="1248"/>
      <c r="K385" s="1248"/>
    </row>
    <row r="386" spans="5:11">
      <c r="E386" s="1248"/>
      <c r="F386" s="1248"/>
      <c r="G386" s="1248"/>
      <c r="H386" s="1248"/>
      <c r="I386" s="1248"/>
      <c r="J386" s="1248"/>
      <c r="K386" s="1248"/>
    </row>
    <row r="387" spans="5:11">
      <c r="E387" s="1248"/>
      <c r="F387" s="1248"/>
      <c r="G387" s="1248"/>
      <c r="H387" s="1248"/>
      <c r="I387" s="1248"/>
      <c r="J387" s="1248"/>
      <c r="K387" s="1248"/>
    </row>
    <row r="388" spans="5:11">
      <c r="E388" s="1248"/>
      <c r="F388" s="1248"/>
      <c r="G388" s="1248"/>
      <c r="H388" s="1248"/>
      <c r="I388" s="1248"/>
      <c r="J388" s="1248"/>
      <c r="K388" s="1248"/>
    </row>
    <row r="389" spans="5:11">
      <c r="E389" s="1248"/>
      <c r="F389" s="1248"/>
      <c r="G389" s="1248"/>
      <c r="H389" s="1248"/>
      <c r="I389" s="1248"/>
      <c r="J389" s="1248"/>
      <c r="K389" s="1248"/>
    </row>
    <row r="390" spans="5:11">
      <c r="E390" s="1248"/>
      <c r="F390" s="1248"/>
      <c r="G390" s="1248"/>
      <c r="H390" s="1248"/>
      <c r="I390" s="1248"/>
      <c r="J390" s="1248"/>
      <c r="K390" s="1248"/>
    </row>
    <row r="391" spans="5:11">
      <c r="E391" s="1248"/>
      <c r="F391" s="1248"/>
      <c r="G391" s="1248"/>
      <c r="H391" s="1248"/>
      <c r="I391" s="1248"/>
      <c r="J391" s="1248"/>
      <c r="K391" s="1248"/>
    </row>
    <row r="392" spans="5:11">
      <c r="E392" s="1248"/>
      <c r="F392" s="1248"/>
      <c r="G392" s="1248"/>
      <c r="H392" s="1248"/>
      <c r="I392" s="1248"/>
      <c r="J392" s="1248"/>
      <c r="K392" s="1248"/>
    </row>
    <row r="393" spans="5:11">
      <c r="E393" s="1248"/>
      <c r="F393" s="1248"/>
      <c r="G393" s="1248"/>
      <c r="H393" s="1248"/>
      <c r="I393" s="1248"/>
      <c r="J393" s="1248"/>
      <c r="K393" s="1248"/>
    </row>
    <row r="394" spans="5:11">
      <c r="E394" s="1248"/>
      <c r="F394" s="1248"/>
      <c r="G394" s="1248"/>
      <c r="H394" s="1248"/>
      <c r="I394" s="1248"/>
      <c r="J394" s="1248"/>
      <c r="K394" s="1248"/>
    </row>
    <row r="395" spans="5:11">
      <c r="E395" s="1248"/>
      <c r="F395" s="1248"/>
      <c r="G395" s="1248"/>
      <c r="H395" s="1248"/>
      <c r="I395" s="1248"/>
      <c r="J395" s="1248"/>
      <c r="K395" s="1248"/>
    </row>
    <row r="396" spans="5:11">
      <c r="E396" s="1248"/>
      <c r="F396" s="1248"/>
      <c r="G396" s="1248"/>
      <c r="H396" s="1248"/>
      <c r="I396" s="1248"/>
      <c r="J396" s="1248"/>
      <c r="K396" s="1248"/>
    </row>
    <row r="397" spans="5:11">
      <c r="E397" s="1248"/>
      <c r="F397" s="1248"/>
      <c r="G397" s="1248"/>
      <c r="H397" s="1248"/>
      <c r="I397" s="1248"/>
      <c r="J397" s="1248"/>
      <c r="K397" s="1248"/>
    </row>
    <row r="398" spans="5:11">
      <c r="E398" s="1248"/>
      <c r="F398" s="1248"/>
      <c r="G398" s="1248"/>
      <c r="H398" s="1248"/>
      <c r="I398" s="1248"/>
      <c r="J398" s="1248"/>
      <c r="K398" s="1248"/>
    </row>
    <row r="399" spans="5:11">
      <c r="E399" s="1248"/>
      <c r="F399" s="1248"/>
      <c r="G399" s="1248"/>
      <c r="H399" s="1248"/>
      <c r="I399" s="1248"/>
      <c r="J399" s="1248"/>
      <c r="K399" s="1248"/>
    </row>
    <row r="400" spans="5:11">
      <c r="E400" s="1248"/>
      <c r="F400" s="1248"/>
      <c r="G400" s="1248"/>
      <c r="H400" s="1248"/>
      <c r="I400" s="1248"/>
      <c r="J400" s="1248"/>
      <c r="K400" s="1248"/>
    </row>
    <row r="401" spans="5:11">
      <c r="E401" s="1248"/>
      <c r="F401" s="1248"/>
      <c r="G401" s="1248"/>
      <c r="H401" s="1248"/>
      <c r="I401" s="1248"/>
      <c r="J401" s="1248"/>
      <c r="K401" s="1248"/>
    </row>
    <row r="402" spans="5:11">
      <c r="E402" s="1248"/>
      <c r="F402" s="1248"/>
      <c r="G402" s="1248"/>
      <c r="H402" s="1248"/>
      <c r="I402" s="1248"/>
      <c r="J402" s="1248"/>
      <c r="K402" s="1248"/>
    </row>
    <row r="403" spans="5:11">
      <c r="E403" s="1248"/>
      <c r="F403" s="1248"/>
      <c r="G403" s="1248"/>
      <c r="H403" s="1248"/>
      <c r="I403" s="1248"/>
      <c r="J403" s="1248"/>
      <c r="K403" s="1248"/>
    </row>
    <row r="404" spans="5:11">
      <c r="E404" s="1248"/>
      <c r="F404" s="1248"/>
      <c r="G404" s="1248"/>
      <c r="H404" s="1248"/>
      <c r="I404" s="1248"/>
      <c r="J404" s="1248"/>
      <c r="K404" s="1248"/>
    </row>
    <row r="405" spans="5:11">
      <c r="E405" s="1248"/>
      <c r="F405" s="1248"/>
      <c r="G405" s="1248"/>
      <c r="H405" s="1248"/>
      <c r="I405" s="1248"/>
      <c r="J405" s="1248"/>
      <c r="K405" s="1248"/>
    </row>
    <row r="406" spans="5:11">
      <c r="E406" s="1248"/>
      <c r="F406" s="1248"/>
      <c r="G406" s="1248"/>
      <c r="H406" s="1248"/>
      <c r="I406" s="1248"/>
      <c r="J406" s="1248"/>
      <c r="K406" s="1248"/>
    </row>
    <row r="407" spans="5:11">
      <c r="E407" s="1248"/>
      <c r="F407" s="1248"/>
      <c r="G407" s="1248"/>
      <c r="H407" s="1248"/>
      <c r="I407" s="1248"/>
      <c r="J407" s="1248"/>
      <c r="K407" s="1248"/>
    </row>
    <row r="408" spans="5:11">
      <c r="E408" s="1248"/>
      <c r="F408" s="1248"/>
      <c r="G408" s="1248"/>
      <c r="H408" s="1248"/>
      <c r="I408" s="1248"/>
      <c r="J408" s="1248"/>
      <c r="K408" s="1248"/>
    </row>
    <row r="409" spans="5:11">
      <c r="E409" s="1248"/>
      <c r="F409" s="1248"/>
      <c r="G409" s="1248"/>
      <c r="H409" s="1248"/>
      <c r="I409" s="1248"/>
      <c r="J409" s="1248"/>
      <c r="K409" s="1248"/>
    </row>
    <row r="410" spans="5:11">
      <c r="E410" s="1248"/>
      <c r="F410" s="1248"/>
      <c r="G410" s="1248"/>
      <c r="H410" s="1248"/>
      <c r="I410" s="1248"/>
      <c r="J410" s="1248"/>
      <c r="K410" s="1248"/>
    </row>
    <row r="411" spans="5:11">
      <c r="E411" s="1248"/>
      <c r="F411" s="1248"/>
      <c r="G411" s="1248"/>
      <c r="H411" s="1248"/>
      <c r="I411" s="1248"/>
      <c r="J411" s="1248"/>
      <c r="K411" s="1248"/>
    </row>
    <row r="412" spans="5:11">
      <c r="E412" s="1248"/>
      <c r="F412" s="1248"/>
      <c r="G412" s="1248"/>
      <c r="H412" s="1248"/>
      <c r="I412" s="1248"/>
      <c r="J412" s="1248"/>
      <c r="K412" s="1248"/>
    </row>
    <row r="413" spans="5:11">
      <c r="E413" s="1248"/>
      <c r="F413" s="1248"/>
      <c r="G413" s="1248"/>
      <c r="H413" s="1248"/>
      <c r="I413" s="1248"/>
      <c r="J413" s="1248"/>
      <c r="K413" s="1248"/>
    </row>
    <row r="414" spans="5:11">
      <c r="E414" s="1248"/>
      <c r="F414" s="1248"/>
      <c r="G414" s="1248"/>
      <c r="H414" s="1248"/>
      <c r="I414" s="1248"/>
      <c r="J414" s="1248"/>
      <c r="K414" s="1248"/>
    </row>
    <row r="415" spans="5:11">
      <c r="E415" s="1248"/>
      <c r="F415" s="1248"/>
      <c r="G415" s="1248"/>
      <c r="H415" s="1248"/>
      <c r="I415" s="1248"/>
      <c r="J415" s="1248"/>
      <c r="K415" s="1248"/>
    </row>
    <row r="416" spans="5:11">
      <c r="E416" s="1248"/>
      <c r="F416" s="1248"/>
      <c r="G416" s="1248"/>
      <c r="H416" s="1248"/>
      <c r="I416" s="1248"/>
      <c r="J416" s="1248"/>
      <c r="K416" s="1248"/>
    </row>
    <row r="417" spans="5:11">
      <c r="E417" s="1248"/>
      <c r="F417" s="1248"/>
      <c r="G417" s="1248"/>
      <c r="H417" s="1248"/>
      <c r="I417" s="1248"/>
      <c r="J417" s="1248"/>
      <c r="K417" s="1248"/>
    </row>
    <row r="418" spans="5:11">
      <c r="E418" s="1248"/>
      <c r="F418" s="1248"/>
      <c r="G418" s="1248"/>
      <c r="H418" s="1248"/>
      <c r="I418" s="1248"/>
      <c r="J418" s="1248"/>
      <c r="K418" s="1248"/>
    </row>
    <row r="419" spans="5:11">
      <c r="E419" s="1248"/>
      <c r="F419" s="1248"/>
      <c r="G419" s="1248"/>
      <c r="H419" s="1248"/>
      <c r="I419" s="1248"/>
      <c r="J419" s="1248"/>
      <c r="K419" s="1248"/>
    </row>
    <row r="420" spans="5:11">
      <c r="E420" s="1248"/>
      <c r="F420" s="1248"/>
      <c r="G420" s="1248"/>
      <c r="H420" s="1248"/>
      <c r="I420" s="1248"/>
      <c r="J420" s="1248"/>
      <c r="K420" s="1248"/>
    </row>
    <row r="421" spans="5:11">
      <c r="E421" s="1248"/>
      <c r="F421" s="1248"/>
      <c r="G421" s="1248"/>
      <c r="H421" s="1248"/>
      <c r="I421" s="1248"/>
      <c r="J421" s="1248"/>
      <c r="K421" s="1248"/>
    </row>
    <row r="422" spans="5:11">
      <c r="E422" s="1248"/>
      <c r="F422" s="1248"/>
      <c r="G422" s="1248"/>
      <c r="H422" s="1248"/>
      <c r="I422" s="1248"/>
      <c r="J422" s="1248"/>
      <c r="K422" s="1248"/>
    </row>
    <row r="423" spans="5:11">
      <c r="E423" s="1248"/>
      <c r="F423" s="1248"/>
      <c r="G423" s="1248"/>
      <c r="H423" s="1248"/>
      <c r="I423" s="1248"/>
      <c r="J423" s="1248"/>
      <c r="K423" s="1248"/>
    </row>
    <row r="424" spans="5:11">
      <c r="E424" s="1248"/>
      <c r="F424" s="1248"/>
      <c r="G424" s="1248"/>
      <c r="H424" s="1248"/>
      <c r="I424" s="1248"/>
      <c r="J424" s="1248"/>
      <c r="K424" s="1248"/>
    </row>
    <row r="425" spans="5:11">
      <c r="E425" s="1248"/>
      <c r="F425" s="1248"/>
      <c r="G425" s="1248"/>
      <c r="H425" s="1248"/>
      <c r="I425" s="1248"/>
      <c r="J425" s="1248"/>
      <c r="K425" s="1248"/>
    </row>
    <row r="426" spans="5:11">
      <c r="E426" s="1248"/>
      <c r="F426" s="1248"/>
      <c r="G426" s="1248"/>
      <c r="H426" s="1248"/>
      <c r="I426" s="1248"/>
      <c r="J426" s="1248"/>
      <c r="K426" s="1248"/>
    </row>
    <row r="427" spans="5:11">
      <c r="E427" s="1248"/>
      <c r="F427" s="1248"/>
      <c r="G427" s="1248"/>
      <c r="H427" s="1248"/>
      <c r="I427" s="1248"/>
      <c r="J427" s="1248"/>
      <c r="K427" s="1248"/>
    </row>
    <row r="428" spans="5:11">
      <c r="E428" s="1248"/>
      <c r="F428" s="1248"/>
      <c r="G428" s="1248"/>
      <c r="H428" s="1248"/>
      <c r="I428" s="1248"/>
      <c r="J428" s="1248"/>
      <c r="K428" s="1248"/>
    </row>
    <row r="429" spans="5:11">
      <c r="E429" s="1248"/>
      <c r="F429" s="1248"/>
      <c r="G429" s="1248"/>
      <c r="H429" s="1248"/>
      <c r="I429" s="1248"/>
      <c r="J429" s="1248"/>
      <c r="K429" s="1248"/>
    </row>
    <row r="430" spans="5:11">
      <c r="E430" s="1248"/>
      <c r="F430" s="1248"/>
      <c r="G430" s="1248"/>
      <c r="H430" s="1248"/>
      <c r="I430" s="1248"/>
      <c r="J430" s="1248"/>
      <c r="K430" s="1248"/>
    </row>
    <row r="431" spans="5:11">
      <c r="E431" s="1248"/>
      <c r="F431" s="1248"/>
      <c r="G431" s="1248"/>
      <c r="H431" s="1248"/>
      <c r="I431" s="1248"/>
      <c r="J431" s="1248"/>
      <c r="K431" s="1248"/>
    </row>
    <row r="432" spans="5:11">
      <c r="E432" s="1248"/>
      <c r="F432" s="1248"/>
      <c r="G432" s="1248"/>
      <c r="H432" s="1248"/>
      <c r="I432" s="1248"/>
      <c r="J432" s="1248"/>
      <c r="K432" s="1248"/>
    </row>
    <row r="433" spans="5:11">
      <c r="E433" s="1248"/>
      <c r="F433" s="1248"/>
      <c r="G433" s="1248"/>
      <c r="H433" s="1248"/>
      <c r="I433" s="1248"/>
      <c r="J433" s="1248"/>
      <c r="K433" s="1248"/>
    </row>
    <row r="434" spans="5:11">
      <c r="E434" s="1248"/>
      <c r="F434" s="1248"/>
      <c r="G434" s="1248"/>
      <c r="H434" s="1248"/>
      <c r="I434" s="1248"/>
      <c r="J434" s="1248"/>
      <c r="K434" s="1248"/>
    </row>
    <row r="435" spans="5:11">
      <c r="E435" s="1248"/>
      <c r="F435" s="1248"/>
      <c r="G435" s="1248"/>
      <c r="H435" s="1248"/>
      <c r="I435" s="1248"/>
      <c r="J435" s="1248"/>
      <c r="K435" s="1248"/>
    </row>
    <row r="436" spans="5:11">
      <c r="E436" s="1248"/>
      <c r="F436" s="1248"/>
      <c r="G436" s="1248"/>
      <c r="H436" s="1248"/>
      <c r="I436" s="1248"/>
      <c r="J436" s="1248"/>
      <c r="K436" s="1248"/>
    </row>
    <row r="437" spans="5:11">
      <c r="E437" s="1248"/>
      <c r="F437" s="1248"/>
      <c r="G437" s="1248"/>
      <c r="H437" s="1248"/>
      <c r="I437" s="1248"/>
      <c r="J437" s="1248"/>
      <c r="K437" s="1248"/>
    </row>
    <row r="438" spans="5:11">
      <c r="E438" s="1248"/>
      <c r="F438" s="1248"/>
      <c r="G438" s="1248"/>
      <c r="H438" s="1248"/>
      <c r="I438" s="1248"/>
      <c r="J438" s="1248"/>
      <c r="K438" s="1248"/>
    </row>
    <row r="439" spans="5:11">
      <c r="E439" s="1248"/>
      <c r="F439" s="1248"/>
      <c r="G439" s="1248"/>
      <c r="H439" s="1248"/>
      <c r="I439" s="1248"/>
      <c r="J439" s="1248"/>
      <c r="K439" s="1248"/>
    </row>
    <row r="440" spans="5:11">
      <c r="E440" s="1248"/>
      <c r="F440" s="1248"/>
      <c r="G440" s="1248"/>
      <c r="H440" s="1248"/>
      <c r="I440" s="1248"/>
      <c r="J440" s="1248"/>
      <c r="K440" s="1248"/>
    </row>
    <row r="441" spans="5:11">
      <c r="E441" s="1248"/>
      <c r="F441" s="1248"/>
      <c r="G441" s="1248"/>
      <c r="H441" s="1248"/>
      <c r="I441" s="1248"/>
      <c r="J441" s="1248"/>
      <c r="K441" s="1248"/>
    </row>
    <row r="442" spans="5:11">
      <c r="E442" s="1248"/>
      <c r="F442" s="1248"/>
      <c r="G442" s="1248"/>
      <c r="H442" s="1248"/>
      <c r="I442" s="1248"/>
      <c r="J442" s="1248"/>
      <c r="K442" s="1248"/>
    </row>
    <row r="443" spans="5:11">
      <c r="E443" s="1248"/>
      <c r="F443" s="1248"/>
      <c r="G443" s="1248"/>
      <c r="H443" s="1248"/>
      <c r="I443" s="1248"/>
      <c r="J443" s="1248"/>
      <c r="K443" s="1248"/>
    </row>
    <row r="444" spans="5:11">
      <c r="E444" s="1248"/>
      <c r="F444" s="1248"/>
      <c r="G444" s="1248"/>
      <c r="H444" s="1248"/>
      <c r="I444" s="1248"/>
      <c r="J444" s="1248"/>
      <c r="K444" s="1248"/>
    </row>
    <row r="445" spans="5:11">
      <c r="E445" s="1248"/>
      <c r="F445" s="1248"/>
      <c r="G445" s="1248"/>
      <c r="H445" s="1248"/>
      <c r="I445" s="1248"/>
      <c r="J445" s="1248"/>
      <c r="K445" s="1248"/>
    </row>
    <row r="446" spans="5:11">
      <c r="E446" s="1248"/>
      <c r="F446" s="1248"/>
      <c r="G446" s="1248"/>
      <c r="H446" s="1248"/>
      <c r="I446" s="1248"/>
      <c r="J446" s="1248"/>
      <c r="K446" s="1248"/>
    </row>
    <row r="447" spans="5:11">
      <c r="E447" s="1248"/>
      <c r="F447" s="1248"/>
      <c r="G447" s="1248"/>
      <c r="H447" s="1248"/>
      <c r="I447" s="1248"/>
      <c r="J447" s="1248"/>
      <c r="K447" s="1248"/>
    </row>
    <row r="448" spans="5:11">
      <c r="E448" s="1248"/>
      <c r="F448" s="1248"/>
      <c r="G448" s="1248"/>
      <c r="H448" s="1248"/>
      <c r="I448" s="1248"/>
      <c r="J448" s="1248"/>
      <c r="K448" s="1248"/>
    </row>
    <row r="449" spans="5:11">
      <c r="E449" s="1248"/>
      <c r="F449" s="1248"/>
      <c r="G449" s="1248"/>
      <c r="H449" s="1248"/>
      <c r="I449" s="1248"/>
      <c r="J449" s="1248"/>
      <c r="K449" s="1248"/>
    </row>
    <row r="450" spans="5:11">
      <c r="E450" s="1248"/>
      <c r="F450" s="1248"/>
      <c r="G450" s="1248"/>
      <c r="H450" s="1248"/>
      <c r="I450" s="1248"/>
      <c r="J450" s="1248"/>
      <c r="K450" s="1248"/>
    </row>
    <row r="451" spans="5:11">
      <c r="E451" s="1248"/>
      <c r="F451" s="1248"/>
      <c r="G451" s="1248"/>
      <c r="H451" s="1248"/>
      <c r="I451" s="1248"/>
      <c r="J451" s="1248"/>
      <c r="K451" s="1248"/>
    </row>
    <row r="452" spans="5:11">
      <c r="E452" s="1248"/>
      <c r="F452" s="1248"/>
      <c r="G452" s="1248"/>
      <c r="H452" s="1248"/>
      <c r="I452" s="1248"/>
      <c r="J452" s="1248"/>
      <c r="K452" s="1248"/>
    </row>
    <row r="453" spans="5:11">
      <c r="E453" s="1248"/>
      <c r="F453" s="1248"/>
      <c r="G453" s="1248"/>
      <c r="H453" s="1248"/>
      <c r="I453" s="1248"/>
      <c r="J453" s="1248"/>
      <c r="K453" s="1248"/>
    </row>
    <row r="454" spans="5:11">
      <c r="E454" s="1248"/>
      <c r="F454" s="1248"/>
      <c r="G454" s="1248"/>
      <c r="H454" s="1248"/>
      <c r="I454" s="1248"/>
      <c r="J454" s="1248"/>
      <c r="K454" s="1248"/>
    </row>
    <row r="455" spans="5:11">
      <c r="E455" s="1248"/>
      <c r="F455" s="1248"/>
      <c r="G455" s="1248"/>
      <c r="H455" s="1248"/>
      <c r="I455" s="1248"/>
      <c r="J455" s="1248"/>
      <c r="K455" s="1248"/>
    </row>
    <row r="456" spans="5:11">
      <c r="E456" s="1248"/>
      <c r="F456" s="1248"/>
      <c r="G456" s="1248"/>
      <c r="H456" s="1248"/>
      <c r="I456" s="1248"/>
      <c r="J456" s="1248"/>
      <c r="K456" s="1248"/>
    </row>
    <row r="457" spans="5:11">
      <c r="E457" s="1248"/>
      <c r="F457" s="1248"/>
      <c r="G457" s="1248"/>
      <c r="H457" s="1248"/>
      <c r="I457" s="1248"/>
      <c r="J457" s="1248"/>
      <c r="K457" s="1248"/>
    </row>
    <row r="458" spans="5:11">
      <c r="E458" s="1248"/>
      <c r="F458" s="1248"/>
      <c r="G458" s="1248"/>
      <c r="H458" s="1248"/>
      <c r="I458" s="1248"/>
      <c r="J458" s="1248"/>
      <c r="K458" s="1248"/>
    </row>
    <row r="459" spans="5:11">
      <c r="E459" s="1248"/>
      <c r="F459" s="1248"/>
      <c r="G459" s="1248"/>
      <c r="H459" s="1248"/>
      <c r="I459" s="1248"/>
      <c r="J459" s="1248"/>
      <c r="K459" s="1248"/>
    </row>
    <row r="460" spans="5:11">
      <c r="E460" s="1248"/>
      <c r="F460" s="1248"/>
      <c r="G460" s="1248"/>
      <c r="H460" s="1248"/>
      <c r="I460" s="1248"/>
      <c r="J460" s="1248"/>
      <c r="K460" s="1248"/>
    </row>
    <row r="461" spans="5:11">
      <c r="E461" s="1248"/>
      <c r="F461" s="1248"/>
      <c r="G461" s="1248"/>
      <c r="H461" s="1248"/>
      <c r="I461" s="1248"/>
      <c r="J461" s="1248"/>
      <c r="K461" s="1248"/>
    </row>
    <row r="462" spans="5:11">
      <c r="E462" s="1248"/>
      <c r="F462" s="1248"/>
      <c r="G462" s="1248"/>
      <c r="H462" s="1248"/>
      <c r="I462" s="1248"/>
      <c r="J462" s="1248"/>
      <c r="K462" s="1248"/>
    </row>
    <row r="463" spans="5:11">
      <c r="E463" s="1248"/>
      <c r="F463" s="1248"/>
      <c r="G463" s="1248"/>
      <c r="H463" s="1248"/>
      <c r="I463" s="1248"/>
      <c r="J463" s="1248"/>
      <c r="K463" s="1248"/>
    </row>
    <row r="464" spans="5:11">
      <c r="E464" s="1248"/>
      <c r="F464" s="1248"/>
      <c r="G464" s="1248"/>
      <c r="H464" s="1248"/>
      <c r="I464" s="1248"/>
      <c r="J464" s="1248"/>
      <c r="K464" s="1248"/>
    </row>
    <row r="465" spans="5:11">
      <c r="E465" s="1248"/>
      <c r="F465" s="1248"/>
      <c r="G465" s="1248"/>
      <c r="H465" s="1248"/>
      <c r="I465" s="1248"/>
      <c r="J465" s="1248"/>
      <c r="K465" s="1248"/>
    </row>
    <row r="466" spans="5:11">
      <c r="E466" s="1248"/>
      <c r="F466" s="1248"/>
      <c r="G466" s="1248"/>
      <c r="H466" s="1248"/>
      <c r="I466" s="1248"/>
      <c r="J466" s="1248"/>
      <c r="K466" s="1248"/>
    </row>
    <row r="467" spans="5:11">
      <c r="E467" s="1248"/>
      <c r="F467" s="1248"/>
      <c r="G467" s="1248"/>
      <c r="H467" s="1248"/>
      <c r="I467" s="1248"/>
      <c r="J467" s="1248"/>
      <c r="K467" s="1248"/>
    </row>
    <row r="468" spans="5:11">
      <c r="E468" s="1248"/>
      <c r="F468" s="1248"/>
      <c r="G468" s="1248"/>
      <c r="H468" s="1248"/>
      <c r="I468" s="1248"/>
      <c r="J468" s="1248"/>
      <c r="K468" s="1248"/>
    </row>
    <row r="469" spans="5:11">
      <c r="E469" s="1248"/>
      <c r="F469" s="1248"/>
      <c r="G469" s="1248"/>
      <c r="H469" s="1248"/>
      <c r="I469" s="1248"/>
      <c r="J469" s="1248"/>
      <c r="K469" s="1248"/>
    </row>
    <row r="470" spans="5:11">
      <c r="E470" s="1248"/>
      <c r="F470" s="1248"/>
      <c r="G470" s="1248"/>
      <c r="H470" s="1248"/>
      <c r="I470" s="1248"/>
      <c r="J470" s="1248"/>
      <c r="K470" s="1248"/>
    </row>
    <row r="471" spans="5:11">
      <c r="E471" s="1248"/>
      <c r="F471" s="1248"/>
      <c r="G471" s="1248"/>
      <c r="H471" s="1248"/>
      <c r="I471" s="1248"/>
      <c r="J471" s="1248"/>
      <c r="K471" s="1248"/>
    </row>
    <row r="472" spans="5:11">
      <c r="E472" s="1248"/>
      <c r="F472" s="1248"/>
      <c r="G472" s="1248"/>
      <c r="H472" s="1248"/>
      <c r="I472" s="1248"/>
      <c r="J472" s="1248"/>
      <c r="K472" s="1248"/>
    </row>
    <row r="473" spans="5:11">
      <c r="E473" s="1248"/>
      <c r="F473" s="1248"/>
      <c r="G473" s="1248"/>
      <c r="H473" s="1248"/>
      <c r="I473" s="1248"/>
      <c r="J473" s="1248"/>
      <c r="K473" s="1248"/>
    </row>
    <row r="474" spans="5:11">
      <c r="E474" s="1248"/>
      <c r="F474" s="1248"/>
      <c r="G474" s="1248"/>
      <c r="H474" s="1248"/>
      <c r="I474" s="1248"/>
      <c r="J474" s="1248"/>
      <c r="K474" s="1248"/>
    </row>
    <row r="475" spans="5:11">
      <c r="E475" s="1248"/>
      <c r="F475" s="1248"/>
      <c r="G475" s="1248"/>
      <c r="H475" s="1248"/>
      <c r="I475" s="1248"/>
      <c r="J475" s="1248"/>
      <c r="K475" s="1248"/>
    </row>
    <row r="476" spans="5:11">
      <c r="E476" s="1248"/>
      <c r="F476" s="1248"/>
      <c r="G476" s="1248"/>
      <c r="H476" s="1248"/>
      <c r="I476" s="1248"/>
      <c r="J476" s="1248"/>
      <c r="K476" s="1248"/>
    </row>
    <row r="477" spans="5:11">
      <c r="E477" s="1248"/>
      <c r="F477" s="1248"/>
      <c r="G477" s="1248"/>
      <c r="H477" s="1248"/>
      <c r="I477" s="1248"/>
      <c r="J477" s="1248"/>
      <c r="K477" s="1248"/>
    </row>
    <row r="478" spans="5:11">
      <c r="E478" s="1248"/>
      <c r="F478" s="1248"/>
      <c r="G478" s="1248"/>
      <c r="H478" s="1248"/>
      <c r="I478" s="1248"/>
      <c r="J478" s="1248"/>
      <c r="K478" s="1248"/>
    </row>
    <row r="479" spans="5:11">
      <c r="E479" s="1248"/>
      <c r="F479" s="1248"/>
      <c r="G479" s="1248"/>
      <c r="H479" s="1248"/>
      <c r="I479" s="1248"/>
      <c r="J479" s="1248"/>
      <c r="K479" s="1248"/>
    </row>
    <row r="480" spans="5:11">
      <c r="E480" s="1248"/>
      <c r="F480" s="1248"/>
      <c r="G480" s="1248"/>
      <c r="H480" s="1248"/>
      <c r="I480" s="1248"/>
      <c r="J480" s="1248"/>
      <c r="K480" s="1248"/>
    </row>
    <row r="481" spans="5:11">
      <c r="E481" s="1248"/>
      <c r="F481" s="1248"/>
      <c r="G481" s="1248"/>
      <c r="H481" s="1248"/>
      <c r="I481" s="1248"/>
      <c r="J481" s="1248"/>
      <c r="K481" s="1248"/>
    </row>
    <row r="482" spans="5:11">
      <c r="E482" s="1248"/>
      <c r="F482" s="1248"/>
      <c r="G482" s="1248"/>
      <c r="H482" s="1248"/>
      <c r="I482" s="1248"/>
      <c r="J482" s="1248"/>
      <c r="K482" s="1248"/>
    </row>
    <row r="483" spans="5:11">
      <c r="E483" s="1248"/>
      <c r="F483" s="1248"/>
      <c r="G483" s="1248"/>
      <c r="H483" s="1248"/>
      <c r="I483" s="1248"/>
      <c r="J483" s="1248"/>
      <c r="K483" s="1248"/>
    </row>
    <row r="484" spans="5:11">
      <c r="E484" s="1248"/>
      <c r="F484" s="1248"/>
      <c r="G484" s="1248"/>
      <c r="H484" s="1248"/>
      <c r="I484" s="1248"/>
      <c r="J484" s="1248"/>
      <c r="K484" s="1248"/>
    </row>
    <row r="485" spans="5:11">
      <c r="E485" s="1248"/>
      <c r="F485" s="1248"/>
      <c r="G485" s="1248"/>
      <c r="H485" s="1248"/>
      <c r="I485" s="1248"/>
      <c r="J485" s="1248"/>
      <c r="K485" s="1248"/>
    </row>
    <row r="486" spans="5:11">
      <c r="E486" s="1248"/>
      <c r="F486" s="1248"/>
      <c r="G486" s="1248"/>
      <c r="H486" s="1248"/>
      <c r="I486" s="1248"/>
      <c r="J486" s="1248"/>
      <c r="K486" s="1248"/>
    </row>
    <row r="487" spans="5:11">
      <c r="E487" s="1248"/>
      <c r="F487" s="1248"/>
      <c r="G487" s="1248"/>
      <c r="H487" s="1248"/>
      <c r="I487" s="1248"/>
      <c r="J487" s="1248"/>
      <c r="K487" s="1248"/>
    </row>
    <row r="488" spans="5:11">
      <c r="E488" s="1248"/>
      <c r="F488" s="1248"/>
      <c r="G488" s="1248"/>
      <c r="H488" s="1248"/>
      <c r="I488" s="1248"/>
      <c r="J488" s="1248"/>
      <c r="K488" s="1248"/>
    </row>
    <row r="489" spans="5:11">
      <c r="E489" s="1248"/>
      <c r="F489" s="1248"/>
      <c r="G489" s="1248"/>
      <c r="H489" s="1248"/>
      <c r="I489" s="1248"/>
      <c r="J489" s="1248"/>
      <c r="K489" s="1248"/>
    </row>
    <row r="490" spans="5:11">
      <c r="E490" s="1248"/>
      <c r="F490" s="1248"/>
      <c r="G490" s="1248"/>
      <c r="H490" s="1248"/>
      <c r="I490" s="1248"/>
      <c r="J490" s="1248"/>
      <c r="K490" s="1248"/>
    </row>
    <row r="491" spans="5:11">
      <c r="E491" s="1248"/>
      <c r="F491" s="1248"/>
      <c r="G491" s="1248"/>
      <c r="H491" s="1248"/>
      <c r="I491" s="1248"/>
      <c r="J491" s="1248"/>
      <c r="K491" s="1248"/>
    </row>
    <row r="492" spans="5:11">
      <c r="E492" s="1248"/>
      <c r="F492" s="1248"/>
      <c r="G492" s="1248"/>
      <c r="H492" s="1248"/>
      <c r="I492" s="1248"/>
      <c r="J492" s="1248"/>
      <c r="K492" s="1248"/>
    </row>
    <row r="493" spans="5:11">
      <c r="E493" s="1248"/>
      <c r="F493" s="1248"/>
      <c r="G493" s="1248"/>
      <c r="H493" s="1248"/>
      <c r="I493" s="1248"/>
      <c r="J493" s="1248"/>
      <c r="K493" s="1248"/>
    </row>
    <row r="494" spans="5:11">
      <c r="E494" s="1248"/>
      <c r="F494" s="1248"/>
      <c r="G494" s="1248"/>
      <c r="H494" s="1248"/>
      <c r="I494" s="1248"/>
      <c r="J494" s="1248"/>
      <c r="K494" s="1248"/>
    </row>
    <row r="495" spans="5:11">
      <c r="E495" s="1248"/>
      <c r="F495" s="1248"/>
      <c r="G495" s="1248"/>
      <c r="H495" s="1248"/>
      <c r="I495" s="1248"/>
      <c r="J495" s="1248"/>
      <c r="K495" s="1248"/>
    </row>
    <row r="496" spans="5:11">
      <c r="E496" s="1248"/>
      <c r="F496" s="1248"/>
      <c r="G496" s="1248"/>
      <c r="H496" s="1248"/>
      <c r="I496" s="1248"/>
      <c r="J496" s="1248"/>
      <c r="K496" s="1248"/>
    </row>
    <row r="497" spans="5:11">
      <c r="E497" s="1248"/>
      <c r="F497" s="1248"/>
      <c r="G497" s="1248"/>
      <c r="H497" s="1248"/>
      <c r="I497" s="1248"/>
      <c r="J497" s="1248"/>
      <c r="K497" s="1248"/>
    </row>
    <row r="498" spans="5:11">
      <c r="E498" s="1248"/>
      <c r="F498" s="1248"/>
      <c r="G498" s="1248"/>
      <c r="H498" s="1248"/>
      <c r="I498" s="1248"/>
      <c r="J498" s="1248"/>
      <c r="K498" s="1248"/>
    </row>
    <row r="499" spans="5:11">
      <c r="E499" s="1248"/>
      <c r="F499" s="1248"/>
      <c r="G499" s="1248"/>
      <c r="H499" s="1248"/>
      <c r="I499" s="1248"/>
      <c r="J499" s="1248"/>
      <c r="K499" s="1248"/>
    </row>
    <row r="500" spans="5:11">
      <c r="E500" s="1248"/>
      <c r="F500" s="1248"/>
      <c r="G500" s="1248"/>
      <c r="H500" s="1248"/>
      <c r="I500" s="1248"/>
      <c r="J500" s="1248"/>
      <c r="K500" s="1248"/>
    </row>
    <row r="501" spans="5:11">
      <c r="E501" s="1248"/>
      <c r="F501" s="1248"/>
      <c r="G501" s="1248"/>
      <c r="H501" s="1248"/>
      <c r="I501" s="1248"/>
      <c r="J501" s="1248"/>
      <c r="K501" s="1248"/>
    </row>
    <row r="502" spans="5:11">
      <c r="E502" s="1248"/>
      <c r="F502" s="1248"/>
      <c r="G502" s="1248"/>
      <c r="H502" s="1248"/>
      <c r="I502" s="1248"/>
      <c r="J502" s="1248"/>
      <c r="K502" s="1248"/>
    </row>
    <row r="503" spans="5:11">
      <c r="E503" s="1248"/>
      <c r="F503" s="1248"/>
      <c r="G503" s="1248"/>
      <c r="H503" s="1248"/>
      <c r="I503" s="1248"/>
      <c r="J503" s="1248"/>
      <c r="K503" s="1248"/>
    </row>
    <row r="504" spans="5:11">
      <c r="E504" s="1248"/>
      <c r="F504" s="1248"/>
      <c r="G504" s="1248"/>
      <c r="H504" s="1248"/>
      <c r="I504" s="1248"/>
      <c r="J504" s="1248"/>
      <c r="K504" s="1248"/>
    </row>
    <row r="505" spans="5:11">
      <c r="E505" s="1248"/>
      <c r="F505" s="1248"/>
      <c r="G505" s="1248"/>
      <c r="H505" s="1248"/>
      <c r="I505" s="1248"/>
      <c r="J505" s="1248"/>
      <c r="K505" s="1248"/>
    </row>
    <row r="506" spans="5:11">
      <c r="E506" s="1248"/>
      <c r="F506" s="1248"/>
      <c r="G506" s="1248"/>
      <c r="H506" s="1248"/>
      <c r="I506" s="1248"/>
      <c r="J506" s="1248"/>
      <c r="K506" s="1248"/>
    </row>
    <row r="507" spans="5:11">
      <c r="E507" s="1248"/>
      <c r="F507" s="1248"/>
      <c r="G507" s="1248"/>
      <c r="H507" s="1248"/>
      <c r="I507" s="1248"/>
      <c r="J507" s="1248"/>
      <c r="K507" s="1248"/>
    </row>
    <row r="508" spans="5:11">
      <c r="E508" s="1248"/>
      <c r="F508" s="1248"/>
      <c r="G508" s="1248"/>
      <c r="H508" s="1248"/>
      <c r="I508" s="1248"/>
      <c r="J508" s="1248"/>
      <c r="K508" s="1248"/>
    </row>
  </sheetData>
  <mergeCells count="18">
    <mergeCell ref="B40:M40"/>
    <mergeCell ref="I3:I4"/>
    <mergeCell ref="J3:J4"/>
    <mergeCell ref="K3:K4"/>
    <mergeCell ref="L3:L4"/>
    <mergeCell ref="M3:M4"/>
    <mergeCell ref="I38:J38"/>
    <mergeCell ref="B1:D1"/>
    <mergeCell ref="B2:L2"/>
    <mergeCell ref="A3:A39"/>
    <mergeCell ref="B3:B4"/>
    <mergeCell ref="C3:C4"/>
    <mergeCell ref="D3:D4"/>
    <mergeCell ref="E3:E4"/>
    <mergeCell ref="F3:F4"/>
    <mergeCell ref="G3:G4"/>
    <mergeCell ref="H3:H4"/>
    <mergeCell ref="B39:J39"/>
  </mergeCells>
  <phoneticPr fontId="84" type="noConversion"/>
  <pageMargins left="0.70866141732283505" right="0.70866141732283505" top="0.74803149606299202" bottom="0.74803149606299202" header="0.31496062992126" footer="0.31496062992126"/>
  <pageSetup paperSize="8" scale="78"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1774-6D18-0749-B619-58E8474FCDC3}">
  <sheetPr>
    <tabColor rgb="FFC00000"/>
  </sheetPr>
  <dimension ref="A1:I23"/>
  <sheetViews>
    <sheetView topLeftCell="A2" zoomScale="107" zoomScaleNormal="115" workbookViewId="0">
      <selection activeCell="C15" sqref="C15"/>
    </sheetView>
  </sheetViews>
  <sheetFormatPr baseColWidth="10" defaultColWidth="9" defaultRowHeight="13"/>
  <cols>
    <col min="1" max="1" width="16.1640625" customWidth="1"/>
    <col min="2" max="2" width="37.5" customWidth="1"/>
    <col min="3" max="3" width="15.6640625" customWidth="1"/>
    <col min="4" max="6" width="16.6640625" customWidth="1"/>
    <col min="7" max="7" width="17" customWidth="1"/>
    <col min="8" max="8" width="46.5" style="1059" customWidth="1"/>
    <col min="9" max="9" width="20.83203125" customWidth="1"/>
    <col min="10" max="10" width="15.6640625" customWidth="1"/>
  </cols>
  <sheetData>
    <row r="1" spans="1:9" s="1046" customFormat="1" ht="23">
      <c r="A1" s="1791" t="s">
        <v>7648</v>
      </c>
      <c r="B1" s="1792"/>
      <c r="C1" s="1792"/>
      <c r="D1" s="1792"/>
      <c r="E1" s="1792"/>
      <c r="F1" s="1792"/>
      <c r="G1" s="1792"/>
      <c r="H1" s="1792"/>
      <c r="I1" s="1792"/>
    </row>
    <row r="2" spans="1:9" s="1046" customFormat="1" ht="38">
      <c r="A2" s="1793" t="s">
        <v>7623</v>
      </c>
      <c r="B2" s="1793"/>
      <c r="C2" s="1047" t="s">
        <v>7624</v>
      </c>
      <c r="D2" s="1047" t="s">
        <v>7625</v>
      </c>
      <c r="E2" s="1047" t="s">
        <v>7626</v>
      </c>
      <c r="F2" s="1047" t="s">
        <v>7627</v>
      </c>
      <c r="G2" s="1048" t="s">
        <v>7074</v>
      </c>
      <c r="H2" s="1048" t="s">
        <v>7628</v>
      </c>
      <c r="I2" s="1048" t="s">
        <v>7629</v>
      </c>
    </row>
    <row r="3" spans="1:9" s="1046" customFormat="1" ht="35" customHeight="1">
      <c r="A3" s="1794" t="s">
        <v>7630</v>
      </c>
      <c r="B3" s="1049" t="s">
        <v>7631</v>
      </c>
      <c r="C3" s="1050">
        <v>0</v>
      </c>
      <c r="D3" s="1050" t="s">
        <v>43</v>
      </c>
      <c r="E3" s="1050" t="s">
        <v>43</v>
      </c>
      <c r="F3" s="1050">
        <v>0</v>
      </c>
      <c r="G3" s="1050">
        <v>0</v>
      </c>
      <c r="H3" s="1051" t="s">
        <v>7632</v>
      </c>
      <c r="I3" s="1052" t="s">
        <v>6894</v>
      </c>
    </row>
    <row r="4" spans="1:9" s="1046" customFormat="1" ht="35" customHeight="1">
      <c r="A4" s="1795"/>
      <c r="B4" s="1049" t="s">
        <v>7633</v>
      </c>
      <c r="C4" s="1053">
        <v>0</v>
      </c>
      <c r="D4" s="1053" t="s">
        <v>7634</v>
      </c>
      <c r="E4" s="1050" t="s">
        <v>43</v>
      </c>
      <c r="F4" s="1050">
        <v>0</v>
      </c>
      <c r="G4" s="1050">
        <v>0</v>
      </c>
      <c r="H4" s="1051" t="s">
        <v>7635</v>
      </c>
      <c r="I4" s="1052" t="s">
        <v>6894</v>
      </c>
    </row>
    <row r="5" spans="1:9" s="1046" customFormat="1" ht="35" customHeight="1">
      <c r="A5" s="1796"/>
      <c r="B5" s="1049" t="s">
        <v>7636</v>
      </c>
      <c r="C5" s="1053">
        <v>0</v>
      </c>
      <c r="D5" s="1050" t="s">
        <v>43</v>
      </c>
      <c r="E5" s="1050" t="s">
        <v>43</v>
      </c>
      <c r="F5" s="1050">
        <v>0</v>
      </c>
      <c r="G5" s="1050">
        <v>0</v>
      </c>
      <c r="H5" s="1051" t="s">
        <v>7637</v>
      </c>
      <c r="I5" s="1052" t="s">
        <v>6894</v>
      </c>
    </row>
    <row r="6" spans="1:9" s="1046" customFormat="1" ht="35" customHeight="1">
      <c r="A6" s="1797" t="s">
        <v>7638</v>
      </c>
      <c r="B6" s="1049" t="s">
        <v>7639</v>
      </c>
      <c r="C6" s="1053">
        <f>总指标!K3</f>
        <v>370</v>
      </c>
      <c r="D6" s="1053">
        <v>6500</v>
      </c>
      <c r="E6" s="1053">
        <v>4500</v>
      </c>
      <c r="F6" s="1053">
        <f t="shared" ref="F6:F7" si="0">E6+D6</f>
        <v>11000</v>
      </c>
      <c r="G6" s="1051">
        <f t="shared" ref="G6:G17" si="1">F6*C6/10000</f>
        <v>407</v>
      </c>
      <c r="H6" s="1051" t="s">
        <v>7635</v>
      </c>
      <c r="I6" s="1052" t="s">
        <v>6894</v>
      </c>
    </row>
    <row r="7" spans="1:9" s="1046" customFormat="1" ht="35" customHeight="1">
      <c r="A7" s="1797"/>
      <c r="B7" s="1049" t="s">
        <v>7640</v>
      </c>
      <c r="C7" s="1053">
        <v>1000</v>
      </c>
      <c r="D7" s="1053">
        <v>6500</v>
      </c>
      <c r="E7" s="1053">
        <v>4500</v>
      </c>
      <c r="F7" s="1053">
        <f t="shared" si="0"/>
        <v>11000</v>
      </c>
      <c r="G7" s="1051">
        <f t="shared" ref="G7" si="2">F7*C7/10000</f>
        <v>1100</v>
      </c>
      <c r="H7" s="1051" t="s">
        <v>8070</v>
      </c>
      <c r="I7" s="1052"/>
    </row>
    <row r="8" spans="1:9" s="1046" customFormat="1" ht="35" customHeight="1">
      <c r="A8" s="1797"/>
      <c r="B8" s="1049" t="s">
        <v>7641</v>
      </c>
      <c r="C8" s="1053">
        <v>4000</v>
      </c>
      <c r="D8" s="1050" t="s">
        <v>43</v>
      </c>
      <c r="E8" s="1050" t="s">
        <v>43</v>
      </c>
      <c r="F8" s="1050">
        <v>2500</v>
      </c>
      <c r="G8" s="1051">
        <f t="shared" si="1"/>
        <v>1000</v>
      </c>
      <c r="H8" s="1051"/>
      <c r="I8" s="1052"/>
    </row>
    <row r="9" spans="1:9" s="1046" customFormat="1" ht="35" customHeight="1">
      <c r="A9" s="1797"/>
      <c r="B9" s="1049" t="s">
        <v>7642</v>
      </c>
      <c r="C9" s="1053">
        <v>600</v>
      </c>
      <c r="D9" s="1050" t="s">
        <v>43</v>
      </c>
      <c r="E9" s="1050" t="s">
        <v>43</v>
      </c>
      <c r="F9" s="1050">
        <v>2500</v>
      </c>
      <c r="G9" s="1051">
        <f t="shared" si="1"/>
        <v>150</v>
      </c>
      <c r="H9" s="1051" t="s">
        <v>7643</v>
      </c>
      <c r="I9" s="1052" t="s">
        <v>6894</v>
      </c>
    </row>
    <row r="10" spans="1:9" s="1046" customFormat="1" ht="35" customHeight="1">
      <c r="A10" s="1797" t="s">
        <v>7644</v>
      </c>
      <c r="B10" s="1049" t="s">
        <v>7645</v>
      </c>
      <c r="C10" s="1054">
        <v>0</v>
      </c>
      <c r="D10" s="1050" t="s">
        <v>43</v>
      </c>
      <c r="E10" s="1050" t="s">
        <v>43</v>
      </c>
      <c r="F10" s="1050">
        <v>0</v>
      </c>
      <c r="G10" s="1050">
        <v>0</v>
      </c>
      <c r="H10" s="1051"/>
      <c r="I10" s="1052" t="s">
        <v>6894</v>
      </c>
    </row>
    <row r="11" spans="1:9" s="1046" customFormat="1" ht="35" customHeight="1">
      <c r="A11" s="1797"/>
      <c r="B11" s="1049" t="s">
        <v>7645</v>
      </c>
      <c r="C11" s="1054">
        <v>0</v>
      </c>
      <c r="D11" s="1050" t="s">
        <v>43</v>
      </c>
      <c r="E11" s="1050" t="s">
        <v>43</v>
      </c>
      <c r="F11" s="1050">
        <v>0</v>
      </c>
      <c r="G11" s="1050">
        <v>0</v>
      </c>
      <c r="H11" s="1051"/>
      <c r="I11" s="1052" t="s">
        <v>6894</v>
      </c>
    </row>
    <row r="12" spans="1:9" s="1046" customFormat="1" ht="35" customHeight="1">
      <c r="A12" s="1797"/>
      <c r="B12" s="1049" t="s">
        <v>7645</v>
      </c>
      <c r="C12" s="1053">
        <v>0</v>
      </c>
      <c r="D12" s="1050" t="s">
        <v>43</v>
      </c>
      <c r="E12" s="1050" t="s">
        <v>43</v>
      </c>
      <c r="F12" s="1050">
        <v>0</v>
      </c>
      <c r="G12" s="1050">
        <v>0</v>
      </c>
      <c r="H12" s="1051"/>
      <c r="I12" s="1052" t="s">
        <v>6894</v>
      </c>
    </row>
    <row r="13" spans="1:9" s="1046" customFormat="1" ht="35" customHeight="1">
      <c r="A13" s="1794" t="s">
        <v>7646</v>
      </c>
      <c r="B13" s="1049" t="s">
        <v>8073</v>
      </c>
      <c r="C13" s="1054">
        <f>总指标!J24</f>
        <v>143</v>
      </c>
      <c r="D13" s="1053">
        <v>2500</v>
      </c>
      <c r="E13" s="1053">
        <v>5000</v>
      </c>
      <c r="F13" s="1053">
        <f t="shared" ref="F13:F14" si="3">E13+D13</f>
        <v>7500</v>
      </c>
      <c r="G13" s="1051">
        <f t="shared" si="1"/>
        <v>107.25</v>
      </c>
      <c r="H13" s="1051" t="s">
        <v>8074</v>
      </c>
      <c r="I13" s="1052" t="s">
        <v>6894</v>
      </c>
    </row>
    <row r="14" spans="1:9" s="1046" customFormat="1" ht="35" customHeight="1">
      <c r="A14" s="1795"/>
      <c r="B14" s="1049" t="s">
        <v>8072</v>
      </c>
      <c r="C14" s="1054">
        <f>总指标!J25</f>
        <v>176</v>
      </c>
      <c r="D14" s="1053">
        <v>2500</v>
      </c>
      <c r="E14" s="1053">
        <v>5000</v>
      </c>
      <c r="F14" s="1053">
        <f t="shared" si="3"/>
        <v>7500</v>
      </c>
      <c r="G14" s="1051">
        <f t="shared" si="1"/>
        <v>132</v>
      </c>
      <c r="H14" s="1051" t="s">
        <v>8074</v>
      </c>
      <c r="I14" s="1052" t="s">
        <v>6894</v>
      </c>
    </row>
    <row r="15" spans="1:9" s="1046" customFormat="1" ht="35" customHeight="1">
      <c r="A15" s="1797" t="s">
        <v>8071</v>
      </c>
      <c r="B15" s="1797"/>
      <c r="C15" s="1053">
        <f>C6</f>
        <v>370</v>
      </c>
      <c r="D15" s="1050" t="s">
        <v>43</v>
      </c>
      <c r="E15" s="1050" t="s">
        <v>43</v>
      </c>
      <c r="F15" s="1050">
        <v>800</v>
      </c>
      <c r="G15" s="1051">
        <f t="shared" si="1"/>
        <v>29.6</v>
      </c>
      <c r="H15" s="1051"/>
      <c r="I15" s="1052" t="s">
        <v>6894</v>
      </c>
    </row>
    <row r="16" spans="1:9" s="1046" customFormat="1" ht="35" customHeight="1">
      <c r="A16" s="1797" t="s">
        <v>7150</v>
      </c>
      <c r="B16" s="1797"/>
      <c r="C16" s="1053">
        <v>400</v>
      </c>
      <c r="D16" s="1050" t="s">
        <v>43</v>
      </c>
      <c r="E16" s="1050" t="s">
        <v>43</v>
      </c>
      <c r="F16" s="1050">
        <v>2500</v>
      </c>
      <c r="G16" s="1051">
        <f t="shared" si="1"/>
        <v>100</v>
      </c>
      <c r="H16" s="1051"/>
      <c r="I16" s="1052" t="s">
        <v>6894</v>
      </c>
    </row>
    <row r="17" spans="1:9" s="1046" customFormat="1" ht="35" customHeight="1">
      <c r="A17" s="1797" t="s">
        <v>7647</v>
      </c>
      <c r="B17" s="1797"/>
      <c r="C17" s="1053">
        <v>340</v>
      </c>
      <c r="D17" s="1050" t="s">
        <v>43</v>
      </c>
      <c r="E17" s="1050" t="s">
        <v>43</v>
      </c>
      <c r="F17" s="1050">
        <v>1800</v>
      </c>
      <c r="G17" s="1051">
        <f t="shared" si="1"/>
        <v>61.2</v>
      </c>
      <c r="H17" s="1051" t="s">
        <v>7933</v>
      </c>
      <c r="I17" s="1052" t="s">
        <v>6894</v>
      </c>
    </row>
    <row r="18" spans="1:9" s="1046" customFormat="1" ht="35" customHeight="1">
      <c r="A18" s="1798" t="s">
        <v>8086</v>
      </c>
      <c r="B18" s="1799"/>
      <c r="C18" s="1353">
        <v>200</v>
      </c>
      <c r="D18" s="1354">
        <v>4000</v>
      </c>
      <c r="E18" s="1354">
        <v>2000</v>
      </c>
      <c r="F18" s="1053">
        <f t="shared" ref="F18" si="4">E18+D18</f>
        <v>6000</v>
      </c>
      <c r="G18" s="1051">
        <f t="shared" ref="G18" si="5">F18*C18/10000</f>
        <v>120</v>
      </c>
      <c r="H18" s="1355" t="s">
        <v>8087</v>
      </c>
      <c r="I18" s="1052" t="s">
        <v>6894</v>
      </c>
    </row>
    <row r="19" spans="1:9" s="1046" customFormat="1" ht="35" customHeight="1">
      <c r="A19" s="1790" t="s">
        <v>536</v>
      </c>
      <c r="B19" s="1790"/>
      <c r="C19" s="1790"/>
      <c r="D19" s="1790"/>
      <c r="E19" s="1055"/>
      <c r="F19" s="1055"/>
      <c r="G19" s="1056">
        <f>SUM(G3:G18)</f>
        <v>3207.0499999999997</v>
      </c>
      <c r="H19" s="1056"/>
      <c r="I19" s="1057"/>
    </row>
    <row r="20" spans="1:9" ht="21">
      <c r="A20" s="1058"/>
    </row>
    <row r="21" spans="1:9" ht="21">
      <c r="A21" s="1058"/>
    </row>
    <row r="22" spans="1:9" ht="21">
      <c r="A22" s="1058"/>
      <c r="G22" s="1077" t="s">
        <v>7705</v>
      </c>
      <c r="H22" s="1078">
        <f>G19*10000/'02 项目基础信息（输入）'!K21</f>
        <v>23409.124087591237</v>
      </c>
    </row>
    <row r="23" spans="1:9" ht="21">
      <c r="A23" s="1058"/>
      <c r="F23" s="1060"/>
    </row>
  </sheetData>
  <mergeCells count="11">
    <mergeCell ref="A19:D19"/>
    <mergeCell ref="A1:I1"/>
    <mergeCell ref="A2:B2"/>
    <mergeCell ref="A3:A5"/>
    <mergeCell ref="A6:A9"/>
    <mergeCell ref="A10:A12"/>
    <mergeCell ref="A13:A14"/>
    <mergeCell ref="A15:B15"/>
    <mergeCell ref="A16:B16"/>
    <mergeCell ref="A17:B17"/>
    <mergeCell ref="A18:B18"/>
  </mergeCells>
  <phoneticPr fontId="84"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IB4"/>
  <sheetViews>
    <sheetView workbookViewId="0">
      <selection activeCell="M4" sqref="M4"/>
    </sheetView>
  </sheetViews>
  <sheetFormatPr baseColWidth="10" defaultColWidth="9.1640625" defaultRowHeight="13.5" customHeight="1" outlineLevelCol="1"/>
  <cols>
    <col min="1" max="1" width="9.1640625" style="144"/>
    <col min="2" max="4" width="10.33203125" style="144" customWidth="1" outlineLevel="1"/>
    <col min="5" max="5" width="7.5" style="1" customWidth="1"/>
    <col min="6" max="6" width="10.33203125" style="1" customWidth="1" outlineLevel="1"/>
    <col min="7" max="7" width="11.83203125" style="1" customWidth="1" outlineLevel="1"/>
    <col min="8" max="10" width="10.33203125" style="1" customWidth="1" outlineLevel="1"/>
    <col min="11" max="11" width="12.33203125" style="1" customWidth="1" outlineLevel="1"/>
    <col min="12" max="13" width="10.33203125" style="1" customWidth="1" outlineLevel="1"/>
    <col min="14" max="14" width="11.33203125" style="145" customWidth="1"/>
    <col min="15" max="17" width="10.33203125" style="145" customWidth="1" outlineLevel="1"/>
    <col min="18" max="18" width="14.1640625" style="145" customWidth="1" outlineLevel="1"/>
    <col min="19" max="20" width="13" style="145" customWidth="1" outlineLevel="1"/>
    <col min="21" max="21" width="7.5" style="145" customWidth="1"/>
    <col min="22" max="23" width="7.5" style="145" customWidth="1" outlineLevel="1"/>
    <col min="24" max="26" width="10.33203125" style="145" customWidth="1" outlineLevel="1"/>
    <col min="27" max="28" width="12.83203125" style="145" customWidth="1" outlineLevel="1"/>
    <col min="29" max="37" width="10.33203125" style="145" customWidth="1" outlineLevel="1"/>
    <col min="38" max="38" width="10.33203125" style="145" customWidth="1"/>
    <col min="39" max="39" width="10.33203125" style="145" customWidth="1" outlineLevel="1"/>
    <col min="40" max="41" width="13" style="145" customWidth="1" outlineLevel="1"/>
    <col min="42" max="48" width="10.33203125" style="145" customWidth="1" outlineLevel="1"/>
    <col min="49" max="49" width="10.33203125" style="145" customWidth="1"/>
    <col min="50" max="54" width="10.33203125" style="145" customWidth="1" outlineLevel="1"/>
    <col min="55" max="59" width="10.5" style="1" customWidth="1" outlineLevel="1"/>
    <col min="60" max="60" width="9.33203125" style="1" customWidth="1"/>
    <col min="61" max="74" width="8.33203125" style="1" customWidth="1" outlineLevel="1"/>
    <col min="75" max="75" width="10.5" style="1" customWidth="1" outlineLevel="1"/>
    <col min="76" max="76" width="9.6640625" style="1" customWidth="1"/>
    <col min="77" max="90" width="8.33203125" style="1" customWidth="1" outlineLevel="1"/>
    <col min="91" max="91" width="9.6640625" style="1" customWidth="1" outlineLevel="1"/>
    <col min="92" max="92" width="9.1640625" style="1"/>
    <col min="93" max="106" width="8.33203125" style="1" customWidth="1" outlineLevel="1"/>
    <col min="107" max="107" width="9.6640625" style="1" customWidth="1" outlineLevel="1"/>
    <col min="108" max="108" width="8.1640625" style="1" customWidth="1"/>
    <col min="109" max="123" width="8.1640625" style="1" customWidth="1" outlineLevel="1"/>
    <col min="124" max="124" width="9.1640625" style="1"/>
    <col min="125" max="139" width="9.1640625" style="1" outlineLevel="1"/>
    <col min="140" max="140" width="9.1640625" style="1"/>
    <col min="141" max="155" width="9.1640625" style="1" outlineLevel="1"/>
    <col min="156" max="156" width="9.1640625" style="1"/>
    <col min="157" max="171" width="9.1640625" style="1" outlineLevel="1"/>
    <col min="172" max="172" width="9.1640625" style="1"/>
    <col min="173" max="187" width="9.1640625" style="1" outlineLevel="1"/>
    <col min="188" max="188" width="9.1640625" style="1"/>
    <col min="189" max="203" width="9.1640625" style="1" outlineLevel="1"/>
    <col min="204" max="204" width="9.1640625" style="1"/>
    <col min="205" max="219" width="9.1640625" style="1" outlineLevel="1"/>
    <col min="220" max="220" width="9.1640625" style="1"/>
    <col min="221" max="235" width="9.1640625" style="1" outlineLevel="1"/>
    <col min="236" max="236" width="9.1640625" style="1" hidden="1"/>
  </cols>
  <sheetData>
    <row r="1" spans="1:236" s="2" customFormat="1" ht="29.25" customHeight="1">
      <c r="A1" s="1800" t="s">
        <v>6984</v>
      </c>
      <c r="B1" s="1800"/>
      <c r="C1" s="1800"/>
      <c r="D1" s="1800"/>
      <c r="E1" s="1801" t="s">
        <v>251</v>
      </c>
      <c r="F1" s="1801"/>
      <c r="G1" s="1801"/>
      <c r="H1" s="1801"/>
      <c r="I1" s="1801"/>
      <c r="J1" s="1801"/>
      <c r="K1" s="1801"/>
      <c r="L1" s="1801"/>
      <c r="M1" s="1801"/>
      <c r="N1" s="1802" t="s">
        <v>6985</v>
      </c>
      <c r="O1" s="1802"/>
      <c r="P1" s="1802"/>
      <c r="Q1" s="1802"/>
      <c r="R1" s="1802"/>
      <c r="S1" s="1802"/>
      <c r="T1" s="1802"/>
      <c r="U1" s="1803" t="s">
        <v>6986</v>
      </c>
      <c r="V1" s="1803"/>
      <c r="W1" s="1803"/>
      <c r="X1" s="1803"/>
      <c r="Y1" s="1803"/>
      <c r="Z1" s="1803"/>
      <c r="AA1" s="1803"/>
      <c r="AB1" s="1803"/>
      <c r="AC1" s="1803"/>
      <c r="AD1" s="1803"/>
      <c r="AE1" s="1803"/>
      <c r="AF1" s="1803"/>
      <c r="AG1" s="1803"/>
      <c r="AH1" s="1803"/>
      <c r="AI1" s="1803"/>
      <c r="AJ1" s="1803"/>
      <c r="AK1" s="1803"/>
      <c r="AL1" s="1803"/>
      <c r="AM1" s="1803"/>
      <c r="AN1" s="1803"/>
      <c r="AO1" s="1803"/>
      <c r="AP1" s="1803"/>
      <c r="AQ1" s="1803"/>
      <c r="AR1" s="1803"/>
      <c r="AS1" s="1803"/>
      <c r="AT1" s="1803"/>
      <c r="AU1" s="1803"/>
      <c r="AV1" s="1804"/>
      <c r="AW1" s="1805" t="s">
        <v>6987</v>
      </c>
      <c r="AX1" s="1805"/>
      <c r="AY1" s="1805"/>
      <c r="AZ1" s="1805"/>
      <c r="BA1" s="1805"/>
      <c r="BB1" s="1805"/>
      <c r="BC1" s="1805"/>
      <c r="BD1" s="1805"/>
      <c r="BE1" s="1805"/>
      <c r="BF1" s="1805"/>
      <c r="BG1" s="1805"/>
      <c r="BH1" s="1806" t="s">
        <v>6988</v>
      </c>
      <c r="BI1" s="1807"/>
      <c r="BJ1" s="1807"/>
      <c r="BK1" s="1807"/>
      <c r="BL1" s="1807"/>
      <c r="BM1" s="1807"/>
      <c r="BN1" s="1807"/>
      <c r="BO1" s="1807"/>
      <c r="BP1" s="1807"/>
      <c r="BQ1" s="1807"/>
      <c r="BR1" s="1807"/>
      <c r="BS1" s="1807"/>
      <c r="BT1" s="1807"/>
      <c r="BU1" s="1807"/>
      <c r="BV1" s="1807"/>
      <c r="BW1" s="1808"/>
      <c r="BX1" s="1809" t="s">
        <v>6989</v>
      </c>
      <c r="BY1" s="1810"/>
      <c r="BZ1" s="1810"/>
      <c r="CA1" s="1810"/>
      <c r="CB1" s="1810"/>
      <c r="CC1" s="1810"/>
      <c r="CD1" s="1810"/>
      <c r="CE1" s="1810"/>
      <c r="CF1" s="1810"/>
      <c r="CG1" s="1810"/>
      <c r="CH1" s="1810"/>
      <c r="CI1" s="1810"/>
      <c r="CJ1" s="1810"/>
      <c r="CK1" s="1810"/>
      <c r="CL1" s="1810"/>
      <c r="CM1" s="1811"/>
      <c r="CN1" s="1806" t="s">
        <v>6990</v>
      </c>
      <c r="CO1" s="1807"/>
      <c r="CP1" s="1807"/>
      <c r="CQ1" s="1807"/>
      <c r="CR1" s="1807"/>
      <c r="CS1" s="1807"/>
      <c r="CT1" s="1807"/>
      <c r="CU1" s="1807"/>
      <c r="CV1" s="1807"/>
      <c r="CW1" s="1807"/>
      <c r="CX1" s="1807"/>
      <c r="CY1" s="1807"/>
      <c r="CZ1" s="1807"/>
      <c r="DA1" s="1807"/>
      <c r="DB1" s="1807"/>
      <c r="DC1" s="1808"/>
      <c r="DD1" s="1809" t="s">
        <v>490</v>
      </c>
      <c r="DE1" s="1810"/>
      <c r="DF1" s="1810"/>
      <c r="DG1" s="1810"/>
      <c r="DH1" s="1810"/>
      <c r="DI1" s="1810"/>
      <c r="DJ1" s="1810"/>
      <c r="DK1" s="1810"/>
      <c r="DL1" s="1810"/>
      <c r="DM1" s="1810"/>
      <c r="DN1" s="1810"/>
      <c r="DO1" s="1810"/>
      <c r="DP1" s="1810"/>
      <c r="DQ1" s="1810"/>
      <c r="DR1" s="1810"/>
      <c r="DS1" s="1810"/>
      <c r="DT1" s="1806" t="s">
        <v>6991</v>
      </c>
      <c r="DU1" s="1807"/>
      <c r="DV1" s="1807"/>
      <c r="DW1" s="1807"/>
      <c r="DX1" s="1807"/>
      <c r="DY1" s="1807"/>
      <c r="DZ1" s="1807"/>
      <c r="EA1" s="1807"/>
      <c r="EB1" s="1807"/>
      <c r="EC1" s="1807"/>
      <c r="ED1" s="1807"/>
      <c r="EE1" s="1807"/>
      <c r="EF1" s="1807"/>
      <c r="EG1" s="1807"/>
      <c r="EH1" s="1807"/>
      <c r="EI1" s="1808"/>
      <c r="EJ1" s="1809" t="s">
        <v>6992</v>
      </c>
      <c r="EK1" s="1810"/>
      <c r="EL1" s="1810"/>
      <c r="EM1" s="1810"/>
      <c r="EN1" s="1810"/>
      <c r="EO1" s="1810"/>
      <c r="EP1" s="1810"/>
      <c r="EQ1" s="1810"/>
      <c r="ER1" s="1810"/>
      <c r="ES1" s="1810"/>
      <c r="ET1" s="1810"/>
      <c r="EU1" s="1810"/>
      <c r="EV1" s="1810"/>
      <c r="EW1" s="1810"/>
      <c r="EX1" s="1810"/>
      <c r="EY1" s="1811"/>
      <c r="EZ1" s="1812" t="s">
        <v>6993</v>
      </c>
      <c r="FA1" s="1813"/>
      <c r="FB1" s="1813"/>
      <c r="FC1" s="1813"/>
      <c r="FD1" s="1813"/>
      <c r="FE1" s="1813"/>
      <c r="FF1" s="1813"/>
      <c r="FG1" s="1813"/>
      <c r="FH1" s="1813"/>
      <c r="FI1" s="1813"/>
      <c r="FJ1" s="1813"/>
      <c r="FK1" s="1813"/>
      <c r="FL1" s="1813"/>
      <c r="FM1" s="1813"/>
      <c r="FN1" s="1813"/>
      <c r="FO1" s="1814"/>
      <c r="FP1" s="1809" t="s">
        <v>6994</v>
      </c>
      <c r="FQ1" s="1810"/>
      <c r="FR1" s="1810"/>
      <c r="FS1" s="1810"/>
      <c r="FT1" s="1810"/>
      <c r="FU1" s="1810"/>
      <c r="FV1" s="1810"/>
      <c r="FW1" s="1810"/>
      <c r="FX1" s="1810"/>
      <c r="FY1" s="1810"/>
      <c r="FZ1" s="1810"/>
      <c r="GA1" s="1810"/>
      <c r="GB1" s="1810"/>
      <c r="GC1" s="1810"/>
      <c r="GD1" s="1810"/>
      <c r="GE1" s="1811"/>
      <c r="GF1" s="1806" t="s">
        <v>6995</v>
      </c>
      <c r="GG1" s="1807"/>
      <c r="GH1" s="1807"/>
      <c r="GI1" s="1807"/>
      <c r="GJ1" s="1807"/>
      <c r="GK1" s="1807"/>
      <c r="GL1" s="1807"/>
      <c r="GM1" s="1807"/>
      <c r="GN1" s="1807"/>
      <c r="GO1" s="1807"/>
      <c r="GP1" s="1807"/>
      <c r="GQ1" s="1807"/>
      <c r="GR1" s="1807"/>
      <c r="GS1" s="1807"/>
      <c r="GT1" s="1807"/>
      <c r="GU1" s="1808"/>
      <c r="GV1" s="1809" t="s">
        <v>6996</v>
      </c>
      <c r="GW1" s="1810"/>
      <c r="GX1" s="1810"/>
      <c r="GY1" s="1810"/>
      <c r="GZ1" s="1810"/>
      <c r="HA1" s="1810"/>
      <c r="HB1" s="1810"/>
      <c r="HC1" s="1810"/>
      <c r="HD1" s="1810"/>
      <c r="HE1" s="1810"/>
      <c r="HF1" s="1810"/>
      <c r="HG1" s="1810"/>
      <c r="HH1" s="1810"/>
      <c r="HI1" s="1810"/>
      <c r="HJ1" s="1810"/>
      <c r="HK1" s="1811"/>
      <c r="HL1" s="1806" t="s">
        <v>6997</v>
      </c>
      <c r="HM1" s="1807"/>
      <c r="HN1" s="1807"/>
      <c r="HO1" s="1807"/>
      <c r="HP1" s="1807"/>
      <c r="HQ1" s="1807"/>
      <c r="HR1" s="1807"/>
      <c r="HS1" s="1807"/>
      <c r="HT1" s="1807"/>
      <c r="HU1" s="1807"/>
      <c r="HV1" s="1807"/>
      <c r="HW1" s="1807"/>
      <c r="HX1" s="1807"/>
      <c r="HY1" s="1807"/>
      <c r="HZ1" s="1807"/>
      <c r="IA1" s="1808"/>
    </row>
    <row r="2" spans="1:236" s="142" customFormat="1" ht="20.25" customHeight="1">
      <c r="A2" s="1828" t="s">
        <v>6998</v>
      </c>
      <c r="B2" s="1828" t="s">
        <v>6999</v>
      </c>
      <c r="C2" s="1828" t="s">
        <v>480</v>
      </c>
      <c r="D2" s="1828" t="s">
        <v>7000</v>
      </c>
      <c r="E2" s="1830" t="s">
        <v>297</v>
      </c>
      <c r="F2" s="1830" t="s">
        <v>7001</v>
      </c>
      <c r="G2" s="1830" t="s">
        <v>7002</v>
      </c>
      <c r="H2" s="1830" t="s">
        <v>7003</v>
      </c>
      <c r="I2" s="1830" t="s">
        <v>7004</v>
      </c>
      <c r="J2" s="1830" t="s">
        <v>7005</v>
      </c>
      <c r="K2" s="1830" t="s">
        <v>7006</v>
      </c>
      <c r="L2" s="1830" t="s">
        <v>7007</v>
      </c>
      <c r="M2" s="1830" t="s">
        <v>7008</v>
      </c>
      <c r="N2" s="1815" t="s">
        <v>7009</v>
      </c>
      <c r="O2" s="1816"/>
      <c r="P2" s="1816"/>
      <c r="Q2" s="1817"/>
      <c r="R2" s="1832" t="s">
        <v>7010</v>
      </c>
      <c r="S2" s="1832" t="s">
        <v>6878</v>
      </c>
      <c r="T2" s="1832" t="s">
        <v>7011</v>
      </c>
      <c r="U2" s="1823" t="s">
        <v>218</v>
      </c>
      <c r="V2" s="1823" t="s">
        <v>221</v>
      </c>
      <c r="W2" s="1823" t="s">
        <v>222</v>
      </c>
      <c r="X2" s="1818" t="s">
        <v>7012</v>
      </c>
      <c r="Y2" s="1819"/>
      <c r="Z2" s="1819"/>
      <c r="AA2" s="1819"/>
      <c r="AB2" s="1819"/>
      <c r="AC2" s="1819"/>
      <c r="AD2" s="1819"/>
      <c r="AE2" s="1819"/>
      <c r="AF2" s="1819"/>
      <c r="AG2" s="1819"/>
      <c r="AH2" s="1819"/>
      <c r="AI2" s="1819"/>
      <c r="AJ2" s="1823" t="s">
        <v>229</v>
      </c>
      <c r="AK2" s="1818" t="s">
        <v>230</v>
      </c>
      <c r="AL2" s="1820" t="s">
        <v>7013</v>
      </c>
      <c r="AM2" s="1821"/>
      <c r="AN2" s="1821"/>
      <c r="AO2" s="1821"/>
      <c r="AP2" s="1821"/>
      <c r="AQ2" s="1821"/>
      <c r="AR2" s="1821"/>
      <c r="AS2" s="1821"/>
      <c r="AT2" s="1821"/>
      <c r="AU2" s="1821"/>
      <c r="AV2" s="1822"/>
      <c r="AW2" s="1805" t="s">
        <v>7014</v>
      </c>
      <c r="AX2" s="1805" t="s">
        <v>7015</v>
      </c>
      <c r="AY2" s="1805" t="s">
        <v>7016</v>
      </c>
      <c r="AZ2" s="1805" t="s">
        <v>7017</v>
      </c>
      <c r="BA2" s="1826" t="s">
        <v>7018</v>
      </c>
      <c r="BB2" s="1826" t="s">
        <v>7019</v>
      </c>
      <c r="BC2" s="1805" t="s">
        <v>7020</v>
      </c>
      <c r="BD2" s="1805" t="s">
        <v>7021</v>
      </c>
      <c r="BE2" s="1805" t="s">
        <v>7022</v>
      </c>
      <c r="BF2" s="1805" t="s">
        <v>7023</v>
      </c>
      <c r="BG2" s="1805" t="s">
        <v>7024</v>
      </c>
      <c r="BH2" s="1834" t="s">
        <v>7014</v>
      </c>
      <c r="BI2" s="1834" t="s">
        <v>7015</v>
      </c>
      <c r="BJ2" s="1834" t="s">
        <v>7016</v>
      </c>
      <c r="BK2" s="1834" t="s">
        <v>7017</v>
      </c>
      <c r="BL2" s="1834" t="s">
        <v>7025</v>
      </c>
      <c r="BM2" s="1834" t="s">
        <v>7019</v>
      </c>
      <c r="BN2" s="1834" t="s">
        <v>7020</v>
      </c>
      <c r="BO2" s="1834" t="s">
        <v>7026</v>
      </c>
      <c r="BP2" s="1834" t="s">
        <v>7021</v>
      </c>
      <c r="BQ2" s="1834" t="s">
        <v>7022</v>
      </c>
      <c r="BR2" s="1834" t="s">
        <v>7023</v>
      </c>
      <c r="BS2" s="1834" t="s">
        <v>7024</v>
      </c>
      <c r="BT2" s="1834" t="s">
        <v>7027</v>
      </c>
      <c r="BU2" s="1834" t="s">
        <v>7028</v>
      </c>
      <c r="BV2" s="1834" t="s">
        <v>7029</v>
      </c>
      <c r="BW2" s="1834" t="s">
        <v>7030</v>
      </c>
      <c r="BX2" s="1836" t="s">
        <v>7014</v>
      </c>
      <c r="BY2" s="1836" t="s">
        <v>7015</v>
      </c>
      <c r="BZ2" s="1836" t="s">
        <v>7016</v>
      </c>
      <c r="CA2" s="1836" t="s">
        <v>7017</v>
      </c>
      <c r="CB2" s="1836" t="s">
        <v>7025</v>
      </c>
      <c r="CC2" s="1836" t="s">
        <v>7019</v>
      </c>
      <c r="CD2" s="1836" t="s">
        <v>7020</v>
      </c>
      <c r="CE2" s="1836" t="s">
        <v>7026</v>
      </c>
      <c r="CF2" s="1836" t="s">
        <v>7021</v>
      </c>
      <c r="CG2" s="1836" t="s">
        <v>7022</v>
      </c>
      <c r="CH2" s="1836" t="s">
        <v>7023</v>
      </c>
      <c r="CI2" s="1836" t="s">
        <v>7024</v>
      </c>
      <c r="CJ2" s="1836" t="s">
        <v>7027</v>
      </c>
      <c r="CK2" s="1836" t="s">
        <v>7028</v>
      </c>
      <c r="CL2" s="1836" t="s">
        <v>7029</v>
      </c>
      <c r="CM2" s="1836" t="s">
        <v>7030</v>
      </c>
      <c r="CN2" s="1834" t="s">
        <v>7014</v>
      </c>
      <c r="CO2" s="1834" t="s">
        <v>7015</v>
      </c>
      <c r="CP2" s="1834" t="s">
        <v>7016</v>
      </c>
      <c r="CQ2" s="1834" t="s">
        <v>7017</v>
      </c>
      <c r="CR2" s="1834" t="s">
        <v>7025</v>
      </c>
      <c r="CS2" s="1834" t="s">
        <v>7019</v>
      </c>
      <c r="CT2" s="1834" t="s">
        <v>7020</v>
      </c>
      <c r="CU2" s="1834" t="s">
        <v>7026</v>
      </c>
      <c r="CV2" s="1834" t="s">
        <v>7021</v>
      </c>
      <c r="CW2" s="1834" t="s">
        <v>7022</v>
      </c>
      <c r="CX2" s="1834" t="s">
        <v>7023</v>
      </c>
      <c r="CY2" s="1834" t="s">
        <v>7024</v>
      </c>
      <c r="CZ2" s="1834" t="s">
        <v>7027</v>
      </c>
      <c r="DA2" s="1834" t="s">
        <v>7028</v>
      </c>
      <c r="DB2" s="1834" t="s">
        <v>7029</v>
      </c>
      <c r="DC2" s="1834" t="s">
        <v>7030</v>
      </c>
      <c r="DD2" s="1836" t="s">
        <v>7014</v>
      </c>
      <c r="DE2" s="1836" t="s">
        <v>7015</v>
      </c>
      <c r="DF2" s="1836" t="s">
        <v>7016</v>
      </c>
      <c r="DG2" s="1836" t="s">
        <v>7017</v>
      </c>
      <c r="DH2" s="1836" t="s">
        <v>7025</v>
      </c>
      <c r="DI2" s="1836" t="s">
        <v>7019</v>
      </c>
      <c r="DJ2" s="1836" t="s">
        <v>7020</v>
      </c>
      <c r="DK2" s="1836" t="s">
        <v>7026</v>
      </c>
      <c r="DL2" s="1836" t="s">
        <v>7021</v>
      </c>
      <c r="DM2" s="1836" t="s">
        <v>7022</v>
      </c>
      <c r="DN2" s="1836" t="s">
        <v>7023</v>
      </c>
      <c r="DO2" s="1836" t="s">
        <v>7024</v>
      </c>
      <c r="DP2" s="1836" t="s">
        <v>7027</v>
      </c>
      <c r="DQ2" s="1836" t="s">
        <v>7028</v>
      </c>
      <c r="DR2" s="1836" t="s">
        <v>7029</v>
      </c>
      <c r="DS2" s="1836" t="s">
        <v>7030</v>
      </c>
      <c r="DT2" s="1834" t="s">
        <v>7014</v>
      </c>
      <c r="DU2" s="1834" t="s">
        <v>7015</v>
      </c>
      <c r="DV2" s="1834" t="s">
        <v>7016</v>
      </c>
      <c r="DW2" s="1834" t="s">
        <v>7017</v>
      </c>
      <c r="DX2" s="1834" t="s">
        <v>7025</v>
      </c>
      <c r="DY2" s="1834" t="s">
        <v>7019</v>
      </c>
      <c r="DZ2" s="1834" t="s">
        <v>7020</v>
      </c>
      <c r="EA2" s="1834" t="s">
        <v>7026</v>
      </c>
      <c r="EB2" s="1834" t="s">
        <v>7021</v>
      </c>
      <c r="EC2" s="1834" t="s">
        <v>7022</v>
      </c>
      <c r="ED2" s="1834" t="s">
        <v>7023</v>
      </c>
      <c r="EE2" s="1834" t="s">
        <v>7024</v>
      </c>
      <c r="EF2" s="1834" t="s">
        <v>7027</v>
      </c>
      <c r="EG2" s="1834" t="s">
        <v>7028</v>
      </c>
      <c r="EH2" s="1834" t="s">
        <v>7029</v>
      </c>
      <c r="EI2" s="1834" t="s">
        <v>7030</v>
      </c>
      <c r="EJ2" s="1836" t="s">
        <v>7014</v>
      </c>
      <c r="EK2" s="1836" t="s">
        <v>7015</v>
      </c>
      <c r="EL2" s="1836" t="s">
        <v>7016</v>
      </c>
      <c r="EM2" s="1836" t="s">
        <v>7017</v>
      </c>
      <c r="EN2" s="1836" t="s">
        <v>7025</v>
      </c>
      <c r="EO2" s="1836" t="s">
        <v>7019</v>
      </c>
      <c r="EP2" s="1836" t="s">
        <v>7020</v>
      </c>
      <c r="EQ2" s="1836" t="s">
        <v>7026</v>
      </c>
      <c r="ER2" s="1836" t="s">
        <v>7021</v>
      </c>
      <c r="ES2" s="1836" t="s">
        <v>7022</v>
      </c>
      <c r="ET2" s="1836" t="s">
        <v>7023</v>
      </c>
      <c r="EU2" s="1836" t="s">
        <v>7024</v>
      </c>
      <c r="EV2" s="1836" t="s">
        <v>7027</v>
      </c>
      <c r="EW2" s="1836" t="s">
        <v>7028</v>
      </c>
      <c r="EX2" s="1836" t="s">
        <v>7029</v>
      </c>
      <c r="EY2" s="1836" t="s">
        <v>7030</v>
      </c>
      <c r="EZ2" s="1838" t="s">
        <v>7014</v>
      </c>
      <c r="FA2" s="1838" t="s">
        <v>7015</v>
      </c>
      <c r="FB2" s="1838" t="s">
        <v>7016</v>
      </c>
      <c r="FC2" s="1838" t="s">
        <v>7017</v>
      </c>
      <c r="FD2" s="1834" t="s">
        <v>7025</v>
      </c>
      <c r="FE2" s="1838" t="s">
        <v>7019</v>
      </c>
      <c r="FF2" s="1838" t="s">
        <v>7020</v>
      </c>
      <c r="FG2" s="1838" t="s">
        <v>7026</v>
      </c>
      <c r="FH2" s="1838" t="s">
        <v>7021</v>
      </c>
      <c r="FI2" s="1838" t="s">
        <v>7022</v>
      </c>
      <c r="FJ2" s="1838" t="s">
        <v>7023</v>
      </c>
      <c r="FK2" s="1838" t="s">
        <v>7024</v>
      </c>
      <c r="FL2" s="1838" t="s">
        <v>7027</v>
      </c>
      <c r="FM2" s="1838" t="s">
        <v>7028</v>
      </c>
      <c r="FN2" s="1838" t="s">
        <v>7029</v>
      </c>
      <c r="FO2" s="1838" t="s">
        <v>7030</v>
      </c>
      <c r="FP2" s="1836" t="s">
        <v>7014</v>
      </c>
      <c r="FQ2" s="1836" t="s">
        <v>7015</v>
      </c>
      <c r="FR2" s="1836" t="s">
        <v>7016</v>
      </c>
      <c r="FS2" s="1836" t="s">
        <v>7017</v>
      </c>
      <c r="FT2" s="1836" t="s">
        <v>7025</v>
      </c>
      <c r="FU2" s="1836" t="s">
        <v>7019</v>
      </c>
      <c r="FV2" s="1836" t="s">
        <v>7020</v>
      </c>
      <c r="FW2" s="1836" t="s">
        <v>7026</v>
      </c>
      <c r="FX2" s="1836" t="s">
        <v>7021</v>
      </c>
      <c r="FY2" s="1836" t="s">
        <v>7022</v>
      </c>
      <c r="FZ2" s="1836" t="s">
        <v>7023</v>
      </c>
      <c r="GA2" s="1836" t="s">
        <v>7024</v>
      </c>
      <c r="GB2" s="1836" t="s">
        <v>7027</v>
      </c>
      <c r="GC2" s="1836" t="s">
        <v>7028</v>
      </c>
      <c r="GD2" s="1836" t="s">
        <v>7029</v>
      </c>
      <c r="GE2" s="1836" t="s">
        <v>7030</v>
      </c>
      <c r="GF2" s="1834" t="s">
        <v>7014</v>
      </c>
      <c r="GG2" s="1834" t="s">
        <v>7015</v>
      </c>
      <c r="GH2" s="1834" t="s">
        <v>7016</v>
      </c>
      <c r="GI2" s="1834" t="s">
        <v>7017</v>
      </c>
      <c r="GJ2" s="1834" t="s">
        <v>7025</v>
      </c>
      <c r="GK2" s="1834" t="s">
        <v>7019</v>
      </c>
      <c r="GL2" s="1834" t="s">
        <v>7020</v>
      </c>
      <c r="GM2" s="1834" t="s">
        <v>7026</v>
      </c>
      <c r="GN2" s="1834" t="s">
        <v>7021</v>
      </c>
      <c r="GO2" s="1834" t="s">
        <v>7022</v>
      </c>
      <c r="GP2" s="1834" t="s">
        <v>7023</v>
      </c>
      <c r="GQ2" s="1834" t="s">
        <v>7024</v>
      </c>
      <c r="GR2" s="1834" t="s">
        <v>7027</v>
      </c>
      <c r="GS2" s="1834" t="s">
        <v>7028</v>
      </c>
      <c r="GT2" s="1834" t="s">
        <v>7029</v>
      </c>
      <c r="GU2" s="1834" t="s">
        <v>7030</v>
      </c>
      <c r="GV2" s="1836" t="s">
        <v>7014</v>
      </c>
      <c r="GW2" s="1836" t="s">
        <v>7015</v>
      </c>
      <c r="GX2" s="1836" t="s">
        <v>7016</v>
      </c>
      <c r="GY2" s="1836" t="s">
        <v>7017</v>
      </c>
      <c r="GZ2" s="1836" t="s">
        <v>7025</v>
      </c>
      <c r="HA2" s="1836" t="s">
        <v>7019</v>
      </c>
      <c r="HB2" s="1836" t="s">
        <v>7020</v>
      </c>
      <c r="HC2" s="1836" t="s">
        <v>7026</v>
      </c>
      <c r="HD2" s="1836" t="s">
        <v>7021</v>
      </c>
      <c r="HE2" s="1836" t="s">
        <v>7022</v>
      </c>
      <c r="HF2" s="1836" t="s">
        <v>7023</v>
      </c>
      <c r="HG2" s="1836" t="s">
        <v>7024</v>
      </c>
      <c r="HH2" s="1836" t="s">
        <v>7027</v>
      </c>
      <c r="HI2" s="1836" t="s">
        <v>7028</v>
      </c>
      <c r="HJ2" s="1836" t="s">
        <v>7029</v>
      </c>
      <c r="HK2" s="1836" t="s">
        <v>7030</v>
      </c>
      <c r="HL2" s="1834" t="s">
        <v>7014</v>
      </c>
      <c r="HM2" s="1834" t="s">
        <v>7015</v>
      </c>
      <c r="HN2" s="1834" t="s">
        <v>7016</v>
      </c>
      <c r="HO2" s="1834" t="s">
        <v>7017</v>
      </c>
      <c r="HP2" s="1834" t="s">
        <v>7025</v>
      </c>
      <c r="HQ2" s="1834" t="s">
        <v>7019</v>
      </c>
      <c r="HR2" s="1834" t="s">
        <v>7020</v>
      </c>
      <c r="HS2" s="1834" t="s">
        <v>7026</v>
      </c>
      <c r="HT2" s="1834" t="s">
        <v>7021</v>
      </c>
      <c r="HU2" s="1834" t="s">
        <v>7022</v>
      </c>
      <c r="HV2" s="1834" t="s">
        <v>7023</v>
      </c>
      <c r="HW2" s="1834" t="s">
        <v>7024</v>
      </c>
      <c r="HX2" s="1834" t="s">
        <v>7027</v>
      </c>
      <c r="HY2" s="1834" t="s">
        <v>7028</v>
      </c>
      <c r="HZ2" s="1834" t="s">
        <v>7029</v>
      </c>
      <c r="IA2" s="1834" t="s">
        <v>7030</v>
      </c>
    </row>
    <row r="3" spans="1:236" s="142" customFormat="1" ht="40.5" customHeight="1">
      <c r="A3" s="1829"/>
      <c r="B3" s="1829"/>
      <c r="C3" s="1829"/>
      <c r="D3" s="1829"/>
      <c r="E3" s="1831"/>
      <c r="F3" s="1831"/>
      <c r="G3" s="1831"/>
      <c r="H3" s="1831"/>
      <c r="I3" s="1831"/>
      <c r="J3" s="1831"/>
      <c r="K3" s="1831"/>
      <c r="L3" s="1831"/>
      <c r="M3" s="1831"/>
      <c r="N3" s="151" t="s">
        <v>7031</v>
      </c>
      <c r="O3" s="151" t="s">
        <v>6947</v>
      </c>
      <c r="P3" s="151" t="s">
        <v>7032</v>
      </c>
      <c r="Q3" s="151" t="s">
        <v>7033</v>
      </c>
      <c r="R3" s="1833"/>
      <c r="S3" s="1833"/>
      <c r="T3" s="1833"/>
      <c r="U3" s="1824"/>
      <c r="V3" s="1824"/>
      <c r="W3" s="1824"/>
      <c r="X3" s="154" t="s">
        <v>7034</v>
      </c>
      <c r="Y3" s="154" t="s">
        <v>490</v>
      </c>
      <c r="Z3" s="154" t="s">
        <v>496</v>
      </c>
      <c r="AA3" s="154" t="s">
        <v>500</v>
      </c>
      <c r="AB3" s="154" t="s">
        <v>504</v>
      </c>
      <c r="AC3" s="154" t="s">
        <v>508</v>
      </c>
      <c r="AD3" s="154" t="s">
        <v>512</v>
      </c>
      <c r="AE3" s="154" t="s">
        <v>516</v>
      </c>
      <c r="AF3" s="154" t="s">
        <v>520</v>
      </c>
      <c r="AG3" s="154" t="s">
        <v>524</v>
      </c>
      <c r="AH3" s="154" t="s">
        <v>528</v>
      </c>
      <c r="AI3" s="154" t="s">
        <v>532</v>
      </c>
      <c r="AJ3" s="1824"/>
      <c r="AK3" s="1825"/>
      <c r="AL3" s="155" t="s">
        <v>490</v>
      </c>
      <c r="AM3" s="155" t="s">
        <v>496</v>
      </c>
      <c r="AN3" s="155" t="s">
        <v>500</v>
      </c>
      <c r="AO3" s="155" t="s">
        <v>504</v>
      </c>
      <c r="AP3" s="155" t="s">
        <v>508</v>
      </c>
      <c r="AQ3" s="155" t="s">
        <v>512</v>
      </c>
      <c r="AR3" s="155" t="s">
        <v>516</v>
      </c>
      <c r="AS3" s="155" t="s">
        <v>520</v>
      </c>
      <c r="AT3" s="155" t="s">
        <v>524</v>
      </c>
      <c r="AU3" s="157" t="s">
        <v>528</v>
      </c>
      <c r="AV3" s="157" t="s">
        <v>532</v>
      </c>
      <c r="AW3" s="1805"/>
      <c r="AX3" s="1805"/>
      <c r="AY3" s="1805"/>
      <c r="AZ3" s="1805"/>
      <c r="BA3" s="1827"/>
      <c r="BB3" s="1827"/>
      <c r="BC3" s="1805"/>
      <c r="BD3" s="1805"/>
      <c r="BE3" s="1805"/>
      <c r="BF3" s="1805"/>
      <c r="BG3" s="1805"/>
      <c r="BH3" s="1835"/>
      <c r="BI3" s="1835"/>
      <c r="BJ3" s="1835"/>
      <c r="BK3" s="1835"/>
      <c r="BL3" s="1835"/>
      <c r="BM3" s="1835"/>
      <c r="BN3" s="1835"/>
      <c r="BO3" s="1835"/>
      <c r="BP3" s="1835"/>
      <c r="BQ3" s="1835"/>
      <c r="BR3" s="1835"/>
      <c r="BS3" s="1835"/>
      <c r="BT3" s="1835"/>
      <c r="BU3" s="1835"/>
      <c r="BV3" s="1835"/>
      <c r="BW3" s="1835"/>
      <c r="BX3" s="1837"/>
      <c r="BY3" s="1837"/>
      <c r="BZ3" s="1837"/>
      <c r="CA3" s="1837"/>
      <c r="CB3" s="1837"/>
      <c r="CC3" s="1837"/>
      <c r="CD3" s="1837"/>
      <c r="CE3" s="1837"/>
      <c r="CF3" s="1837"/>
      <c r="CG3" s="1837"/>
      <c r="CH3" s="1837"/>
      <c r="CI3" s="1837"/>
      <c r="CJ3" s="1837"/>
      <c r="CK3" s="1837"/>
      <c r="CL3" s="1837"/>
      <c r="CM3" s="1837"/>
      <c r="CN3" s="1835"/>
      <c r="CO3" s="1835"/>
      <c r="CP3" s="1835"/>
      <c r="CQ3" s="1835"/>
      <c r="CR3" s="1835"/>
      <c r="CS3" s="1835"/>
      <c r="CT3" s="1835"/>
      <c r="CU3" s="1835"/>
      <c r="CV3" s="1835"/>
      <c r="CW3" s="1835"/>
      <c r="CX3" s="1835"/>
      <c r="CY3" s="1835"/>
      <c r="CZ3" s="1835"/>
      <c r="DA3" s="1835"/>
      <c r="DB3" s="1835"/>
      <c r="DC3" s="1835"/>
      <c r="DD3" s="1837"/>
      <c r="DE3" s="1837"/>
      <c r="DF3" s="1837"/>
      <c r="DG3" s="1837"/>
      <c r="DH3" s="1837"/>
      <c r="DI3" s="1837"/>
      <c r="DJ3" s="1837"/>
      <c r="DK3" s="1837"/>
      <c r="DL3" s="1837"/>
      <c r="DM3" s="1837"/>
      <c r="DN3" s="1837"/>
      <c r="DO3" s="1837"/>
      <c r="DP3" s="1837"/>
      <c r="DQ3" s="1837"/>
      <c r="DR3" s="1837"/>
      <c r="DS3" s="1837"/>
      <c r="DT3" s="1835"/>
      <c r="DU3" s="1835"/>
      <c r="DV3" s="1835"/>
      <c r="DW3" s="1835"/>
      <c r="DX3" s="1835"/>
      <c r="DY3" s="1835"/>
      <c r="DZ3" s="1835"/>
      <c r="EA3" s="1835"/>
      <c r="EB3" s="1835"/>
      <c r="EC3" s="1835"/>
      <c r="ED3" s="1835"/>
      <c r="EE3" s="1835"/>
      <c r="EF3" s="1835"/>
      <c r="EG3" s="1835"/>
      <c r="EH3" s="1835"/>
      <c r="EI3" s="1835"/>
      <c r="EJ3" s="1837"/>
      <c r="EK3" s="1837"/>
      <c r="EL3" s="1837"/>
      <c r="EM3" s="1837"/>
      <c r="EN3" s="1837"/>
      <c r="EO3" s="1837"/>
      <c r="EP3" s="1837"/>
      <c r="EQ3" s="1837"/>
      <c r="ER3" s="1837"/>
      <c r="ES3" s="1837"/>
      <c r="ET3" s="1837"/>
      <c r="EU3" s="1837"/>
      <c r="EV3" s="1837"/>
      <c r="EW3" s="1837"/>
      <c r="EX3" s="1837"/>
      <c r="EY3" s="1837"/>
      <c r="EZ3" s="1839"/>
      <c r="FA3" s="1839"/>
      <c r="FB3" s="1839"/>
      <c r="FC3" s="1839"/>
      <c r="FD3" s="1835"/>
      <c r="FE3" s="1839"/>
      <c r="FF3" s="1839"/>
      <c r="FG3" s="1839"/>
      <c r="FH3" s="1839"/>
      <c r="FI3" s="1839"/>
      <c r="FJ3" s="1839"/>
      <c r="FK3" s="1839"/>
      <c r="FL3" s="1839"/>
      <c r="FM3" s="1839"/>
      <c r="FN3" s="1839"/>
      <c r="FO3" s="1839"/>
      <c r="FP3" s="1837"/>
      <c r="FQ3" s="1837"/>
      <c r="FR3" s="1837"/>
      <c r="FS3" s="1837"/>
      <c r="FT3" s="1837"/>
      <c r="FU3" s="1837"/>
      <c r="FV3" s="1837"/>
      <c r="FW3" s="1837"/>
      <c r="FX3" s="1837"/>
      <c r="FY3" s="1837"/>
      <c r="FZ3" s="1837"/>
      <c r="GA3" s="1837"/>
      <c r="GB3" s="1837"/>
      <c r="GC3" s="1837"/>
      <c r="GD3" s="1837"/>
      <c r="GE3" s="1837"/>
      <c r="GF3" s="1835"/>
      <c r="GG3" s="1835"/>
      <c r="GH3" s="1835"/>
      <c r="GI3" s="1835"/>
      <c r="GJ3" s="1835"/>
      <c r="GK3" s="1835"/>
      <c r="GL3" s="1835"/>
      <c r="GM3" s="1835"/>
      <c r="GN3" s="1835"/>
      <c r="GO3" s="1835"/>
      <c r="GP3" s="1835"/>
      <c r="GQ3" s="1835"/>
      <c r="GR3" s="1835"/>
      <c r="GS3" s="1835"/>
      <c r="GT3" s="1835"/>
      <c r="GU3" s="1835"/>
      <c r="GV3" s="1837"/>
      <c r="GW3" s="1837"/>
      <c r="GX3" s="1837"/>
      <c r="GY3" s="1837"/>
      <c r="GZ3" s="1837"/>
      <c r="HA3" s="1837"/>
      <c r="HB3" s="1837"/>
      <c r="HC3" s="1837"/>
      <c r="HD3" s="1837"/>
      <c r="HE3" s="1837"/>
      <c r="HF3" s="1837"/>
      <c r="HG3" s="1837"/>
      <c r="HH3" s="1837"/>
      <c r="HI3" s="1837"/>
      <c r="HJ3" s="1837"/>
      <c r="HK3" s="1837"/>
      <c r="HL3" s="1835"/>
      <c r="HM3" s="1835"/>
      <c r="HN3" s="1835"/>
      <c r="HO3" s="1835"/>
      <c r="HP3" s="1835"/>
      <c r="HQ3" s="1835"/>
      <c r="HR3" s="1835"/>
      <c r="HS3" s="1835"/>
      <c r="HT3" s="1835"/>
      <c r="HU3" s="1835"/>
      <c r="HV3" s="1835"/>
      <c r="HW3" s="1835"/>
      <c r="HX3" s="1835"/>
      <c r="HY3" s="1835"/>
      <c r="HZ3" s="1835"/>
      <c r="IA3" s="1835"/>
    </row>
    <row r="4" spans="1:236" s="143" customFormat="1" ht="39.75" customHeight="1">
      <c r="A4" s="146" t="s">
        <v>7035</v>
      </c>
      <c r="B4" s="146" t="s">
        <v>7036</v>
      </c>
      <c r="C4" s="147" t="s">
        <v>7037</v>
      </c>
      <c r="D4" s="146" t="s">
        <v>7038</v>
      </c>
      <c r="E4" s="148">
        <f>'02 项目基础信息（输入）'!K8</f>
        <v>1.6159999986117155</v>
      </c>
      <c r="F4" s="149">
        <f>'04 目标成本控制表'!M4</f>
        <v>0.61896118687707202</v>
      </c>
      <c r="G4" s="149">
        <f>IFERROR('02 项目基础信息（输入）'!D6/'02 项目基础信息（输入）'!D4,0)</f>
        <v>0.29388816541138985</v>
      </c>
      <c r="H4" s="150">
        <f>'02 项目基础信息（输入）'!D13</f>
        <v>28812.54</v>
      </c>
      <c r="I4" s="150">
        <f>'02 项目基础信息（输入）'!D4</f>
        <v>74626.7546</v>
      </c>
      <c r="J4" s="152">
        <f>'02 项目基础信息（输入）'!K9</f>
        <v>301</v>
      </c>
      <c r="K4" s="152">
        <f>IFERROR('02 项目基础信息（输入）'!$AA$69/'02 项目基础信息（输入）'!$AG$69,0)</f>
        <v>23.555555555555557</v>
      </c>
      <c r="L4" s="150">
        <f>IFERROR('02 项目基础信息（输入）'!D19/'02 项目基础信息（输入）'!K9,0)</f>
        <v>1.7358803986710964</v>
      </c>
      <c r="M4" s="150">
        <f>'02 项目基础信息（输入）'!D21</f>
        <v>38.912765550239229</v>
      </c>
      <c r="N4" s="153">
        <f>'04 目标成本控制表'!E48</f>
        <v>4839.5979950600722</v>
      </c>
      <c r="O4" s="153">
        <f>'04 目标成本控制表'!M48</f>
        <v>1018.1540476637584</v>
      </c>
      <c r="P4" s="153">
        <f ca="1">'04 目标成本控制表'!N48</f>
        <v>2253.4536373902561</v>
      </c>
      <c r="Q4" s="153">
        <f>'04 目标成本控制表'!O48</f>
        <v>1567.9903100060576</v>
      </c>
      <c r="R4" s="153">
        <f>'04 目标成本控制表'!E49</f>
        <v>7156.7789407795053</v>
      </c>
      <c r="S4" s="153">
        <f>'04 目标成本控制表'!I48</f>
        <v>7818.903830590647</v>
      </c>
      <c r="T4" s="153">
        <f>'04 目标成本控制表'!I49</f>
        <v>11562.564975824353</v>
      </c>
      <c r="U4" s="153">
        <f>'04 目标成本控制表'!E8</f>
        <v>43.671674689173742</v>
      </c>
      <c r="V4" s="153">
        <f>'04 目标成本控制表'!E9</f>
        <v>214.34106582466873</v>
      </c>
      <c r="W4" s="153">
        <f>'04 目标成本控制表'!E10</f>
        <v>336.39877956048758</v>
      </c>
      <c r="X4" s="153">
        <f>'04 目标成本控制表'!E12</f>
        <v>2802.7395376237009</v>
      </c>
      <c r="Y4" s="153">
        <f>'04 目标成本控制表'!E13</f>
        <v>0</v>
      </c>
      <c r="Z4" s="153">
        <f>'04 目标成本控制表'!E14</f>
        <v>0</v>
      </c>
      <c r="AA4" s="153">
        <f>'04 目标成本控制表'!E15</f>
        <v>3846.1998232739165</v>
      </c>
      <c r="AB4" s="153">
        <f>'04 目标成本控制表'!E16</f>
        <v>0</v>
      </c>
      <c r="AC4" s="153">
        <f>'04 目标成本控制表'!E17</f>
        <v>0</v>
      </c>
      <c r="AD4" s="153">
        <f>'04 目标成本控制表'!E18</f>
        <v>0</v>
      </c>
      <c r="AE4" s="153">
        <f>'04 目标成本控制表'!E19</f>
        <v>0</v>
      </c>
      <c r="AF4" s="153">
        <f>'04 目标成本控制表'!E20</f>
        <v>0</v>
      </c>
      <c r="AG4" s="153">
        <f>'04 目标成本控制表'!E21</f>
        <v>0</v>
      </c>
      <c r="AH4" s="153">
        <f>'04 目标成本控制表'!E22</f>
        <v>0</v>
      </c>
      <c r="AI4" s="153">
        <f>'04 目标成本控制表'!E23</f>
        <v>5570.8599877300612</v>
      </c>
      <c r="AJ4" s="153">
        <f>'04 目标成本控制表'!E32</f>
        <v>423.74252758942839</v>
      </c>
      <c r="AK4" s="153">
        <f>'04 目标成本控制表'!E33</f>
        <v>1045</v>
      </c>
      <c r="AL4" s="156">
        <f>'04 目标成本控制表'!E50</f>
        <v>0</v>
      </c>
      <c r="AM4" s="156">
        <f>'04 目标成本控制表'!E51</f>
        <v>0</v>
      </c>
      <c r="AN4" s="156">
        <f>'04 目标成本控制表'!E52</f>
        <v>4831.5236913498329</v>
      </c>
      <c r="AO4" s="156">
        <f>'04 目标成本控制表'!E53</f>
        <v>0</v>
      </c>
      <c r="AP4" s="156">
        <f>'04 目标成本控制表'!E54</f>
        <v>0</v>
      </c>
      <c r="AQ4" s="156">
        <f>'04 目标成本控制表'!E55</f>
        <v>0</v>
      </c>
      <c r="AR4" s="156">
        <f>'04 目标成本控制表'!E56</f>
        <v>0</v>
      </c>
      <c r="AS4" s="156">
        <f>'04 目标成本控制表'!E57</f>
        <v>0</v>
      </c>
      <c r="AT4" s="156">
        <f>'04 目标成本控制表'!E58</f>
        <v>0</v>
      </c>
      <c r="AU4" s="156">
        <f>'04 目标成本控制表'!E59</f>
        <v>0</v>
      </c>
      <c r="AV4" s="156">
        <f>'04 目标成本控制表'!E60</f>
        <v>5570.8599877300612</v>
      </c>
      <c r="AW4" s="156">
        <f>'05 成本测算明细'!K97</f>
        <v>3.36</v>
      </c>
      <c r="AX4" s="156">
        <f>'05 成本测算明细'!K101</f>
        <v>367.07400000000001</v>
      </c>
      <c r="AY4" s="156">
        <f>'05 成本测算明细'!K98</f>
        <v>1.71</v>
      </c>
      <c r="AZ4" s="156">
        <f>'05 成本测算明细'!K102</f>
        <v>89.39</v>
      </c>
      <c r="BA4" s="156">
        <f>'05 成本测算明细'!K99</f>
        <v>97.51</v>
      </c>
      <c r="BB4" s="156" t="str">
        <f>'05 成本测算明细'!K105</f>
        <v>898.1</v>
      </c>
      <c r="BC4" s="150">
        <f>'05 成本测算明细'!O115</f>
        <v>290.13</v>
      </c>
      <c r="BD4" s="150">
        <f>'05 成本测算明细'!G97</f>
        <v>117.94887244174295</v>
      </c>
      <c r="BE4" s="150">
        <f>'05 成本测算明细'!G101</f>
        <v>1.2242690421581022</v>
      </c>
      <c r="BF4" s="150">
        <f>'05 成本测算明细'!G99</f>
        <v>2.21</v>
      </c>
      <c r="BG4" s="150">
        <f>'05 成本测算明细'!G105</f>
        <v>5.45E-2</v>
      </c>
      <c r="BH4" s="158">
        <f>'05 成本测算明细'!K837</f>
        <v>3.36</v>
      </c>
      <c r="BI4" s="158">
        <f>'05 成本测算明细'!K841</f>
        <v>367.07400000000001</v>
      </c>
      <c r="BJ4" s="158">
        <f>'05 成本测算明细'!K838</f>
        <v>0</v>
      </c>
      <c r="BK4" s="158">
        <f>'05 成本测算明细'!K842</f>
        <v>0</v>
      </c>
      <c r="BL4" s="158">
        <f>'05 成本测算明细'!K839</f>
        <v>0</v>
      </c>
      <c r="BM4" s="158">
        <f>'05 成本测算明细'!K845</f>
        <v>0</v>
      </c>
      <c r="BN4" s="158">
        <f>'05 成本测算明细'!O856</f>
        <v>0</v>
      </c>
      <c r="BO4" s="158">
        <f>'05 成本测算明细'!O1000</f>
        <v>0</v>
      </c>
      <c r="BP4" s="158">
        <f>'05 成本测算明细'!G837</f>
        <v>0</v>
      </c>
      <c r="BQ4" s="158">
        <f>'05 成本测算明细'!G841</f>
        <v>0</v>
      </c>
      <c r="BR4" s="158">
        <f>'05 成本测算明细'!G839</f>
        <v>0</v>
      </c>
      <c r="BS4" s="158">
        <f>'05 成本测算明细'!G845</f>
        <v>0</v>
      </c>
      <c r="BT4" s="158">
        <f>'02 项目基础信息（输入）'!$AE$45</f>
        <v>0</v>
      </c>
      <c r="BU4" s="158">
        <f>'05 成本测算明细'!$G$919</f>
        <v>0</v>
      </c>
      <c r="BV4" s="149">
        <f>IFERROR('05 成本测算明细'!I953/'05 成本测算明细'!D951,0)</f>
        <v>0</v>
      </c>
      <c r="BW4" s="149">
        <f>IFERROR('05 成本测算明细'!I962/'05 成本测算明细'!D951,0)</f>
        <v>0</v>
      </c>
      <c r="BX4" s="158">
        <f>'05 成本测算明细'!K644</f>
        <v>3.36</v>
      </c>
      <c r="BY4" s="158">
        <f>'05 成本测算明细'!K648</f>
        <v>367.07400000000001</v>
      </c>
      <c r="BZ4" s="158">
        <f>'05 成本测算明细'!K645</f>
        <v>2.2422</v>
      </c>
      <c r="CA4" s="158">
        <f>'05 成本测算明细'!K649</f>
        <v>114.52</v>
      </c>
      <c r="CB4" s="158">
        <f>'05 成本测算明细'!K646</f>
        <v>78.78</v>
      </c>
      <c r="CC4" s="158">
        <f>'05 成本测算明细'!K652</f>
        <v>818.1</v>
      </c>
      <c r="CD4" s="158">
        <f>'05 成本测算明细'!O663</f>
        <v>287.27999999999997</v>
      </c>
      <c r="CE4" s="158">
        <f>'05 成本测算明细'!O807</f>
        <v>68.099999999999994</v>
      </c>
      <c r="CF4" s="158">
        <f>'05 成本测算明细'!G644</f>
        <v>45.153015537948534</v>
      </c>
      <c r="CG4" s="158">
        <f>'05 成本测算明细'!G648</f>
        <v>0.40952735022790537</v>
      </c>
      <c r="CH4" s="158" t="str">
        <f>'05 成本测算明细'!G646</f>
        <v>3.57</v>
      </c>
      <c r="CI4" s="158">
        <f>'05 成本测算明细'!G652</f>
        <v>0.02</v>
      </c>
      <c r="CJ4" s="158">
        <f>'02 项目基础信息（输入）'!$AE$42</f>
        <v>1.2</v>
      </c>
      <c r="CK4" s="158">
        <f>'05 成本测算明细'!$G$726</f>
        <v>0.35338393310914679</v>
      </c>
      <c r="CL4" s="149">
        <f>IFERROR('05 成本测算明细'!I760/'05 成本测算明细'!D758,0)</f>
        <v>1.5902132425071377E-2</v>
      </c>
      <c r="CM4" s="149">
        <f>IFERROR('05 成本测算明细'!I769/'05 成本测算明细'!D758,0)</f>
        <v>4.0385633766072182E-2</v>
      </c>
      <c r="CN4" s="158">
        <f>'05 成本测算明细'!K451</f>
        <v>3.36</v>
      </c>
      <c r="CO4" s="158">
        <f>'05 成本测算明细'!K455</f>
        <v>367.07400000000001</v>
      </c>
      <c r="CP4" s="158">
        <f>'05 成本测算明细'!K452</f>
        <v>0</v>
      </c>
      <c r="CQ4" s="158">
        <f>'05 成本测算明细'!K456</f>
        <v>0</v>
      </c>
      <c r="CR4" s="158">
        <f>'05 成本测算明细'!K453</f>
        <v>0</v>
      </c>
      <c r="CS4" s="158">
        <f>'05 成本测算明细'!K459</f>
        <v>0</v>
      </c>
      <c r="CT4" s="158">
        <f>'05 成本测算明细'!O470</f>
        <v>0</v>
      </c>
      <c r="CU4" s="158">
        <f>'05 成本测算明细'!O614</f>
        <v>0</v>
      </c>
      <c r="CV4" s="158">
        <f>'05 成本测算明细'!G451</f>
        <v>0</v>
      </c>
      <c r="CW4" s="158">
        <f>'05 成本测算明细'!G455</f>
        <v>0</v>
      </c>
      <c r="CX4" s="158">
        <f>'05 成本测算明细'!G453</f>
        <v>0</v>
      </c>
      <c r="CY4" s="158">
        <f>'05 成本测算明细'!G459</f>
        <v>0</v>
      </c>
      <c r="CZ4" s="158">
        <f>'02 项目基础信息（输入）'!$AE$39</f>
        <v>0</v>
      </c>
      <c r="DA4" s="158">
        <f>'05 成本测算明细'!$G$533</f>
        <v>0</v>
      </c>
      <c r="DB4" s="149">
        <f>IFERROR('05 成本测算明细'!I567/'05 成本测算明细'!D565,0)</f>
        <v>0</v>
      </c>
      <c r="DC4" s="149">
        <f>IFERROR('05 成本测算明细'!I576/'05 成本测算明细'!D565,0)</f>
        <v>0</v>
      </c>
      <c r="DD4" s="158">
        <f>'05 成本测算明细'!K258</f>
        <v>0</v>
      </c>
      <c r="DE4" s="158">
        <f>'05 成本测算明细'!K262</f>
        <v>0</v>
      </c>
      <c r="DF4" s="158">
        <f>'05 成本测算明细'!K259</f>
        <v>0</v>
      </c>
      <c r="DG4" s="158">
        <f>'05 成本测算明细'!K263</f>
        <v>0</v>
      </c>
      <c r="DH4" s="158">
        <f>'05 成本测算明细'!K260</f>
        <v>0</v>
      </c>
      <c r="DI4" s="158">
        <f>'05 成本测算明细'!K266</f>
        <v>0</v>
      </c>
      <c r="DJ4" s="158">
        <f>'05 成本测算明细'!O277</f>
        <v>0</v>
      </c>
      <c r="DK4" s="158">
        <f>'05 成本测算明细'!O421</f>
        <v>0</v>
      </c>
      <c r="DL4" s="158">
        <f>'05 成本测算明细'!G258</f>
        <v>0</v>
      </c>
      <c r="DM4" s="158">
        <f>'05 成本测算明细'!G262</f>
        <v>0</v>
      </c>
      <c r="DN4" s="158">
        <f>'05 成本测算明细'!G260</f>
        <v>0</v>
      </c>
      <c r="DO4" s="158">
        <f>'05 成本测算明细'!G266</f>
        <v>0</v>
      </c>
      <c r="DP4" s="158">
        <f>'02 项目基础信息（输入）'!$AE$36</f>
        <v>0</v>
      </c>
      <c r="DQ4" s="158">
        <f>'05 成本测算明细'!$G$340</f>
        <v>0</v>
      </c>
      <c r="DR4" s="149">
        <f>IFERROR('05 成本测算明细'!I374/'05 成本测算明细'!D372,0)</f>
        <v>0</v>
      </c>
      <c r="DS4" s="159">
        <f>IFERROR('05 成本测算明细'!I383/'05 成本测算明细'!D372,0)</f>
        <v>0</v>
      </c>
      <c r="DT4" s="158">
        <f>'05 成本测算明细'!K1030</f>
        <v>0</v>
      </c>
      <c r="DU4" s="158">
        <f>'05 成本测算明细'!K1034</f>
        <v>0</v>
      </c>
      <c r="DV4" s="158">
        <f>'05 成本测算明细'!K1031</f>
        <v>0</v>
      </c>
      <c r="DW4" s="158">
        <f>'05 成本测算明细'!K1035</f>
        <v>0</v>
      </c>
      <c r="DX4" s="158">
        <f>'05 成本测算明细'!K1032</f>
        <v>0</v>
      </c>
      <c r="DY4" s="158">
        <f>'05 成本测算明细'!K1038</f>
        <v>0</v>
      </c>
      <c r="DZ4" s="158">
        <f>'05 成本测算明细'!O1049</f>
        <v>0</v>
      </c>
      <c r="EA4" s="158">
        <f>'05 成本测算明细'!O1193</f>
        <v>0</v>
      </c>
      <c r="EB4" s="158">
        <f>'05 成本测算明细'!G1030</f>
        <v>0</v>
      </c>
      <c r="EC4" s="158">
        <f>'05 成本测算明细'!G1034</f>
        <v>0</v>
      </c>
      <c r="ED4" s="158">
        <f>'05 成本测算明细'!K1032</f>
        <v>0</v>
      </c>
      <c r="EE4" s="158">
        <f>'05 成本测算明细'!G1038</f>
        <v>0</v>
      </c>
      <c r="EF4" s="158">
        <f>'02 项目基础信息（输入）'!$AE$48</f>
        <v>0</v>
      </c>
      <c r="EG4" s="158">
        <f>'05 成本测算明细'!$G$1112</f>
        <v>0</v>
      </c>
      <c r="EH4" s="149">
        <f>IFERROR('05 成本测算明细'!I1146/'05 成本测算明细'!D1144,0)</f>
        <v>0</v>
      </c>
      <c r="EI4" s="149">
        <f>IFERROR('05 成本测算明细'!I1155/'05 成本测算明细'!D1144,0)</f>
        <v>0</v>
      </c>
      <c r="EJ4" s="158">
        <f>'05 成本测算明细'!K1223</f>
        <v>0</v>
      </c>
      <c r="EK4" s="158">
        <f>'05 成本测算明细'!K1227</f>
        <v>0</v>
      </c>
      <c r="EL4" s="158">
        <f>'05 成本测算明细'!K1224</f>
        <v>0</v>
      </c>
      <c r="EM4" s="158">
        <f>'05 成本测算明细'!K1228</f>
        <v>0</v>
      </c>
      <c r="EN4" s="158">
        <f>'05 成本测算明细'!K1225</f>
        <v>0</v>
      </c>
      <c r="EO4" s="158">
        <f>'05 成本测算明细'!K1231</f>
        <v>0</v>
      </c>
      <c r="EP4" s="158">
        <f>'05 成本测算明细'!O1242</f>
        <v>0</v>
      </c>
      <c r="EQ4" s="158">
        <f>'05 成本测算明细'!O1386</f>
        <v>0</v>
      </c>
      <c r="ER4" s="158">
        <f>'05 成本测算明细'!G1223</f>
        <v>0</v>
      </c>
      <c r="ES4" s="158">
        <f>'05 成本测算明细'!G1227</f>
        <v>0</v>
      </c>
      <c r="ET4" s="158">
        <f>'05 成本测算明细'!K1225</f>
        <v>0</v>
      </c>
      <c r="EU4" s="158">
        <f>'05 成本测算明细'!G1231</f>
        <v>0</v>
      </c>
      <c r="EV4" s="158">
        <f>'02 项目基础信息（输入）'!$AE$51</f>
        <v>0</v>
      </c>
      <c r="EW4" s="158">
        <f>'05 成本测算明细'!$G$1305</f>
        <v>0</v>
      </c>
      <c r="EX4" s="149">
        <f>IFERROR('05 成本测算明细'!I1339/'05 成本测算明细'!D1337,0)</f>
        <v>0</v>
      </c>
      <c r="EY4" s="149">
        <f>IFERROR('05 成本测算明细'!I1348/'05 成本测算明细'!D1337,0)</f>
        <v>0</v>
      </c>
      <c r="EZ4" s="158">
        <f>'05 成本测算明细'!K1416</f>
        <v>0</v>
      </c>
      <c r="FA4" s="158">
        <f>'05 成本测算明细'!K1420</f>
        <v>0</v>
      </c>
      <c r="FB4" s="158">
        <f>'05 成本测算明细'!K1417</f>
        <v>0</v>
      </c>
      <c r="FC4" s="158">
        <f>'05 成本测算明细'!K1421</f>
        <v>0</v>
      </c>
      <c r="FD4" s="158">
        <f>'05 成本测算明细'!K1418</f>
        <v>0</v>
      </c>
      <c r="FE4" s="158">
        <f>'05 成本测算明细'!K1424</f>
        <v>0</v>
      </c>
      <c r="FF4" s="158">
        <f>'05 成本测算明细'!O1435</f>
        <v>0</v>
      </c>
      <c r="FG4" s="158">
        <f>'05 成本测算明细'!O1579</f>
        <v>0</v>
      </c>
      <c r="FH4" s="158">
        <f>'05 成本测算明细'!G1416</f>
        <v>0</v>
      </c>
      <c r="FI4" s="158">
        <f>'05 成本测算明细'!G1420</f>
        <v>0</v>
      </c>
      <c r="FJ4" s="158">
        <f>'05 成本测算明细'!K1418</f>
        <v>0</v>
      </c>
      <c r="FK4" s="158">
        <f>'05 成本测算明细'!G1424</f>
        <v>0</v>
      </c>
      <c r="FL4" s="158">
        <f>'02 项目基础信息（输入）'!$AE$54</f>
        <v>0</v>
      </c>
      <c r="FM4" s="158">
        <f>'05 成本测算明细'!$G$1498</f>
        <v>0</v>
      </c>
      <c r="FN4" s="149">
        <f>IFERROR('05 成本测算明细'!I1532/'05 成本测算明细'!D1530,0)</f>
        <v>0</v>
      </c>
      <c r="FO4" s="149">
        <f>IFERROR('05 成本测算明细'!I1541/'05 成本测算明细'!D1530,0)</f>
        <v>0</v>
      </c>
      <c r="FP4" s="158">
        <f>'05 成本测算明细'!K1609</f>
        <v>0</v>
      </c>
      <c r="FQ4" s="158">
        <f>'05 成本测算明细'!K1613</f>
        <v>0</v>
      </c>
      <c r="FR4" s="158">
        <f>'05 成本测算明细'!K1610</f>
        <v>0</v>
      </c>
      <c r="FS4" s="158">
        <f>'05 成本测算明细'!K1614</f>
        <v>0</v>
      </c>
      <c r="FT4" s="158">
        <f>'05 成本测算明细'!K1611</f>
        <v>0</v>
      </c>
      <c r="FU4" s="158">
        <f>'05 成本测算明细'!K1617</f>
        <v>0</v>
      </c>
      <c r="FV4" s="158">
        <f>'05 成本测算明细'!O1628</f>
        <v>0</v>
      </c>
      <c r="FW4" s="158">
        <f>'05 成本测算明细'!O1772</f>
        <v>0</v>
      </c>
      <c r="FX4" s="158">
        <f>'05 成本测算明细'!G1609</f>
        <v>0</v>
      </c>
      <c r="FY4" s="158">
        <f>'05 成本测算明细'!G1613</f>
        <v>0</v>
      </c>
      <c r="FZ4" s="158">
        <f>'05 成本测算明细'!K1611</f>
        <v>0</v>
      </c>
      <c r="GA4" s="158">
        <f>'05 成本测算明细'!G1617</f>
        <v>0</v>
      </c>
      <c r="GB4" s="158">
        <f>'02 项目基础信息（输入）'!$AE$57</f>
        <v>0</v>
      </c>
      <c r="GC4" s="158">
        <f>'05 成本测算明细'!$G$1691</f>
        <v>0</v>
      </c>
      <c r="GD4" s="149">
        <f>IFERROR('05 成本测算明细'!I1725/'05 成本测算明细'!D1723,0)</f>
        <v>0</v>
      </c>
      <c r="GE4" s="149">
        <f>IFERROR('05 成本测算明细'!I1734/'05 成本测算明细'!D1723,0)</f>
        <v>0</v>
      </c>
      <c r="GF4" s="158">
        <f>'05 成本测算明细'!K1802</f>
        <v>0</v>
      </c>
      <c r="GG4" s="158">
        <f>'05 成本测算明细'!K1806</f>
        <v>0</v>
      </c>
      <c r="GH4" s="158">
        <f>'05 成本测算明细'!K1803</f>
        <v>0</v>
      </c>
      <c r="GI4" s="158">
        <f>'05 成本测算明细'!K1807</f>
        <v>0</v>
      </c>
      <c r="GJ4" s="158">
        <f>'05 成本测算明细'!K1804</f>
        <v>0</v>
      </c>
      <c r="GK4" s="158">
        <f>'05 成本测算明细'!K1810</f>
        <v>0</v>
      </c>
      <c r="GL4" s="158">
        <f>'05 成本测算明细'!O1821</f>
        <v>0</v>
      </c>
      <c r="GM4" s="158">
        <f>'05 成本测算明细'!O1965</f>
        <v>0</v>
      </c>
      <c r="GN4" s="158">
        <f>'05 成本测算明细'!G1802</f>
        <v>0</v>
      </c>
      <c r="GO4" s="158">
        <f>'05 成本测算明细'!G1806</f>
        <v>0</v>
      </c>
      <c r="GP4" s="158">
        <f>'05 成本测算明细'!K1804</f>
        <v>0</v>
      </c>
      <c r="GQ4" s="158">
        <f>'05 成本测算明细'!G1810</f>
        <v>0</v>
      </c>
      <c r="GR4" s="158">
        <f>'02 项目基础信息（输入）'!$AE$60</f>
        <v>0</v>
      </c>
      <c r="GS4" s="158">
        <f>'05 成本测算明细'!$G$1884</f>
        <v>0</v>
      </c>
      <c r="GT4" s="149">
        <f>IFERROR('05 成本测算明细'!I1918/'05 成本测算明细'!D1916,0)</f>
        <v>0</v>
      </c>
      <c r="GU4" s="149">
        <f>IFERROR('05 成本测算明细'!I1927/'05 成本测算明细'!D1916,0)</f>
        <v>0</v>
      </c>
      <c r="GV4" s="158">
        <f>'05 成本测算明细'!K1995</f>
        <v>0</v>
      </c>
      <c r="GW4" s="158">
        <f>'05 成本测算明细'!K1999</f>
        <v>0</v>
      </c>
      <c r="GX4" s="158">
        <f>'05 成本测算明细'!K1996</f>
        <v>0</v>
      </c>
      <c r="GY4" s="158">
        <f>'05 成本测算明细'!K2000</f>
        <v>0</v>
      </c>
      <c r="GZ4" s="158">
        <f>'05 成本测算明细'!K1997</f>
        <v>0</v>
      </c>
      <c r="HA4" s="158">
        <f>'05 成本测算明细'!K2003</f>
        <v>0</v>
      </c>
      <c r="HB4" s="158">
        <f>'05 成本测算明细'!O2014</f>
        <v>0</v>
      </c>
      <c r="HC4" s="158">
        <f>'05 成本测算明细'!O2158</f>
        <v>0</v>
      </c>
      <c r="HD4" s="158">
        <f>'05 成本测算明细'!G1995</f>
        <v>0</v>
      </c>
      <c r="HE4" s="158">
        <f>'05 成本测算明细'!G1999</f>
        <v>0</v>
      </c>
      <c r="HF4" s="158">
        <f>'05 成本测算明细'!K1997</f>
        <v>0</v>
      </c>
      <c r="HG4" s="158">
        <f>'05 成本测算明细'!G2003</f>
        <v>0</v>
      </c>
      <c r="HH4" s="158">
        <f>'02 项目基础信息（输入）'!$AE$63</f>
        <v>0</v>
      </c>
      <c r="HI4" s="158">
        <f>'05 成本测算明细'!$G$2077</f>
        <v>0</v>
      </c>
      <c r="HJ4" s="149">
        <f>IFERROR('05 成本测算明细'!I2111/'05 成本测算明细'!D2109,0)</f>
        <v>0</v>
      </c>
      <c r="HK4" s="149">
        <f>IFERROR('05 成本测算明细'!I2120/'05 成本测算明细'!D2109,0)</f>
        <v>0</v>
      </c>
      <c r="HL4" s="158">
        <f>'05 成本测算明细'!K2188</f>
        <v>3.51</v>
      </c>
      <c r="HM4" s="158">
        <f>'05 成本测算明细'!K2192</f>
        <v>418.22</v>
      </c>
      <c r="HN4" s="158">
        <f>'05 成本测算明细'!K2189</f>
        <v>2.2422</v>
      </c>
      <c r="HO4" s="158">
        <f>'05 成本测算明细'!K2193</f>
        <v>114.52</v>
      </c>
      <c r="HP4" s="158">
        <f>'05 成本测算明细'!K2190</f>
        <v>78.78</v>
      </c>
      <c r="HQ4" s="158">
        <f>'05 成本测算明细'!K2196</f>
        <v>818.1</v>
      </c>
      <c r="HR4" s="158">
        <f>'05 成本测算明细'!O2207</f>
        <v>502.03</v>
      </c>
      <c r="HS4" s="158">
        <f>'05 成本测算明细'!O2351</f>
        <v>184.05</v>
      </c>
      <c r="HT4" s="158">
        <f>'05 成本测算明细'!G2188</f>
        <v>50</v>
      </c>
      <c r="HU4" s="158">
        <f>'05 成本测算明细'!G2192</f>
        <v>0.47</v>
      </c>
      <c r="HV4" s="158">
        <f>'05 成本测算明细'!K2190</f>
        <v>78.78</v>
      </c>
      <c r="HW4" s="158">
        <f>'05 成本测算明细'!G2196</f>
        <v>0.17</v>
      </c>
      <c r="HX4" s="158">
        <f>'02 项目基础信息（输入）'!$AE$66</f>
        <v>1.4</v>
      </c>
      <c r="HY4" s="158">
        <f>'05 成本测算明细'!$G$2270</f>
        <v>0.22</v>
      </c>
      <c r="HZ4" s="149">
        <f>IFERROR('05 成本测算明细'!I2304/'05 成本测算明细'!D2302,0)</f>
        <v>0</v>
      </c>
      <c r="IA4" s="149">
        <f>IFERROR('05 成本测算明细'!I2313/'05 成本测算明细'!D2302,0)</f>
        <v>0</v>
      </c>
      <c r="IB4" s="143" t="s">
        <v>7039</v>
      </c>
    </row>
  </sheetData>
  <sheetProtection sheet="1" objects="1" formatCells="0" formatColumns="0" formatRows="0" insertColumns="0" insertHyperlinks="0" deleteColumns="0" sort="0" autoFilter="0" pivotTables="0"/>
  <mergeCells count="227">
    <mergeCell ref="HW2:HW3"/>
    <mergeCell ref="HX2:HX3"/>
    <mergeCell ref="HY2:HY3"/>
    <mergeCell ref="HZ2:HZ3"/>
    <mergeCell ref="IA2:IA3"/>
    <mergeCell ref="HN2:HN3"/>
    <mergeCell ref="HO2:HO3"/>
    <mergeCell ref="HP2:HP3"/>
    <mergeCell ref="HQ2:HQ3"/>
    <mergeCell ref="HR2:HR3"/>
    <mergeCell ref="HS2:HS3"/>
    <mergeCell ref="HT2:HT3"/>
    <mergeCell ref="HU2:HU3"/>
    <mergeCell ref="HV2:HV3"/>
    <mergeCell ref="HE2:HE3"/>
    <mergeCell ref="HF2:HF3"/>
    <mergeCell ref="HG2:HG3"/>
    <mergeCell ref="HH2:HH3"/>
    <mergeCell ref="HI2:HI3"/>
    <mergeCell ref="HJ2:HJ3"/>
    <mergeCell ref="HK2:HK3"/>
    <mergeCell ref="HL2:HL3"/>
    <mergeCell ref="HM2:HM3"/>
    <mergeCell ref="GV2:GV3"/>
    <mergeCell ref="GW2:GW3"/>
    <mergeCell ref="GX2:GX3"/>
    <mergeCell ref="GY2:GY3"/>
    <mergeCell ref="GZ2:GZ3"/>
    <mergeCell ref="HA2:HA3"/>
    <mergeCell ref="HB2:HB3"/>
    <mergeCell ref="HC2:HC3"/>
    <mergeCell ref="HD2:HD3"/>
    <mergeCell ref="GM2:GM3"/>
    <mergeCell ref="GN2:GN3"/>
    <mergeCell ref="GO2:GO3"/>
    <mergeCell ref="GP2:GP3"/>
    <mergeCell ref="GQ2:GQ3"/>
    <mergeCell ref="GR2:GR3"/>
    <mergeCell ref="GS2:GS3"/>
    <mergeCell ref="GT2:GT3"/>
    <mergeCell ref="GU2:GU3"/>
    <mergeCell ref="GD2:GD3"/>
    <mergeCell ref="GE2:GE3"/>
    <mergeCell ref="GF2:GF3"/>
    <mergeCell ref="GG2:GG3"/>
    <mergeCell ref="GH2:GH3"/>
    <mergeCell ref="GI2:GI3"/>
    <mergeCell ref="GJ2:GJ3"/>
    <mergeCell ref="GK2:GK3"/>
    <mergeCell ref="GL2:GL3"/>
    <mergeCell ref="FU2:FU3"/>
    <mergeCell ref="FV2:FV3"/>
    <mergeCell ref="FW2:FW3"/>
    <mergeCell ref="FX2:FX3"/>
    <mergeCell ref="FY2:FY3"/>
    <mergeCell ref="FZ2:FZ3"/>
    <mergeCell ref="GA2:GA3"/>
    <mergeCell ref="GB2:GB3"/>
    <mergeCell ref="GC2:GC3"/>
    <mergeCell ref="FL2:FL3"/>
    <mergeCell ref="FM2:FM3"/>
    <mergeCell ref="FN2:FN3"/>
    <mergeCell ref="FO2:FO3"/>
    <mergeCell ref="FP2:FP3"/>
    <mergeCell ref="FQ2:FQ3"/>
    <mergeCell ref="FR2:FR3"/>
    <mergeCell ref="FS2:FS3"/>
    <mergeCell ref="FT2:FT3"/>
    <mergeCell ref="FC2:FC3"/>
    <mergeCell ref="FD2:FD3"/>
    <mergeCell ref="FE2:FE3"/>
    <mergeCell ref="FF2:FF3"/>
    <mergeCell ref="FG2:FG3"/>
    <mergeCell ref="FH2:FH3"/>
    <mergeCell ref="FI2:FI3"/>
    <mergeCell ref="FJ2:FJ3"/>
    <mergeCell ref="FK2:FK3"/>
    <mergeCell ref="ET2:ET3"/>
    <mergeCell ref="EU2:EU3"/>
    <mergeCell ref="EV2:EV3"/>
    <mergeCell ref="EW2:EW3"/>
    <mergeCell ref="EX2:EX3"/>
    <mergeCell ref="EY2:EY3"/>
    <mergeCell ref="EZ2:EZ3"/>
    <mergeCell ref="FA2:FA3"/>
    <mergeCell ref="FB2:FB3"/>
    <mergeCell ref="EK2:EK3"/>
    <mergeCell ref="EL2:EL3"/>
    <mergeCell ref="EM2:EM3"/>
    <mergeCell ref="EN2:EN3"/>
    <mergeCell ref="EO2:EO3"/>
    <mergeCell ref="EP2:EP3"/>
    <mergeCell ref="EQ2:EQ3"/>
    <mergeCell ref="ER2:ER3"/>
    <mergeCell ref="ES2:ES3"/>
    <mergeCell ref="EB2:EB3"/>
    <mergeCell ref="EC2:EC3"/>
    <mergeCell ref="ED2:ED3"/>
    <mergeCell ref="EE2:EE3"/>
    <mergeCell ref="EF2:EF3"/>
    <mergeCell ref="EG2:EG3"/>
    <mergeCell ref="EH2:EH3"/>
    <mergeCell ref="EI2:EI3"/>
    <mergeCell ref="EJ2:EJ3"/>
    <mergeCell ref="DS2:DS3"/>
    <mergeCell ref="DT2:DT3"/>
    <mergeCell ref="DU2:DU3"/>
    <mergeCell ref="DV2:DV3"/>
    <mergeCell ref="DW2:DW3"/>
    <mergeCell ref="DX2:DX3"/>
    <mergeCell ref="DY2:DY3"/>
    <mergeCell ref="DZ2:DZ3"/>
    <mergeCell ref="EA2:EA3"/>
    <mergeCell ref="DJ2:DJ3"/>
    <mergeCell ref="DK2:DK3"/>
    <mergeCell ref="DL2:DL3"/>
    <mergeCell ref="DM2:DM3"/>
    <mergeCell ref="DN2:DN3"/>
    <mergeCell ref="DO2:DO3"/>
    <mergeCell ref="DP2:DP3"/>
    <mergeCell ref="DQ2:DQ3"/>
    <mergeCell ref="DR2:DR3"/>
    <mergeCell ref="DA2:DA3"/>
    <mergeCell ref="DB2:DB3"/>
    <mergeCell ref="DC2:DC3"/>
    <mergeCell ref="DD2:DD3"/>
    <mergeCell ref="DE2:DE3"/>
    <mergeCell ref="DF2:DF3"/>
    <mergeCell ref="DG2:DG3"/>
    <mergeCell ref="DH2:DH3"/>
    <mergeCell ref="DI2:DI3"/>
    <mergeCell ref="CR2:CR3"/>
    <mergeCell ref="CS2:CS3"/>
    <mergeCell ref="CT2:CT3"/>
    <mergeCell ref="CU2:CU3"/>
    <mergeCell ref="CV2:CV3"/>
    <mergeCell ref="CW2:CW3"/>
    <mergeCell ref="CX2:CX3"/>
    <mergeCell ref="CY2:CY3"/>
    <mergeCell ref="CZ2:CZ3"/>
    <mergeCell ref="CI2:CI3"/>
    <mergeCell ref="CJ2:CJ3"/>
    <mergeCell ref="CK2:CK3"/>
    <mergeCell ref="CL2:CL3"/>
    <mergeCell ref="CM2:CM3"/>
    <mergeCell ref="CN2:CN3"/>
    <mergeCell ref="CO2:CO3"/>
    <mergeCell ref="CP2:CP3"/>
    <mergeCell ref="CQ2:CQ3"/>
    <mergeCell ref="BZ2:BZ3"/>
    <mergeCell ref="CA2:CA3"/>
    <mergeCell ref="CB2:CB3"/>
    <mergeCell ref="CC2:CC3"/>
    <mergeCell ref="CD2:CD3"/>
    <mergeCell ref="CE2:CE3"/>
    <mergeCell ref="CF2:CF3"/>
    <mergeCell ref="CG2:CG3"/>
    <mergeCell ref="CH2:CH3"/>
    <mergeCell ref="BQ2:BQ3"/>
    <mergeCell ref="BR2:BR3"/>
    <mergeCell ref="BS2:BS3"/>
    <mergeCell ref="BT2:BT3"/>
    <mergeCell ref="BU2:BU3"/>
    <mergeCell ref="BV2:BV3"/>
    <mergeCell ref="BW2:BW3"/>
    <mergeCell ref="BX2:BX3"/>
    <mergeCell ref="BY2:BY3"/>
    <mergeCell ref="BH2:BH3"/>
    <mergeCell ref="BI2:BI3"/>
    <mergeCell ref="BJ2:BJ3"/>
    <mergeCell ref="BK2:BK3"/>
    <mergeCell ref="BL2:BL3"/>
    <mergeCell ref="BM2:BM3"/>
    <mergeCell ref="BN2:BN3"/>
    <mergeCell ref="BO2:BO3"/>
    <mergeCell ref="BP2:BP3"/>
    <mergeCell ref="J2:J3"/>
    <mergeCell ref="K2:K3"/>
    <mergeCell ref="L2:L3"/>
    <mergeCell ref="M2:M3"/>
    <mergeCell ref="R2:R3"/>
    <mergeCell ref="S2:S3"/>
    <mergeCell ref="T2:T3"/>
    <mergeCell ref="U2:U3"/>
    <mergeCell ref="V2:V3"/>
    <mergeCell ref="A2:A3"/>
    <mergeCell ref="B2:B3"/>
    <mergeCell ref="C2:C3"/>
    <mergeCell ref="D2:D3"/>
    <mergeCell ref="E2:E3"/>
    <mergeCell ref="F2:F3"/>
    <mergeCell ref="G2:G3"/>
    <mergeCell ref="H2:H3"/>
    <mergeCell ref="I2:I3"/>
    <mergeCell ref="DT1:EI1"/>
    <mergeCell ref="EJ1:EY1"/>
    <mergeCell ref="EZ1:FO1"/>
    <mergeCell ref="FP1:GE1"/>
    <mergeCell ref="GF1:GU1"/>
    <mergeCell ref="GV1:HK1"/>
    <mergeCell ref="HL1:IA1"/>
    <mergeCell ref="N2:Q2"/>
    <mergeCell ref="X2:AI2"/>
    <mergeCell ref="AL2:AV2"/>
    <mergeCell ref="W2:W3"/>
    <mergeCell ref="AJ2:AJ3"/>
    <mergeCell ref="AK2:AK3"/>
    <mergeCell ref="AW2:AW3"/>
    <mergeCell ref="AX2:AX3"/>
    <mergeCell ref="AY2:AY3"/>
    <mergeCell ref="AZ2:AZ3"/>
    <mergeCell ref="BA2:BA3"/>
    <mergeCell ref="BB2:BB3"/>
    <mergeCell ref="BC2:BC3"/>
    <mergeCell ref="BD2:BD3"/>
    <mergeCell ref="BE2:BE3"/>
    <mergeCell ref="BF2:BF3"/>
    <mergeCell ref="BG2:BG3"/>
    <mergeCell ref="A1:D1"/>
    <mergeCell ref="E1:M1"/>
    <mergeCell ref="N1:T1"/>
    <mergeCell ref="U1:AV1"/>
    <mergeCell ref="AW1:BG1"/>
    <mergeCell ref="BH1:BW1"/>
    <mergeCell ref="BX1:CM1"/>
    <mergeCell ref="CN1:DC1"/>
    <mergeCell ref="DD1:DS1"/>
  </mergeCells>
  <phoneticPr fontId="84" type="noConversion"/>
  <dataValidations count="1">
    <dataValidation type="list" allowBlank="1" showInputMessage="1" showErrorMessage="1" sqref="B4" xr:uid="{00000000-0002-0000-0800-000000000000}">
      <formula1>#REF!</formula1>
    </dataValidation>
  </dataValidations>
  <pageMargins left="0.75" right="0.75" top="1" bottom="1" header="0.5" footer="0.5"/>
  <pageSetup orientation="landscape"/>
  <headerFooter>
    <oddHeader>&amp;L&amp;C&amp;R</oddHeader>
    <oddFooter>&amp;L&amp;C&amp;R</oddFooter>
    <evenHeader>&amp;L&amp;C&amp;R</evenHeader>
    <evenFooter>&amp;L&amp;C&amp;R</even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outlinePr summaryBelow="0"/>
  </sheetPr>
  <dimension ref="A1:V230"/>
  <sheetViews>
    <sheetView topLeftCell="A8" zoomScale="55" workbookViewId="0">
      <selection activeCell="R47" sqref="R47"/>
    </sheetView>
  </sheetViews>
  <sheetFormatPr baseColWidth="10" defaultColWidth="9.1640625" defaultRowHeight="16.5" customHeight="1" outlineLevelRow="2"/>
  <cols>
    <col min="1" max="1" width="6.33203125" style="65" customWidth="1"/>
    <col min="2" max="2" width="21.83203125" style="65" customWidth="1"/>
    <col min="3" max="4" width="25.6640625" style="61" customWidth="1"/>
    <col min="5" max="5" width="24" style="61" customWidth="1"/>
    <col min="6" max="6" width="28.33203125" style="61" customWidth="1"/>
    <col min="7" max="7" width="32" style="61" customWidth="1"/>
    <col min="8" max="8" width="26.6640625" style="61" customWidth="1"/>
    <col min="9" max="10" width="24.5" style="61" customWidth="1"/>
    <col min="11" max="11" width="19.5" style="61" customWidth="1"/>
    <col min="12" max="12" width="19.5" style="66" customWidth="1"/>
    <col min="13" max="15" width="19.5" style="61" customWidth="1"/>
    <col min="16" max="17" width="9.1640625" style="61"/>
  </cols>
  <sheetData>
    <row r="1" spans="1:12" s="61" customFormat="1" ht="22.5" customHeight="1">
      <c r="A1" s="67" t="s">
        <v>15</v>
      </c>
      <c r="B1" s="1487" t="s">
        <v>6703</v>
      </c>
      <c r="C1" s="1487"/>
      <c r="D1" s="1487"/>
      <c r="E1" s="1487"/>
      <c r="F1" s="1487"/>
      <c r="G1" s="1487"/>
      <c r="L1" s="66"/>
    </row>
    <row r="2" spans="1:12" s="61" customFormat="1" ht="16.5" customHeight="1" outlineLevel="2">
      <c r="A2" s="68" t="s">
        <v>11</v>
      </c>
      <c r="B2" s="68" t="s">
        <v>6705</v>
      </c>
      <c r="C2" s="1488" t="s">
        <v>6706</v>
      </c>
      <c r="D2" s="1488"/>
      <c r="E2" s="1488" t="s">
        <v>6707</v>
      </c>
      <c r="F2" s="1488"/>
      <c r="G2" s="68" t="s">
        <v>6708</v>
      </c>
      <c r="H2" s="69"/>
      <c r="I2" s="69"/>
      <c r="L2" s="66"/>
    </row>
    <row r="3" spans="1:12" s="61" customFormat="1" ht="32.25" customHeight="1" outlineLevel="2">
      <c r="A3" s="68">
        <v>1</v>
      </c>
      <c r="B3" s="68" t="s">
        <v>7040</v>
      </c>
      <c r="C3" s="1489" t="s">
        <v>7041</v>
      </c>
      <c r="D3" s="1489"/>
      <c r="E3" s="1489" t="s">
        <v>6711</v>
      </c>
      <c r="F3" s="1489"/>
      <c r="G3" s="70"/>
      <c r="H3" s="69"/>
      <c r="I3" s="69"/>
      <c r="L3" s="66"/>
    </row>
    <row r="4" spans="1:12" s="61" customFormat="1" ht="32.25" customHeight="1" outlineLevel="2">
      <c r="A4" s="68">
        <v>2</v>
      </c>
      <c r="B4" s="68" t="s">
        <v>117</v>
      </c>
      <c r="C4" s="1489" t="s">
        <v>7042</v>
      </c>
      <c r="D4" s="1489"/>
      <c r="E4" s="1489" t="s">
        <v>7043</v>
      </c>
      <c r="F4" s="1489"/>
      <c r="G4" s="70"/>
      <c r="H4" s="69"/>
      <c r="I4" s="69"/>
      <c r="L4" s="66"/>
    </row>
    <row r="5" spans="1:12" s="61" customFormat="1" ht="32.25" customHeight="1" outlineLevel="2">
      <c r="A5" s="68">
        <v>4</v>
      </c>
      <c r="B5" s="71" t="s">
        <v>6716</v>
      </c>
      <c r="C5" s="1489" t="s">
        <v>6717</v>
      </c>
      <c r="D5" s="1489"/>
      <c r="E5" s="1489" t="s">
        <v>6718</v>
      </c>
      <c r="F5" s="1489"/>
      <c r="G5" s="70" t="s">
        <v>6719</v>
      </c>
      <c r="H5" s="69"/>
      <c r="I5" s="69"/>
      <c r="L5" s="66"/>
    </row>
    <row r="6" spans="1:12" s="61" customFormat="1" ht="32.25" customHeight="1" outlineLevel="2">
      <c r="A6" s="68">
        <v>5</v>
      </c>
      <c r="B6" s="71" t="s">
        <v>6725</v>
      </c>
      <c r="C6" s="1489" t="s">
        <v>6726</v>
      </c>
      <c r="D6" s="1489"/>
      <c r="E6" s="1489" t="s">
        <v>6727</v>
      </c>
      <c r="F6" s="1489"/>
      <c r="G6" s="70" t="s">
        <v>6719</v>
      </c>
      <c r="H6" s="69"/>
      <c r="I6" s="69"/>
      <c r="L6" s="66"/>
    </row>
    <row r="7" spans="1:12" s="61" customFormat="1" ht="32.25" customHeight="1" outlineLevel="2">
      <c r="A7" s="68">
        <v>6</v>
      </c>
      <c r="B7" s="68" t="s">
        <v>7044</v>
      </c>
      <c r="C7" s="1489" t="s">
        <v>7045</v>
      </c>
      <c r="D7" s="1489"/>
      <c r="E7" s="1489" t="s">
        <v>7046</v>
      </c>
      <c r="F7" s="1489"/>
      <c r="G7" s="70" t="s">
        <v>6719</v>
      </c>
      <c r="H7" s="69"/>
      <c r="I7" s="69"/>
      <c r="L7" s="66"/>
    </row>
    <row r="8" spans="1:12" s="61" customFormat="1" ht="32.25" customHeight="1" outlineLevel="2">
      <c r="A8" s="68">
        <v>7</v>
      </c>
      <c r="B8" s="68" t="s">
        <v>7047</v>
      </c>
      <c r="C8" s="1489" t="s">
        <v>7048</v>
      </c>
      <c r="D8" s="1489"/>
      <c r="E8" s="1489" t="s">
        <v>7049</v>
      </c>
      <c r="F8" s="1489"/>
      <c r="G8" s="70" t="s">
        <v>6719</v>
      </c>
      <c r="H8" s="69"/>
      <c r="I8" s="69"/>
      <c r="L8" s="66"/>
    </row>
    <row r="9" spans="1:12" s="61" customFormat="1" ht="32.25" customHeight="1" outlineLevel="2">
      <c r="A9" s="68">
        <v>8</v>
      </c>
      <c r="B9" s="68" t="s">
        <v>6739</v>
      </c>
      <c r="C9" s="1489" t="s">
        <v>82</v>
      </c>
      <c r="D9" s="1489"/>
      <c r="E9" s="1489" t="s">
        <v>6740</v>
      </c>
      <c r="F9" s="1489"/>
      <c r="G9" s="70" t="s">
        <v>6719</v>
      </c>
      <c r="H9" s="69"/>
      <c r="I9" s="69"/>
      <c r="L9" s="66"/>
    </row>
    <row r="10" spans="1:12" s="61" customFormat="1" ht="27.75" customHeight="1" outlineLevel="2">
      <c r="A10" s="72">
        <v>10</v>
      </c>
      <c r="B10" s="72" t="s">
        <v>6742</v>
      </c>
      <c r="C10" s="1490"/>
      <c r="D10" s="1491"/>
      <c r="E10" s="1490"/>
      <c r="F10" s="1491"/>
      <c r="G10" s="73"/>
      <c r="H10" s="69"/>
      <c r="I10" s="69"/>
      <c r="J10" s="103"/>
      <c r="L10" s="66"/>
    </row>
    <row r="11" spans="1:12" s="62" customFormat="1" ht="22.5" customHeight="1">
      <c r="A11" s="74" t="s">
        <v>6744</v>
      </c>
      <c r="B11" s="1492" t="s">
        <v>7050</v>
      </c>
      <c r="C11" s="1493"/>
      <c r="D11" s="1493"/>
      <c r="E11" s="1493"/>
      <c r="F11" s="1493"/>
      <c r="G11" s="1494"/>
      <c r="L11" s="66"/>
    </row>
    <row r="12" spans="1:12" s="62" customFormat="1" ht="18.75" customHeight="1" outlineLevel="2">
      <c r="A12" s="75" t="s">
        <v>11</v>
      </c>
      <c r="B12" s="75" t="s">
        <v>6747</v>
      </c>
      <c r="C12" s="75" t="s">
        <v>6748</v>
      </c>
      <c r="D12" s="75" t="s">
        <v>649</v>
      </c>
      <c r="E12" s="75" t="s">
        <v>1312</v>
      </c>
      <c r="F12" s="75" t="s">
        <v>1313</v>
      </c>
      <c r="G12" s="75" t="s">
        <v>1314</v>
      </c>
      <c r="L12" s="66"/>
    </row>
    <row r="13" spans="1:12" s="62" customFormat="1" ht="18.75" customHeight="1" outlineLevel="2">
      <c r="A13" s="75">
        <v>1</v>
      </c>
      <c r="B13" s="75" t="s">
        <v>6750</v>
      </c>
      <c r="C13" s="75" t="s">
        <v>81</v>
      </c>
      <c r="D13" s="76">
        <f t="shared" ref="D13:G15" si="0">D16-D19</f>
        <v>-3763.28902256741</v>
      </c>
      <c r="E13" s="76">
        <f t="shared" si="0"/>
        <v>-735.97990195614796</v>
      </c>
      <c r="F13" s="76">
        <f t="shared" si="0"/>
        <v>-2084.1567761676802</v>
      </c>
      <c r="G13" s="76">
        <f t="shared" si="0"/>
        <v>-943.15234444357998</v>
      </c>
      <c r="H13" s="77"/>
      <c r="I13" s="77"/>
      <c r="J13" s="77"/>
      <c r="K13" s="77"/>
      <c r="L13" s="66"/>
    </row>
    <row r="14" spans="1:12" s="62" customFormat="1" ht="18.75" customHeight="1" outlineLevel="2">
      <c r="A14" s="75">
        <v>2</v>
      </c>
      <c r="B14" s="75" t="s">
        <v>6750</v>
      </c>
      <c r="C14" s="75" t="s">
        <v>111</v>
      </c>
      <c r="D14" s="76">
        <f t="shared" si="0"/>
        <v>-3839.6466543004699</v>
      </c>
      <c r="E14" s="76">
        <f t="shared" si="0"/>
        <v>293.41619723914391</v>
      </c>
      <c r="F14" s="76">
        <f t="shared" si="0"/>
        <v>60.75398398374864</v>
      </c>
      <c r="G14" s="76">
        <f t="shared" si="0"/>
        <v>637.70685582647388</v>
      </c>
      <c r="H14" s="77"/>
      <c r="I14" s="77"/>
      <c r="J14" s="77"/>
      <c r="K14" s="77"/>
      <c r="L14" s="66"/>
    </row>
    <row r="15" spans="1:12" s="62" customFormat="1" ht="18.75" customHeight="1" outlineLevel="2">
      <c r="A15" s="75">
        <v>3</v>
      </c>
      <c r="B15" s="75" t="s">
        <v>6750</v>
      </c>
      <c r="C15" s="75" t="s">
        <v>115</v>
      </c>
      <c r="D15" s="76">
        <f t="shared" si="0"/>
        <v>-3788.2081439149902</v>
      </c>
      <c r="E15" s="76">
        <f t="shared" si="0"/>
        <v>-735.97990195614898</v>
      </c>
      <c r="F15" s="76">
        <f t="shared" si="0"/>
        <v>-2094.5997998924499</v>
      </c>
      <c r="G15" s="76">
        <f t="shared" si="0"/>
        <v>-957.62844206638897</v>
      </c>
      <c r="H15" s="77"/>
      <c r="I15" s="77"/>
      <c r="J15" s="77"/>
      <c r="K15" s="77"/>
      <c r="L15" s="66"/>
    </row>
    <row r="16" spans="1:12" s="62" customFormat="1" ht="18.75" customHeight="1" outlineLevel="2">
      <c r="A16" s="75">
        <v>4</v>
      </c>
      <c r="B16" s="75" t="s">
        <v>6757</v>
      </c>
      <c r="C16" s="75" t="s">
        <v>81</v>
      </c>
      <c r="D16" s="76">
        <f>'04 目标成本控制表'!I68</f>
        <v>0</v>
      </c>
      <c r="E16" s="76">
        <f>'04 目标成本控制表'!M53</f>
        <v>0</v>
      </c>
      <c r="F16" s="76">
        <f>'04 目标成本控制表'!N53</f>
        <v>0</v>
      </c>
      <c r="G16" s="76">
        <f>'04 目标成本控制表'!O53</f>
        <v>0</v>
      </c>
      <c r="H16" s="77"/>
      <c r="I16" s="77"/>
      <c r="J16" s="77"/>
      <c r="K16" s="77"/>
      <c r="L16" s="66"/>
    </row>
    <row r="17" spans="1:12" s="62" customFormat="1" ht="18.75" customHeight="1" outlineLevel="2">
      <c r="A17" s="75">
        <v>5</v>
      </c>
      <c r="B17" s="75" t="s">
        <v>6757</v>
      </c>
      <c r="C17" s="75" t="s">
        <v>111</v>
      </c>
      <c r="D17" s="76">
        <f>'04 目标成本控制表'!I69</f>
        <v>0</v>
      </c>
      <c r="E17" s="76">
        <f>'04 目标成本控制表'!M52</f>
        <v>1029.3960991952899</v>
      </c>
      <c r="F17" s="76">
        <f>'04 目标成本控制表'!N52</f>
        <v>2216.8241575712386</v>
      </c>
      <c r="G17" s="76">
        <f>'04 目标成本控制表'!O52</f>
        <v>1585.3034345833039</v>
      </c>
      <c r="H17" s="77"/>
      <c r="I17" s="77"/>
      <c r="J17" s="77"/>
      <c r="K17" s="77"/>
      <c r="L17" s="66"/>
    </row>
    <row r="18" spans="1:12" s="62" customFormat="1" ht="18.75" customHeight="1" outlineLevel="2">
      <c r="A18" s="75">
        <v>6</v>
      </c>
      <c r="B18" s="75" t="s">
        <v>6757</v>
      </c>
      <c r="C18" s="75" t="s">
        <v>115</v>
      </c>
      <c r="D18" s="76">
        <f>'04 目标成本控制表'!I70</f>
        <v>0</v>
      </c>
      <c r="E18" s="76">
        <f>'04 目标成本控制表'!M51</f>
        <v>0</v>
      </c>
      <c r="F18" s="76">
        <f>'04 目标成本控制表'!N51</f>
        <v>0</v>
      </c>
      <c r="G18" s="76">
        <f>'04 目标成本控制表'!O51</f>
        <v>0</v>
      </c>
      <c r="H18" s="77"/>
      <c r="I18" s="77"/>
      <c r="J18" s="77"/>
      <c r="K18" s="77"/>
      <c r="L18" s="66"/>
    </row>
    <row r="19" spans="1:12" s="62" customFormat="1" ht="18.75" customHeight="1" outlineLevel="2">
      <c r="A19" s="75">
        <v>7</v>
      </c>
      <c r="B19" s="75" t="s">
        <v>6761</v>
      </c>
      <c r="C19" s="75" t="s">
        <v>81</v>
      </c>
      <c r="D19" s="76">
        <f>'04 目标成本控制表'!W53</f>
        <v>3763.28902256741</v>
      </c>
      <c r="E19" s="76">
        <f>'04 目标成本控制表'!Y53</f>
        <v>735.97990195614796</v>
      </c>
      <c r="F19" s="76">
        <f>'04 目标成本控制表'!Z53</f>
        <v>2084.1567761676802</v>
      </c>
      <c r="G19" s="76">
        <f>'04 目标成本控制表'!AA53</f>
        <v>943.15234444357998</v>
      </c>
      <c r="H19" s="77"/>
      <c r="I19" s="77"/>
      <c r="J19" s="77"/>
      <c r="K19" s="77"/>
      <c r="L19" s="66"/>
    </row>
    <row r="20" spans="1:12" s="62" customFormat="1" ht="18.75" customHeight="1" outlineLevel="2">
      <c r="A20" s="75">
        <v>8</v>
      </c>
      <c r="B20" s="75" t="s">
        <v>6761</v>
      </c>
      <c r="C20" s="75" t="s">
        <v>111</v>
      </c>
      <c r="D20" s="76">
        <f>'04 目标成本控制表'!W52</f>
        <v>3839.6466543004699</v>
      </c>
      <c r="E20" s="76">
        <f>'04 目标成本控制表'!Y52</f>
        <v>735.97990195614602</v>
      </c>
      <c r="F20" s="76">
        <f>'04 目标成本控制表'!Z52</f>
        <v>2156.07017358749</v>
      </c>
      <c r="G20" s="76">
        <f>'04 目标成本控制表'!AA52</f>
        <v>947.59657875683001</v>
      </c>
      <c r="H20" s="77"/>
      <c r="I20" s="77"/>
      <c r="J20" s="77"/>
      <c r="K20" s="77"/>
      <c r="L20" s="66"/>
    </row>
    <row r="21" spans="1:12" s="62" customFormat="1" ht="18.75" customHeight="1" outlineLevel="2">
      <c r="A21" s="75">
        <v>9</v>
      </c>
      <c r="B21" s="75" t="s">
        <v>6761</v>
      </c>
      <c r="C21" s="75" t="s">
        <v>115</v>
      </c>
      <c r="D21" s="76">
        <f>'04 目标成本控制表'!W51</f>
        <v>3788.2081439149902</v>
      </c>
      <c r="E21" s="76">
        <f>'04 目标成本控制表'!Y51</f>
        <v>735.97990195614898</v>
      </c>
      <c r="F21" s="76">
        <f>'04 目标成本控制表'!Z51</f>
        <v>2094.5997998924499</v>
      </c>
      <c r="G21" s="76">
        <f>'04 目标成本控制表'!AA51</f>
        <v>957.62844206638897</v>
      </c>
      <c r="H21" s="77"/>
      <c r="I21" s="77"/>
      <c r="J21" s="77"/>
      <c r="K21" s="77"/>
      <c r="L21" s="66"/>
    </row>
    <row r="22" spans="1:12" s="62" customFormat="1" ht="23.25" customHeight="1">
      <c r="A22" s="78" t="s">
        <v>6765</v>
      </c>
      <c r="B22" s="1495" t="s">
        <v>6766</v>
      </c>
      <c r="C22" s="1495"/>
      <c r="D22" s="1495"/>
      <c r="E22" s="1495"/>
      <c r="F22" s="1495"/>
      <c r="G22" s="1495"/>
      <c r="H22" s="63"/>
      <c r="I22" s="63"/>
      <c r="J22" s="63"/>
      <c r="L22" s="66"/>
    </row>
    <row r="23" spans="1:12" s="62" customFormat="1" ht="23.25" customHeight="1" outlineLevel="1">
      <c r="A23" s="71" t="s">
        <v>11</v>
      </c>
      <c r="B23" s="71" t="s">
        <v>6768</v>
      </c>
      <c r="C23" s="71" t="s">
        <v>6769</v>
      </c>
      <c r="D23" s="71" t="s">
        <v>6770</v>
      </c>
      <c r="E23" s="71" t="s">
        <v>6771</v>
      </c>
      <c r="F23" s="1496" t="s">
        <v>6772</v>
      </c>
      <c r="G23" s="1496"/>
      <c r="H23" s="63"/>
      <c r="I23" s="63"/>
      <c r="J23" s="63"/>
      <c r="L23" s="66"/>
    </row>
    <row r="24" spans="1:12" s="62" customFormat="1" ht="45.75" customHeight="1" outlineLevel="1">
      <c r="A24" s="79">
        <v>1</v>
      </c>
      <c r="B24" s="79" t="s">
        <v>221</v>
      </c>
      <c r="C24" s="80">
        <f>'05 成本测算明细'!$O$29</f>
        <v>214.34</v>
      </c>
      <c r="D24" s="81">
        <f>'04 目标成本控制表'!$W$9</f>
        <v>0</v>
      </c>
      <c r="E24" s="81">
        <f>C24-D24</f>
        <v>214.34</v>
      </c>
      <c r="F24" s="1497"/>
      <c r="G24" s="1497"/>
      <c r="L24" s="66"/>
    </row>
    <row r="25" spans="1:12" s="62" customFormat="1" ht="45.75" customHeight="1" outlineLevel="1">
      <c r="A25" s="79">
        <v>2</v>
      </c>
      <c r="B25" s="79" t="s">
        <v>222</v>
      </c>
      <c r="C25" s="80">
        <f>'05 成本测算明细'!$O$47</f>
        <v>336.4</v>
      </c>
      <c r="D25" s="83">
        <f>'04 目标成本控制表'!$W$10</f>
        <v>0</v>
      </c>
      <c r="E25" s="81">
        <f>C25-D25</f>
        <v>336.4</v>
      </c>
      <c r="F25" s="1497"/>
      <c r="G25" s="1497"/>
      <c r="L25" s="66"/>
    </row>
    <row r="26" spans="1:12" s="62" customFormat="1" ht="45.75" customHeight="1" outlineLevel="1">
      <c r="A26" s="79">
        <v>3</v>
      </c>
      <c r="B26" s="84" t="s">
        <v>229</v>
      </c>
      <c r="C26" s="85">
        <f>'05 成本测算明细'!$O$4164</f>
        <v>423.74</v>
      </c>
      <c r="D26" s="86">
        <f>'04 目标成本控制表'!$W$32</f>
        <v>0</v>
      </c>
      <c r="E26" s="87">
        <f>C26-D26</f>
        <v>423.74</v>
      </c>
      <c r="F26" s="1498"/>
      <c r="G26" s="1498"/>
      <c r="L26" s="66"/>
    </row>
    <row r="27" spans="1:12" s="62" customFormat="1" ht="23.25" customHeight="1">
      <c r="A27" s="78" t="s">
        <v>6777</v>
      </c>
      <c r="B27" s="1495" t="s">
        <v>6778</v>
      </c>
      <c r="C27" s="1495"/>
      <c r="D27" s="1495"/>
      <c r="E27" s="1495"/>
      <c r="F27" s="1495"/>
      <c r="G27" s="1495"/>
      <c r="H27" s="1495"/>
      <c r="I27" s="1495"/>
      <c r="J27" s="1495"/>
      <c r="L27" s="66"/>
    </row>
    <row r="28" spans="1:12" s="62" customFormat="1" ht="18.75" customHeight="1" outlineLevel="1">
      <c r="A28" s="75" t="s">
        <v>11</v>
      </c>
      <c r="B28" s="75" t="s">
        <v>480</v>
      </c>
      <c r="C28" s="75" t="s">
        <v>6780</v>
      </c>
      <c r="D28" s="71" t="s">
        <v>6781</v>
      </c>
      <c r="E28" s="71" t="s">
        <v>6782</v>
      </c>
      <c r="F28" s="71" t="s">
        <v>6771</v>
      </c>
      <c r="G28" s="71" t="s">
        <v>6783</v>
      </c>
      <c r="H28" s="71" t="s">
        <v>6784</v>
      </c>
      <c r="I28" s="71" t="s">
        <v>6785</v>
      </c>
      <c r="J28" s="75" t="s">
        <v>6786</v>
      </c>
      <c r="L28" s="66"/>
    </row>
    <row r="29" spans="1:12" s="62" customFormat="1" ht="18.75" customHeight="1" outlineLevel="1">
      <c r="A29" s="79">
        <v>1</v>
      </c>
      <c r="B29" s="88" t="s">
        <v>81</v>
      </c>
      <c r="C29" s="88" t="s">
        <v>649</v>
      </c>
      <c r="D29" s="89">
        <f>SUM(D30:D39)</f>
        <v>0</v>
      </c>
      <c r="E29" s="89">
        <f>SUM(E30:E36)</f>
        <v>0</v>
      </c>
      <c r="F29" s="89">
        <f t="shared" ref="F29:F62" si="1">D29-E29</f>
        <v>0</v>
      </c>
      <c r="G29" s="90">
        <f>SUM(G30:G36)</f>
        <v>0</v>
      </c>
      <c r="H29" s="90">
        <f>SUM(H30:H36)</f>
        <v>0</v>
      </c>
      <c r="I29" s="90">
        <f>SUM(I30:I36)</f>
        <v>0</v>
      </c>
      <c r="J29" s="104"/>
      <c r="L29" s="66"/>
    </row>
    <row r="30" spans="1:12" s="62" customFormat="1" ht="18.75" customHeight="1" outlineLevel="2">
      <c r="A30" s="75">
        <v>1.1000000000000001</v>
      </c>
      <c r="B30" s="75" t="s">
        <v>81</v>
      </c>
      <c r="C30" s="91" t="s">
        <v>7051</v>
      </c>
      <c r="D30" s="92">
        <f>'05 成本测算明细'!O2549</f>
        <v>0</v>
      </c>
      <c r="E30" s="93"/>
      <c r="F30" s="92">
        <f t="shared" si="1"/>
        <v>0</v>
      </c>
      <c r="G30" s="94"/>
      <c r="H30" s="94"/>
      <c r="I30" s="94"/>
      <c r="J30" s="82"/>
      <c r="L30" s="66"/>
    </row>
    <row r="31" spans="1:12" s="62" customFormat="1" ht="18.75" customHeight="1" outlineLevel="2">
      <c r="A31" s="75">
        <v>1.2</v>
      </c>
      <c r="B31" s="75" t="s">
        <v>81</v>
      </c>
      <c r="C31" s="91" t="s">
        <v>189</v>
      </c>
      <c r="D31" s="92">
        <f>'05 成本测算明细'!O2570</f>
        <v>0</v>
      </c>
      <c r="E31" s="93"/>
      <c r="F31" s="92">
        <f t="shared" si="1"/>
        <v>0</v>
      </c>
      <c r="G31" s="94"/>
      <c r="H31" s="94"/>
      <c r="I31" s="94"/>
      <c r="J31" s="82"/>
      <c r="L31" s="66"/>
    </row>
    <row r="32" spans="1:12" s="62" customFormat="1" ht="18.75" customHeight="1" outlineLevel="2">
      <c r="A32" s="75">
        <v>1.3</v>
      </c>
      <c r="B32" s="75" t="s">
        <v>81</v>
      </c>
      <c r="C32" s="91" t="s">
        <v>7052</v>
      </c>
      <c r="D32" s="92">
        <f>'05 成本测算明细'!O2591</f>
        <v>0</v>
      </c>
      <c r="E32" s="93"/>
      <c r="F32" s="92">
        <f t="shared" si="1"/>
        <v>0</v>
      </c>
      <c r="G32" s="94"/>
      <c r="H32" s="94"/>
      <c r="I32" s="94"/>
      <c r="J32" s="82"/>
      <c r="L32" s="66"/>
    </row>
    <row r="33" spans="1:12" s="62" customFormat="1" ht="18.75" customHeight="1" outlineLevel="2">
      <c r="A33" s="75">
        <v>1.4</v>
      </c>
      <c r="B33" s="75" t="s">
        <v>81</v>
      </c>
      <c r="C33" s="75" t="s">
        <v>6791</v>
      </c>
      <c r="D33" s="92">
        <f>'05 成本测算明细'!O2604</f>
        <v>0</v>
      </c>
      <c r="E33" s="93"/>
      <c r="F33" s="92">
        <f t="shared" si="1"/>
        <v>0</v>
      </c>
      <c r="G33" s="94"/>
      <c r="H33" s="94"/>
      <c r="I33" s="94"/>
      <c r="J33" s="82"/>
      <c r="L33" s="66"/>
    </row>
    <row r="34" spans="1:12" s="62" customFormat="1" ht="18.75" customHeight="1" outlineLevel="2">
      <c r="A34" s="75">
        <v>1.5</v>
      </c>
      <c r="B34" s="75" t="s">
        <v>81</v>
      </c>
      <c r="C34" s="91" t="s">
        <v>193</v>
      </c>
      <c r="D34" s="92">
        <f>'05 成本测算明细'!O2608</f>
        <v>0</v>
      </c>
      <c r="E34" s="93"/>
      <c r="F34" s="92">
        <f t="shared" si="1"/>
        <v>0</v>
      </c>
      <c r="G34" s="94"/>
      <c r="H34" s="94"/>
      <c r="I34" s="94"/>
      <c r="J34" s="82"/>
      <c r="L34" s="66"/>
    </row>
    <row r="35" spans="1:12" s="62" customFormat="1" ht="18.75" customHeight="1" outlineLevel="2">
      <c r="A35" s="75">
        <v>1.6</v>
      </c>
      <c r="B35" s="75" t="s">
        <v>81</v>
      </c>
      <c r="C35" s="91" t="s">
        <v>7053</v>
      </c>
      <c r="D35" s="92">
        <f>'05 成本测算明细'!O2637</f>
        <v>0</v>
      </c>
      <c r="E35" s="93"/>
      <c r="F35" s="92">
        <f t="shared" si="1"/>
        <v>0</v>
      </c>
      <c r="G35" s="94"/>
      <c r="H35" s="94"/>
      <c r="I35" s="94"/>
      <c r="J35" s="82"/>
      <c r="L35" s="66"/>
    </row>
    <row r="36" spans="1:12" s="62" customFormat="1" ht="18.75" customHeight="1" outlineLevel="2">
      <c r="A36" s="75">
        <v>1.7</v>
      </c>
      <c r="B36" s="75" t="s">
        <v>81</v>
      </c>
      <c r="C36" s="91" t="s">
        <v>1124</v>
      </c>
      <c r="D36" s="92">
        <f>'05 成本测算明细'!O2667</f>
        <v>0</v>
      </c>
      <c r="E36" s="93"/>
      <c r="F36" s="92">
        <f t="shared" si="1"/>
        <v>0</v>
      </c>
      <c r="G36" s="94"/>
      <c r="H36" s="94"/>
      <c r="I36" s="94"/>
      <c r="J36" s="82"/>
      <c r="L36" s="66"/>
    </row>
    <row r="37" spans="1:12" s="62" customFormat="1" ht="18.75" customHeight="1" outlineLevel="2">
      <c r="A37" s="75">
        <v>1.8</v>
      </c>
      <c r="B37" s="75" t="s">
        <v>81</v>
      </c>
      <c r="C37" s="91" t="s">
        <v>7054</v>
      </c>
      <c r="D37" s="92">
        <f>'05 成本测算明细'!O2698</f>
        <v>0</v>
      </c>
      <c r="E37" s="93"/>
      <c r="F37" s="92">
        <f t="shared" si="1"/>
        <v>0</v>
      </c>
      <c r="G37" s="94"/>
      <c r="H37" s="94"/>
      <c r="I37" s="94"/>
      <c r="J37" s="82"/>
      <c r="L37" s="66"/>
    </row>
    <row r="38" spans="1:12" s="62" customFormat="1" ht="18.75" customHeight="1" outlineLevel="2">
      <c r="A38" s="75">
        <v>1.9</v>
      </c>
      <c r="B38" s="75" t="s">
        <v>81</v>
      </c>
      <c r="C38" s="91" t="s">
        <v>7055</v>
      </c>
      <c r="D38" s="92">
        <f>'05 成本测算明细'!O2703</f>
        <v>0</v>
      </c>
      <c r="E38" s="93"/>
      <c r="F38" s="92">
        <f t="shared" si="1"/>
        <v>0</v>
      </c>
      <c r="G38" s="94"/>
      <c r="H38" s="94"/>
      <c r="I38" s="94"/>
      <c r="J38" s="82"/>
      <c r="L38" s="66"/>
    </row>
    <row r="39" spans="1:12" s="62" customFormat="1" ht="18.75" customHeight="1" outlineLevel="2">
      <c r="A39" s="95">
        <v>1.1000000000000001</v>
      </c>
      <c r="B39" s="75" t="s">
        <v>81</v>
      </c>
      <c r="C39" s="91" t="s">
        <v>7056</v>
      </c>
      <c r="D39" s="92">
        <f>'05 成本测算明细'!O2705</f>
        <v>0</v>
      </c>
      <c r="E39" s="93"/>
      <c r="F39" s="92">
        <f t="shared" si="1"/>
        <v>0</v>
      </c>
      <c r="G39" s="94"/>
      <c r="H39" s="94"/>
      <c r="I39" s="94"/>
      <c r="J39" s="82"/>
      <c r="L39" s="66"/>
    </row>
    <row r="40" spans="1:12" s="62" customFormat="1" ht="18.75" customHeight="1" outlineLevel="1">
      <c r="A40" s="88">
        <v>2</v>
      </c>
      <c r="B40" s="88" t="s">
        <v>111</v>
      </c>
      <c r="C40" s="88" t="s">
        <v>649</v>
      </c>
      <c r="D40" s="89">
        <f>SUM(D41:D50)</f>
        <v>0</v>
      </c>
      <c r="E40" s="89">
        <f>SUM(E41:E47)</f>
        <v>0</v>
      </c>
      <c r="F40" s="89">
        <f t="shared" si="1"/>
        <v>0</v>
      </c>
      <c r="G40" s="90">
        <f>SUM(G41:G47)</f>
        <v>0</v>
      </c>
      <c r="H40" s="90">
        <f>SUM(H41:H47)</f>
        <v>0</v>
      </c>
      <c r="I40" s="90">
        <f>SUM(I41:I47)</f>
        <v>0</v>
      </c>
      <c r="J40" s="104"/>
      <c r="L40" s="66"/>
    </row>
    <row r="41" spans="1:12" s="62" customFormat="1" ht="18.75" customHeight="1" outlineLevel="2">
      <c r="A41" s="75">
        <v>2.1</v>
      </c>
      <c r="B41" s="75" t="s">
        <v>111</v>
      </c>
      <c r="C41" s="91" t="s">
        <v>7051</v>
      </c>
      <c r="D41" s="92">
        <f>'05 成本测算明细'!O2768</f>
        <v>0</v>
      </c>
      <c r="E41" s="93"/>
      <c r="F41" s="92">
        <f t="shared" si="1"/>
        <v>0</v>
      </c>
      <c r="G41" s="94"/>
      <c r="H41" s="94"/>
      <c r="I41" s="94"/>
      <c r="J41" s="82"/>
      <c r="L41" s="66"/>
    </row>
    <row r="42" spans="1:12" s="62" customFormat="1" ht="18.75" customHeight="1" outlineLevel="2">
      <c r="A42" s="75">
        <v>2.2000000000000002</v>
      </c>
      <c r="B42" s="75" t="s">
        <v>111</v>
      </c>
      <c r="C42" s="91" t="s">
        <v>189</v>
      </c>
      <c r="D42" s="92">
        <f>'05 成本测算明细'!O2788</f>
        <v>0</v>
      </c>
      <c r="E42" s="93"/>
      <c r="F42" s="92">
        <f t="shared" si="1"/>
        <v>0</v>
      </c>
      <c r="G42" s="94"/>
      <c r="H42" s="94"/>
      <c r="I42" s="94"/>
      <c r="J42" s="82"/>
      <c r="L42" s="66"/>
    </row>
    <row r="43" spans="1:12" s="62" customFormat="1" ht="18.75" customHeight="1" outlineLevel="2">
      <c r="A43" s="75">
        <v>2.2999999999999998</v>
      </c>
      <c r="B43" s="75" t="s">
        <v>111</v>
      </c>
      <c r="C43" s="91" t="s">
        <v>7052</v>
      </c>
      <c r="D43" s="92">
        <f>'05 成本测算明细'!O2823</f>
        <v>0</v>
      </c>
      <c r="E43" s="93"/>
      <c r="F43" s="92">
        <f t="shared" si="1"/>
        <v>0</v>
      </c>
      <c r="G43" s="94"/>
      <c r="H43" s="94"/>
      <c r="I43" s="94"/>
      <c r="J43" s="82"/>
      <c r="L43" s="66"/>
    </row>
    <row r="44" spans="1:12" s="62" customFormat="1" ht="18.75" customHeight="1" outlineLevel="2">
      <c r="A44" s="75">
        <v>2.4</v>
      </c>
      <c r="B44" s="75" t="s">
        <v>111</v>
      </c>
      <c r="C44" s="75" t="s">
        <v>6791</v>
      </c>
      <c r="D44" s="92">
        <f>'05 成本测算明细'!O2836</f>
        <v>0</v>
      </c>
      <c r="E44" s="93"/>
      <c r="F44" s="92">
        <f t="shared" si="1"/>
        <v>0</v>
      </c>
      <c r="G44" s="94"/>
      <c r="H44" s="94"/>
      <c r="I44" s="94"/>
      <c r="J44" s="82"/>
      <c r="L44" s="66"/>
    </row>
    <row r="45" spans="1:12" s="62" customFormat="1" ht="18.75" customHeight="1" outlineLevel="2">
      <c r="A45" s="75">
        <v>2.5</v>
      </c>
      <c r="B45" s="75" t="s">
        <v>111</v>
      </c>
      <c r="C45" s="91" t="s">
        <v>193</v>
      </c>
      <c r="D45" s="92">
        <f>'05 成本测算明细'!O2840</f>
        <v>0</v>
      </c>
      <c r="E45" s="93"/>
      <c r="F45" s="92">
        <f t="shared" si="1"/>
        <v>0</v>
      </c>
      <c r="G45" s="94"/>
      <c r="H45" s="94"/>
      <c r="I45" s="94"/>
      <c r="J45" s="82"/>
      <c r="L45" s="66"/>
    </row>
    <row r="46" spans="1:12" s="62" customFormat="1" ht="18.75" customHeight="1" outlineLevel="2">
      <c r="A46" s="75">
        <v>2.6</v>
      </c>
      <c r="B46" s="75" t="s">
        <v>111</v>
      </c>
      <c r="C46" s="91" t="s">
        <v>7053</v>
      </c>
      <c r="D46" s="92">
        <f>'05 成本测算明细'!O2865</f>
        <v>0</v>
      </c>
      <c r="E46" s="93"/>
      <c r="F46" s="92">
        <f t="shared" si="1"/>
        <v>0</v>
      </c>
      <c r="G46" s="94"/>
      <c r="H46" s="94"/>
      <c r="I46" s="94"/>
      <c r="J46" s="82"/>
      <c r="L46" s="66"/>
    </row>
    <row r="47" spans="1:12" s="62" customFormat="1" ht="18.75" customHeight="1" outlineLevel="2">
      <c r="A47" s="75">
        <v>2.7</v>
      </c>
      <c r="B47" s="75" t="s">
        <v>111</v>
      </c>
      <c r="C47" s="91" t="s">
        <v>1124</v>
      </c>
      <c r="D47" s="92">
        <f>'05 成本测算明细'!O2895</f>
        <v>0</v>
      </c>
      <c r="E47" s="93"/>
      <c r="F47" s="92">
        <f t="shared" si="1"/>
        <v>0</v>
      </c>
      <c r="G47" s="94"/>
      <c r="H47" s="94"/>
      <c r="I47" s="94"/>
      <c r="J47" s="82"/>
      <c r="L47" s="66"/>
    </row>
    <row r="48" spans="1:12" s="62" customFormat="1" ht="18.75" customHeight="1" outlineLevel="2">
      <c r="A48" s="75">
        <v>2.8</v>
      </c>
      <c r="B48" s="75" t="s">
        <v>111</v>
      </c>
      <c r="C48" s="91" t="s">
        <v>7054</v>
      </c>
      <c r="D48" s="92">
        <f>'05 成本测算明细'!O2928</f>
        <v>0</v>
      </c>
      <c r="E48" s="93"/>
      <c r="F48" s="92">
        <f t="shared" si="1"/>
        <v>0</v>
      </c>
      <c r="G48" s="94"/>
      <c r="H48" s="94"/>
      <c r="I48" s="94"/>
      <c r="J48" s="82"/>
      <c r="L48" s="66"/>
    </row>
    <row r="49" spans="1:12" s="62" customFormat="1" ht="18.75" customHeight="1" outlineLevel="2">
      <c r="A49" s="75">
        <v>2.9</v>
      </c>
      <c r="B49" s="75" t="s">
        <v>111</v>
      </c>
      <c r="C49" s="91" t="s">
        <v>7055</v>
      </c>
      <c r="D49" s="92">
        <f>'05 成本测算明细'!O2933</f>
        <v>0</v>
      </c>
      <c r="E49" s="93"/>
      <c r="F49" s="92">
        <f t="shared" si="1"/>
        <v>0</v>
      </c>
      <c r="G49" s="94"/>
      <c r="H49" s="94"/>
      <c r="I49" s="94"/>
      <c r="J49" s="82"/>
      <c r="L49" s="66"/>
    </row>
    <row r="50" spans="1:12" s="62" customFormat="1" ht="18.75" customHeight="1" outlineLevel="2">
      <c r="A50" s="95">
        <v>2.1</v>
      </c>
      <c r="B50" s="75" t="s">
        <v>111</v>
      </c>
      <c r="C50" s="91" t="s">
        <v>7056</v>
      </c>
      <c r="D50" s="92">
        <f>'05 成本测算明细'!O2935</f>
        <v>0</v>
      </c>
      <c r="E50" s="93"/>
      <c r="F50" s="92">
        <f t="shared" si="1"/>
        <v>0</v>
      </c>
      <c r="G50" s="94"/>
      <c r="H50" s="94"/>
      <c r="I50" s="94"/>
      <c r="J50" s="82"/>
      <c r="L50" s="66"/>
    </row>
    <row r="51" spans="1:12" s="62" customFormat="1" ht="18.75" customHeight="1" outlineLevel="1">
      <c r="A51" s="88">
        <v>3</v>
      </c>
      <c r="B51" s="88" t="s">
        <v>115</v>
      </c>
      <c r="C51" s="88" t="s">
        <v>649</v>
      </c>
      <c r="D51" s="89">
        <f>SUM(D52:D61)</f>
        <v>0</v>
      </c>
      <c r="E51" s="89">
        <f>SUM(E52:E58)</f>
        <v>0</v>
      </c>
      <c r="F51" s="89">
        <f t="shared" si="1"/>
        <v>0</v>
      </c>
      <c r="G51" s="90">
        <f>SUM(G52:G58)</f>
        <v>0</v>
      </c>
      <c r="H51" s="90">
        <f>SUM(H52:H58)</f>
        <v>0</v>
      </c>
      <c r="I51" s="90">
        <f>SUM(I52:I58)</f>
        <v>0</v>
      </c>
      <c r="J51" s="104"/>
      <c r="L51" s="66"/>
    </row>
    <row r="52" spans="1:12" s="62" customFormat="1" ht="18.75" customHeight="1" outlineLevel="2">
      <c r="A52" s="75">
        <v>3.1</v>
      </c>
      <c r="B52" s="75" t="s">
        <v>115</v>
      </c>
      <c r="C52" s="91" t="s">
        <v>7051</v>
      </c>
      <c r="D52" s="92">
        <f>'05 成本测算明细'!O2995</f>
        <v>0</v>
      </c>
      <c r="E52" s="93"/>
      <c r="F52" s="92">
        <f t="shared" si="1"/>
        <v>0</v>
      </c>
      <c r="G52" s="94"/>
      <c r="H52" s="94"/>
      <c r="I52" s="94"/>
      <c r="J52" s="82"/>
      <c r="L52" s="66"/>
    </row>
    <row r="53" spans="1:12" s="62" customFormat="1" ht="18.75" customHeight="1" outlineLevel="2">
      <c r="A53" s="75">
        <v>3.2</v>
      </c>
      <c r="B53" s="75" t="s">
        <v>115</v>
      </c>
      <c r="C53" s="91" t="s">
        <v>189</v>
      </c>
      <c r="D53" s="92">
        <f>'05 成本测算明细'!O3015</f>
        <v>0</v>
      </c>
      <c r="E53" s="93"/>
      <c r="F53" s="92">
        <f t="shared" si="1"/>
        <v>0</v>
      </c>
      <c r="G53" s="94"/>
      <c r="H53" s="94"/>
      <c r="I53" s="94"/>
      <c r="J53" s="82"/>
      <c r="L53" s="66"/>
    </row>
    <row r="54" spans="1:12" s="62" customFormat="1" ht="18.75" customHeight="1" outlineLevel="2">
      <c r="A54" s="75">
        <v>3.3</v>
      </c>
      <c r="B54" s="75" t="s">
        <v>115</v>
      </c>
      <c r="C54" s="91" t="s">
        <v>7052</v>
      </c>
      <c r="D54" s="92">
        <f>'05 成本测算明细'!O3083</f>
        <v>0</v>
      </c>
      <c r="E54" s="93"/>
      <c r="F54" s="92">
        <f t="shared" si="1"/>
        <v>0</v>
      </c>
      <c r="G54" s="94"/>
      <c r="H54" s="94"/>
      <c r="I54" s="94"/>
      <c r="J54" s="82"/>
      <c r="L54" s="66"/>
    </row>
    <row r="55" spans="1:12" s="62" customFormat="1" ht="18.75" customHeight="1" outlineLevel="2">
      <c r="A55" s="75">
        <v>3.4</v>
      </c>
      <c r="B55" s="75" t="s">
        <v>115</v>
      </c>
      <c r="C55" s="75" t="s">
        <v>6791</v>
      </c>
      <c r="D55" s="92">
        <f>'05 成本测算明细'!O3096</f>
        <v>0</v>
      </c>
      <c r="E55" s="93"/>
      <c r="F55" s="92">
        <f t="shared" si="1"/>
        <v>0</v>
      </c>
      <c r="G55" s="94"/>
      <c r="H55" s="94"/>
      <c r="I55" s="94"/>
      <c r="J55" s="82"/>
      <c r="L55" s="66"/>
    </row>
    <row r="56" spans="1:12" s="62" customFormat="1" ht="18.75" customHeight="1" outlineLevel="2">
      <c r="A56" s="75">
        <v>3.5</v>
      </c>
      <c r="B56" s="75" t="s">
        <v>115</v>
      </c>
      <c r="C56" s="91" t="s">
        <v>193</v>
      </c>
      <c r="D56" s="92">
        <f>'05 成本测算明细'!O3100</f>
        <v>0</v>
      </c>
      <c r="E56" s="93"/>
      <c r="F56" s="92">
        <f t="shared" si="1"/>
        <v>0</v>
      </c>
      <c r="G56" s="94"/>
      <c r="H56" s="94"/>
      <c r="I56" s="94"/>
      <c r="J56" s="82"/>
      <c r="L56" s="66"/>
    </row>
    <row r="57" spans="1:12" s="62" customFormat="1" ht="18.75" customHeight="1" outlineLevel="2">
      <c r="A57" s="75">
        <v>3.6</v>
      </c>
      <c r="B57" s="75" t="s">
        <v>115</v>
      </c>
      <c r="C57" s="91" t="s">
        <v>7053</v>
      </c>
      <c r="D57" s="92">
        <f>'05 成本测算明细'!O3125</f>
        <v>0</v>
      </c>
      <c r="E57" s="93"/>
      <c r="F57" s="92">
        <f t="shared" si="1"/>
        <v>0</v>
      </c>
      <c r="G57" s="94"/>
      <c r="H57" s="94"/>
      <c r="I57" s="94"/>
      <c r="J57" s="82"/>
      <c r="L57" s="66"/>
    </row>
    <row r="58" spans="1:12" s="62" customFormat="1" ht="18.75" customHeight="1" outlineLevel="2">
      <c r="A58" s="75">
        <v>3.7</v>
      </c>
      <c r="B58" s="75" t="s">
        <v>115</v>
      </c>
      <c r="C58" s="91" t="s">
        <v>1124</v>
      </c>
      <c r="D58" s="92">
        <f>'05 成本测算明细'!O3155</f>
        <v>0</v>
      </c>
      <c r="E58" s="93"/>
      <c r="F58" s="92">
        <f t="shared" si="1"/>
        <v>0</v>
      </c>
      <c r="G58" s="94"/>
      <c r="H58" s="94"/>
      <c r="I58" s="94"/>
      <c r="J58" s="82"/>
      <c r="L58" s="66"/>
    </row>
    <row r="59" spans="1:12" s="62" customFormat="1" ht="18.75" customHeight="1" outlineLevel="2">
      <c r="A59" s="75">
        <v>3.8</v>
      </c>
      <c r="B59" s="75" t="s">
        <v>115</v>
      </c>
      <c r="C59" s="91" t="s">
        <v>7054</v>
      </c>
      <c r="D59" s="92">
        <f>'05 成本测算明细'!O3191</f>
        <v>0</v>
      </c>
      <c r="E59" s="93"/>
      <c r="F59" s="92">
        <f t="shared" si="1"/>
        <v>0</v>
      </c>
      <c r="G59" s="94"/>
      <c r="H59" s="94"/>
      <c r="I59" s="94"/>
      <c r="J59" s="82"/>
      <c r="L59" s="66"/>
    </row>
    <row r="60" spans="1:12" s="62" customFormat="1" ht="18.75" customHeight="1" outlineLevel="2">
      <c r="A60" s="75">
        <v>3.9</v>
      </c>
      <c r="B60" s="75" t="s">
        <v>115</v>
      </c>
      <c r="C60" s="91" t="s">
        <v>7055</v>
      </c>
      <c r="D60" s="92">
        <f>'05 成本测算明细'!O3196</f>
        <v>0</v>
      </c>
      <c r="E60" s="93"/>
      <c r="F60" s="92">
        <f t="shared" si="1"/>
        <v>0</v>
      </c>
      <c r="G60" s="94"/>
      <c r="H60" s="94"/>
      <c r="I60" s="94"/>
      <c r="J60" s="82"/>
      <c r="L60" s="66"/>
    </row>
    <row r="61" spans="1:12" s="62" customFormat="1" ht="18.75" customHeight="1" outlineLevel="2">
      <c r="A61" s="95">
        <v>3.1</v>
      </c>
      <c r="B61" s="75" t="s">
        <v>115</v>
      </c>
      <c r="C61" s="91" t="s">
        <v>7056</v>
      </c>
      <c r="D61" s="92">
        <f>'05 成本测算明细'!O3198</f>
        <v>0</v>
      </c>
      <c r="E61" s="93"/>
      <c r="F61" s="92">
        <f t="shared" si="1"/>
        <v>0</v>
      </c>
      <c r="G61" s="94"/>
      <c r="H61" s="94"/>
      <c r="I61" s="94"/>
      <c r="J61" s="82"/>
      <c r="L61" s="66"/>
    </row>
    <row r="62" spans="1:12" s="62" customFormat="1" ht="18.75" customHeight="1" outlineLevel="1">
      <c r="A62" s="96">
        <v>4</v>
      </c>
      <c r="B62" s="88" t="s">
        <v>6798</v>
      </c>
      <c r="C62" s="96" t="s">
        <v>230</v>
      </c>
      <c r="D62" s="89">
        <f>'05 成本测算明细'!O4190</f>
        <v>1045</v>
      </c>
      <c r="E62" s="97"/>
      <c r="F62" s="89">
        <f t="shared" si="1"/>
        <v>1045</v>
      </c>
      <c r="G62" s="94"/>
      <c r="H62" s="94"/>
      <c r="I62" s="94"/>
      <c r="J62" s="82"/>
      <c r="L62" s="66"/>
    </row>
    <row r="63" spans="1:12" s="63" customFormat="1" ht="18.75" customHeight="1">
      <c r="A63" s="98" t="s">
        <v>6799</v>
      </c>
      <c r="B63" s="1493" t="s">
        <v>6800</v>
      </c>
      <c r="C63" s="1493"/>
      <c r="D63" s="1493"/>
      <c r="E63" s="1493"/>
      <c r="F63" s="1493"/>
      <c r="G63" s="1493"/>
      <c r="H63" s="99"/>
      <c r="I63" s="99"/>
      <c r="J63" s="99"/>
      <c r="L63" s="66"/>
    </row>
    <row r="64" spans="1:12" s="62" customFormat="1" ht="19.5" customHeight="1" outlineLevel="1">
      <c r="A64" s="100" t="s">
        <v>6802</v>
      </c>
      <c r="B64" s="1499" t="s">
        <v>6803</v>
      </c>
      <c r="C64" s="1500"/>
      <c r="D64" s="1501"/>
      <c r="E64" s="101" t="s">
        <v>6804</v>
      </c>
      <c r="F64" s="102">
        <f>SUM(F70:F72)</f>
        <v>-94.064066671773389</v>
      </c>
      <c r="G64" s="1502" t="s">
        <v>6805</v>
      </c>
      <c r="H64" s="1502"/>
      <c r="I64" s="1502"/>
      <c r="J64" s="1502"/>
      <c r="L64" s="66"/>
    </row>
    <row r="65" spans="1:12" s="62" customFormat="1" ht="31.5" customHeight="1" outlineLevel="2">
      <c r="A65" s="82" t="s">
        <v>11</v>
      </c>
      <c r="B65" s="82" t="s">
        <v>6807</v>
      </c>
      <c r="C65" s="75" t="s">
        <v>6808</v>
      </c>
      <c r="D65" s="71" t="s">
        <v>6781</v>
      </c>
      <c r="E65" s="71" t="s">
        <v>6782</v>
      </c>
      <c r="F65" s="71" t="s">
        <v>6809</v>
      </c>
      <c r="G65" s="1503"/>
      <c r="H65" s="1504"/>
      <c r="I65" s="1504"/>
      <c r="J65" s="1505"/>
      <c r="L65" s="66"/>
    </row>
    <row r="66" spans="1:12" s="62" customFormat="1" ht="19.5" customHeight="1" outlineLevel="2">
      <c r="A66" s="82">
        <v>1.1000000000000001</v>
      </c>
      <c r="B66" s="82" t="s">
        <v>6784</v>
      </c>
      <c r="C66" s="75" t="s">
        <v>662</v>
      </c>
      <c r="D66" s="92">
        <f>'05 成本测算明细'!G2382</f>
        <v>0</v>
      </c>
      <c r="E66" s="92">
        <f>'03 成本测算（输入）'!H14</f>
        <v>115.544</v>
      </c>
      <c r="F66" s="92"/>
      <c r="G66" s="1506"/>
      <c r="H66" s="1506"/>
      <c r="I66" s="1506"/>
      <c r="J66" s="1506"/>
      <c r="L66" s="66"/>
    </row>
    <row r="67" spans="1:12" s="62" customFormat="1" ht="19.5" customHeight="1" outlineLevel="2">
      <c r="A67" s="82">
        <v>1.2</v>
      </c>
      <c r="B67" s="82" t="s">
        <v>6784</v>
      </c>
      <c r="C67" s="75" t="s">
        <v>6812</v>
      </c>
      <c r="D67" s="92">
        <f>'05 成本测算明细'!G2387</f>
        <v>0</v>
      </c>
      <c r="E67" s="92">
        <f>'03 成本测算（输入）'!H15</f>
        <v>1.03</v>
      </c>
      <c r="F67" s="92"/>
      <c r="G67" s="1506"/>
      <c r="H67" s="1506"/>
      <c r="I67" s="1506"/>
      <c r="J67" s="1506"/>
      <c r="L67" s="66"/>
    </row>
    <row r="68" spans="1:12" s="62" customFormat="1" ht="19.5" customHeight="1" outlineLevel="2">
      <c r="A68" s="82">
        <v>2.1</v>
      </c>
      <c r="B68" s="82" t="s">
        <v>6814</v>
      </c>
      <c r="C68" s="75" t="s">
        <v>662</v>
      </c>
      <c r="D68" s="92">
        <f>'05 成本测算明细'!K2382</f>
        <v>0</v>
      </c>
      <c r="E68" s="92">
        <f>'03 成本测算（输入）'!$H$11</f>
        <v>0</v>
      </c>
      <c r="F68" s="92"/>
      <c r="G68" s="1507"/>
      <c r="H68" s="1508"/>
      <c r="I68" s="1508"/>
      <c r="J68" s="1509"/>
      <c r="L68" s="66"/>
    </row>
    <row r="69" spans="1:12" s="62" customFormat="1" ht="19.5" customHeight="1" outlineLevel="2">
      <c r="A69" s="82">
        <v>2.2000000000000002</v>
      </c>
      <c r="B69" s="82" t="s">
        <v>6814</v>
      </c>
      <c r="C69" s="75" t="s">
        <v>6812</v>
      </c>
      <c r="D69" s="92">
        <f>'05 成本测算明细'!K2387</f>
        <v>0</v>
      </c>
      <c r="E69" s="92">
        <f>'03 成本测算（输入）'!$H$12</f>
        <v>0</v>
      </c>
      <c r="F69" s="92"/>
      <c r="G69" s="1507"/>
      <c r="H69" s="1508"/>
      <c r="I69" s="1508"/>
      <c r="J69" s="1509"/>
      <c r="L69" s="66"/>
    </row>
    <row r="70" spans="1:12" s="62" customFormat="1" ht="19.5" customHeight="1" outlineLevel="2">
      <c r="A70" s="82">
        <v>3.1</v>
      </c>
      <c r="B70" s="82" t="s">
        <v>6817</v>
      </c>
      <c r="C70" s="75" t="s">
        <v>704</v>
      </c>
      <c r="D70" s="92">
        <f>'05 成本测算明细'!O2394</f>
        <v>0</v>
      </c>
      <c r="E70" s="92">
        <f>'03 成本测算（输入）'!H17*('05 成本测算明细'!K117+'05 成本测算明细'!K118)</f>
        <v>57.085999999999999</v>
      </c>
      <c r="F70" s="92">
        <f>D70-E70</f>
        <v>-57.085999999999999</v>
      </c>
      <c r="G70" s="1507"/>
      <c r="H70" s="1508"/>
      <c r="I70" s="1508"/>
      <c r="J70" s="1509"/>
      <c r="L70" s="66"/>
    </row>
    <row r="71" spans="1:12" s="62" customFormat="1" ht="19.5" customHeight="1" outlineLevel="2">
      <c r="A71" s="82">
        <v>3.2</v>
      </c>
      <c r="B71" s="82" t="s">
        <v>6817</v>
      </c>
      <c r="C71" s="75" t="s">
        <v>7057</v>
      </c>
      <c r="D71" s="92">
        <f>'05 成本测算明细'!O2615</f>
        <v>0</v>
      </c>
      <c r="E71" s="92">
        <f>IFERROR('03 成本测算（输入）'!H18*'05 成本测算明细'!K151/'05 成本测算明细'!N151,0)</f>
        <v>32.418502347263718</v>
      </c>
      <c r="F71" s="92">
        <f>D71-E71</f>
        <v>-32.418502347263718</v>
      </c>
      <c r="G71" s="1507"/>
      <c r="H71" s="1508"/>
      <c r="I71" s="1508"/>
      <c r="J71" s="1509"/>
      <c r="L71" s="66"/>
    </row>
    <row r="72" spans="1:12" s="62" customFormat="1" ht="19.5" customHeight="1" outlineLevel="2">
      <c r="A72" s="82">
        <v>3.3</v>
      </c>
      <c r="B72" s="82" t="s">
        <v>6817</v>
      </c>
      <c r="C72" s="75" t="s">
        <v>205</v>
      </c>
      <c r="D72" s="92">
        <f>'05 成本测算明细'!O2654</f>
        <v>0</v>
      </c>
      <c r="E72" s="92">
        <f>IFERROR('03 成本测算（输入）'!H19*('05 成本测算明细'!K242+'05 成本测算明细'!K243)/'05 成本测算明细'!N242,0)</f>
        <v>4.5595643245096644</v>
      </c>
      <c r="F72" s="92">
        <f>D72-E72</f>
        <v>-4.5595643245096644</v>
      </c>
      <c r="G72" s="1507"/>
      <c r="H72" s="1508"/>
      <c r="I72" s="1508"/>
      <c r="J72" s="1509"/>
      <c r="L72" s="66"/>
    </row>
    <row r="73" spans="1:12" s="62" customFormat="1" ht="19.5" customHeight="1" outlineLevel="1">
      <c r="A73" s="100" t="s">
        <v>6829</v>
      </c>
      <c r="B73" s="1499" t="s">
        <v>7058</v>
      </c>
      <c r="C73" s="1500"/>
      <c r="D73" s="1501"/>
      <c r="E73" s="101" t="s">
        <v>6804</v>
      </c>
      <c r="F73" s="102">
        <f>SUM(F81:F83)</f>
        <v>0</v>
      </c>
      <c r="G73" s="1502" t="s">
        <v>6805</v>
      </c>
      <c r="H73" s="1502"/>
      <c r="I73" s="1502"/>
      <c r="J73" s="1502"/>
      <c r="L73" s="66"/>
    </row>
    <row r="74" spans="1:12" s="62" customFormat="1" ht="31.5" customHeight="1" outlineLevel="2">
      <c r="A74" s="82" t="s">
        <v>11</v>
      </c>
      <c r="B74" s="82" t="s">
        <v>6807</v>
      </c>
      <c r="C74" s="75" t="s">
        <v>6808</v>
      </c>
      <c r="D74" s="71" t="s">
        <v>6781</v>
      </c>
      <c r="E74" s="71" t="s">
        <v>6782</v>
      </c>
      <c r="F74" s="71" t="s">
        <v>6809</v>
      </c>
      <c r="G74" s="1503"/>
      <c r="H74" s="1504"/>
      <c r="I74" s="1504"/>
      <c r="J74" s="1505"/>
      <c r="L74" s="66"/>
    </row>
    <row r="75" spans="1:12" s="62" customFormat="1" ht="19.5" customHeight="1" outlineLevel="2">
      <c r="A75" s="82">
        <v>1.1000000000000001</v>
      </c>
      <c r="B75" s="82" t="s">
        <v>7059</v>
      </c>
      <c r="C75" s="75" t="s">
        <v>662</v>
      </c>
      <c r="D75" s="92">
        <f>'05 成本测算明细'!G2490</f>
        <v>0</v>
      </c>
      <c r="E75" s="71"/>
      <c r="F75" s="92">
        <f t="shared" ref="F75:F83" si="2">D75-E75</f>
        <v>0</v>
      </c>
      <c r="G75" s="1506"/>
      <c r="H75" s="1506"/>
      <c r="I75" s="1506"/>
      <c r="J75" s="1506"/>
      <c r="L75" s="66"/>
    </row>
    <row r="76" spans="1:12" s="62" customFormat="1" ht="19.5" customHeight="1" outlineLevel="2">
      <c r="A76" s="82">
        <v>1.2</v>
      </c>
      <c r="B76" s="82" t="s">
        <v>7059</v>
      </c>
      <c r="C76" s="75" t="s">
        <v>6812</v>
      </c>
      <c r="D76" s="92">
        <f>'05 成本测算明细'!G2499</f>
        <v>0</v>
      </c>
      <c r="E76" s="71"/>
      <c r="F76" s="92">
        <f t="shared" si="2"/>
        <v>0</v>
      </c>
      <c r="G76" s="1506"/>
      <c r="H76" s="1506"/>
      <c r="I76" s="1506"/>
      <c r="J76" s="1506"/>
      <c r="L76" s="66"/>
    </row>
    <row r="77" spans="1:12" s="62" customFormat="1" ht="19.5" customHeight="1" outlineLevel="2">
      <c r="A77" s="82">
        <v>1.3</v>
      </c>
      <c r="B77" s="82" t="s">
        <v>7060</v>
      </c>
      <c r="C77" s="75" t="s">
        <v>662</v>
      </c>
      <c r="D77" s="92">
        <f>'05 成本测算明细'!G2489</f>
        <v>0</v>
      </c>
      <c r="E77" s="71"/>
      <c r="F77" s="92">
        <f t="shared" si="2"/>
        <v>0</v>
      </c>
      <c r="G77" s="1506"/>
      <c r="H77" s="1506"/>
      <c r="I77" s="1506"/>
      <c r="J77" s="1506"/>
      <c r="L77" s="66"/>
    </row>
    <row r="78" spans="1:12" s="62" customFormat="1" ht="19.5" customHeight="1" outlineLevel="2">
      <c r="A78" s="82">
        <v>1.4</v>
      </c>
      <c r="B78" s="82" t="s">
        <v>7060</v>
      </c>
      <c r="C78" s="75" t="s">
        <v>6812</v>
      </c>
      <c r="D78" s="92">
        <f>'05 成本测算明细'!G2498</f>
        <v>0</v>
      </c>
      <c r="E78" s="71"/>
      <c r="F78" s="92">
        <f t="shared" si="2"/>
        <v>0</v>
      </c>
      <c r="G78" s="1506"/>
      <c r="H78" s="1506"/>
      <c r="I78" s="1506"/>
      <c r="J78" s="1506"/>
      <c r="L78" s="66"/>
    </row>
    <row r="79" spans="1:12" s="62" customFormat="1" ht="19.5" customHeight="1" outlineLevel="2">
      <c r="A79" s="82">
        <v>2.1</v>
      </c>
      <c r="B79" s="82" t="s">
        <v>6814</v>
      </c>
      <c r="C79" s="75" t="s">
        <v>662</v>
      </c>
      <c r="D79" s="92">
        <f>'05 成本测算明细'!K2489</f>
        <v>0</v>
      </c>
      <c r="E79" s="92"/>
      <c r="F79" s="92">
        <f t="shared" si="2"/>
        <v>0</v>
      </c>
      <c r="G79" s="1506"/>
      <c r="H79" s="1506"/>
      <c r="I79" s="1506"/>
      <c r="J79" s="1506"/>
      <c r="L79" s="66"/>
    </row>
    <row r="80" spans="1:12" s="62" customFormat="1" ht="19.5" customHeight="1" outlineLevel="2">
      <c r="A80" s="82">
        <v>2.2000000000000002</v>
      </c>
      <c r="B80" s="82" t="s">
        <v>6814</v>
      </c>
      <c r="C80" s="75" t="s">
        <v>6812</v>
      </c>
      <c r="D80" s="92">
        <f>'05 成本测算明细'!K2498</f>
        <v>0</v>
      </c>
      <c r="E80" s="92"/>
      <c r="F80" s="92">
        <f t="shared" si="2"/>
        <v>0</v>
      </c>
      <c r="G80" s="1506"/>
      <c r="H80" s="1506"/>
      <c r="I80" s="1506"/>
      <c r="J80" s="1506"/>
      <c r="L80" s="66"/>
    </row>
    <row r="81" spans="1:13" s="62" customFormat="1" ht="19.5" customHeight="1" outlineLevel="2">
      <c r="A81" s="82">
        <v>3.1</v>
      </c>
      <c r="B81" s="82" t="s">
        <v>6817</v>
      </c>
      <c r="C81" s="75" t="s">
        <v>723</v>
      </c>
      <c r="D81" s="92">
        <f>'05 成本测算明细'!O2501+'05 成本测算明细'!O2502</f>
        <v>0</v>
      </c>
      <c r="E81" s="92"/>
      <c r="F81" s="92">
        <f t="shared" si="2"/>
        <v>0</v>
      </c>
      <c r="G81" s="1506"/>
      <c r="H81" s="1506"/>
      <c r="I81" s="1506"/>
      <c r="J81" s="1506"/>
      <c r="L81" s="66"/>
      <c r="M81" s="128"/>
    </row>
    <row r="82" spans="1:13" s="62" customFormat="1" ht="19.5" customHeight="1" outlineLevel="2">
      <c r="A82" s="82">
        <v>3.2</v>
      </c>
      <c r="B82" s="82" t="s">
        <v>6817</v>
      </c>
      <c r="C82" s="75" t="s">
        <v>7057</v>
      </c>
      <c r="D82" s="92">
        <f>'05 成本测算明细'!O2615</f>
        <v>0</v>
      </c>
      <c r="E82" s="92"/>
      <c r="F82" s="92">
        <f t="shared" si="2"/>
        <v>0</v>
      </c>
      <c r="G82" s="1506"/>
      <c r="H82" s="1506"/>
      <c r="I82" s="1506"/>
      <c r="J82" s="1506"/>
      <c r="L82" s="66"/>
    </row>
    <row r="83" spans="1:13" s="62" customFormat="1" ht="19.5" customHeight="1" outlineLevel="2">
      <c r="A83" s="82">
        <v>3.3</v>
      </c>
      <c r="B83" s="82" t="s">
        <v>6817</v>
      </c>
      <c r="C83" s="75" t="s">
        <v>205</v>
      </c>
      <c r="D83" s="92">
        <f>'05 成本测算明细'!O2654</f>
        <v>0</v>
      </c>
      <c r="E83" s="92"/>
      <c r="F83" s="92">
        <f t="shared" si="2"/>
        <v>0</v>
      </c>
      <c r="G83" s="1506"/>
      <c r="H83" s="1506"/>
      <c r="I83" s="1506"/>
      <c r="J83" s="1506"/>
      <c r="L83" s="66"/>
    </row>
    <row r="84" spans="1:13" s="62" customFormat="1" ht="19.5" customHeight="1" outlineLevel="1">
      <c r="A84" s="100" t="s">
        <v>6842</v>
      </c>
      <c r="B84" s="1499" t="s">
        <v>7061</v>
      </c>
      <c r="C84" s="1500"/>
      <c r="D84" s="1501"/>
      <c r="E84" s="101" t="s">
        <v>6804</v>
      </c>
      <c r="F84" s="102">
        <f>IFERROR(SUM(F90:F91),0)</f>
        <v>0</v>
      </c>
      <c r="G84" s="1502" t="s">
        <v>6805</v>
      </c>
      <c r="H84" s="1502"/>
      <c r="I84" s="1502"/>
      <c r="J84" s="1502"/>
      <c r="L84" s="66"/>
    </row>
    <row r="85" spans="1:13" s="62" customFormat="1" ht="31.5" customHeight="1" outlineLevel="2">
      <c r="A85" s="82" t="s">
        <v>11</v>
      </c>
      <c r="B85" s="82" t="s">
        <v>6807</v>
      </c>
      <c r="C85" s="75" t="s">
        <v>6808</v>
      </c>
      <c r="D85" s="71" t="s">
        <v>6781</v>
      </c>
      <c r="E85" s="71" t="s">
        <v>6782</v>
      </c>
      <c r="F85" s="71" t="s">
        <v>6809</v>
      </c>
      <c r="G85" s="1503"/>
      <c r="H85" s="1504"/>
      <c r="I85" s="1504"/>
      <c r="J85" s="1505"/>
      <c r="L85" s="66"/>
    </row>
    <row r="86" spans="1:13" s="62" customFormat="1" ht="19.5" customHeight="1" outlineLevel="2">
      <c r="A86" s="82">
        <v>1.1000000000000001</v>
      </c>
      <c r="B86" s="82" t="s">
        <v>6784</v>
      </c>
      <c r="C86" s="75" t="s">
        <v>662</v>
      </c>
      <c r="D86" s="92">
        <f>'05 成本测算明细'!G2717</f>
        <v>0</v>
      </c>
      <c r="E86" s="92"/>
      <c r="F86" s="92">
        <f t="shared" ref="F86:F91" si="3">(D86-E86)</f>
        <v>0</v>
      </c>
      <c r="G86" s="1507"/>
      <c r="H86" s="1508"/>
      <c r="I86" s="1508"/>
      <c r="J86" s="1509"/>
      <c r="L86" s="66"/>
    </row>
    <row r="87" spans="1:13" s="62" customFormat="1" ht="19.5" customHeight="1" outlineLevel="2">
      <c r="A87" s="82">
        <v>1.2</v>
      </c>
      <c r="B87" s="82" t="s">
        <v>6784</v>
      </c>
      <c r="C87" s="75" t="s">
        <v>6812</v>
      </c>
      <c r="D87" s="92">
        <f>'05 成本测算明细'!G2725</f>
        <v>0</v>
      </c>
      <c r="E87" s="92"/>
      <c r="F87" s="92">
        <f t="shared" si="3"/>
        <v>0</v>
      </c>
      <c r="G87" s="1507"/>
      <c r="H87" s="1508"/>
      <c r="I87" s="1508"/>
      <c r="J87" s="1509"/>
      <c r="L87" s="66"/>
    </row>
    <row r="88" spans="1:13" s="62" customFormat="1" ht="19.5" customHeight="1" outlineLevel="2">
      <c r="A88" s="82">
        <v>2.1</v>
      </c>
      <c r="B88" s="82" t="s">
        <v>6814</v>
      </c>
      <c r="C88" s="75" t="s">
        <v>662</v>
      </c>
      <c r="D88" s="92">
        <f>'05 成本测算明细'!K2717</f>
        <v>0</v>
      </c>
      <c r="E88" s="92"/>
      <c r="F88" s="92">
        <f t="shared" si="3"/>
        <v>0</v>
      </c>
      <c r="G88" s="1507"/>
      <c r="H88" s="1508"/>
      <c r="I88" s="1508"/>
      <c r="J88" s="1509"/>
      <c r="L88" s="66"/>
    </row>
    <row r="89" spans="1:13" s="62" customFormat="1" ht="19.5" customHeight="1" outlineLevel="2">
      <c r="A89" s="82">
        <v>2.2000000000000002</v>
      </c>
      <c r="B89" s="82" t="s">
        <v>6814</v>
      </c>
      <c r="C89" s="75" t="s">
        <v>6812</v>
      </c>
      <c r="D89" s="92">
        <f>'05 成本测算明细'!K2725</f>
        <v>0</v>
      </c>
      <c r="E89" s="92"/>
      <c r="F89" s="92">
        <f t="shared" si="3"/>
        <v>0</v>
      </c>
      <c r="G89" s="1507"/>
      <c r="H89" s="1508"/>
      <c r="I89" s="1508"/>
      <c r="J89" s="1509"/>
      <c r="L89" s="66"/>
    </row>
    <row r="90" spans="1:13" s="62" customFormat="1" ht="19.5" customHeight="1" outlineLevel="2">
      <c r="A90" s="82">
        <v>3.2</v>
      </c>
      <c r="B90" s="82" t="s">
        <v>6817</v>
      </c>
      <c r="C90" s="75" t="s">
        <v>7057</v>
      </c>
      <c r="D90" s="92">
        <f>'05 成本测算明细'!O2843</f>
        <v>0</v>
      </c>
      <c r="E90" s="92"/>
      <c r="F90" s="92">
        <f t="shared" si="3"/>
        <v>0</v>
      </c>
      <c r="G90" s="1506"/>
      <c r="H90" s="1506"/>
      <c r="I90" s="1506"/>
      <c r="J90" s="1506"/>
      <c r="L90" s="66"/>
    </row>
    <row r="91" spans="1:13" s="62" customFormat="1" ht="19.5" customHeight="1" outlineLevel="2">
      <c r="A91" s="82">
        <v>3.3</v>
      </c>
      <c r="B91" s="82" t="s">
        <v>6817</v>
      </c>
      <c r="C91" s="75" t="s">
        <v>205</v>
      </c>
      <c r="D91" s="92">
        <f>'05 成本测算明细'!O2882</f>
        <v>0</v>
      </c>
      <c r="E91" s="92"/>
      <c r="F91" s="92">
        <f t="shared" si="3"/>
        <v>0</v>
      </c>
      <c r="G91" s="1506"/>
      <c r="H91" s="1506"/>
      <c r="I91" s="1506"/>
      <c r="J91" s="1506"/>
      <c r="L91" s="66"/>
    </row>
    <row r="92" spans="1:13" s="62" customFormat="1" ht="19.5" customHeight="1" outlineLevel="1">
      <c r="A92" s="100" t="s">
        <v>6853</v>
      </c>
      <c r="B92" s="1499" t="s">
        <v>7062</v>
      </c>
      <c r="C92" s="1500"/>
      <c r="D92" s="1501"/>
      <c r="E92" s="101" t="s">
        <v>6804</v>
      </c>
      <c r="F92" s="102">
        <f>IFERROR(SUM(F98:F99),0)</f>
        <v>0</v>
      </c>
      <c r="G92" s="1502" t="s">
        <v>6805</v>
      </c>
      <c r="H92" s="1502"/>
      <c r="I92" s="1502"/>
      <c r="J92" s="1502"/>
      <c r="L92" s="66"/>
    </row>
    <row r="93" spans="1:13" s="62" customFormat="1" ht="31.5" customHeight="1" outlineLevel="2">
      <c r="A93" s="82" t="s">
        <v>11</v>
      </c>
      <c r="B93" s="82" t="s">
        <v>6807</v>
      </c>
      <c r="C93" s="75" t="s">
        <v>6808</v>
      </c>
      <c r="D93" s="71" t="s">
        <v>6781</v>
      </c>
      <c r="E93" s="71" t="s">
        <v>6782</v>
      </c>
      <c r="F93" s="71" t="s">
        <v>6809</v>
      </c>
      <c r="G93" s="1503"/>
      <c r="H93" s="1504"/>
      <c r="I93" s="1504"/>
      <c r="J93" s="1505"/>
      <c r="L93" s="66"/>
    </row>
    <row r="94" spans="1:13" s="62" customFormat="1" ht="19.5" customHeight="1" outlineLevel="2">
      <c r="A94" s="82">
        <v>1.1000000000000001</v>
      </c>
      <c r="B94" s="82" t="s">
        <v>6784</v>
      </c>
      <c r="C94" s="75" t="s">
        <v>662</v>
      </c>
      <c r="D94" s="92">
        <f>'05 成本测算明细'!G2944</f>
        <v>0</v>
      </c>
      <c r="E94" s="92"/>
      <c r="F94" s="92">
        <f t="shared" ref="F94:F99" si="4">(D94-E94)</f>
        <v>0</v>
      </c>
      <c r="G94" s="1507"/>
      <c r="H94" s="1508"/>
      <c r="I94" s="1508"/>
      <c r="J94" s="1509"/>
      <c r="L94" s="66"/>
    </row>
    <row r="95" spans="1:13" s="62" customFormat="1" ht="19.5" customHeight="1" outlineLevel="2">
      <c r="A95" s="82">
        <v>1.2</v>
      </c>
      <c r="B95" s="82" t="s">
        <v>6784</v>
      </c>
      <c r="C95" s="75" t="s">
        <v>6812</v>
      </c>
      <c r="D95" s="92">
        <f>'05 成本测算明细'!G2952</f>
        <v>0</v>
      </c>
      <c r="E95" s="92"/>
      <c r="F95" s="92">
        <f t="shared" si="4"/>
        <v>0</v>
      </c>
      <c r="G95" s="1507"/>
      <c r="H95" s="1508"/>
      <c r="I95" s="1508"/>
      <c r="J95" s="1509"/>
      <c r="L95" s="66"/>
    </row>
    <row r="96" spans="1:13" s="62" customFormat="1" ht="19.5" customHeight="1" outlineLevel="2">
      <c r="A96" s="82">
        <v>2.1</v>
      </c>
      <c r="B96" s="82" t="s">
        <v>6814</v>
      </c>
      <c r="C96" s="75" t="s">
        <v>662</v>
      </c>
      <c r="D96" s="92">
        <f>'05 成本测算明细'!K2944</f>
        <v>0</v>
      </c>
      <c r="E96" s="92"/>
      <c r="F96" s="92">
        <f t="shared" si="4"/>
        <v>0</v>
      </c>
      <c r="G96" s="1507"/>
      <c r="H96" s="1508"/>
      <c r="I96" s="1508"/>
      <c r="J96" s="1509"/>
      <c r="L96" s="66"/>
    </row>
    <row r="97" spans="1:12" s="62" customFormat="1" ht="19.5" customHeight="1" outlineLevel="2">
      <c r="A97" s="82">
        <v>2.2000000000000002</v>
      </c>
      <c r="B97" s="82" t="s">
        <v>6814</v>
      </c>
      <c r="C97" s="75" t="s">
        <v>6812</v>
      </c>
      <c r="D97" s="92">
        <f>'05 成本测算明细'!K2952</f>
        <v>0</v>
      </c>
      <c r="E97" s="92"/>
      <c r="F97" s="92">
        <f t="shared" si="4"/>
        <v>0</v>
      </c>
      <c r="G97" s="1507"/>
      <c r="H97" s="1508"/>
      <c r="I97" s="1508"/>
      <c r="J97" s="1509"/>
      <c r="L97" s="66"/>
    </row>
    <row r="98" spans="1:12" s="62" customFormat="1" ht="19.5" customHeight="1" outlineLevel="2">
      <c r="A98" s="82">
        <v>3.2</v>
      </c>
      <c r="B98" s="82" t="s">
        <v>6817</v>
      </c>
      <c r="C98" s="75" t="s">
        <v>7057</v>
      </c>
      <c r="D98" s="92">
        <f>'05 成本测算明细'!O3103</f>
        <v>0</v>
      </c>
      <c r="E98" s="92"/>
      <c r="F98" s="92">
        <f t="shared" si="4"/>
        <v>0</v>
      </c>
      <c r="G98" s="1506"/>
      <c r="H98" s="1506"/>
      <c r="I98" s="1506"/>
      <c r="J98" s="1506"/>
      <c r="L98" s="66"/>
    </row>
    <row r="99" spans="1:12" s="62" customFormat="1" ht="19.5" customHeight="1" outlineLevel="2">
      <c r="A99" s="82">
        <v>3.3</v>
      </c>
      <c r="B99" s="82" t="s">
        <v>6817</v>
      </c>
      <c r="C99" s="75" t="s">
        <v>205</v>
      </c>
      <c r="D99" s="92">
        <f>'05 成本测算明细'!O3142</f>
        <v>0</v>
      </c>
      <c r="E99" s="92"/>
      <c r="F99" s="92">
        <f t="shared" si="4"/>
        <v>0</v>
      </c>
      <c r="G99" s="1506"/>
      <c r="H99" s="1506"/>
      <c r="I99" s="1506"/>
      <c r="J99" s="1506"/>
      <c r="L99" s="66"/>
    </row>
    <row r="100" spans="1:12" s="62" customFormat="1" ht="19.5" customHeight="1" outlineLevel="1">
      <c r="A100" s="100" t="s">
        <v>7063</v>
      </c>
      <c r="B100" s="1499" t="s">
        <v>7064</v>
      </c>
      <c r="C100" s="1500"/>
      <c r="D100" s="1501"/>
      <c r="E100" s="101" t="s">
        <v>6804</v>
      </c>
      <c r="F100" s="102">
        <f>IFERROR(SUM(F103:F114),0)</f>
        <v>7156.7789407795053</v>
      </c>
      <c r="G100" s="1502" t="s">
        <v>6805</v>
      </c>
      <c r="H100" s="1502"/>
      <c r="I100" s="1502"/>
      <c r="J100" s="1502"/>
      <c r="L100" s="66"/>
    </row>
    <row r="101" spans="1:12" s="62" customFormat="1" ht="31.5" customHeight="1" outlineLevel="2">
      <c r="A101" s="82" t="s">
        <v>11</v>
      </c>
      <c r="B101" s="82" t="s">
        <v>6807</v>
      </c>
      <c r="C101" s="75" t="s">
        <v>6808</v>
      </c>
      <c r="D101" s="71" t="s">
        <v>6781</v>
      </c>
      <c r="E101" s="71" t="s">
        <v>6782</v>
      </c>
      <c r="F101" s="71" t="s">
        <v>6809</v>
      </c>
      <c r="G101" s="1503"/>
      <c r="H101" s="1504"/>
      <c r="I101" s="1504"/>
      <c r="J101" s="1505"/>
      <c r="L101" s="66"/>
    </row>
    <row r="102" spans="1:12" s="62" customFormat="1" ht="19.5" customHeight="1" outlineLevel="2">
      <c r="A102" s="82">
        <v>1.1000000000000001</v>
      </c>
      <c r="B102" s="82" t="s">
        <v>6750</v>
      </c>
      <c r="C102" s="75" t="s">
        <v>218</v>
      </c>
      <c r="D102" s="92">
        <f>'05 成本测算明细'!O4</f>
        <v>43.67</v>
      </c>
      <c r="E102" s="92"/>
      <c r="F102" s="92">
        <f>(D102-E102)</f>
        <v>43.67</v>
      </c>
      <c r="L102" s="66"/>
    </row>
    <row r="103" spans="1:12" s="64" customFormat="1" ht="23.25" customHeight="1">
      <c r="A103" s="67" t="s">
        <v>6864</v>
      </c>
      <c r="B103" s="67"/>
      <c r="C103" s="105" t="s">
        <v>6865</v>
      </c>
      <c r="D103" s="105"/>
      <c r="E103" s="105"/>
      <c r="F103" s="105"/>
      <c r="G103" s="105"/>
      <c r="H103" s="105"/>
      <c r="I103" s="105"/>
      <c r="J103" s="105"/>
      <c r="L103" s="66"/>
    </row>
    <row r="104" spans="1:12" s="64" customFormat="1" ht="24" customHeight="1" outlineLevel="1">
      <c r="A104" s="106" t="s">
        <v>6867</v>
      </c>
      <c r="B104" s="107" t="s">
        <v>6868</v>
      </c>
      <c r="C104" s="63"/>
      <c r="D104" s="63"/>
      <c r="E104" s="63"/>
      <c r="F104" s="63"/>
      <c r="G104" s="63"/>
      <c r="H104" s="63"/>
      <c r="I104" s="63"/>
      <c r="J104" s="63"/>
      <c r="L104" s="66"/>
    </row>
    <row r="105" spans="1:12" s="64" customFormat="1" ht="38.25" customHeight="1" outlineLevel="2">
      <c r="A105" s="106"/>
      <c r="B105" s="108" t="s">
        <v>6870</v>
      </c>
      <c r="C105" s="108" t="s">
        <v>7065</v>
      </c>
      <c r="D105" s="108" t="s">
        <v>7066</v>
      </c>
      <c r="E105" s="108" t="s">
        <v>7067</v>
      </c>
      <c r="F105" s="108" t="s">
        <v>7068</v>
      </c>
      <c r="G105" s="108" t="s">
        <v>7069</v>
      </c>
      <c r="K105" s="66"/>
    </row>
    <row r="106" spans="1:12" s="64" customFormat="1" ht="42.75" customHeight="1" outlineLevel="2">
      <c r="A106" s="106"/>
      <c r="B106" s="109" t="s">
        <v>7070</v>
      </c>
      <c r="C106" s="110"/>
      <c r="D106" s="111"/>
      <c r="E106" s="111"/>
      <c r="F106" s="111"/>
      <c r="G106" s="111"/>
      <c r="K106" s="66"/>
    </row>
    <row r="107" spans="1:12" s="64" customFormat="1" ht="42.75" customHeight="1" outlineLevel="2">
      <c r="A107" s="106"/>
      <c r="B107" s="109" t="s">
        <v>7071</v>
      </c>
      <c r="C107" s="112"/>
      <c r="D107" s="113"/>
      <c r="E107" s="113"/>
      <c r="F107" s="113"/>
      <c r="G107" s="113"/>
      <c r="K107" s="66"/>
    </row>
    <row r="108" spans="1:12" s="64" customFormat="1" ht="42.75" customHeight="1" outlineLevel="2">
      <c r="A108" s="106"/>
      <c r="B108" s="109" t="s">
        <v>7072</v>
      </c>
      <c r="C108" s="112">
        <f>'04 目标成本控制表'!D49</f>
        <v>74626.7546</v>
      </c>
      <c r="D108" s="113">
        <f>'04 目标成本控制表'!H49</f>
        <v>46191.064599999998</v>
      </c>
      <c r="E108" s="113">
        <f>'04 目标成本控制表'!C49</f>
        <v>53408.718574000006</v>
      </c>
      <c r="F108" s="113">
        <f>'04 目标成本控制表'!E49</f>
        <v>7156.7789407795053</v>
      </c>
      <c r="G108" s="113">
        <f>'04 目标成本控制表'!I49</f>
        <v>11562.564975824353</v>
      </c>
      <c r="K108" s="66"/>
    </row>
    <row r="109" spans="1:12" s="64" customFormat="1" ht="42.75" customHeight="1" outlineLevel="2">
      <c r="A109" s="106"/>
      <c r="B109" s="109" t="s">
        <v>6906</v>
      </c>
      <c r="C109" s="112"/>
      <c r="D109" s="113"/>
      <c r="E109" s="113"/>
      <c r="F109" s="113"/>
      <c r="G109" s="113"/>
      <c r="K109" s="66"/>
    </row>
    <row r="110" spans="1:12" ht="24" customHeight="1" outlineLevel="1">
      <c r="A110" s="106" t="s">
        <v>6884</v>
      </c>
      <c r="B110" s="107" t="s">
        <v>7073</v>
      </c>
      <c r="C110" s="63"/>
      <c r="D110" s="114"/>
      <c r="E110" s="114"/>
      <c r="G110" s="114"/>
      <c r="H110" s="114"/>
      <c r="I110" s="114"/>
      <c r="J110" s="114"/>
      <c r="K110" s="114"/>
    </row>
    <row r="111" spans="1:12" ht="44.25" customHeight="1" outlineLevel="2">
      <c r="A111" s="106"/>
      <c r="B111" s="115" t="s">
        <v>6887</v>
      </c>
      <c r="C111" s="108" t="s">
        <v>7074</v>
      </c>
      <c r="D111" s="108" t="s">
        <v>7075</v>
      </c>
      <c r="E111" s="108" t="s">
        <v>7069</v>
      </c>
      <c r="G111" s="114"/>
      <c r="H111" s="114"/>
      <c r="I111" s="114"/>
      <c r="J111" s="114"/>
      <c r="K111" s="114"/>
    </row>
    <row r="112" spans="1:12" ht="33" customHeight="1" outlineLevel="2">
      <c r="A112" s="106"/>
      <c r="B112" s="109" t="s">
        <v>7076</v>
      </c>
      <c r="C112" s="116">
        <f>'04 目标成本控制表'!C48</f>
        <v>36116.349194000002</v>
      </c>
      <c r="D112" s="116">
        <f>'04 目标成本控制表'!E48</f>
        <v>4839.5979950600722</v>
      </c>
      <c r="E112" s="116">
        <f>'04 目标成本控制表'!I48</f>
        <v>7818.903830590647</v>
      </c>
      <c r="G112" s="114"/>
      <c r="H112" s="114"/>
      <c r="I112" s="114"/>
      <c r="J112" s="114"/>
      <c r="K112" s="114"/>
    </row>
    <row r="113" spans="1:22" ht="33" customHeight="1" outlineLevel="2">
      <c r="A113" s="106"/>
      <c r="B113" s="109" t="s">
        <v>231</v>
      </c>
      <c r="C113" s="116">
        <f>'04 目标成本控制表'!C45</f>
        <v>228</v>
      </c>
      <c r="D113" s="116">
        <f>'04 目标成本控制表'!E45</f>
        <v>30.552045472442398</v>
      </c>
      <c r="E113" s="116">
        <f>'04 目标成本控制表'!I45</f>
        <v>49.360195954435746</v>
      </c>
      <c r="G113" s="114"/>
      <c r="H113" s="114"/>
      <c r="I113" s="114"/>
      <c r="J113" s="114"/>
      <c r="K113" s="114"/>
    </row>
    <row r="114" spans="1:22" ht="33" customHeight="1" outlineLevel="2">
      <c r="A114" s="106"/>
      <c r="B114" s="109" t="s">
        <v>6894</v>
      </c>
      <c r="C114" s="116">
        <f>'04 目标成本控制表'!C46</f>
        <v>3207.05</v>
      </c>
      <c r="D114" s="116">
        <f>'04 目标成本控制表'!E46</f>
        <v>429.74533961577367</v>
      </c>
      <c r="E114" s="116">
        <f>'04 目标成本控制表'!I46</f>
        <v>694.30094927926825</v>
      </c>
      <c r="G114" s="114"/>
      <c r="H114" s="114"/>
      <c r="I114" s="114"/>
      <c r="J114" s="114"/>
      <c r="K114" s="114"/>
    </row>
    <row r="115" spans="1:22" ht="33" customHeight="1" outlineLevel="2">
      <c r="A115" s="106"/>
      <c r="B115" s="109" t="s">
        <v>6897</v>
      </c>
      <c r="C115" s="116">
        <f>'04 目标成本控制表'!C47</f>
        <v>0</v>
      </c>
      <c r="D115" s="116">
        <f>'04 目标成本控制表'!E47</f>
        <v>0</v>
      </c>
      <c r="E115" s="116">
        <f>'04 目标成本控制表'!I47</f>
        <v>0</v>
      </c>
      <c r="G115" s="114"/>
      <c r="H115" s="114"/>
      <c r="I115" s="114"/>
      <c r="J115" s="114"/>
      <c r="K115" s="114"/>
    </row>
    <row r="116" spans="1:22" ht="33" customHeight="1" outlineLevel="2">
      <c r="A116" s="106"/>
      <c r="B116" s="109" t="s">
        <v>1370</v>
      </c>
      <c r="C116" s="117">
        <f>'04 目标成本控制表'!C49</f>
        <v>53408.718574000006</v>
      </c>
      <c r="D116" s="117">
        <f>'04 目标成本控制表'!E49</f>
        <v>7156.7789407795053</v>
      </c>
      <c r="E116" s="117">
        <f>'04 目标成本控制表'!I49</f>
        <v>11562.564975824353</v>
      </c>
      <c r="G116" s="114"/>
      <c r="H116" s="114"/>
      <c r="I116" s="114"/>
      <c r="J116" s="114"/>
      <c r="K116" s="114"/>
    </row>
    <row r="117" spans="1:22" ht="24" customHeight="1" outlineLevel="1">
      <c r="A117" s="106" t="s">
        <v>6900</v>
      </c>
      <c r="B117" s="107" t="s">
        <v>7077</v>
      </c>
      <c r="C117" s="63"/>
      <c r="D117" s="114"/>
      <c r="E117" s="114"/>
      <c r="F117" s="114"/>
      <c r="G117" s="114"/>
      <c r="J117" s="114"/>
      <c r="K117" s="114"/>
      <c r="M117" s="129"/>
      <c r="N117" s="129"/>
      <c r="O117" s="129"/>
      <c r="P117" s="129"/>
      <c r="Q117" s="129"/>
    </row>
    <row r="118" spans="1:22" ht="38.25" customHeight="1" outlineLevel="2">
      <c r="A118" s="106"/>
      <c r="B118" s="115" t="s">
        <v>6748</v>
      </c>
      <c r="C118" s="108" t="s">
        <v>448</v>
      </c>
      <c r="D118" s="108" t="s">
        <v>7078</v>
      </c>
      <c r="E118" s="108" t="s">
        <v>7079</v>
      </c>
      <c r="F118" s="108" t="s">
        <v>7075</v>
      </c>
      <c r="G118" s="108" t="s">
        <v>7069</v>
      </c>
      <c r="H118" s="118"/>
      <c r="I118" s="114"/>
      <c r="J118" s="114"/>
    </row>
    <row r="119" spans="1:22" ht="33.75" customHeight="1" outlineLevel="2">
      <c r="A119" s="106"/>
      <c r="B119" s="119" t="s">
        <v>81</v>
      </c>
      <c r="C119" s="116">
        <f>'04 目标成本控制表'!D68</f>
        <v>0</v>
      </c>
      <c r="D119" s="116">
        <f>'04 目标成本控制表'!H68</f>
        <v>0</v>
      </c>
      <c r="E119" s="116">
        <f>'04 目标成本控制表'!C68</f>
        <v>0</v>
      </c>
      <c r="F119" s="116">
        <f>'04 目标成本控制表'!E68</f>
        <v>0</v>
      </c>
      <c r="G119" s="116">
        <f>'04 目标成本控制表'!F68</f>
        <v>0</v>
      </c>
      <c r="H119" s="118"/>
      <c r="I119" s="114"/>
      <c r="J119" s="114"/>
    </row>
    <row r="120" spans="1:22" ht="33.75" customHeight="1" outlineLevel="2">
      <c r="A120" s="106"/>
      <c r="B120" s="119" t="s">
        <v>111</v>
      </c>
      <c r="C120" s="116">
        <f>'04 目标成本控制表'!D69</f>
        <v>0</v>
      </c>
      <c r="D120" s="116">
        <f>'04 目标成本控制表'!H69</f>
        <v>0</v>
      </c>
      <c r="E120" s="116">
        <f>'04 目标成本控制表'!C69</f>
        <v>0</v>
      </c>
      <c r="F120" s="116">
        <f>'04 目标成本控制表'!E69</f>
        <v>0</v>
      </c>
      <c r="G120" s="116">
        <f>'04 目标成本控制表'!F69</f>
        <v>0</v>
      </c>
      <c r="H120" s="120"/>
      <c r="I120" s="114"/>
      <c r="J120" s="114"/>
    </row>
    <row r="121" spans="1:22" ht="33.75" customHeight="1" outlineLevel="2">
      <c r="A121" s="106"/>
      <c r="B121" s="119" t="s">
        <v>115</v>
      </c>
      <c r="C121" s="116">
        <f>'04 目标成本控制表'!D70</f>
        <v>0</v>
      </c>
      <c r="D121" s="116">
        <f>'04 目标成本控制表'!H70</f>
        <v>0</v>
      </c>
      <c r="E121" s="116">
        <f>'04 目标成本控制表'!C70</f>
        <v>0</v>
      </c>
      <c r="F121" s="116">
        <f>'04 目标成本控制表'!E70</f>
        <v>0</v>
      </c>
      <c r="G121" s="116">
        <f>'04 目标成本控制表'!F70</f>
        <v>0</v>
      </c>
      <c r="H121" s="120"/>
      <c r="I121" s="114"/>
      <c r="J121" s="114"/>
    </row>
    <row r="122" spans="1:22" ht="24" customHeight="1" outlineLevel="1">
      <c r="A122" s="106" t="s">
        <v>6910</v>
      </c>
      <c r="B122" s="107" t="s">
        <v>7080</v>
      </c>
      <c r="C122" s="121"/>
      <c r="D122" s="114"/>
      <c r="E122" s="114"/>
      <c r="F122" s="114"/>
      <c r="G122" s="114"/>
      <c r="I122" s="114"/>
      <c r="J122" s="114"/>
      <c r="K122" s="114"/>
    </row>
    <row r="123" spans="1:22" ht="23.25" customHeight="1" outlineLevel="2">
      <c r="A123" s="106"/>
      <c r="B123" s="1510" t="s">
        <v>6748</v>
      </c>
      <c r="C123" s="1510" t="s">
        <v>7081</v>
      </c>
      <c r="D123" s="1510" t="s">
        <v>7069</v>
      </c>
      <c r="E123" s="1510" t="s">
        <v>7040</v>
      </c>
      <c r="F123" s="1510" t="s">
        <v>7082</v>
      </c>
      <c r="G123" s="1510" t="s">
        <v>656</v>
      </c>
      <c r="H123" s="1520" t="s">
        <v>7083</v>
      </c>
      <c r="I123" s="1521"/>
      <c r="J123" s="1521"/>
      <c r="K123" s="1521"/>
      <c r="L123" s="1521"/>
      <c r="M123" s="1521"/>
      <c r="N123" s="1840"/>
      <c r="O123" s="114"/>
      <c r="P123" s="114"/>
      <c r="R123" s="61"/>
      <c r="S123" s="61"/>
      <c r="T123" s="61"/>
      <c r="U123" s="61"/>
      <c r="V123" s="61"/>
    </row>
    <row r="124" spans="1:22" ht="23.25" customHeight="1" outlineLevel="2">
      <c r="A124" s="106"/>
      <c r="B124" s="1511"/>
      <c r="C124" s="1511"/>
      <c r="D124" s="1511"/>
      <c r="E124" s="1511"/>
      <c r="F124" s="1511"/>
      <c r="G124" s="1511"/>
      <c r="H124" s="123" t="s">
        <v>7084</v>
      </c>
      <c r="I124" s="130" t="s">
        <v>7085</v>
      </c>
      <c r="J124" s="123" t="s">
        <v>7086</v>
      </c>
      <c r="K124" s="130" t="s">
        <v>7087</v>
      </c>
      <c r="L124" s="123" t="s">
        <v>7088</v>
      </c>
      <c r="M124" s="130" t="s">
        <v>7089</v>
      </c>
      <c r="N124" s="130" t="s">
        <v>7090</v>
      </c>
      <c r="O124" s="114"/>
      <c r="P124" s="114"/>
      <c r="R124" s="61"/>
      <c r="S124" s="61"/>
      <c r="T124" s="61"/>
      <c r="U124" s="61"/>
      <c r="V124" s="61"/>
    </row>
    <row r="125" spans="1:22" ht="32.25" customHeight="1" outlineLevel="2">
      <c r="A125" s="106"/>
      <c r="B125" s="1512" t="s">
        <v>81</v>
      </c>
      <c r="C125" s="125" t="s">
        <v>6931</v>
      </c>
      <c r="D125" s="116">
        <f>G119</f>
        <v>0</v>
      </c>
      <c r="E125" s="116"/>
      <c r="F125" s="116"/>
      <c r="G125" s="116">
        <f>'04 目标成本控制表'!W53</f>
        <v>3763.28902256741</v>
      </c>
      <c r="H125" s="116"/>
      <c r="I125" s="116"/>
      <c r="J125" s="116"/>
      <c r="K125" s="116"/>
      <c r="L125" s="116"/>
      <c r="M125" s="116"/>
      <c r="N125" s="116"/>
      <c r="O125" s="114"/>
      <c r="P125" s="114"/>
      <c r="R125" s="61"/>
      <c r="S125" s="61"/>
      <c r="T125" s="61"/>
      <c r="U125" s="61"/>
      <c r="V125" s="61"/>
    </row>
    <row r="126" spans="1:22" ht="32.25" customHeight="1" outlineLevel="2">
      <c r="A126" s="106"/>
      <c r="B126" s="1513"/>
      <c r="C126" s="126" t="s">
        <v>656</v>
      </c>
      <c r="D126" s="116"/>
      <c r="E126" s="116"/>
      <c r="F126" s="116"/>
      <c r="G126" s="116">
        <f>'04 目标成本控制表'!W52</f>
        <v>3839.6466543004699</v>
      </c>
      <c r="H126" s="127"/>
      <c r="I126" s="127"/>
      <c r="J126" s="127"/>
      <c r="K126" s="127"/>
      <c r="L126" s="127"/>
      <c r="M126" s="127"/>
      <c r="N126" s="127"/>
      <c r="O126" s="114"/>
      <c r="P126" s="114"/>
      <c r="R126" s="61"/>
      <c r="S126" s="61"/>
      <c r="T126" s="61"/>
      <c r="U126" s="61"/>
      <c r="V126" s="61"/>
    </row>
    <row r="127" spans="1:22" ht="32.25" customHeight="1" outlineLevel="2">
      <c r="A127" s="106"/>
      <c r="B127" s="1514"/>
      <c r="C127" s="126" t="s">
        <v>7091</v>
      </c>
      <c r="D127" s="116"/>
      <c r="E127" s="116"/>
      <c r="F127" s="116"/>
      <c r="G127" s="116"/>
      <c r="H127" s="127"/>
      <c r="I127" s="127"/>
      <c r="J127" s="127"/>
      <c r="K127" s="127"/>
      <c r="L127" s="127"/>
      <c r="M127" s="127"/>
      <c r="N127" s="127"/>
      <c r="O127" s="114"/>
      <c r="P127" s="114"/>
      <c r="R127" s="61"/>
      <c r="S127" s="61"/>
      <c r="T127" s="61"/>
      <c r="U127" s="61"/>
      <c r="V127" s="61"/>
    </row>
    <row r="128" spans="1:22" ht="32.25" customHeight="1" outlineLevel="2">
      <c r="A128" s="106"/>
      <c r="B128" s="1512" t="s">
        <v>111</v>
      </c>
      <c r="C128" s="126" t="s">
        <v>6931</v>
      </c>
      <c r="D128" s="116">
        <f>G119</f>
        <v>0</v>
      </c>
      <c r="E128" s="116"/>
      <c r="F128" s="116"/>
      <c r="G128" s="116"/>
      <c r="H128" s="127"/>
      <c r="I128" s="127"/>
      <c r="J128" s="127"/>
      <c r="K128" s="127"/>
      <c r="L128" s="127"/>
      <c r="M128" s="127"/>
      <c r="N128" s="127"/>
      <c r="O128" s="114"/>
      <c r="P128" s="114"/>
      <c r="R128" s="61"/>
      <c r="S128" s="61"/>
      <c r="T128" s="61"/>
      <c r="U128" s="61"/>
      <c r="V128" s="61"/>
    </row>
    <row r="129" spans="1:22" ht="32.25" customHeight="1" outlineLevel="2">
      <c r="A129" s="106"/>
      <c r="B129" s="1513"/>
      <c r="C129" s="126" t="s">
        <v>656</v>
      </c>
      <c r="D129" s="116"/>
      <c r="E129" s="116"/>
      <c r="F129" s="116"/>
      <c r="G129" s="116"/>
      <c r="H129" s="127"/>
      <c r="I129" s="127"/>
      <c r="J129" s="127"/>
      <c r="K129" s="127"/>
      <c r="L129" s="127"/>
      <c r="M129" s="127"/>
      <c r="N129" s="127"/>
      <c r="O129" s="114"/>
      <c r="P129" s="114"/>
      <c r="R129" s="61"/>
      <c r="S129" s="61"/>
      <c r="T129" s="61"/>
      <c r="U129" s="61"/>
      <c r="V129" s="61"/>
    </row>
    <row r="130" spans="1:22" ht="32.25" customHeight="1" outlineLevel="2">
      <c r="A130" s="106"/>
      <c r="B130" s="1513"/>
      <c r="C130" s="126" t="s">
        <v>7091</v>
      </c>
      <c r="D130" s="116"/>
      <c r="E130" s="116"/>
      <c r="F130" s="116"/>
      <c r="G130" s="116">
        <f>'04 目标成本控制表'!W51</f>
        <v>3788.2081439149902</v>
      </c>
      <c r="H130" s="127"/>
      <c r="I130" s="127"/>
      <c r="J130" s="127"/>
      <c r="K130" s="127"/>
      <c r="L130" s="127"/>
      <c r="M130" s="127"/>
      <c r="N130" s="127"/>
      <c r="O130" s="114"/>
      <c r="P130" s="114"/>
      <c r="R130" s="61"/>
      <c r="S130" s="61"/>
      <c r="T130" s="61"/>
      <c r="U130" s="61"/>
      <c r="V130" s="61"/>
    </row>
    <row r="131" spans="1:22" ht="24" customHeight="1" outlineLevel="1">
      <c r="A131" s="106" t="s">
        <v>6928</v>
      </c>
      <c r="B131" s="107" t="s">
        <v>7092</v>
      </c>
      <c r="C131" s="121"/>
      <c r="D131" s="114"/>
      <c r="E131" s="114"/>
      <c r="F131" s="114"/>
      <c r="G131" s="114"/>
      <c r="I131" s="114"/>
      <c r="J131" s="114"/>
      <c r="K131" s="114"/>
    </row>
    <row r="132" spans="1:22" ht="23.25" customHeight="1" outlineLevel="2">
      <c r="A132" s="106"/>
      <c r="B132" s="1510" t="s">
        <v>253</v>
      </c>
      <c r="C132" s="1510" t="s">
        <v>7093</v>
      </c>
      <c r="D132" s="1510" t="s">
        <v>6931</v>
      </c>
      <c r="E132" s="1510" t="s">
        <v>7094</v>
      </c>
      <c r="F132" s="1510" t="s">
        <v>7091</v>
      </c>
      <c r="G132" s="1510" t="s">
        <v>7095</v>
      </c>
      <c r="H132" s="114"/>
      <c r="I132" s="114"/>
      <c r="L132" s="61"/>
    </row>
    <row r="133" spans="1:22" ht="23.25" customHeight="1" outlineLevel="2">
      <c r="A133" s="106"/>
      <c r="B133" s="1511"/>
      <c r="C133" s="1511"/>
      <c r="D133" s="1511"/>
      <c r="E133" s="1511"/>
      <c r="F133" s="1511"/>
      <c r="G133" s="1511"/>
      <c r="H133" s="114"/>
      <c r="I133" s="114"/>
      <c r="L133" s="61"/>
    </row>
    <row r="134" spans="1:22" ht="32.25" customHeight="1" outlineLevel="2">
      <c r="A134" s="106"/>
      <c r="B134" s="1512" t="s">
        <v>7033</v>
      </c>
      <c r="C134" s="131" t="s">
        <v>7051</v>
      </c>
      <c r="D134" s="126">
        <f>'05 成本测算明细'!O2549</f>
        <v>0</v>
      </c>
      <c r="E134" s="126"/>
      <c r="F134" s="116"/>
      <c r="G134" s="1845" t="s">
        <v>7096</v>
      </c>
      <c r="H134" s="114"/>
      <c r="I134" s="114"/>
      <c r="L134" s="61"/>
    </row>
    <row r="135" spans="1:22" ht="32.25" customHeight="1" outlineLevel="2">
      <c r="A135" s="106"/>
      <c r="B135" s="1513"/>
      <c r="C135" s="132" t="s">
        <v>189</v>
      </c>
      <c r="D135" s="126">
        <f>'05 成本测算明细'!O2570</f>
        <v>0</v>
      </c>
      <c r="E135" s="126"/>
      <c r="F135" s="127"/>
      <c r="G135" s="1846"/>
      <c r="H135" s="114"/>
      <c r="I135" s="114"/>
      <c r="L135" s="61"/>
    </row>
    <row r="136" spans="1:22" ht="32.25" customHeight="1" outlineLevel="2">
      <c r="A136" s="106"/>
      <c r="B136" s="1513"/>
      <c r="C136" s="132" t="s">
        <v>7097</v>
      </c>
      <c r="D136" s="126">
        <f>'05 成本测算明细'!O2591+'05 成本测算明细'!O2604</f>
        <v>0</v>
      </c>
      <c r="E136" s="126"/>
      <c r="F136" s="127"/>
      <c r="G136" s="1846"/>
      <c r="H136" s="114"/>
      <c r="I136" s="114"/>
      <c r="L136" s="61"/>
    </row>
    <row r="137" spans="1:22" ht="32.25" customHeight="1" outlineLevel="2">
      <c r="A137" s="106"/>
      <c r="B137" s="1513"/>
      <c r="C137" s="132" t="s">
        <v>193</v>
      </c>
      <c r="D137" s="126">
        <f>'05 成本测算明细'!O2608</f>
        <v>0</v>
      </c>
      <c r="E137" s="126"/>
      <c r="F137" s="127"/>
      <c r="G137" s="1846"/>
      <c r="H137" s="114"/>
      <c r="I137" s="114"/>
      <c r="L137" s="61"/>
    </row>
    <row r="138" spans="1:22" ht="32.25" customHeight="1" outlineLevel="2">
      <c r="A138" s="106"/>
      <c r="B138" s="1513"/>
      <c r="C138" s="132" t="s">
        <v>7053</v>
      </c>
      <c r="D138" s="126">
        <f>'05 成本测算明细'!O2637</f>
        <v>0</v>
      </c>
      <c r="E138" s="126"/>
      <c r="F138" s="127"/>
      <c r="G138" s="1846"/>
      <c r="H138" s="114"/>
      <c r="I138" s="114"/>
      <c r="L138" s="61"/>
    </row>
    <row r="139" spans="1:22" ht="32.25" customHeight="1" outlineLevel="2">
      <c r="A139" s="106"/>
      <c r="B139" s="1513"/>
      <c r="C139" s="132" t="s">
        <v>1124</v>
      </c>
      <c r="D139" s="126">
        <f>'05 成本测算明细'!O2667</f>
        <v>0</v>
      </c>
      <c r="E139" s="126"/>
      <c r="F139" s="127"/>
      <c r="G139" s="1846"/>
      <c r="H139" s="114"/>
      <c r="I139" s="114"/>
      <c r="L139" s="61"/>
    </row>
    <row r="140" spans="1:22" ht="32.25" customHeight="1" outlineLevel="2">
      <c r="A140" s="106"/>
      <c r="B140" s="1513"/>
      <c r="C140" s="132" t="s">
        <v>7054</v>
      </c>
      <c r="D140" s="126">
        <f>'05 成本测算明细'!O2698</f>
        <v>0</v>
      </c>
      <c r="E140" s="126"/>
      <c r="F140" s="127"/>
      <c r="G140" s="1846"/>
      <c r="H140" s="114"/>
      <c r="I140" s="114"/>
      <c r="L140" s="61"/>
    </row>
    <row r="141" spans="1:22" ht="32.25" customHeight="1" outlineLevel="2">
      <c r="A141" s="106"/>
      <c r="B141" s="1513"/>
      <c r="C141" s="132" t="s">
        <v>7098</v>
      </c>
      <c r="D141" s="126">
        <f>'05 成本测算明细'!O2712</f>
        <v>0</v>
      </c>
      <c r="E141" s="126"/>
      <c r="F141" s="127"/>
      <c r="G141" s="1846"/>
      <c r="H141" s="114"/>
      <c r="I141" s="114"/>
      <c r="L141" s="61"/>
    </row>
    <row r="142" spans="1:22" ht="32.25" customHeight="1" outlineLevel="2">
      <c r="A142" s="106"/>
      <c r="B142" s="1514"/>
      <c r="C142" s="132" t="s">
        <v>230</v>
      </c>
      <c r="D142" s="126"/>
      <c r="E142" s="126"/>
      <c r="F142" s="127"/>
      <c r="G142" s="1847"/>
      <c r="H142" s="114"/>
      <c r="I142" s="114"/>
      <c r="L142" s="61"/>
    </row>
    <row r="143" spans="1:22" ht="32.25" customHeight="1" outlineLevel="2">
      <c r="A143" s="106"/>
      <c r="B143" s="1512" t="s">
        <v>7032</v>
      </c>
      <c r="C143" s="132" t="s">
        <v>7099</v>
      </c>
      <c r="D143" s="126"/>
      <c r="E143" s="126"/>
      <c r="F143" s="127"/>
      <c r="G143" s="1848" t="s">
        <v>7096</v>
      </c>
      <c r="H143" s="114"/>
      <c r="I143" s="114"/>
      <c r="L143" s="61"/>
    </row>
    <row r="144" spans="1:22" ht="32.25" customHeight="1" outlineLevel="2">
      <c r="A144" s="106"/>
      <c r="B144" s="1513"/>
      <c r="C144" s="132" t="s">
        <v>7057</v>
      </c>
      <c r="D144" s="126">
        <f>'05 成本测算明细'!O2615</f>
        <v>0</v>
      </c>
      <c r="E144" s="126"/>
      <c r="F144" s="127"/>
      <c r="G144" s="1849"/>
      <c r="H144" s="114"/>
      <c r="I144" s="114"/>
      <c r="L144" s="61"/>
    </row>
    <row r="145" spans="1:12" ht="32.25" customHeight="1" outlineLevel="2">
      <c r="A145" s="106"/>
      <c r="B145" s="1513"/>
      <c r="C145" s="132" t="s">
        <v>205</v>
      </c>
      <c r="D145" s="126">
        <f>'05 成本测算明细'!O2654</f>
        <v>0</v>
      </c>
      <c r="E145" s="126"/>
      <c r="F145" s="127"/>
      <c r="G145" s="1849"/>
      <c r="H145" s="114"/>
      <c r="I145" s="114"/>
      <c r="L145" s="61"/>
    </row>
    <row r="146" spans="1:12" ht="32.25" customHeight="1" outlineLevel="2">
      <c r="A146" s="106"/>
      <c r="B146" s="1513"/>
      <c r="C146" s="132" t="s">
        <v>7055</v>
      </c>
      <c r="D146" s="126">
        <f>'05 成本测算明细'!O2703</f>
        <v>0</v>
      </c>
      <c r="E146" s="126"/>
      <c r="F146" s="127"/>
      <c r="G146" s="1849"/>
      <c r="H146" s="114"/>
      <c r="I146" s="114"/>
      <c r="L146" s="61"/>
    </row>
    <row r="147" spans="1:12" ht="32.25" customHeight="1" outlineLevel="2">
      <c r="A147" s="106"/>
      <c r="B147" s="1513"/>
      <c r="C147" s="132" t="s">
        <v>7100</v>
      </c>
      <c r="D147" s="126"/>
      <c r="E147" s="126"/>
      <c r="F147" s="127"/>
      <c r="G147" s="1850"/>
      <c r="H147" s="114"/>
      <c r="I147" s="114"/>
      <c r="L147" s="61"/>
    </row>
    <row r="148" spans="1:12" ht="32.25" customHeight="1" outlineLevel="2">
      <c r="A148" s="106"/>
      <c r="B148" s="1512" t="s">
        <v>6947</v>
      </c>
      <c r="C148" s="132" t="s">
        <v>218</v>
      </c>
      <c r="D148" s="126"/>
      <c r="E148" s="126"/>
      <c r="F148" s="127"/>
      <c r="G148" s="1848" t="s">
        <v>7096</v>
      </c>
      <c r="H148" s="114"/>
      <c r="I148" s="114"/>
      <c r="L148" s="61"/>
    </row>
    <row r="149" spans="1:12" ht="32.25" customHeight="1" outlineLevel="2">
      <c r="A149" s="106"/>
      <c r="B149" s="1513"/>
      <c r="C149" s="132" t="s">
        <v>7101</v>
      </c>
      <c r="D149" s="126"/>
      <c r="E149" s="126"/>
      <c r="F149" s="127"/>
      <c r="G149" s="1849"/>
      <c r="H149" s="114"/>
      <c r="I149" s="114"/>
      <c r="L149" s="61"/>
    </row>
    <row r="150" spans="1:12" ht="32.25" customHeight="1" outlineLevel="2">
      <c r="A150" s="106"/>
      <c r="B150" s="1513"/>
      <c r="C150" s="132" t="s">
        <v>229</v>
      </c>
      <c r="D150" s="126"/>
      <c r="E150" s="126"/>
      <c r="F150" s="127"/>
      <c r="G150" s="1850"/>
      <c r="H150" s="114"/>
      <c r="I150" s="114"/>
      <c r="L150" s="61"/>
    </row>
    <row r="151" spans="1:12" ht="32.25" customHeight="1" outlineLevel="2">
      <c r="A151" s="106"/>
      <c r="B151" s="1512" t="s">
        <v>48</v>
      </c>
      <c r="C151" s="132" t="s">
        <v>231</v>
      </c>
      <c r="D151" s="126"/>
      <c r="E151" s="126"/>
      <c r="F151" s="127"/>
      <c r="G151" s="1848" t="s">
        <v>7096</v>
      </c>
      <c r="H151" s="114"/>
      <c r="I151" s="114"/>
      <c r="L151" s="61"/>
    </row>
    <row r="152" spans="1:12" ht="32.25" customHeight="1" outlineLevel="2">
      <c r="A152" s="106"/>
      <c r="B152" s="1513"/>
      <c r="C152" s="132" t="s">
        <v>232</v>
      </c>
      <c r="D152" s="126"/>
      <c r="E152" s="126"/>
      <c r="F152" s="127"/>
      <c r="G152" s="1850"/>
      <c r="H152" s="114"/>
      <c r="I152" s="114"/>
      <c r="L152" s="61"/>
    </row>
    <row r="153" spans="1:12" ht="32.25" customHeight="1" outlineLevel="2">
      <c r="A153" s="106"/>
      <c r="B153" s="1841" t="s">
        <v>536</v>
      </c>
      <c r="C153" s="1842"/>
      <c r="D153" s="126">
        <f>SUM(D134:D152)</f>
        <v>0</v>
      </c>
      <c r="E153" s="126"/>
      <c r="F153" s="126"/>
      <c r="G153" s="126"/>
      <c r="H153" s="114"/>
      <c r="I153" s="114"/>
      <c r="L153" s="61"/>
    </row>
    <row r="154" spans="1:12" ht="24" customHeight="1" outlineLevel="1">
      <c r="A154" s="106" t="s">
        <v>6958</v>
      </c>
      <c r="B154" s="107" t="s">
        <v>7102</v>
      </c>
      <c r="C154" s="121"/>
      <c r="D154" s="114"/>
      <c r="E154" s="114"/>
      <c r="F154" s="114"/>
      <c r="G154" s="114"/>
      <c r="I154" s="114"/>
      <c r="J154" s="114"/>
      <c r="K154" s="114"/>
    </row>
    <row r="155" spans="1:12" ht="43.5" customHeight="1" outlineLevel="2">
      <c r="A155" s="106"/>
      <c r="B155" s="124" t="s">
        <v>253</v>
      </c>
      <c r="C155" s="124" t="s">
        <v>7093</v>
      </c>
      <c r="D155" s="124" t="s">
        <v>6931</v>
      </c>
      <c r="E155" s="133" t="s">
        <v>7103</v>
      </c>
      <c r="F155" s="124" t="s">
        <v>7091</v>
      </c>
      <c r="G155" s="124" t="s">
        <v>7095</v>
      </c>
      <c r="H155" s="114"/>
      <c r="I155" s="114"/>
      <c r="L155" s="61"/>
    </row>
    <row r="156" spans="1:12" ht="32.25" customHeight="1" outlineLevel="2">
      <c r="A156" s="106"/>
      <c r="B156" s="1512" t="s">
        <v>7033</v>
      </c>
      <c r="C156" s="131" t="s">
        <v>7051</v>
      </c>
      <c r="D156" s="126">
        <f>'05 成本测算明细'!O2768</f>
        <v>0</v>
      </c>
      <c r="E156" s="126"/>
      <c r="F156" s="116"/>
      <c r="G156" s="1845" t="s">
        <v>7096</v>
      </c>
      <c r="H156" s="114"/>
      <c r="I156" s="114"/>
      <c r="L156" s="61"/>
    </row>
    <row r="157" spans="1:12" ht="32.25" customHeight="1" outlineLevel="2">
      <c r="A157" s="106"/>
      <c r="B157" s="1513"/>
      <c r="C157" s="132" t="s">
        <v>189</v>
      </c>
      <c r="D157" s="126">
        <f>'05 成本测算明细'!O2788</f>
        <v>0</v>
      </c>
      <c r="E157" s="126"/>
      <c r="F157" s="127"/>
      <c r="G157" s="1846"/>
      <c r="H157" s="114"/>
      <c r="I157" s="114"/>
      <c r="L157" s="61"/>
    </row>
    <row r="158" spans="1:12" ht="32.25" customHeight="1" outlineLevel="2">
      <c r="A158" s="106"/>
      <c r="B158" s="1513"/>
      <c r="C158" s="132" t="s">
        <v>7097</v>
      </c>
      <c r="D158" s="126">
        <f>'05 成本测算明细'!O2823+'05 成本测算明细'!O2836</f>
        <v>0</v>
      </c>
      <c r="E158" s="126"/>
      <c r="F158" s="127"/>
      <c r="G158" s="1846"/>
      <c r="H158" s="114"/>
      <c r="I158" s="114"/>
      <c r="L158" s="61"/>
    </row>
    <row r="159" spans="1:12" ht="32.25" customHeight="1" outlineLevel="2">
      <c r="A159" s="106"/>
      <c r="B159" s="1513"/>
      <c r="C159" s="132" t="s">
        <v>193</v>
      </c>
      <c r="D159" s="126">
        <f>'05 成本测算明细'!O2840</f>
        <v>0</v>
      </c>
      <c r="E159" s="126"/>
      <c r="F159" s="127"/>
      <c r="G159" s="1846"/>
      <c r="H159" s="114"/>
      <c r="I159" s="114"/>
      <c r="L159" s="61"/>
    </row>
    <row r="160" spans="1:12" ht="32.25" customHeight="1" outlineLevel="2">
      <c r="A160" s="106"/>
      <c r="B160" s="1513"/>
      <c r="C160" s="132" t="s">
        <v>7053</v>
      </c>
      <c r="D160" s="126">
        <f>'05 成本测算明细'!O2865</f>
        <v>0</v>
      </c>
      <c r="E160" s="126"/>
      <c r="F160" s="127"/>
      <c r="G160" s="1846"/>
      <c r="H160" s="114"/>
      <c r="I160" s="114"/>
      <c r="L160" s="61"/>
    </row>
    <row r="161" spans="1:12" ht="32.25" customHeight="1" outlineLevel="2">
      <c r="A161" s="106"/>
      <c r="B161" s="1513"/>
      <c r="C161" s="132" t="s">
        <v>1124</v>
      </c>
      <c r="D161" s="126">
        <f>'05 成本测算明细'!O2895</f>
        <v>0</v>
      </c>
      <c r="E161" s="126"/>
      <c r="F161" s="127"/>
      <c r="G161" s="1846"/>
      <c r="H161" s="114"/>
      <c r="I161" s="114"/>
      <c r="L161" s="61"/>
    </row>
    <row r="162" spans="1:12" ht="32.25" customHeight="1" outlineLevel="2">
      <c r="A162" s="106"/>
      <c r="B162" s="1513"/>
      <c r="C162" s="132" t="s">
        <v>7054</v>
      </c>
      <c r="D162" s="126">
        <f>'05 成本测算明细'!O2928</f>
        <v>0</v>
      </c>
      <c r="E162" s="126"/>
      <c r="F162" s="127"/>
      <c r="G162" s="1846"/>
      <c r="H162" s="114"/>
      <c r="I162" s="114"/>
      <c r="L162" s="61"/>
    </row>
    <row r="163" spans="1:12" ht="32.25" customHeight="1" outlineLevel="2">
      <c r="A163" s="106"/>
      <c r="B163" s="1514"/>
      <c r="C163" s="132" t="s">
        <v>230</v>
      </c>
      <c r="D163" s="126"/>
      <c r="E163" s="126"/>
      <c r="F163" s="127"/>
      <c r="G163" s="1847"/>
      <c r="H163" s="114"/>
      <c r="I163" s="114"/>
      <c r="L163" s="61"/>
    </row>
    <row r="164" spans="1:12" ht="32.25" customHeight="1" outlineLevel="2">
      <c r="A164" s="106"/>
      <c r="B164" s="1512" t="s">
        <v>7032</v>
      </c>
      <c r="C164" s="132" t="s">
        <v>7104</v>
      </c>
      <c r="D164" s="126">
        <f>'05 成本测算明细'!O2714</f>
        <v>0</v>
      </c>
      <c r="E164" s="126"/>
      <c r="F164" s="127"/>
      <c r="G164" s="1848" t="s">
        <v>7096</v>
      </c>
      <c r="H164" s="114"/>
      <c r="I164" s="114"/>
      <c r="L164" s="61"/>
    </row>
    <row r="165" spans="1:12" ht="32.25" customHeight="1" outlineLevel="2">
      <c r="A165" s="106"/>
      <c r="B165" s="1513"/>
      <c r="C165" s="132" t="s">
        <v>7105</v>
      </c>
      <c r="D165" s="126">
        <f>'05 成本测算明细'!O2756</f>
        <v>0</v>
      </c>
      <c r="E165" s="126"/>
      <c r="F165" s="127"/>
      <c r="G165" s="1849"/>
      <c r="H165" s="114"/>
      <c r="I165" s="114"/>
      <c r="L165" s="61"/>
    </row>
    <row r="166" spans="1:12" ht="32.25" customHeight="1" outlineLevel="2">
      <c r="A166" s="106"/>
      <c r="B166" s="1513"/>
      <c r="C166" s="132" t="s">
        <v>7057</v>
      </c>
      <c r="D166" s="126">
        <f>'05 成本测算明细'!O2843</f>
        <v>0</v>
      </c>
      <c r="E166" s="126"/>
      <c r="F166" s="127"/>
      <c r="G166" s="1849"/>
      <c r="H166" s="114"/>
      <c r="I166" s="114"/>
      <c r="L166" s="61"/>
    </row>
    <row r="167" spans="1:12" ht="32.25" customHeight="1" outlineLevel="2">
      <c r="A167" s="106"/>
      <c r="B167" s="1513"/>
      <c r="C167" s="132" t="s">
        <v>205</v>
      </c>
      <c r="D167" s="126">
        <f>'05 成本测算明细'!O2882</f>
        <v>0</v>
      </c>
      <c r="E167" s="126"/>
      <c r="F167" s="127"/>
      <c r="G167" s="1849"/>
      <c r="H167" s="114"/>
      <c r="I167" s="114"/>
      <c r="L167" s="61"/>
    </row>
    <row r="168" spans="1:12" ht="32.25" customHeight="1" outlineLevel="2">
      <c r="A168" s="106"/>
      <c r="B168" s="1513"/>
      <c r="C168" s="132" t="s">
        <v>7055</v>
      </c>
      <c r="D168" s="126">
        <f>'05 成本测算明细'!O2933</f>
        <v>0</v>
      </c>
      <c r="E168" s="126"/>
      <c r="F168" s="127"/>
      <c r="G168" s="1849"/>
      <c r="H168" s="114"/>
      <c r="I168" s="114"/>
      <c r="L168" s="61"/>
    </row>
    <row r="169" spans="1:12" ht="32.25" customHeight="1" outlineLevel="2">
      <c r="A169" s="106"/>
      <c r="B169" s="1513"/>
      <c r="C169" s="132" t="s">
        <v>7100</v>
      </c>
      <c r="D169" s="126"/>
      <c r="E169" s="126"/>
      <c r="F169" s="127"/>
      <c r="G169" s="1850"/>
      <c r="H169" s="114"/>
      <c r="I169" s="114"/>
      <c r="L169" s="61"/>
    </row>
    <row r="170" spans="1:12" ht="32.25" customHeight="1" outlineLevel="2">
      <c r="A170" s="106"/>
      <c r="B170" s="1512" t="s">
        <v>6947</v>
      </c>
      <c r="C170" s="132" t="s">
        <v>218</v>
      </c>
      <c r="D170" s="126"/>
      <c r="E170" s="126"/>
      <c r="F170" s="127"/>
      <c r="G170" s="1848" t="s">
        <v>7096</v>
      </c>
      <c r="H170" s="114"/>
      <c r="I170" s="114"/>
      <c r="L170" s="61"/>
    </row>
    <row r="171" spans="1:12" ht="32.25" customHeight="1" outlineLevel="2">
      <c r="A171" s="106"/>
      <c r="B171" s="1513"/>
      <c r="C171" s="132" t="s">
        <v>7101</v>
      </c>
      <c r="D171" s="126"/>
      <c r="E171" s="126"/>
      <c r="F171" s="127"/>
      <c r="G171" s="1849"/>
      <c r="H171" s="114"/>
      <c r="I171" s="114"/>
      <c r="L171" s="61"/>
    </row>
    <row r="172" spans="1:12" ht="32.25" customHeight="1" outlineLevel="2">
      <c r="A172" s="106"/>
      <c r="B172" s="1513"/>
      <c r="C172" s="132" t="s">
        <v>229</v>
      </c>
      <c r="D172" s="126"/>
      <c r="E172" s="126"/>
      <c r="F172" s="127"/>
      <c r="G172" s="1850"/>
      <c r="H172" s="114"/>
      <c r="I172" s="114"/>
      <c r="L172" s="61"/>
    </row>
    <row r="173" spans="1:12" ht="32.25" customHeight="1" outlineLevel="2">
      <c r="A173" s="106"/>
      <c r="B173" s="1512" t="s">
        <v>48</v>
      </c>
      <c r="C173" s="132" t="s">
        <v>231</v>
      </c>
      <c r="D173" s="127"/>
      <c r="E173" s="126"/>
      <c r="F173" s="127"/>
      <c r="G173" s="1848" t="s">
        <v>7096</v>
      </c>
      <c r="H173" s="114"/>
      <c r="I173" s="114"/>
      <c r="L173" s="61"/>
    </row>
    <row r="174" spans="1:12" ht="32.25" customHeight="1" outlineLevel="2">
      <c r="A174" s="106"/>
      <c r="B174" s="1513"/>
      <c r="C174" s="132" t="s">
        <v>232</v>
      </c>
      <c r="D174" s="127"/>
      <c r="E174" s="126"/>
      <c r="F174" s="127"/>
      <c r="G174" s="1850"/>
      <c r="H174" s="114"/>
      <c r="I174" s="114"/>
      <c r="L174" s="61"/>
    </row>
    <row r="175" spans="1:12" ht="32.25" customHeight="1" outlineLevel="2">
      <c r="A175" s="106"/>
      <c r="B175" s="1841" t="s">
        <v>536</v>
      </c>
      <c r="C175" s="1842"/>
      <c r="D175" s="126">
        <f>SUM(D156:D174)</f>
        <v>0</v>
      </c>
      <c r="E175" s="126"/>
      <c r="F175" s="126"/>
      <c r="G175" s="126"/>
      <c r="H175" s="114"/>
      <c r="I175" s="114"/>
      <c r="L175" s="61"/>
    </row>
    <row r="176" spans="1:12" ht="24" customHeight="1" outlineLevel="1">
      <c r="A176" s="106" t="s">
        <v>6982</v>
      </c>
      <c r="B176" s="107" t="s">
        <v>7106</v>
      </c>
      <c r="C176" s="121"/>
      <c r="D176" s="114"/>
      <c r="E176" s="114"/>
      <c r="F176" s="114"/>
      <c r="G176" s="114"/>
      <c r="I176" s="114"/>
      <c r="J176" s="114"/>
      <c r="K176" s="114"/>
    </row>
    <row r="177" spans="1:18" ht="24" customHeight="1" outlineLevel="1">
      <c r="A177" s="106"/>
      <c r="B177" s="1851" t="s">
        <v>7107</v>
      </c>
      <c r="C177" s="1851"/>
      <c r="D177" s="1843" t="s">
        <v>7108</v>
      </c>
      <c r="E177" s="1843"/>
      <c r="F177" s="1843"/>
      <c r="G177" s="1843"/>
      <c r="H177" s="1843"/>
      <c r="I177" s="1843"/>
      <c r="J177" s="1844"/>
      <c r="K177" s="114"/>
    </row>
    <row r="178" spans="1:18" ht="24" customHeight="1" outlineLevel="1">
      <c r="A178" s="106"/>
      <c r="B178" s="1852"/>
      <c r="C178" s="1852"/>
      <c r="D178" s="1843" t="s">
        <v>7109</v>
      </c>
      <c r="E178" s="1843"/>
      <c r="F178" s="1843"/>
      <c r="G178" s="1843"/>
      <c r="H178" s="1843"/>
      <c r="I178" s="1843"/>
      <c r="J178" s="1844"/>
      <c r="K178" s="114"/>
    </row>
    <row r="179" spans="1:18" ht="38.25" customHeight="1" outlineLevel="2">
      <c r="A179" s="106"/>
      <c r="B179" s="1853" t="s">
        <v>6748</v>
      </c>
      <c r="C179" s="1854"/>
      <c r="D179" s="124" t="s">
        <v>7040</v>
      </c>
      <c r="E179" s="133" t="s">
        <v>7110</v>
      </c>
      <c r="F179" s="124" t="s">
        <v>7111</v>
      </c>
      <c r="G179" s="124" t="s">
        <v>7112</v>
      </c>
      <c r="H179" s="124" t="s">
        <v>7113</v>
      </c>
      <c r="I179" s="124" t="s">
        <v>7114</v>
      </c>
      <c r="J179" s="124" t="s">
        <v>7115</v>
      </c>
      <c r="K179" s="114"/>
      <c r="L179" s="114"/>
      <c r="R179" s="61"/>
    </row>
    <row r="180" spans="1:18" ht="32.25" customHeight="1" outlineLevel="2">
      <c r="A180" s="106"/>
      <c r="B180" s="1512" t="s">
        <v>223</v>
      </c>
      <c r="C180" s="131" t="s">
        <v>6931</v>
      </c>
      <c r="D180" s="116"/>
      <c r="E180" s="126"/>
      <c r="F180" s="116"/>
      <c r="G180" s="116"/>
      <c r="H180" s="116"/>
      <c r="I180" s="116"/>
      <c r="J180" s="116"/>
      <c r="K180" s="114"/>
      <c r="L180" s="114"/>
      <c r="R180" s="61"/>
    </row>
    <row r="181" spans="1:18" ht="32.25" customHeight="1" outlineLevel="2">
      <c r="A181" s="106"/>
      <c r="B181" s="1514"/>
      <c r="C181" s="132" t="s">
        <v>7091</v>
      </c>
      <c r="D181" s="127"/>
      <c r="E181" s="126"/>
      <c r="F181" s="127"/>
      <c r="G181" s="127"/>
      <c r="H181" s="127"/>
      <c r="I181" s="127"/>
      <c r="J181" s="127"/>
      <c r="K181" s="114"/>
      <c r="L181" s="114"/>
      <c r="R181" s="61"/>
    </row>
    <row r="182" spans="1:18" ht="41.25" customHeight="1" outlineLevel="2">
      <c r="A182" s="106"/>
      <c r="B182" s="1512" t="s">
        <v>81</v>
      </c>
      <c r="C182" s="132" t="s">
        <v>7116</v>
      </c>
      <c r="D182" s="127"/>
      <c r="E182" s="126"/>
      <c r="F182" s="127"/>
      <c r="G182" s="127"/>
      <c r="H182" s="127"/>
      <c r="I182" s="127"/>
      <c r="J182" s="127"/>
      <c r="K182" s="114"/>
      <c r="L182" s="114"/>
      <c r="R182" s="61"/>
    </row>
    <row r="183" spans="1:18" ht="41.25" customHeight="1" outlineLevel="2">
      <c r="A183" s="106"/>
      <c r="B183" s="1513"/>
      <c r="C183" s="132" t="s">
        <v>7117</v>
      </c>
      <c r="D183" s="127"/>
      <c r="E183" s="126"/>
      <c r="F183" s="127"/>
      <c r="G183" s="127"/>
      <c r="H183" s="127"/>
      <c r="I183" s="127"/>
      <c r="J183" s="127"/>
      <c r="K183" s="114"/>
      <c r="L183" s="114"/>
      <c r="R183" s="61"/>
    </row>
    <row r="184" spans="1:18" ht="41.25" customHeight="1" outlineLevel="2">
      <c r="A184" s="106"/>
      <c r="B184" s="1513"/>
      <c r="C184" s="132" t="s">
        <v>7118</v>
      </c>
      <c r="D184" s="127"/>
      <c r="E184" s="126"/>
      <c r="F184" s="127"/>
      <c r="G184" s="127"/>
      <c r="H184" s="127"/>
      <c r="I184" s="127"/>
      <c r="J184" s="127"/>
      <c r="K184" s="114"/>
      <c r="L184" s="114"/>
      <c r="R184" s="61"/>
    </row>
    <row r="185" spans="1:18" ht="32.25" customHeight="1" outlineLevel="2">
      <c r="A185" s="106"/>
      <c r="B185" s="1512" t="s">
        <v>6947</v>
      </c>
      <c r="C185" s="132" t="s">
        <v>6931</v>
      </c>
      <c r="D185" s="127"/>
      <c r="E185" s="126"/>
      <c r="F185" s="127"/>
      <c r="G185" s="127"/>
      <c r="H185" s="127"/>
      <c r="I185" s="127"/>
      <c r="J185" s="127"/>
      <c r="K185" s="114"/>
      <c r="L185" s="114"/>
      <c r="R185" s="61"/>
    </row>
    <row r="186" spans="1:18" ht="32.25" customHeight="1" outlineLevel="2">
      <c r="A186" s="106"/>
      <c r="B186" s="1513"/>
      <c r="C186" s="132" t="s">
        <v>7119</v>
      </c>
      <c r="D186" s="127"/>
      <c r="E186" s="126"/>
      <c r="F186" s="127"/>
      <c r="G186" s="127"/>
      <c r="H186" s="127"/>
      <c r="I186" s="127"/>
      <c r="J186" s="127"/>
      <c r="K186" s="114"/>
      <c r="L186" s="114"/>
      <c r="R186" s="61"/>
    </row>
    <row r="187" spans="1:18" ht="32.25" customHeight="1" outlineLevel="2">
      <c r="A187" s="106"/>
      <c r="B187" s="1513"/>
      <c r="C187" s="132" t="s">
        <v>7091</v>
      </c>
      <c r="D187" s="127"/>
      <c r="E187" s="126"/>
      <c r="F187" s="127"/>
      <c r="G187" s="127"/>
      <c r="H187" s="127"/>
      <c r="I187" s="127"/>
      <c r="J187" s="127"/>
      <c r="K187" s="114"/>
      <c r="L187" s="114"/>
      <c r="R187" s="61"/>
    </row>
    <row r="188" spans="1:18" ht="24" customHeight="1" outlineLevel="1">
      <c r="A188" s="106" t="s">
        <v>7120</v>
      </c>
      <c r="B188" s="107" t="s">
        <v>7121</v>
      </c>
      <c r="C188" s="121"/>
      <c r="D188" s="114"/>
      <c r="E188" s="114"/>
      <c r="F188" s="114"/>
      <c r="G188" s="114"/>
      <c r="I188" s="114"/>
      <c r="J188" s="114"/>
      <c r="K188" s="114"/>
    </row>
    <row r="189" spans="1:18" ht="38.25" customHeight="1" outlineLevel="2">
      <c r="A189" s="106"/>
      <c r="B189" s="1515" t="s">
        <v>7122</v>
      </c>
      <c r="C189" s="1859"/>
      <c r="D189" s="1855" t="s">
        <v>7123</v>
      </c>
      <c r="E189" s="1856"/>
      <c r="F189" s="1857"/>
      <c r="G189" s="1855" t="s">
        <v>7124</v>
      </c>
      <c r="H189" s="1856"/>
      <c r="I189" s="1856"/>
      <c r="J189" s="1857"/>
      <c r="K189" s="114"/>
      <c r="L189" s="114"/>
      <c r="R189" s="61"/>
    </row>
    <row r="190" spans="1:18" ht="38.25" customHeight="1" outlineLevel="2">
      <c r="A190" s="106"/>
      <c r="B190" s="1855"/>
      <c r="C190" s="1857"/>
      <c r="D190" s="124" t="s">
        <v>6931</v>
      </c>
      <c r="E190" s="124" t="s">
        <v>7125</v>
      </c>
      <c r="F190" s="124" t="s">
        <v>7091</v>
      </c>
      <c r="G190" s="124" t="s">
        <v>7126</v>
      </c>
      <c r="H190" s="124" t="s">
        <v>7127</v>
      </c>
      <c r="I190" s="124" t="s">
        <v>7128</v>
      </c>
      <c r="J190" s="124" t="s">
        <v>7095</v>
      </c>
      <c r="K190" s="114"/>
      <c r="L190" s="114"/>
      <c r="R190" s="61"/>
    </row>
    <row r="191" spans="1:18" ht="32.25" customHeight="1" outlineLevel="2">
      <c r="A191" s="106"/>
      <c r="B191" s="1841" t="s">
        <v>191</v>
      </c>
      <c r="C191" s="1858"/>
      <c r="D191" s="126"/>
      <c r="E191" s="126"/>
      <c r="F191" s="116"/>
      <c r="G191" s="116"/>
      <c r="H191" s="125"/>
      <c r="I191" s="116"/>
      <c r="J191" s="116"/>
      <c r="K191" s="114"/>
      <c r="L191" s="114"/>
      <c r="R191" s="61"/>
    </row>
    <row r="192" spans="1:18" ht="33.75" customHeight="1" outlineLevel="2">
      <c r="A192" s="106"/>
      <c r="B192" s="1512" t="s">
        <v>189</v>
      </c>
      <c r="C192" s="132" t="s">
        <v>7129</v>
      </c>
      <c r="D192" s="126"/>
      <c r="E192" s="126"/>
      <c r="F192" s="127"/>
      <c r="G192" s="127"/>
      <c r="H192" s="127"/>
      <c r="I192" s="127"/>
      <c r="J192" s="127"/>
      <c r="K192" s="114"/>
      <c r="L192" s="114"/>
      <c r="R192" s="61"/>
    </row>
    <row r="193" spans="1:18" ht="33.75" customHeight="1" outlineLevel="2">
      <c r="A193" s="106"/>
      <c r="B193" s="1513"/>
      <c r="C193" s="132" t="s">
        <v>7130</v>
      </c>
      <c r="D193" s="126"/>
      <c r="E193" s="126"/>
      <c r="F193" s="127"/>
      <c r="G193" s="127"/>
      <c r="H193" s="127"/>
      <c r="I193" s="127"/>
      <c r="J193" s="127"/>
      <c r="K193" s="114"/>
      <c r="L193" s="114"/>
      <c r="R193" s="61"/>
    </row>
    <row r="194" spans="1:18" ht="33.75" customHeight="1" outlineLevel="2">
      <c r="A194" s="106"/>
      <c r="B194" s="1513"/>
      <c r="C194" s="132" t="s">
        <v>7131</v>
      </c>
      <c r="D194" s="126"/>
      <c r="E194" s="126"/>
      <c r="F194" s="127"/>
      <c r="G194" s="127"/>
      <c r="H194" s="127"/>
      <c r="I194" s="127"/>
      <c r="J194" s="127"/>
      <c r="K194" s="114"/>
      <c r="L194" s="114"/>
      <c r="R194" s="61"/>
    </row>
    <row r="195" spans="1:18" ht="24" customHeight="1" outlineLevel="1">
      <c r="A195" s="106" t="s">
        <v>7120</v>
      </c>
      <c r="B195" s="107" t="s">
        <v>7132</v>
      </c>
      <c r="C195" s="121"/>
      <c r="D195" s="114"/>
      <c r="E195" s="114"/>
      <c r="F195" s="114"/>
      <c r="G195" s="114"/>
      <c r="I195" s="114"/>
      <c r="J195" s="114"/>
      <c r="K195" s="114"/>
    </row>
    <row r="196" spans="1:18" ht="38.25" customHeight="1" outlineLevel="2">
      <c r="A196" s="106"/>
      <c r="B196" s="1515" t="s">
        <v>7122</v>
      </c>
      <c r="C196" s="1859"/>
      <c r="D196" s="1855" t="s">
        <v>7123</v>
      </c>
      <c r="E196" s="1856"/>
      <c r="F196" s="1857"/>
      <c r="G196" s="1855" t="s">
        <v>7124</v>
      </c>
      <c r="H196" s="1856"/>
      <c r="I196" s="1856"/>
      <c r="J196" s="1857"/>
      <c r="K196" s="114"/>
      <c r="L196" s="114"/>
      <c r="R196" s="61"/>
    </row>
    <row r="197" spans="1:18" ht="38.25" customHeight="1" outlineLevel="2">
      <c r="A197" s="106"/>
      <c r="B197" s="1855"/>
      <c r="C197" s="1857"/>
      <c r="D197" s="124" t="s">
        <v>6931</v>
      </c>
      <c r="E197" s="124" t="s">
        <v>7125</v>
      </c>
      <c r="F197" s="124" t="s">
        <v>7091</v>
      </c>
      <c r="G197" s="124" t="s">
        <v>7126</v>
      </c>
      <c r="H197" s="124" t="s">
        <v>7127</v>
      </c>
      <c r="I197" s="124" t="s">
        <v>7128</v>
      </c>
      <c r="J197" s="124" t="s">
        <v>7095</v>
      </c>
      <c r="K197" s="114"/>
      <c r="L197" s="114"/>
      <c r="R197" s="61"/>
    </row>
    <row r="198" spans="1:18" ht="32.25" customHeight="1" outlineLevel="2">
      <c r="A198" s="106"/>
      <c r="B198" s="1841" t="s">
        <v>191</v>
      </c>
      <c r="C198" s="1858"/>
      <c r="D198" s="116"/>
      <c r="E198" s="126"/>
      <c r="F198" s="116"/>
      <c r="G198" s="116"/>
      <c r="H198" s="116"/>
      <c r="I198" s="116"/>
      <c r="J198" s="116"/>
      <c r="K198" s="114"/>
      <c r="L198" s="114"/>
      <c r="R198" s="61"/>
    </row>
    <row r="199" spans="1:18" ht="41.25" customHeight="1" outlineLevel="2">
      <c r="A199" s="106"/>
      <c r="B199" s="1512" t="s">
        <v>189</v>
      </c>
      <c r="C199" s="132" t="s">
        <v>7133</v>
      </c>
      <c r="D199" s="127"/>
      <c r="E199" s="126"/>
      <c r="F199" s="127"/>
      <c r="G199" s="127"/>
      <c r="H199" s="127"/>
      <c r="I199" s="127"/>
      <c r="J199" s="127"/>
      <c r="K199" s="114"/>
      <c r="L199" s="114"/>
      <c r="R199" s="61"/>
    </row>
    <row r="200" spans="1:18" ht="41.25" customHeight="1" outlineLevel="2">
      <c r="A200" s="106"/>
      <c r="B200" s="1513"/>
      <c r="C200" s="132" t="s">
        <v>7134</v>
      </c>
      <c r="D200" s="127"/>
      <c r="E200" s="126"/>
      <c r="F200" s="127"/>
      <c r="G200" s="127"/>
      <c r="H200" s="127"/>
      <c r="I200" s="127"/>
      <c r="J200" s="127"/>
      <c r="K200" s="114"/>
      <c r="L200" s="114"/>
      <c r="R200" s="61"/>
    </row>
    <row r="201" spans="1:18" ht="41.25" customHeight="1" outlineLevel="2">
      <c r="A201" s="106"/>
      <c r="B201" s="1513"/>
      <c r="C201" s="132" t="s">
        <v>7135</v>
      </c>
      <c r="D201" s="127"/>
      <c r="E201" s="126"/>
      <c r="F201" s="127"/>
      <c r="G201" s="127"/>
      <c r="H201" s="127"/>
      <c r="I201" s="127"/>
      <c r="J201" s="127"/>
      <c r="K201" s="114"/>
      <c r="L201" s="114"/>
      <c r="R201" s="61"/>
    </row>
    <row r="202" spans="1:18" ht="41.25" customHeight="1" outlineLevel="2">
      <c r="A202" s="106"/>
      <c r="B202" s="1513"/>
      <c r="C202" s="132" t="s">
        <v>7130</v>
      </c>
      <c r="D202" s="127"/>
      <c r="E202" s="126"/>
      <c r="F202" s="127"/>
      <c r="G202" s="127"/>
      <c r="H202" s="127"/>
      <c r="I202" s="127"/>
      <c r="J202" s="127"/>
      <c r="K202" s="114"/>
      <c r="L202" s="114"/>
      <c r="R202" s="61"/>
    </row>
    <row r="203" spans="1:18" ht="41.25" customHeight="1" outlineLevel="2">
      <c r="A203" s="106"/>
      <c r="B203" s="1513"/>
      <c r="C203" s="132" t="s">
        <v>7136</v>
      </c>
      <c r="D203" s="127"/>
      <c r="E203" s="126"/>
      <c r="F203" s="127"/>
      <c r="G203" s="127"/>
      <c r="H203" s="127"/>
      <c r="I203" s="127"/>
      <c r="J203" s="127"/>
      <c r="K203" s="114"/>
      <c r="L203" s="114"/>
      <c r="R203" s="61"/>
    </row>
    <row r="204" spans="1:18" ht="24" customHeight="1" outlineLevel="1">
      <c r="A204" s="106" t="s">
        <v>7137</v>
      </c>
      <c r="B204" s="107" t="s">
        <v>7138</v>
      </c>
      <c r="C204" s="121"/>
      <c r="D204" s="114"/>
      <c r="E204" s="114"/>
      <c r="F204" s="114"/>
      <c r="G204" s="114"/>
      <c r="I204" s="114"/>
      <c r="J204" s="114"/>
      <c r="K204" s="114"/>
    </row>
    <row r="205" spans="1:18" ht="38.25" customHeight="1" outlineLevel="2">
      <c r="A205" s="106"/>
      <c r="B205" s="1515" t="s">
        <v>7122</v>
      </c>
      <c r="C205" s="1859"/>
      <c r="D205" s="1855" t="s">
        <v>7123</v>
      </c>
      <c r="E205" s="1856"/>
      <c r="F205" s="1857"/>
      <c r="G205" s="1855" t="s">
        <v>7124</v>
      </c>
      <c r="H205" s="1856"/>
      <c r="I205" s="1856"/>
      <c r="J205" s="1857"/>
      <c r="K205" s="114"/>
      <c r="L205" s="114"/>
      <c r="R205" s="61"/>
    </row>
    <row r="206" spans="1:18" ht="38.25" customHeight="1" outlineLevel="2">
      <c r="A206" s="106"/>
      <c r="B206" s="1515"/>
      <c r="C206" s="1859"/>
      <c r="D206" s="124" t="s">
        <v>6931</v>
      </c>
      <c r="E206" s="124" t="s">
        <v>7125</v>
      </c>
      <c r="F206" s="124" t="s">
        <v>7091</v>
      </c>
      <c r="G206" s="124" t="s">
        <v>7126</v>
      </c>
      <c r="H206" s="124" t="s">
        <v>7127</v>
      </c>
      <c r="I206" s="124" t="s">
        <v>7128</v>
      </c>
      <c r="J206" s="124" t="s">
        <v>7095</v>
      </c>
      <c r="K206" s="114"/>
      <c r="L206" s="114"/>
      <c r="R206" s="61"/>
    </row>
    <row r="207" spans="1:18" ht="70.5" customHeight="1" outlineLevel="2">
      <c r="A207" s="106"/>
      <c r="B207" s="1860" t="s">
        <v>193</v>
      </c>
      <c r="C207" s="1861"/>
      <c r="D207" s="126">
        <f>D137</f>
        <v>0</v>
      </c>
      <c r="E207" s="126"/>
      <c r="F207" s="127"/>
      <c r="G207" s="127"/>
      <c r="H207" s="134" t="s">
        <v>7139</v>
      </c>
      <c r="I207" s="127"/>
      <c r="J207" s="127"/>
      <c r="K207" s="114"/>
      <c r="L207" s="114"/>
      <c r="R207" s="61"/>
    </row>
    <row r="208" spans="1:18" ht="87.75" customHeight="1" outlineLevel="2">
      <c r="A208" s="106"/>
      <c r="B208" s="1860" t="s">
        <v>7053</v>
      </c>
      <c r="C208" s="1861"/>
      <c r="D208" s="126">
        <f>D138</f>
        <v>0</v>
      </c>
      <c r="E208" s="135"/>
      <c r="F208" s="127"/>
      <c r="G208" s="127"/>
      <c r="H208" s="134" t="s">
        <v>7140</v>
      </c>
      <c r="I208" s="127"/>
      <c r="J208" s="127"/>
      <c r="K208" s="114"/>
      <c r="L208" s="114"/>
      <c r="R208" s="61"/>
    </row>
    <row r="209" spans="1:18" ht="41.25" customHeight="1" outlineLevel="2">
      <c r="A209" s="106"/>
      <c r="B209" s="1860" t="s">
        <v>1124</v>
      </c>
      <c r="C209" s="1861"/>
      <c r="D209" s="126">
        <f>D139</f>
        <v>0</v>
      </c>
      <c r="E209" s="126"/>
      <c r="F209" s="127"/>
      <c r="G209" s="127"/>
      <c r="H209" s="134"/>
      <c r="I209" s="127"/>
      <c r="J209" s="127"/>
      <c r="K209" s="114"/>
      <c r="L209" s="114"/>
      <c r="R209" s="61"/>
    </row>
    <row r="210" spans="1:18" ht="41.25" customHeight="1" outlineLevel="2">
      <c r="A210" s="106"/>
      <c r="B210" s="1860" t="s">
        <v>7054</v>
      </c>
      <c r="C210" s="1861"/>
      <c r="D210" s="126">
        <f>D140</f>
        <v>0</v>
      </c>
      <c r="E210" s="126"/>
      <c r="F210" s="127"/>
      <c r="G210" s="127"/>
      <c r="H210" s="134" t="s">
        <v>7141</v>
      </c>
      <c r="I210" s="127"/>
      <c r="J210" s="127"/>
      <c r="K210" s="114"/>
      <c r="L210" s="114"/>
      <c r="R210" s="61"/>
    </row>
    <row r="211" spans="1:18" ht="41.25" customHeight="1" outlineLevel="2">
      <c r="A211" s="106"/>
      <c r="B211" s="1860" t="s">
        <v>7057</v>
      </c>
      <c r="C211" s="1861"/>
      <c r="D211" s="126">
        <f>D166</f>
        <v>0</v>
      </c>
      <c r="E211" s="126"/>
      <c r="F211" s="127"/>
      <c r="G211" s="127"/>
      <c r="H211" s="134" t="s">
        <v>7142</v>
      </c>
      <c r="I211" s="127"/>
      <c r="J211" s="127"/>
      <c r="K211" s="114"/>
      <c r="L211" s="114"/>
      <c r="R211" s="61"/>
    </row>
    <row r="212" spans="1:18" ht="41.25" customHeight="1" outlineLevel="2">
      <c r="A212" s="106"/>
      <c r="B212" s="1860" t="s">
        <v>205</v>
      </c>
      <c r="C212" s="1861"/>
      <c r="D212" s="126">
        <f>D167</f>
        <v>0</v>
      </c>
      <c r="E212" s="126"/>
      <c r="F212" s="127"/>
      <c r="G212" s="127"/>
      <c r="H212" s="134"/>
      <c r="I212" s="127"/>
      <c r="J212" s="127"/>
      <c r="K212" s="114"/>
      <c r="L212" s="114"/>
      <c r="R212" s="61"/>
    </row>
    <row r="213" spans="1:18" ht="41.25" customHeight="1" outlineLevel="2">
      <c r="A213" s="106"/>
      <c r="B213" s="1862" t="s">
        <v>536</v>
      </c>
      <c r="C213" s="1863"/>
      <c r="D213" s="126">
        <f>SUM(D207:D212)</f>
        <v>0</v>
      </c>
      <c r="E213" s="135"/>
      <c r="F213" s="127"/>
      <c r="G213" s="127"/>
      <c r="H213" s="134"/>
      <c r="I213" s="127"/>
      <c r="J213" s="127"/>
      <c r="K213" s="114"/>
      <c r="L213" s="114"/>
      <c r="R213" s="61"/>
    </row>
    <row r="214" spans="1:18" ht="24" customHeight="1" outlineLevel="1">
      <c r="A214" s="106" t="s">
        <v>7137</v>
      </c>
      <c r="B214" s="107" t="s">
        <v>7143</v>
      </c>
      <c r="C214" s="121"/>
      <c r="D214" s="114"/>
      <c r="E214" s="114"/>
      <c r="F214" s="114"/>
      <c r="G214" s="114"/>
      <c r="I214" s="114"/>
      <c r="J214" s="114"/>
      <c r="K214" s="114"/>
    </row>
    <row r="215" spans="1:18" ht="38.25" customHeight="1" outlineLevel="2">
      <c r="A215" s="106"/>
      <c r="B215" s="1515" t="s">
        <v>7122</v>
      </c>
      <c r="C215" s="1859"/>
      <c r="D215" s="1855" t="s">
        <v>7123</v>
      </c>
      <c r="E215" s="1856"/>
      <c r="F215" s="1857"/>
      <c r="G215" s="1855" t="s">
        <v>7124</v>
      </c>
      <c r="H215" s="1856"/>
      <c r="I215" s="1856"/>
      <c r="J215" s="1857"/>
      <c r="K215" s="114"/>
      <c r="L215" s="114"/>
      <c r="R215" s="61"/>
    </row>
    <row r="216" spans="1:18" ht="38.25" customHeight="1" outlineLevel="2">
      <c r="A216" s="106"/>
      <c r="B216" s="1515"/>
      <c r="C216" s="1859"/>
      <c r="D216" s="124" t="s">
        <v>6931</v>
      </c>
      <c r="E216" s="124" t="s">
        <v>7125</v>
      </c>
      <c r="F216" s="124" t="s">
        <v>7091</v>
      </c>
      <c r="G216" s="124" t="s">
        <v>7126</v>
      </c>
      <c r="H216" s="124" t="s">
        <v>7127</v>
      </c>
      <c r="I216" s="124" t="s">
        <v>7128</v>
      </c>
      <c r="J216" s="124" t="s">
        <v>7095</v>
      </c>
      <c r="K216" s="114"/>
      <c r="L216" s="114"/>
      <c r="R216" s="61"/>
    </row>
    <row r="217" spans="1:18" ht="70.5" customHeight="1" outlineLevel="2">
      <c r="A217" s="106"/>
      <c r="B217" s="1860" t="s">
        <v>193</v>
      </c>
      <c r="C217" s="1861"/>
      <c r="D217" s="126">
        <f>D159</f>
        <v>0</v>
      </c>
      <c r="E217" s="126"/>
      <c r="F217" s="127"/>
      <c r="G217" s="127"/>
      <c r="H217" s="134" t="s">
        <v>7139</v>
      </c>
      <c r="I217" s="127"/>
      <c r="J217" s="127"/>
      <c r="K217" s="114"/>
      <c r="L217" s="114"/>
      <c r="R217" s="61"/>
    </row>
    <row r="218" spans="1:18" ht="87.75" customHeight="1" outlineLevel="2">
      <c r="A218" s="106"/>
      <c r="B218" s="1860" t="s">
        <v>7053</v>
      </c>
      <c r="C218" s="1861"/>
      <c r="D218" s="126">
        <f>D160</f>
        <v>0</v>
      </c>
      <c r="E218" s="135"/>
      <c r="F218" s="127"/>
      <c r="G218" s="127"/>
      <c r="H218" s="134" t="s">
        <v>7140</v>
      </c>
      <c r="I218" s="127"/>
      <c r="J218" s="127"/>
      <c r="K218" s="114"/>
      <c r="L218" s="114"/>
      <c r="R218" s="61"/>
    </row>
    <row r="219" spans="1:18" ht="41.25" customHeight="1" outlineLevel="2">
      <c r="A219" s="106"/>
      <c r="B219" s="1860" t="s">
        <v>1124</v>
      </c>
      <c r="C219" s="1861"/>
      <c r="D219" s="126">
        <f>D161</f>
        <v>0</v>
      </c>
      <c r="E219" s="126"/>
      <c r="F219" s="127"/>
      <c r="G219" s="127"/>
      <c r="H219" s="134"/>
      <c r="I219" s="127"/>
      <c r="J219" s="127"/>
      <c r="K219" s="114"/>
      <c r="L219" s="114"/>
      <c r="R219" s="61"/>
    </row>
    <row r="220" spans="1:18" ht="41.25" customHeight="1" outlineLevel="2">
      <c r="A220" s="106"/>
      <c r="B220" s="1860" t="s">
        <v>7054</v>
      </c>
      <c r="C220" s="1861"/>
      <c r="D220" s="126">
        <f>D162</f>
        <v>0</v>
      </c>
      <c r="E220" s="126"/>
      <c r="F220" s="127"/>
      <c r="G220" s="127"/>
      <c r="H220" s="134" t="s">
        <v>7141</v>
      </c>
      <c r="I220" s="127"/>
      <c r="J220" s="127"/>
      <c r="K220" s="114"/>
      <c r="L220" s="114"/>
      <c r="R220" s="61"/>
    </row>
    <row r="221" spans="1:18" ht="41.25" customHeight="1" outlineLevel="2">
      <c r="A221" s="106"/>
      <c r="B221" s="1860" t="s">
        <v>7057</v>
      </c>
      <c r="C221" s="1861"/>
      <c r="D221" s="126">
        <f>D166</f>
        <v>0</v>
      </c>
      <c r="E221" s="126"/>
      <c r="F221" s="127"/>
      <c r="G221" s="127"/>
      <c r="H221" s="134" t="s">
        <v>7142</v>
      </c>
      <c r="I221" s="127"/>
      <c r="J221" s="127"/>
      <c r="K221" s="114"/>
      <c r="L221" s="114"/>
      <c r="R221" s="61"/>
    </row>
    <row r="222" spans="1:18" ht="41.25" customHeight="1" outlineLevel="2">
      <c r="A222" s="106"/>
      <c r="B222" s="1860" t="s">
        <v>205</v>
      </c>
      <c r="C222" s="1861"/>
      <c r="D222" s="126">
        <f>D167</f>
        <v>0</v>
      </c>
      <c r="E222" s="126"/>
      <c r="F222" s="127"/>
      <c r="G222" s="127"/>
      <c r="H222" s="134"/>
      <c r="I222" s="127"/>
      <c r="J222" s="127"/>
      <c r="K222" s="114"/>
      <c r="L222" s="114"/>
      <c r="R222" s="61"/>
    </row>
    <row r="223" spans="1:18" ht="41.25" customHeight="1" outlineLevel="2">
      <c r="A223" s="106"/>
      <c r="B223" s="1862" t="s">
        <v>536</v>
      </c>
      <c r="C223" s="1863"/>
      <c r="D223" s="126">
        <f>SUM(D217:D222)</f>
        <v>0</v>
      </c>
      <c r="E223" s="135"/>
      <c r="F223" s="127"/>
      <c r="G223" s="127"/>
      <c r="H223" s="134"/>
      <c r="I223" s="127"/>
      <c r="J223" s="127"/>
      <c r="K223" s="114"/>
      <c r="L223" s="114"/>
      <c r="R223" s="61"/>
    </row>
    <row r="224" spans="1:18" ht="24" customHeight="1" outlineLevel="1">
      <c r="A224" s="106" t="s">
        <v>6938</v>
      </c>
      <c r="B224" s="107" t="s">
        <v>7144</v>
      </c>
      <c r="C224" s="114"/>
      <c r="D224" s="114"/>
      <c r="E224" s="114"/>
      <c r="F224" s="114"/>
      <c r="G224" s="114"/>
      <c r="H224" s="114"/>
      <c r="I224" s="114"/>
      <c r="K224" s="114"/>
    </row>
    <row r="225" spans="1:12" ht="38.25" customHeight="1" outlineLevel="2">
      <c r="A225" s="106"/>
      <c r="B225" s="124" t="s">
        <v>187</v>
      </c>
      <c r="C225" s="124" t="s">
        <v>7145</v>
      </c>
      <c r="D225" s="124" t="s">
        <v>7146</v>
      </c>
      <c r="E225" s="124" t="s">
        <v>7074</v>
      </c>
      <c r="F225" s="1515" t="s">
        <v>78</v>
      </c>
      <c r="G225" s="1516"/>
      <c r="I225" s="114"/>
      <c r="L225" s="61"/>
    </row>
    <row r="226" spans="1:12" ht="35.25" customHeight="1" outlineLevel="2">
      <c r="A226" s="106"/>
      <c r="B226" s="136" t="s">
        <v>7147</v>
      </c>
      <c r="C226" s="137"/>
      <c r="D226" s="138"/>
      <c r="E226" s="138"/>
      <c r="F226" s="1524"/>
      <c r="G226" s="1519"/>
      <c r="I226" s="114"/>
      <c r="L226" s="61"/>
    </row>
    <row r="227" spans="1:12" ht="35.25" customHeight="1" outlineLevel="2">
      <c r="A227" s="106"/>
      <c r="B227" s="136" t="s">
        <v>7148</v>
      </c>
      <c r="C227" s="137"/>
      <c r="D227" s="138"/>
      <c r="E227" s="138"/>
      <c r="F227" s="1525"/>
      <c r="G227" s="1526"/>
      <c r="I227" s="114"/>
      <c r="L227" s="61"/>
    </row>
    <row r="228" spans="1:12" ht="35.25" customHeight="1" outlineLevel="2">
      <c r="A228" s="106"/>
      <c r="B228" s="139" t="s">
        <v>7149</v>
      </c>
      <c r="C228" s="140"/>
      <c r="D228" s="141"/>
      <c r="E228" s="138"/>
      <c r="F228" s="1524"/>
      <c r="G228" s="1519"/>
      <c r="I228" s="114"/>
      <c r="L228" s="61"/>
    </row>
    <row r="229" spans="1:12" ht="35.25" customHeight="1" outlineLevel="2">
      <c r="A229" s="106"/>
      <c r="B229" s="136" t="s">
        <v>7150</v>
      </c>
      <c r="C229" s="137"/>
      <c r="D229" s="138"/>
      <c r="E229" s="138"/>
      <c r="F229" s="1524"/>
      <c r="G229" s="1519"/>
      <c r="I229" s="114"/>
      <c r="L229" s="61"/>
    </row>
    <row r="230" spans="1:12" ht="16.5" customHeight="1" collapsed="1"/>
  </sheetData>
  <sheetProtection sheet="1" objects="1" formatCells="0" formatColumns="0" formatRows="0" insertColumns="0" insertHyperlinks="0" deleteColumns="0" sort="0" autoFilter="0" pivotTables="0"/>
  <mergeCells count="145">
    <mergeCell ref="F227:G227"/>
    <mergeCell ref="F228:G228"/>
    <mergeCell ref="F229:G229"/>
    <mergeCell ref="B123:B124"/>
    <mergeCell ref="B125:B127"/>
    <mergeCell ref="B128:B130"/>
    <mergeCell ref="B132:B133"/>
    <mergeCell ref="B134:B142"/>
    <mergeCell ref="B143:B147"/>
    <mergeCell ref="B148:B150"/>
    <mergeCell ref="B151:B152"/>
    <mergeCell ref="B156:B163"/>
    <mergeCell ref="B164:B169"/>
    <mergeCell ref="B170:B172"/>
    <mergeCell ref="B173:B174"/>
    <mergeCell ref="B180:B181"/>
    <mergeCell ref="B182:B184"/>
    <mergeCell ref="B185:B187"/>
    <mergeCell ref="B192:B194"/>
    <mergeCell ref="B199:B203"/>
    <mergeCell ref="C123:C124"/>
    <mergeCell ref="C132:C133"/>
    <mergeCell ref="D123:D124"/>
    <mergeCell ref="D132:D133"/>
    <mergeCell ref="B217:C217"/>
    <mergeCell ref="B218:C218"/>
    <mergeCell ref="B219:C219"/>
    <mergeCell ref="B220:C220"/>
    <mergeCell ref="B221:C221"/>
    <mergeCell ref="B222:C222"/>
    <mergeCell ref="B223:C223"/>
    <mergeCell ref="F225:G225"/>
    <mergeCell ref="F226:G226"/>
    <mergeCell ref="B207:C207"/>
    <mergeCell ref="B208:C208"/>
    <mergeCell ref="B209:C209"/>
    <mergeCell ref="B210:C210"/>
    <mergeCell ref="B211:C211"/>
    <mergeCell ref="B212:C212"/>
    <mergeCell ref="B213:C213"/>
    <mergeCell ref="D215:F215"/>
    <mergeCell ref="G215:J215"/>
    <mergeCell ref="B215:C216"/>
    <mergeCell ref="B179:C179"/>
    <mergeCell ref="D189:F189"/>
    <mergeCell ref="G189:J189"/>
    <mergeCell ref="B191:C191"/>
    <mergeCell ref="D196:F196"/>
    <mergeCell ref="G196:J196"/>
    <mergeCell ref="B198:C198"/>
    <mergeCell ref="D205:F205"/>
    <mergeCell ref="G205:J205"/>
    <mergeCell ref="B205:C206"/>
    <mergeCell ref="B196:C197"/>
    <mergeCell ref="B189:C190"/>
    <mergeCell ref="G99:J99"/>
    <mergeCell ref="B100:D100"/>
    <mergeCell ref="G100:J100"/>
    <mergeCell ref="G101:J101"/>
    <mergeCell ref="H123:N123"/>
    <mergeCell ref="B153:C153"/>
    <mergeCell ref="B175:C175"/>
    <mergeCell ref="D177:J177"/>
    <mergeCell ref="D178:J178"/>
    <mergeCell ref="E123:E124"/>
    <mergeCell ref="E132:E133"/>
    <mergeCell ref="F123:F124"/>
    <mergeCell ref="F132:F133"/>
    <mergeCell ref="G123:G124"/>
    <mergeCell ref="G132:G133"/>
    <mergeCell ref="G134:G142"/>
    <mergeCell ref="G143:G147"/>
    <mergeCell ref="G148:G150"/>
    <mergeCell ref="G151:G152"/>
    <mergeCell ref="G156:G163"/>
    <mergeCell ref="G164:G169"/>
    <mergeCell ref="G170:G172"/>
    <mergeCell ref="G173:G174"/>
    <mergeCell ref="B177:C178"/>
    <mergeCell ref="G91:J91"/>
    <mergeCell ref="B92:D92"/>
    <mergeCell ref="G92:J92"/>
    <mergeCell ref="G93:J93"/>
    <mergeCell ref="G94:J94"/>
    <mergeCell ref="G95:J95"/>
    <mergeCell ref="G96:J96"/>
    <mergeCell ref="G97:J97"/>
    <mergeCell ref="G98:J98"/>
    <mergeCell ref="G83:J83"/>
    <mergeCell ref="B84:D84"/>
    <mergeCell ref="G84:J84"/>
    <mergeCell ref="G85:J85"/>
    <mergeCell ref="G86:J86"/>
    <mergeCell ref="G87:J87"/>
    <mergeCell ref="G88:J88"/>
    <mergeCell ref="G89:J89"/>
    <mergeCell ref="G90:J90"/>
    <mergeCell ref="G74:J74"/>
    <mergeCell ref="G75:J75"/>
    <mergeCell ref="G76:J76"/>
    <mergeCell ref="G77:J77"/>
    <mergeCell ref="G78:J78"/>
    <mergeCell ref="G79:J79"/>
    <mergeCell ref="G80:J80"/>
    <mergeCell ref="G81:J81"/>
    <mergeCell ref="G82:J82"/>
    <mergeCell ref="G65:J65"/>
    <mergeCell ref="G66:J66"/>
    <mergeCell ref="G67:J67"/>
    <mergeCell ref="G68:J68"/>
    <mergeCell ref="G69:J69"/>
    <mergeCell ref="G70:J70"/>
    <mergeCell ref="G71:J71"/>
    <mergeCell ref="G72:J72"/>
    <mergeCell ref="B73:D73"/>
    <mergeCell ref="G73:J73"/>
    <mergeCell ref="B11:G11"/>
    <mergeCell ref="B22:G22"/>
    <mergeCell ref="F23:G23"/>
    <mergeCell ref="F24:G24"/>
    <mergeCell ref="F25:G25"/>
    <mergeCell ref="F26:G26"/>
    <mergeCell ref="B27:J27"/>
    <mergeCell ref="B63:G63"/>
    <mergeCell ref="B64:D64"/>
    <mergeCell ref="G64:J64"/>
    <mergeCell ref="C6:D6"/>
    <mergeCell ref="E6:F6"/>
    <mergeCell ref="C7:D7"/>
    <mergeCell ref="E7:F7"/>
    <mergeCell ref="C8:D8"/>
    <mergeCell ref="E8:F8"/>
    <mergeCell ref="C9:D9"/>
    <mergeCell ref="E9:F9"/>
    <mergeCell ref="C10:D10"/>
    <mergeCell ref="E10:F10"/>
    <mergeCell ref="B1:G1"/>
    <mergeCell ref="C2:D2"/>
    <mergeCell ref="E2:F2"/>
    <mergeCell ref="C3:D3"/>
    <mergeCell ref="E3:F3"/>
    <mergeCell ref="C4:D4"/>
    <mergeCell ref="E4:F4"/>
    <mergeCell ref="C5:D5"/>
    <mergeCell ref="E5:F5"/>
  </mergeCells>
  <phoneticPr fontId="84" type="noConversion"/>
  <pageMargins left="0.69791666666666663" right="0.69791666666666663" top="0.75" bottom="0.75" header="0.30208333333333331" footer="0.30208333333333331"/>
  <pageSetup paperSize="9" orientation="portrait"/>
  <headerFooter>
    <oddHeader>&amp;L&amp;C&amp;R</oddHeader>
    <oddFooter>&amp;L&amp;C&amp;R</oddFooter>
    <evenHeader>&amp;L&amp;C&amp;R</evenHeader>
    <evenFooter>&amp;L&amp;C&amp;R</evenFooter>
  </headerFooter>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outlinePr summaryBelow="0"/>
  </sheetPr>
  <dimension ref="A1:G659"/>
  <sheetViews>
    <sheetView zoomScale="85" workbookViewId="0">
      <pane xSplit="2" ySplit="5" topLeftCell="C6" activePane="bottomRight" state="frozen"/>
      <selection pane="topRight" activeCell="C1" sqref="C1"/>
      <selection pane="bottomLeft" activeCell="A6" sqref="A6"/>
      <selection pane="bottomRight" activeCell="F16" sqref="F16"/>
    </sheetView>
  </sheetViews>
  <sheetFormatPr baseColWidth="10" defaultColWidth="8.83203125" defaultRowHeight="14.25" customHeight="1" outlineLevelRow="5"/>
  <cols>
    <col min="1" max="1" width="9.83203125" style="7" customWidth="1"/>
    <col min="2" max="2" width="26.6640625" style="8" customWidth="1"/>
    <col min="3" max="3" width="23.6640625" style="9" customWidth="1"/>
    <col min="4" max="7" width="8.83203125" style="3"/>
  </cols>
  <sheetData>
    <row r="1" spans="1:3" s="3" customFormat="1" ht="14.25" customHeight="1">
      <c r="A1" s="10"/>
      <c r="B1" s="11" t="s">
        <v>7151</v>
      </c>
      <c r="C1" s="12" t="s">
        <v>652</v>
      </c>
    </row>
    <row r="2" spans="1:3" s="4" customFormat="1" ht="14.25" customHeight="1">
      <c r="A2" s="13" t="s">
        <v>7152</v>
      </c>
      <c r="B2" s="14" t="s">
        <v>7153</v>
      </c>
      <c r="C2" s="15"/>
    </row>
    <row r="3" spans="1:3" s="3" customFormat="1" ht="14.25" customHeight="1" outlineLevel="1">
      <c r="A3" s="10" t="s">
        <v>7154</v>
      </c>
      <c r="B3" s="16" t="s">
        <v>6998</v>
      </c>
      <c r="C3" s="17" t="s">
        <v>7155</v>
      </c>
    </row>
    <row r="4" spans="1:3" s="3" customFormat="1" ht="14.25" customHeight="1" outlineLevel="1">
      <c r="A4" s="10" t="s">
        <v>7156</v>
      </c>
      <c r="B4" s="16" t="s">
        <v>6999</v>
      </c>
      <c r="C4" s="17" t="s">
        <v>7157</v>
      </c>
    </row>
    <row r="5" spans="1:3" s="3" customFormat="1" ht="14.25" customHeight="1" outlineLevel="1">
      <c r="A5" s="10" t="s">
        <v>7158</v>
      </c>
      <c r="B5" s="16" t="s">
        <v>7159</v>
      </c>
      <c r="C5" s="17"/>
    </row>
    <row r="6" spans="1:3" s="3" customFormat="1" ht="14.25" customHeight="1" outlineLevel="1">
      <c r="A6" s="10" t="s">
        <v>7160</v>
      </c>
      <c r="B6" s="16" t="s">
        <v>7161</v>
      </c>
      <c r="C6" s="17" t="s">
        <v>7162</v>
      </c>
    </row>
    <row r="7" spans="1:3" s="3" customFormat="1" ht="14.25" customHeight="1" outlineLevel="1">
      <c r="A7" s="10" t="s">
        <v>7163</v>
      </c>
      <c r="B7" s="16" t="s">
        <v>480</v>
      </c>
      <c r="C7" s="17" t="s">
        <v>111</v>
      </c>
    </row>
    <row r="8" spans="1:3" s="3" customFormat="1" ht="14.25" customHeight="1" outlineLevel="1">
      <c r="A8" s="10" t="s">
        <v>7164</v>
      </c>
      <c r="B8" s="16" t="s">
        <v>7000</v>
      </c>
      <c r="C8" s="17" t="s">
        <v>7165</v>
      </c>
    </row>
    <row r="9" spans="1:3" s="3" customFormat="1" ht="14.25" customHeight="1" outlineLevel="1">
      <c r="A9" s="10" t="s">
        <v>7166</v>
      </c>
      <c r="B9" s="16" t="s">
        <v>7167</v>
      </c>
      <c r="C9" s="17"/>
    </row>
    <row r="10" spans="1:3" s="3" customFormat="1" ht="14.25" customHeight="1" outlineLevel="1">
      <c r="A10" s="10" t="s">
        <v>7168</v>
      </c>
      <c r="B10" s="16" t="s">
        <v>7169</v>
      </c>
      <c r="C10" s="17"/>
    </row>
    <row r="11" spans="1:3" s="3" customFormat="1" ht="14.25" customHeight="1" outlineLevel="1">
      <c r="A11" s="10" t="s">
        <v>7170</v>
      </c>
      <c r="B11" s="16" t="s">
        <v>7087</v>
      </c>
      <c r="C11" s="17" t="s">
        <v>7171</v>
      </c>
    </row>
    <row r="12" spans="1:3" s="3" customFormat="1" ht="14.25" customHeight="1" outlineLevel="1">
      <c r="A12" s="10" t="s">
        <v>7172</v>
      </c>
      <c r="B12" s="16" t="s">
        <v>7088</v>
      </c>
      <c r="C12" s="17" t="s">
        <v>7171</v>
      </c>
    </row>
    <row r="13" spans="1:3" s="3" customFormat="1" ht="14.25" customHeight="1" outlineLevel="1">
      <c r="A13" s="10" t="s">
        <v>7173</v>
      </c>
      <c r="B13" s="16" t="s">
        <v>7085</v>
      </c>
      <c r="C13" s="17" t="s">
        <v>7171</v>
      </c>
    </row>
    <row r="14" spans="1:3" s="3" customFormat="1" ht="14.25" customHeight="1" outlineLevel="1">
      <c r="A14" s="10" t="s">
        <v>7174</v>
      </c>
      <c r="B14" s="16" t="s">
        <v>7175</v>
      </c>
      <c r="C14" s="17"/>
    </row>
    <row r="15" spans="1:3" s="3" customFormat="1" ht="14.25" customHeight="1" outlineLevel="1">
      <c r="A15" s="10" t="s">
        <v>7176</v>
      </c>
      <c r="B15" s="16" t="s">
        <v>7086</v>
      </c>
      <c r="C15" s="17" t="s">
        <v>7171</v>
      </c>
    </row>
    <row r="16" spans="1:3" s="3" customFormat="1" ht="14.25" customHeight="1" outlineLevel="1">
      <c r="A16" s="10" t="s">
        <v>7177</v>
      </c>
      <c r="B16" s="16" t="s">
        <v>7178</v>
      </c>
      <c r="C16" s="17" t="s">
        <v>7171</v>
      </c>
    </row>
    <row r="17" spans="1:3" s="3" customFormat="1" ht="14.25" customHeight="1" collapsed="1">
      <c r="A17" s="18" t="s">
        <v>7179</v>
      </c>
      <c r="B17" s="19" t="s">
        <v>7180</v>
      </c>
      <c r="C17" s="20" t="s">
        <v>7181</v>
      </c>
    </row>
    <row r="18" spans="1:3" s="3" customFormat="1" ht="14.25" hidden="1" customHeight="1" outlineLevel="1">
      <c r="A18" s="10" t="s">
        <v>7182</v>
      </c>
      <c r="B18" s="16" t="s">
        <v>7183</v>
      </c>
      <c r="C18" s="21">
        <f>'02 项目基础信息（输入）'!C72</f>
        <v>0</v>
      </c>
    </row>
    <row r="19" spans="1:3" s="3" customFormat="1" ht="14.25" hidden="1" customHeight="1" outlineLevel="1">
      <c r="A19" s="10" t="s">
        <v>7184</v>
      </c>
      <c r="B19" s="16" t="s">
        <v>7185</v>
      </c>
      <c r="C19" s="21">
        <f>'02 项目基础信息（输入）'!R6</f>
        <v>0</v>
      </c>
    </row>
    <row r="20" spans="1:3" s="3" customFormat="1" ht="14.25" hidden="1" customHeight="1" outlineLevel="1">
      <c r="A20" s="10" t="s">
        <v>7186</v>
      </c>
      <c r="B20" s="16" t="s">
        <v>7187</v>
      </c>
      <c r="C20" s="21">
        <f>'02 项目基础信息（输入）'!R7</f>
        <v>0</v>
      </c>
    </row>
    <row r="21" spans="1:3" s="3" customFormat="1" ht="14.25" hidden="1" customHeight="1" outlineLevel="1">
      <c r="A21" s="10" t="s">
        <v>7188</v>
      </c>
      <c r="B21" s="16" t="s">
        <v>7189</v>
      </c>
      <c r="C21" s="21">
        <f>'02 项目基础信息（输入）'!C78</f>
        <v>0</v>
      </c>
    </row>
    <row r="22" spans="1:3" s="3" customFormat="1" ht="14.25" hidden="1" customHeight="1" outlineLevel="1">
      <c r="A22" s="10" t="s">
        <v>7190</v>
      </c>
      <c r="B22" s="16" t="s">
        <v>7191</v>
      </c>
      <c r="C22" s="21">
        <f>'02 项目基础信息（输入）'!C81</f>
        <v>0</v>
      </c>
    </row>
    <row r="23" spans="1:3" s="3" customFormat="1" ht="14.25" hidden="1" customHeight="1" outlineLevel="1">
      <c r="A23" s="10" t="s">
        <v>7192</v>
      </c>
      <c r="B23" s="16" t="s">
        <v>633</v>
      </c>
      <c r="C23" s="21">
        <f>'05 成本测算明细'!N3211</f>
        <v>0</v>
      </c>
    </row>
    <row r="24" spans="1:3" s="3" customFormat="1" ht="14.25" hidden="1" customHeight="1" outlineLevel="1">
      <c r="A24" s="10" t="s">
        <v>7193</v>
      </c>
      <c r="B24" s="16" t="s">
        <v>637</v>
      </c>
      <c r="C24" s="21">
        <f>'05 成本测算明细'!N3439</f>
        <v>0</v>
      </c>
    </row>
    <row r="25" spans="1:3" s="3" customFormat="1" ht="14.25" hidden="1" customHeight="1" outlineLevel="1">
      <c r="A25" s="10" t="s">
        <v>7194</v>
      </c>
      <c r="B25" s="16" t="s">
        <v>641</v>
      </c>
      <c r="C25" s="21">
        <f>'05 成本测算明细'!N3666</f>
        <v>0</v>
      </c>
    </row>
    <row r="26" spans="1:3" s="4" customFormat="1" ht="14.25" customHeight="1">
      <c r="A26" s="22" t="s">
        <v>7195</v>
      </c>
      <c r="B26" s="23" t="s">
        <v>7196</v>
      </c>
      <c r="C26" s="24">
        <f>C27+C28+C29+C30+C585+C586+C587+C588+C589</f>
        <v>6081.82</v>
      </c>
    </row>
    <row r="27" spans="1:3" s="3" customFormat="1" ht="14.25" customHeight="1">
      <c r="A27" s="10" t="s">
        <v>7197</v>
      </c>
      <c r="B27" s="16" t="s">
        <v>218</v>
      </c>
      <c r="C27" s="25">
        <f>'05 成本测算明细'!O4</f>
        <v>43.67</v>
      </c>
    </row>
    <row r="28" spans="1:3" s="3" customFormat="1" ht="14.25" customHeight="1">
      <c r="A28" s="10" t="s">
        <v>7198</v>
      </c>
      <c r="B28" s="16" t="s">
        <v>221</v>
      </c>
      <c r="C28" s="25">
        <f>'05 成本测算明细'!O29</f>
        <v>214.34</v>
      </c>
    </row>
    <row r="29" spans="1:3" s="3" customFormat="1" ht="14.25" customHeight="1">
      <c r="A29" s="10" t="s">
        <v>7199</v>
      </c>
      <c r="B29" s="16" t="s">
        <v>222</v>
      </c>
      <c r="C29" s="25">
        <f>'05 成本测算明细'!O47</f>
        <v>336.4</v>
      </c>
    </row>
    <row r="30" spans="1:3" s="3" customFormat="1" ht="14.25" customHeight="1" collapsed="1">
      <c r="A30" s="10" t="s">
        <v>7200</v>
      </c>
      <c r="B30" s="16" t="s">
        <v>1324</v>
      </c>
      <c r="C30" s="25">
        <f>'05 成本测算明细'!O93</f>
        <v>3558.37</v>
      </c>
    </row>
    <row r="31" spans="1:3" s="3" customFormat="1" ht="14.25" hidden="1" customHeight="1" outlineLevel="1" collapsed="1">
      <c r="A31" s="26"/>
      <c r="B31" s="27" t="s">
        <v>223</v>
      </c>
      <c r="C31" s="28">
        <f>'05 成本测算明细'!O2378</f>
        <v>0</v>
      </c>
    </row>
    <row r="32" spans="1:3" s="4" customFormat="1" ht="14.25" hidden="1" customHeight="1" outlineLevel="2" collapsed="1">
      <c r="A32" s="10" t="s">
        <v>7201</v>
      </c>
      <c r="B32" s="16" t="s">
        <v>7104</v>
      </c>
      <c r="C32" s="25">
        <f>'05 成本测算明细'!O2379</f>
        <v>0</v>
      </c>
    </row>
    <row r="33" spans="1:3" s="3" customFormat="1" ht="14.25" hidden="1" customHeight="1" outlineLevel="3" collapsed="1">
      <c r="A33" s="29"/>
      <c r="B33" s="16" t="s">
        <v>7202</v>
      </c>
      <c r="C33" s="30">
        <f>'05 成本测算明细'!O2380</f>
        <v>0</v>
      </c>
    </row>
    <row r="34" spans="1:3" s="3" customFormat="1" ht="14.25" hidden="1" customHeight="1" outlineLevel="4" collapsed="1">
      <c r="A34" s="1864" t="s">
        <v>7203</v>
      </c>
      <c r="B34" s="16" t="s">
        <v>688</v>
      </c>
      <c r="C34" s="30">
        <f>'05 成本测算明细'!O2381</f>
        <v>0</v>
      </c>
    </row>
    <row r="35" spans="1:3" s="3" customFormat="1" ht="14.25" hidden="1" customHeight="1" outlineLevel="5">
      <c r="A35" s="1865"/>
      <c r="B35" s="31" t="s">
        <v>7204</v>
      </c>
      <c r="C35" s="32">
        <f>'05 成本测算明细'!G2382</f>
        <v>0</v>
      </c>
    </row>
    <row r="36" spans="1:3" s="3" customFormat="1" ht="14.25" hidden="1" customHeight="1" outlineLevel="5">
      <c r="A36" s="1865"/>
      <c r="B36" s="31" t="s">
        <v>7205</v>
      </c>
      <c r="C36" s="33">
        <f>'05 成本测算明细'!K2382</f>
        <v>0</v>
      </c>
    </row>
    <row r="37" spans="1:3" s="3" customFormat="1" ht="14.25" hidden="1" customHeight="1" outlineLevel="5">
      <c r="A37" s="1865"/>
      <c r="B37" s="31" t="s">
        <v>7206</v>
      </c>
      <c r="C37" s="33">
        <f>'05 成本测算明细'!K2383</f>
        <v>0</v>
      </c>
    </row>
    <row r="38" spans="1:3" s="3" customFormat="1" ht="14.25" hidden="1" customHeight="1" outlineLevel="5">
      <c r="A38" s="1865"/>
      <c r="B38" s="31" t="s">
        <v>7207</v>
      </c>
      <c r="C38" s="34"/>
    </row>
    <row r="39" spans="1:3" s="3" customFormat="1" ht="14.25" hidden="1" customHeight="1" outlineLevel="5">
      <c r="A39" s="1865"/>
      <c r="B39" s="31" t="s">
        <v>7208</v>
      </c>
      <c r="C39" s="34"/>
    </row>
    <row r="40" spans="1:3" s="3" customFormat="1" ht="14.25" hidden="1" customHeight="1" outlineLevel="4">
      <c r="A40" s="1865"/>
      <c r="B40" s="16" t="s">
        <v>973</v>
      </c>
      <c r="C40" s="30">
        <f>'05 成本测算明细'!O2384</f>
        <v>0</v>
      </c>
    </row>
    <row r="41" spans="1:3" s="3" customFormat="1" ht="14.25" hidden="1" customHeight="1" outlineLevel="4" collapsed="1">
      <c r="A41" s="1865"/>
      <c r="B41" s="16" t="s">
        <v>691</v>
      </c>
      <c r="C41" s="30">
        <f>'05 成本测算明细'!O2386</f>
        <v>0</v>
      </c>
    </row>
    <row r="42" spans="1:3" s="3" customFormat="1" ht="14.25" hidden="1" customHeight="1" outlineLevel="5">
      <c r="A42" s="1865"/>
      <c r="B42" s="31" t="s">
        <v>7209</v>
      </c>
      <c r="C42" s="35">
        <f>'05 成本测算明细'!G2387</f>
        <v>0</v>
      </c>
    </row>
    <row r="43" spans="1:3" s="3" customFormat="1" ht="14.25" hidden="1" customHeight="1" outlineLevel="5">
      <c r="A43" s="1865"/>
      <c r="B43" s="31" t="s">
        <v>7210</v>
      </c>
      <c r="C43" s="35">
        <f>'05 成本测算明细'!K2387</f>
        <v>0</v>
      </c>
    </row>
    <row r="44" spans="1:3" s="3" customFormat="1" ht="14.25" hidden="1" customHeight="1" outlineLevel="5">
      <c r="A44" s="1865"/>
      <c r="B44" s="31" t="s">
        <v>7211</v>
      </c>
      <c r="C44" s="35">
        <f>'05 成本测算明细'!K2388</f>
        <v>0</v>
      </c>
    </row>
    <row r="45" spans="1:3" s="3" customFormat="1" ht="14.25" hidden="1" customHeight="1" outlineLevel="5">
      <c r="A45" s="1865"/>
      <c r="B45" s="31" t="s">
        <v>7212</v>
      </c>
      <c r="C45" s="35"/>
    </row>
    <row r="46" spans="1:3" s="3" customFormat="1" ht="14.25" hidden="1" customHeight="1" outlineLevel="5">
      <c r="A46" s="1865"/>
      <c r="B46" s="31" t="s">
        <v>7213</v>
      </c>
      <c r="C46" s="35"/>
    </row>
    <row r="47" spans="1:3" s="3" customFormat="1" ht="14.25" hidden="1" customHeight="1" outlineLevel="4" collapsed="1">
      <c r="A47" s="1865"/>
      <c r="B47" s="36" t="s">
        <v>7214</v>
      </c>
      <c r="C47" s="25">
        <f>'05 成本测算明细'!O2389</f>
        <v>0</v>
      </c>
    </row>
    <row r="48" spans="1:3" s="3" customFormat="1" ht="14.25" hidden="1" customHeight="1" outlineLevel="5">
      <c r="A48" s="1865"/>
      <c r="B48" s="37" t="s">
        <v>694</v>
      </c>
      <c r="C48" s="32">
        <f>'05 成本测算明细'!G2390</f>
        <v>0</v>
      </c>
    </row>
    <row r="49" spans="1:3" s="3" customFormat="1" ht="14.25" hidden="1" customHeight="1" outlineLevel="5">
      <c r="A49" s="1865"/>
      <c r="B49" s="37" t="s">
        <v>730</v>
      </c>
      <c r="C49" s="38">
        <f>'05 成本测算明细'!K2390</f>
        <v>0</v>
      </c>
    </row>
    <row r="50" spans="1:3" s="3" customFormat="1" ht="14.25" hidden="1" customHeight="1" outlineLevel="4">
      <c r="A50" s="1865"/>
      <c r="B50" s="16" t="s">
        <v>7215</v>
      </c>
      <c r="C50" s="25">
        <f>'05 成本测算明细'!O2391</f>
        <v>0</v>
      </c>
    </row>
    <row r="51" spans="1:3" s="3" customFormat="1" ht="14.25" hidden="1" customHeight="1" outlineLevel="4">
      <c r="A51" s="1865"/>
      <c r="B51" s="16" t="s">
        <v>7216</v>
      </c>
      <c r="C51" s="25">
        <f>'05 成本测算明细'!O2392</f>
        <v>0</v>
      </c>
    </row>
    <row r="52" spans="1:3" s="3" customFormat="1" ht="14.25" hidden="1" customHeight="1" outlineLevel="4">
      <c r="A52" s="1866"/>
      <c r="B52" s="16" t="s">
        <v>7217</v>
      </c>
      <c r="C52" s="25">
        <f>'05 成本测算明细'!O2393</f>
        <v>0</v>
      </c>
    </row>
    <row r="53" spans="1:3" s="3" customFormat="1" ht="14.25" hidden="1" customHeight="1" outlineLevel="3">
      <c r="A53" s="10"/>
      <c r="B53" s="16" t="s">
        <v>704</v>
      </c>
      <c r="C53" s="25">
        <f>'05 成本测算明细'!O2394</f>
        <v>0</v>
      </c>
    </row>
    <row r="54" spans="1:3" s="3" customFormat="1" ht="14.25" hidden="1" customHeight="1" outlineLevel="3">
      <c r="A54" s="10"/>
      <c r="B54" s="16" t="s">
        <v>7218</v>
      </c>
      <c r="C54" s="25">
        <f>'05 成本测算明细'!O2400</f>
        <v>0</v>
      </c>
    </row>
    <row r="55" spans="1:3" s="3" customFormat="1" ht="14.25" hidden="1" customHeight="1" outlineLevel="3">
      <c r="A55" s="10"/>
      <c r="B55" s="16" t="s">
        <v>7219</v>
      </c>
      <c r="C55" s="25">
        <f>'05 成本测算明细'!O2413</f>
        <v>0</v>
      </c>
    </row>
    <row r="56" spans="1:3" s="3" customFormat="1" ht="14.25" hidden="1" customHeight="1" outlineLevel="2" collapsed="1">
      <c r="A56" s="10" t="s">
        <v>7220</v>
      </c>
      <c r="B56" s="16" t="s">
        <v>7105</v>
      </c>
      <c r="C56" s="25">
        <f>'05 成本测算明细'!O2419</f>
        <v>0</v>
      </c>
    </row>
    <row r="57" spans="1:3" s="3" customFormat="1" ht="14.25" hidden="1" customHeight="1" outlineLevel="3">
      <c r="A57" s="10"/>
      <c r="B57" s="31" t="s">
        <v>7221</v>
      </c>
      <c r="C57" s="32">
        <f>'05 成本测算明细'!G2421</f>
        <v>0</v>
      </c>
    </row>
    <row r="58" spans="1:3" s="3" customFormat="1" ht="14.25" hidden="1" customHeight="1" outlineLevel="3">
      <c r="A58" s="10"/>
      <c r="B58" s="31" t="s">
        <v>7222</v>
      </c>
      <c r="C58" s="39">
        <f>'05 成本测算明细'!O2420</f>
        <v>0</v>
      </c>
    </row>
    <row r="59" spans="1:3" s="3" customFormat="1" ht="14.25" hidden="1" customHeight="1" outlineLevel="3">
      <c r="A59" s="10"/>
      <c r="B59" s="31" t="s">
        <v>7223</v>
      </c>
      <c r="C59" s="39">
        <f>'05 成本测算明细'!O2424</f>
        <v>0</v>
      </c>
    </row>
    <row r="60" spans="1:3" s="3" customFormat="1" ht="14.25" hidden="1" customHeight="1" outlineLevel="3">
      <c r="A60" s="10"/>
      <c r="B60" s="31" t="s">
        <v>7224</v>
      </c>
      <c r="C60" s="40"/>
    </row>
    <row r="61" spans="1:3" s="2" customFormat="1" ht="14.25" hidden="1" customHeight="1" outlineLevel="2" collapsed="1">
      <c r="A61" s="10" t="s">
        <v>7225</v>
      </c>
      <c r="B61" s="16" t="s">
        <v>7057</v>
      </c>
      <c r="C61" s="25">
        <f>'05 成本测算明细'!O2427</f>
        <v>0</v>
      </c>
    </row>
    <row r="62" spans="1:3" s="2" customFormat="1" ht="14.25" hidden="1" customHeight="1" outlineLevel="3">
      <c r="A62" s="10"/>
      <c r="B62" s="31" t="s">
        <v>7226</v>
      </c>
      <c r="C62" s="41"/>
    </row>
    <row r="63" spans="1:3" s="3" customFormat="1" ht="14.25" hidden="1" customHeight="1" outlineLevel="2" collapsed="1">
      <c r="A63" s="10" t="s">
        <v>7227</v>
      </c>
      <c r="B63" s="16" t="s">
        <v>7053</v>
      </c>
      <c r="C63" s="25">
        <f>'05 成本测算明细'!O2449</f>
        <v>0</v>
      </c>
    </row>
    <row r="64" spans="1:3" s="3" customFormat="1" ht="14.25" hidden="1" customHeight="1" outlineLevel="3">
      <c r="A64" s="10"/>
      <c r="B64" s="31" t="s">
        <v>7228</v>
      </c>
      <c r="C64" s="41"/>
    </row>
    <row r="65" spans="1:3" s="3" customFormat="1" ht="14.25" hidden="1" customHeight="1" outlineLevel="3">
      <c r="A65" s="10"/>
      <c r="B65" s="31" t="s">
        <v>7151</v>
      </c>
      <c r="C65" s="41"/>
    </row>
    <row r="66" spans="1:3" s="3" customFormat="1" ht="14.25" hidden="1" customHeight="1" outlineLevel="2">
      <c r="A66" s="10" t="s">
        <v>7229</v>
      </c>
      <c r="B66" s="16" t="s">
        <v>205</v>
      </c>
      <c r="C66" s="25">
        <f>'05 成本测算明细'!O2460</f>
        <v>0</v>
      </c>
    </row>
    <row r="67" spans="1:3" s="3" customFormat="1" ht="14.25" hidden="1" customHeight="1" outlineLevel="2">
      <c r="A67" s="10" t="s">
        <v>7230</v>
      </c>
      <c r="B67" s="16" t="s">
        <v>1124</v>
      </c>
      <c r="C67" s="25">
        <f>'05 成本测算明细'!O2473</f>
        <v>0</v>
      </c>
    </row>
    <row r="68" spans="1:3" s="3" customFormat="1" ht="14.25" hidden="1" customHeight="1" outlineLevel="2">
      <c r="A68" s="10" t="s">
        <v>7231</v>
      </c>
      <c r="B68" s="16" t="s">
        <v>7232</v>
      </c>
      <c r="C68" s="25">
        <f>'05 成本测算明细'!O2478</f>
        <v>0</v>
      </c>
    </row>
    <row r="69" spans="1:3" s="3" customFormat="1" ht="14.25" hidden="1" customHeight="1" outlineLevel="2">
      <c r="A69" s="10" t="s">
        <v>7233</v>
      </c>
      <c r="B69" s="16" t="s">
        <v>7234</v>
      </c>
      <c r="C69" s="25">
        <f>'05 成本测算明细'!O2480</f>
        <v>0</v>
      </c>
    </row>
    <row r="70" spans="1:3" s="3" customFormat="1" ht="14.25" hidden="1" customHeight="1" outlineLevel="2" collapsed="1">
      <c r="A70" s="10" t="s">
        <v>7235</v>
      </c>
      <c r="B70" s="16" t="s">
        <v>7056</v>
      </c>
      <c r="C70" s="25">
        <f>'05 成本测算明细'!O2482</f>
        <v>0</v>
      </c>
    </row>
    <row r="71" spans="1:3" s="3" customFormat="1" ht="14.25" hidden="1" customHeight="1" outlineLevel="1" collapsed="1">
      <c r="A71" s="26"/>
      <c r="B71" s="27" t="str">
        <f>'05 成本测算明细'!A2485</f>
        <v>$pnames01$集中商业</v>
      </c>
      <c r="C71" s="28">
        <f>'05 成本测算明细'!O2485</f>
        <v>0</v>
      </c>
    </row>
    <row r="72" spans="1:3" s="4" customFormat="1" ht="14.25" hidden="1" customHeight="1" outlineLevel="2" collapsed="1">
      <c r="A72" s="10" t="s">
        <v>7201</v>
      </c>
      <c r="B72" s="16" t="s">
        <v>7104</v>
      </c>
      <c r="C72" s="25">
        <f>'05 成本测算明细'!O2486</f>
        <v>0</v>
      </c>
    </row>
    <row r="73" spans="1:3" s="3" customFormat="1" ht="14.25" hidden="1" customHeight="1" outlineLevel="3" collapsed="1">
      <c r="A73" s="29"/>
      <c r="B73" s="16" t="s">
        <v>7202</v>
      </c>
      <c r="C73" s="30">
        <f>'05 成本测算明细'!O2487</f>
        <v>0</v>
      </c>
    </row>
    <row r="74" spans="1:3" s="3" customFormat="1" ht="14.25" hidden="1" customHeight="1" outlineLevel="4" collapsed="1">
      <c r="A74" s="1864" t="s">
        <v>7203</v>
      </c>
      <c r="B74" s="16" t="s">
        <v>688</v>
      </c>
      <c r="C74" s="30">
        <f>'05 成本测算明细'!O2488</f>
        <v>0</v>
      </c>
    </row>
    <row r="75" spans="1:3" s="3" customFormat="1" ht="14.25" hidden="1" customHeight="1" outlineLevel="5">
      <c r="A75" s="1865"/>
      <c r="B75" s="31" t="s">
        <v>7204</v>
      </c>
      <c r="C75" s="32">
        <f>'05 成本测算明细'!G2489</f>
        <v>0</v>
      </c>
    </row>
    <row r="76" spans="1:3" s="3" customFormat="1" ht="14.25" hidden="1" customHeight="1" outlineLevel="5">
      <c r="A76" s="1865"/>
      <c r="B76" s="31" t="s">
        <v>7205</v>
      </c>
      <c r="C76" s="32">
        <f>'05 成本测算明细'!K2489</f>
        <v>0</v>
      </c>
    </row>
    <row r="77" spans="1:3" s="3" customFormat="1" ht="14.25" hidden="1" customHeight="1" outlineLevel="5">
      <c r="A77" s="1865"/>
      <c r="B77" s="31" t="s">
        <v>7236</v>
      </c>
      <c r="C77" s="32">
        <f>'05 成本测算明细'!G2490</f>
        <v>0</v>
      </c>
    </row>
    <row r="78" spans="1:3" s="4" customFormat="1" ht="14.25" hidden="1" customHeight="1" outlineLevel="5">
      <c r="A78" s="1865"/>
      <c r="B78" s="31" t="s">
        <v>7237</v>
      </c>
      <c r="C78" s="33">
        <f>'05 成本测算明细'!K2490</f>
        <v>0</v>
      </c>
    </row>
    <row r="79" spans="1:3" s="3" customFormat="1" ht="14.25" hidden="1" customHeight="1" outlineLevel="5">
      <c r="A79" s="1865"/>
      <c r="B79" s="31" t="s">
        <v>7206</v>
      </c>
      <c r="C79" s="33">
        <f>'05 成本测算明细'!K2491</f>
        <v>0</v>
      </c>
    </row>
    <row r="80" spans="1:3" s="3" customFormat="1" ht="14.25" hidden="1" customHeight="1" outlineLevel="5">
      <c r="A80" s="1865"/>
      <c r="B80" s="31" t="s">
        <v>7207</v>
      </c>
      <c r="C80" s="33"/>
    </row>
    <row r="81" spans="1:3" s="3" customFormat="1" ht="14.25" hidden="1" customHeight="1" outlineLevel="5">
      <c r="A81" s="1865"/>
      <c r="B81" s="31" t="s">
        <v>7208</v>
      </c>
      <c r="C81" s="33"/>
    </row>
    <row r="82" spans="1:3" s="3" customFormat="1" ht="14.25" hidden="1" customHeight="1" outlineLevel="4">
      <c r="A82" s="1865"/>
      <c r="B82" s="16" t="s">
        <v>973</v>
      </c>
      <c r="C82" s="30">
        <f>'05 成本测算明细'!O2492</f>
        <v>0</v>
      </c>
    </row>
    <row r="83" spans="1:3" s="3" customFormat="1" ht="14.25" hidden="1" customHeight="1" outlineLevel="4" collapsed="1">
      <c r="A83" s="1865"/>
      <c r="B83" s="16" t="s">
        <v>691</v>
      </c>
      <c r="C83" s="30">
        <f>'05 成本测算明细'!O2497</f>
        <v>0</v>
      </c>
    </row>
    <row r="84" spans="1:3" s="3" customFormat="1" ht="14.25" hidden="1" customHeight="1" outlineLevel="5">
      <c r="A84" s="1865"/>
      <c r="B84" s="31" t="s">
        <v>7209</v>
      </c>
      <c r="C84" s="42">
        <f>'05 成本测算明细'!G2498</f>
        <v>0</v>
      </c>
    </row>
    <row r="85" spans="1:3" s="3" customFormat="1" ht="14.25" hidden="1" customHeight="1" outlineLevel="5">
      <c r="A85" s="1865"/>
      <c r="B85" s="31" t="s">
        <v>7210</v>
      </c>
      <c r="C85" s="43">
        <f>'05 成本测算明细'!K2498</f>
        <v>0</v>
      </c>
    </row>
    <row r="86" spans="1:3" s="3" customFormat="1" ht="14.25" hidden="1" customHeight="1" outlineLevel="5">
      <c r="A86" s="1865"/>
      <c r="B86" s="31" t="s">
        <v>7238</v>
      </c>
      <c r="C86" s="42">
        <f>'05 成本测算明细'!G2499</f>
        <v>0</v>
      </c>
    </row>
    <row r="87" spans="1:3" s="3" customFormat="1" ht="14.25" hidden="1" customHeight="1" outlineLevel="5">
      <c r="A87" s="1865"/>
      <c r="B87" s="31" t="s">
        <v>7239</v>
      </c>
      <c r="C87" s="43">
        <f>'05 成本测算明细'!K2499</f>
        <v>0</v>
      </c>
    </row>
    <row r="88" spans="1:3" s="3" customFormat="1" ht="14.25" hidden="1" customHeight="1" outlineLevel="5">
      <c r="A88" s="1865"/>
      <c r="B88" s="31" t="s">
        <v>7211</v>
      </c>
      <c r="C88" s="43">
        <f>'05 成本测算明细'!K2500</f>
        <v>0</v>
      </c>
    </row>
    <row r="89" spans="1:3" s="3" customFormat="1" ht="14.25" hidden="1" customHeight="1" outlineLevel="5">
      <c r="A89" s="1865"/>
      <c r="B89" s="31" t="s">
        <v>7212</v>
      </c>
      <c r="C89" s="43"/>
    </row>
    <row r="90" spans="1:3" s="3" customFormat="1" ht="14.25" hidden="1" customHeight="1" outlineLevel="5">
      <c r="A90" s="1865"/>
      <c r="B90" s="31" t="s">
        <v>7213</v>
      </c>
      <c r="C90" s="43"/>
    </row>
    <row r="91" spans="1:3" s="3" customFormat="1" ht="14.25" hidden="1" customHeight="1" outlineLevel="4" collapsed="1">
      <c r="A91" s="1865"/>
      <c r="B91" s="36" t="s">
        <v>7214</v>
      </c>
      <c r="C91" s="25">
        <f>'05 成本测算明细'!O2503</f>
        <v>0</v>
      </c>
    </row>
    <row r="92" spans="1:3" s="3" customFormat="1" ht="14.25" hidden="1" customHeight="1" outlineLevel="5">
      <c r="A92" s="1865"/>
      <c r="B92" s="37" t="s">
        <v>694</v>
      </c>
      <c r="C92" s="32">
        <f>'05 成本测算明细'!G2504</f>
        <v>0</v>
      </c>
    </row>
    <row r="93" spans="1:3" s="3" customFormat="1" ht="14.25" hidden="1" customHeight="1" outlineLevel="5">
      <c r="A93" s="1865"/>
      <c r="B93" s="37" t="s">
        <v>730</v>
      </c>
      <c r="C93" s="38">
        <f>'05 成本测算明细'!K2504</f>
        <v>0</v>
      </c>
    </row>
    <row r="94" spans="1:3" s="3" customFormat="1" ht="14.25" hidden="1" customHeight="1" outlineLevel="4">
      <c r="A94" s="1865"/>
      <c r="B94" s="16" t="s">
        <v>7215</v>
      </c>
      <c r="C94" s="25">
        <f>'05 成本测算明细'!O2507</f>
        <v>0</v>
      </c>
    </row>
    <row r="95" spans="1:3" s="3" customFormat="1" ht="14.25" hidden="1" customHeight="1" outlineLevel="4">
      <c r="A95" s="1865"/>
      <c r="B95" s="16" t="s">
        <v>7216</v>
      </c>
      <c r="C95" s="25">
        <f>'05 成本测算明细'!O2508</f>
        <v>0</v>
      </c>
    </row>
    <row r="96" spans="1:3" s="3" customFormat="1" ht="14.25" hidden="1" customHeight="1" outlineLevel="4">
      <c r="A96" s="1866"/>
      <c r="B96" s="16" t="s">
        <v>7217</v>
      </c>
      <c r="C96" s="25">
        <f>'05 成本测算明细'!O2509</f>
        <v>0</v>
      </c>
    </row>
    <row r="97" spans="1:3" s="3" customFormat="1" ht="14.25" hidden="1" customHeight="1" outlineLevel="3">
      <c r="A97" s="10"/>
      <c r="B97" s="16" t="s">
        <v>7218</v>
      </c>
      <c r="C97" s="25">
        <f>'05 成本测算明细'!O2511</f>
        <v>0</v>
      </c>
    </row>
    <row r="98" spans="1:3" s="3" customFormat="1" ht="14.25" hidden="1" customHeight="1" outlineLevel="3">
      <c r="A98" s="10"/>
      <c r="B98" s="16" t="s">
        <v>7219</v>
      </c>
      <c r="C98" s="25">
        <f>'05 成本测算明细'!O2532</f>
        <v>0</v>
      </c>
    </row>
    <row r="99" spans="1:3" s="3" customFormat="1" ht="14.25" hidden="1" customHeight="1" outlineLevel="2" collapsed="1">
      <c r="A99" s="10" t="s">
        <v>7220</v>
      </c>
      <c r="B99" s="16" t="s">
        <v>7105</v>
      </c>
      <c r="C99" s="25">
        <f>'05 成本测算明细'!O2536</f>
        <v>0</v>
      </c>
    </row>
    <row r="100" spans="1:3" s="3" customFormat="1" ht="14.25" hidden="1" customHeight="1" outlineLevel="3">
      <c r="A100" s="10"/>
      <c r="B100" s="31" t="s">
        <v>7221</v>
      </c>
      <c r="C100" s="32">
        <f>'05 成本测算明细'!G2538</f>
        <v>0</v>
      </c>
    </row>
    <row r="101" spans="1:3" s="3" customFormat="1" ht="14.25" hidden="1" customHeight="1" outlineLevel="3">
      <c r="A101" s="10"/>
      <c r="B101" s="31" t="s">
        <v>7240</v>
      </c>
      <c r="C101" s="32">
        <f>'05 成本测算明细'!G2539</f>
        <v>0</v>
      </c>
    </row>
    <row r="102" spans="1:3" s="3" customFormat="1" ht="14.25" hidden="1" customHeight="1" outlineLevel="3">
      <c r="A102" s="10"/>
      <c r="B102" s="31" t="s">
        <v>7222</v>
      </c>
      <c r="C102" s="38">
        <f>'05 成本测算明细'!O2537</f>
        <v>0</v>
      </c>
    </row>
    <row r="103" spans="1:3" s="3" customFormat="1" ht="14.25" hidden="1" customHeight="1" outlineLevel="3">
      <c r="A103" s="44"/>
      <c r="B103" s="31" t="s">
        <v>7223</v>
      </c>
      <c r="C103" s="38">
        <f>'05 成本测算明细'!O2542+'05 成本测算明细'!O2543+'05 成本测算明细'!O2544+'05 成本测算明细'!O2546</f>
        <v>0</v>
      </c>
    </row>
    <row r="104" spans="1:3" s="3" customFormat="1" ht="14.25" hidden="1" customHeight="1" outlineLevel="3">
      <c r="A104" s="44"/>
      <c r="B104" s="31" t="s">
        <v>7224</v>
      </c>
      <c r="C104" s="40"/>
    </row>
    <row r="105" spans="1:3" s="3" customFormat="1" ht="14.25" hidden="1" customHeight="1" outlineLevel="2" collapsed="1">
      <c r="A105" s="10" t="s">
        <v>7241</v>
      </c>
      <c r="B105" s="36" t="s">
        <v>7051</v>
      </c>
      <c r="C105" s="25">
        <f>'05 成本测算明细'!O2549</f>
        <v>0</v>
      </c>
    </row>
    <row r="106" spans="1:3" s="3" customFormat="1" ht="14.25" hidden="1" customHeight="1" outlineLevel="3">
      <c r="A106" s="10"/>
      <c r="B106" s="37" t="s">
        <v>7242</v>
      </c>
      <c r="C106" s="38">
        <f>'05 成本测算明细'!$K$2552+'05 成本测算明细'!$K$2553</f>
        <v>0</v>
      </c>
    </row>
    <row r="107" spans="1:3" s="3" customFormat="1" ht="14.25" hidden="1" customHeight="1" outlineLevel="3">
      <c r="A107" s="10"/>
      <c r="B107" s="37" t="s">
        <v>4496</v>
      </c>
      <c r="C107" s="32">
        <f>'05 成本测算明细'!G2552</f>
        <v>0</v>
      </c>
    </row>
    <row r="108" spans="1:3" s="3" customFormat="1" ht="14.25" hidden="1" customHeight="1" outlineLevel="3">
      <c r="A108" s="10"/>
      <c r="B108" s="37" t="s">
        <v>7243</v>
      </c>
      <c r="C108" s="38">
        <f>'05 成本测算明细'!$K$2554</f>
        <v>0</v>
      </c>
    </row>
    <row r="109" spans="1:3" s="3" customFormat="1" ht="14.25" hidden="1" customHeight="1" outlineLevel="3">
      <c r="A109" s="10"/>
      <c r="B109" s="37" t="s">
        <v>4501</v>
      </c>
      <c r="C109" s="32">
        <f>'05 成本测算明细'!G2554</f>
        <v>0</v>
      </c>
    </row>
    <row r="110" spans="1:3" s="3" customFormat="1" ht="14.25" hidden="1" customHeight="1" outlineLevel="3">
      <c r="A110" s="10"/>
      <c r="B110" s="37" t="s">
        <v>7244</v>
      </c>
      <c r="C110" s="38">
        <f>'05 成本测算明细'!$K$2555</f>
        <v>0</v>
      </c>
    </row>
    <row r="111" spans="1:3" s="3" customFormat="1" ht="14.25" hidden="1" customHeight="1" outlineLevel="3">
      <c r="A111" s="10"/>
      <c r="B111" s="37" t="s">
        <v>7245</v>
      </c>
      <c r="C111" s="32">
        <f>'05 成本测算明细'!G2555</f>
        <v>0</v>
      </c>
    </row>
    <row r="112" spans="1:3" s="3" customFormat="1" ht="14.25" hidden="1" customHeight="1" outlineLevel="3">
      <c r="A112" s="10"/>
      <c r="B112" s="37" t="s">
        <v>7246</v>
      </c>
      <c r="C112" s="32">
        <f>'05 成本测算明细'!$K$2558+'05 成本测算明细'!$K$2559</f>
        <v>0</v>
      </c>
    </row>
    <row r="113" spans="1:3" s="3" customFormat="1" ht="14.25" hidden="1" customHeight="1" outlineLevel="3">
      <c r="A113" s="10"/>
      <c r="B113" s="37" t="s">
        <v>7247</v>
      </c>
      <c r="C113" s="32">
        <f>'05 成本测算明细'!G2558</f>
        <v>0</v>
      </c>
    </row>
    <row r="114" spans="1:3" s="3" customFormat="1" ht="14.25" hidden="1" customHeight="1" outlineLevel="3">
      <c r="A114" s="10"/>
      <c r="B114" s="37" t="s">
        <v>7248</v>
      </c>
      <c r="C114" s="38">
        <f>'05 成本测算明细'!O2556+'05 成本测算明细'!O2560+'05 成本测算明细'!O2562+'05 成本测算明细'!O2563</f>
        <v>0</v>
      </c>
    </row>
    <row r="115" spans="1:3" s="3" customFormat="1" ht="14.25" hidden="1" customHeight="1" outlineLevel="3">
      <c r="A115" s="10"/>
      <c r="B115" s="37" t="s">
        <v>7249</v>
      </c>
      <c r="C115" s="45">
        <f>'05 成本测算明细'!O2561</f>
        <v>0</v>
      </c>
    </row>
    <row r="116" spans="1:3" s="3" customFormat="1" ht="14.25" hidden="1" customHeight="1" outlineLevel="3">
      <c r="A116" s="10"/>
      <c r="B116" s="37" t="s">
        <v>7250</v>
      </c>
      <c r="C116" s="38">
        <f>'05 成本测算明细'!K2561</f>
        <v>0</v>
      </c>
    </row>
    <row r="117" spans="1:3" s="3" customFormat="1" ht="14.25" hidden="1" customHeight="1" outlineLevel="3">
      <c r="A117" s="10"/>
      <c r="B117" s="37" t="s">
        <v>7251</v>
      </c>
      <c r="C117" s="38">
        <f>'05 成本测算明细'!I2561</f>
        <v>0</v>
      </c>
    </row>
    <row r="118" spans="1:3" s="3" customFormat="1" ht="14.25" hidden="1" customHeight="1" outlineLevel="2" collapsed="1">
      <c r="A118" s="10" t="s">
        <v>7252</v>
      </c>
      <c r="B118" s="16" t="s">
        <v>189</v>
      </c>
      <c r="C118" s="25">
        <f>'05 成本测算明细'!O2570</f>
        <v>0</v>
      </c>
    </row>
    <row r="119" spans="1:3" s="2" customFormat="1" ht="14.25" hidden="1" customHeight="1" outlineLevel="3">
      <c r="A119" s="10"/>
      <c r="B119" s="31" t="s">
        <v>7253</v>
      </c>
      <c r="C119" s="46">
        <f>'05 成本测算明细'!G2573</f>
        <v>0</v>
      </c>
    </row>
    <row r="120" spans="1:3" s="2" customFormat="1" ht="14.25" hidden="1" customHeight="1" outlineLevel="3">
      <c r="A120" s="10"/>
      <c r="B120" s="31" t="s">
        <v>7254</v>
      </c>
      <c r="C120" s="38">
        <f>'05 成本测算明细'!K2573+'05 成本测算明细'!K2574</f>
        <v>0</v>
      </c>
    </row>
    <row r="121" spans="1:3" s="2" customFormat="1" ht="14.25" hidden="1" customHeight="1" outlineLevel="3">
      <c r="A121" s="10"/>
      <c r="B121" s="31" t="s">
        <v>7255</v>
      </c>
      <c r="C121" s="38">
        <f>'05 成本测算明细'!K2575</f>
        <v>0</v>
      </c>
    </row>
    <row r="122" spans="1:3" s="2" customFormat="1" ht="14.25" hidden="1" customHeight="1" outlineLevel="3">
      <c r="A122" s="10"/>
      <c r="B122" s="31" t="s">
        <v>7256</v>
      </c>
      <c r="C122" s="46">
        <f>'05 成本测算明细'!G2580</f>
        <v>0</v>
      </c>
    </row>
    <row r="123" spans="1:3" s="2" customFormat="1" ht="14.25" hidden="1" customHeight="1" outlineLevel="3">
      <c r="A123" s="10"/>
      <c r="B123" s="31" t="s">
        <v>7257</v>
      </c>
      <c r="C123" s="38">
        <f>'05 成本测算明细'!K2580+'05 成本测算明细'!K2581+'05 成本测算明细'!K2582</f>
        <v>0</v>
      </c>
    </row>
    <row r="124" spans="1:3" s="2" customFormat="1" ht="14.25" hidden="1" customHeight="1" outlineLevel="3">
      <c r="A124" s="10"/>
      <c r="B124" s="31" t="s">
        <v>7258</v>
      </c>
      <c r="C124" s="46">
        <f>IFERROR('05 成本测算明细'!D2585/'05 成本测算明细'!N2585,0)</f>
        <v>0</v>
      </c>
    </row>
    <row r="125" spans="1:3" s="2" customFormat="1" ht="14.25" hidden="1" customHeight="1" outlineLevel="3">
      <c r="A125" s="10"/>
      <c r="B125" s="31" t="s">
        <v>7259</v>
      </c>
      <c r="C125" s="38">
        <f>'05 成本测算明细'!K2585+'05 成本测算明细'!K2586</f>
        <v>0</v>
      </c>
    </row>
    <row r="126" spans="1:3" s="2" customFormat="1" ht="14.25" hidden="1" customHeight="1" outlineLevel="2">
      <c r="A126" s="10" t="s">
        <v>7260</v>
      </c>
      <c r="B126" s="16" t="s">
        <v>7052</v>
      </c>
      <c r="C126" s="25">
        <f>'05 成本测算明细'!O2591</f>
        <v>0</v>
      </c>
    </row>
    <row r="127" spans="1:3" s="2" customFormat="1" ht="14.25" hidden="1" customHeight="1" outlineLevel="2">
      <c r="A127" s="10" t="s">
        <v>7261</v>
      </c>
      <c r="B127" s="16" t="s">
        <v>787</v>
      </c>
      <c r="C127" s="25">
        <f>'05 成本测算明细'!O2604</f>
        <v>0</v>
      </c>
    </row>
    <row r="128" spans="1:3" s="2" customFormat="1" ht="14.25" hidden="1" customHeight="1" outlineLevel="2">
      <c r="A128" s="10" t="s">
        <v>7262</v>
      </c>
      <c r="B128" s="16" t="s">
        <v>193</v>
      </c>
      <c r="C128" s="25">
        <f>'05 成本测算明细'!O2608</f>
        <v>0</v>
      </c>
    </row>
    <row r="129" spans="1:3" s="2" customFormat="1" ht="14.25" hidden="1" customHeight="1" outlineLevel="2" collapsed="1">
      <c r="A129" s="10" t="s">
        <v>7225</v>
      </c>
      <c r="B129" s="16" t="s">
        <v>7057</v>
      </c>
      <c r="C129" s="25">
        <f>'05 成本测算明细'!O2615</f>
        <v>0</v>
      </c>
    </row>
    <row r="130" spans="1:3" s="2" customFormat="1" ht="14.25" hidden="1" customHeight="1" outlineLevel="3">
      <c r="A130" s="10"/>
      <c r="B130" s="31" t="s">
        <v>7226</v>
      </c>
      <c r="C130" s="41"/>
    </row>
    <row r="131" spans="1:3" s="3" customFormat="1" ht="14.25" hidden="1" customHeight="1" outlineLevel="2" collapsed="1">
      <c r="A131" s="10" t="s">
        <v>7227</v>
      </c>
      <c r="B131" s="16" t="s">
        <v>7053</v>
      </c>
      <c r="C131" s="25">
        <f>'05 成本测算明细'!O2637</f>
        <v>0</v>
      </c>
    </row>
    <row r="132" spans="1:3" s="3" customFormat="1" ht="14.25" hidden="1" customHeight="1" outlineLevel="3">
      <c r="A132" s="10"/>
      <c r="B132" s="31" t="s">
        <v>7228</v>
      </c>
      <c r="C132" s="41"/>
    </row>
    <row r="133" spans="1:3" s="3" customFormat="1" ht="14.25" hidden="1" customHeight="1" outlineLevel="3">
      <c r="A133" s="10"/>
      <c r="B133" s="31" t="s">
        <v>7151</v>
      </c>
      <c r="C133" s="41"/>
    </row>
    <row r="134" spans="1:3" s="3" customFormat="1" ht="14.25" hidden="1" customHeight="1" outlineLevel="2">
      <c r="A134" s="10" t="s">
        <v>7229</v>
      </c>
      <c r="B134" s="16" t="s">
        <v>205</v>
      </c>
      <c r="C134" s="25">
        <f>'05 成本测算明细'!O2654</f>
        <v>0</v>
      </c>
    </row>
    <row r="135" spans="1:3" s="3" customFormat="1" ht="14.25" hidden="1" customHeight="1" outlineLevel="2" collapsed="1">
      <c r="A135" s="10" t="s">
        <v>7230</v>
      </c>
      <c r="B135" s="16" t="s">
        <v>1124</v>
      </c>
      <c r="C135" s="25">
        <f>'05 成本测算明细'!O2667</f>
        <v>0</v>
      </c>
    </row>
    <row r="136" spans="1:3" s="3" customFormat="1" ht="14.25" hidden="1" customHeight="1" outlineLevel="3">
      <c r="A136" s="10"/>
      <c r="B136" s="31" t="s">
        <v>7263</v>
      </c>
      <c r="C136" s="41">
        <f>'05 成本测算明细'!O2684</f>
        <v>0</v>
      </c>
    </row>
    <row r="137" spans="1:3" s="3" customFormat="1" ht="14.25" hidden="1" customHeight="1" outlineLevel="2">
      <c r="A137" s="10" t="s">
        <v>7231</v>
      </c>
      <c r="B137" s="16" t="s">
        <v>7054</v>
      </c>
      <c r="C137" s="25">
        <f>'05 成本测算明细'!O2698</f>
        <v>0</v>
      </c>
    </row>
    <row r="138" spans="1:3" s="3" customFormat="1" ht="14.25" hidden="1" customHeight="1" outlineLevel="2">
      <c r="A138" s="10" t="s">
        <v>7233</v>
      </c>
      <c r="B138" s="16" t="s">
        <v>7264</v>
      </c>
      <c r="C138" s="25">
        <f>'05 成本测算明细'!O2703</f>
        <v>0</v>
      </c>
    </row>
    <row r="139" spans="1:3" s="3" customFormat="1" ht="14.25" hidden="1" customHeight="1" outlineLevel="2">
      <c r="A139" s="10" t="s">
        <v>7235</v>
      </c>
      <c r="B139" s="16" t="s">
        <v>7056</v>
      </c>
      <c r="C139" s="25">
        <f>'05 成本测算明细'!O2705</f>
        <v>0</v>
      </c>
    </row>
    <row r="140" spans="1:3" s="3" customFormat="1" ht="14.25" hidden="1" customHeight="1" outlineLevel="1" collapsed="1">
      <c r="A140" s="26"/>
      <c r="B140" s="27" t="str">
        <f>'05 成本测算明细'!A2713</f>
        <v>$pnamex01$写字楼</v>
      </c>
      <c r="C140" s="28">
        <f>'05 成本测算明细'!O2713</f>
        <v>0</v>
      </c>
    </row>
    <row r="141" spans="1:3" s="4" customFormat="1" ht="14.25" hidden="1" customHeight="1" outlineLevel="2" collapsed="1">
      <c r="A141" s="10" t="s">
        <v>7201</v>
      </c>
      <c r="B141" s="16" t="s">
        <v>7104</v>
      </c>
      <c r="C141" s="25">
        <f>'05 成本测算明细'!O2714</f>
        <v>0</v>
      </c>
    </row>
    <row r="142" spans="1:3" s="3" customFormat="1" ht="14.25" hidden="1" customHeight="1" outlineLevel="3" collapsed="1">
      <c r="A142" s="29"/>
      <c r="B142" s="16" t="s">
        <v>7202</v>
      </c>
      <c r="C142" s="30">
        <f>'05 成本测算明细'!O2715</f>
        <v>0</v>
      </c>
    </row>
    <row r="143" spans="1:3" s="3" customFormat="1" ht="14.25" hidden="1" customHeight="1" outlineLevel="4" collapsed="1">
      <c r="A143" s="1864" t="s">
        <v>7203</v>
      </c>
      <c r="B143" s="16" t="s">
        <v>688</v>
      </c>
      <c r="C143" s="30">
        <f>'05 成本测算明细'!O2716</f>
        <v>0</v>
      </c>
    </row>
    <row r="144" spans="1:3" s="3" customFormat="1" ht="14.25" hidden="1" customHeight="1" outlineLevel="5">
      <c r="A144" s="1865"/>
      <c r="B144" s="31" t="s">
        <v>7236</v>
      </c>
      <c r="C144" s="32">
        <f>'05 成本测算明细'!G2717</f>
        <v>0</v>
      </c>
    </row>
    <row r="145" spans="1:3" s="4" customFormat="1" ht="14.25" hidden="1" customHeight="1" outlineLevel="5">
      <c r="A145" s="1865"/>
      <c r="B145" s="31" t="s">
        <v>7237</v>
      </c>
      <c r="C145" s="43">
        <f>'05 成本测算明细'!K2717</f>
        <v>0</v>
      </c>
    </row>
    <row r="146" spans="1:3" s="3" customFormat="1" ht="14.25" hidden="1" customHeight="1" outlineLevel="5">
      <c r="A146" s="1865"/>
      <c r="B146" s="31" t="s">
        <v>7206</v>
      </c>
      <c r="C146" s="43">
        <f>'05 成本测算明细'!K2718</f>
        <v>0</v>
      </c>
    </row>
    <row r="147" spans="1:3" s="3" customFormat="1" ht="14.25" hidden="1" customHeight="1" outlineLevel="5">
      <c r="A147" s="1865"/>
      <c r="B147" s="31" t="s">
        <v>7207</v>
      </c>
      <c r="C147" s="34"/>
    </row>
    <row r="148" spans="1:3" s="3" customFormat="1" ht="14.25" hidden="1" customHeight="1" outlineLevel="5">
      <c r="A148" s="1865"/>
      <c r="B148" s="31" t="s">
        <v>7208</v>
      </c>
      <c r="C148" s="34"/>
    </row>
    <row r="149" spans="1:3" s="3" customFormat="1" ht="14.25" hidden="1" customHeight="1" outlineLevel="4">
      <c r="A149" s="1865"/>
      <c r="B149" s="16" t="s">
        <v>973</v>
      </c>
      <c r="C149" s="30">
        <f>'05 成本测算明细'!O2719</f>
        <v>0</v>
      </c>
    </row>
    <row r="150" spans="1:3" s="3" customFormat="1" ht="14.25" hidden="1" customHeight="1" outlineLevel="4" collapsed="1">
      <c r="A150" s="1865"/>
      <c r="B150" s="16" t="s">
        <v>691</v>
      </c>
      <c r="C150" s="30">
        <f>'05 成本测算明细'!O2724</f>
        <v>0</v>
      </c>
    </row>
    <row r="151" spans="1:3" s="3" customFormat="1" ht="14.25" hidden="1" customHeight="1" outlineLevel="5">
      <c r="A151" s="1865"/>
      <c r="B151" s="31" t="s">
        <v>7238</v>
      </c>
      <c r="C151" s="42">
        <f>'05 成本测算明细'!G2725</f>
        <v>0</v>
      </c>
    </row>
    <row r="152" spans="1:3" s="3" customFormat="1" ht="14.25" hidden="1" customHeight="1" outlineLevel="5">
      <c r="A152" s="1865"/>
      <c r="B152" s="31" t="s">
        <v>7239</v>
      </c>
      <c r="C152" s="43">
        <f>'05 成本测算明细'!K2725</f>
        <v>0</v>
      </c>
    </row>
    <row r="153" spans="1:3" s="3" customFormat="1" ht="14.25" hidden="1" customHeight="1" outlineLevel="5">
      <c r="A153" s="1865"/>
      <c r="B153" s="31" t="s">
        <v>7211</v>
      </c>
      <c r="C153" s="43">
        <f>'05 成本测算明细'!K2726</f>
        <v>0</v>
      </c>
    </row>
    <row r="154" spans="1:3" s="3" customFormat="1" ht="14.25" hidden="1" customHeight="1" outlineLevel="5">
      <c r="A154" s="1865"/>
      <c r="B154" s="31" t="s">
        <v>7212</v>
      </c>
      <c r="C154" s="43"/>
    </row>
    <row r="155" spans="1:3" s="3" customFormat="1" ht="14.25" hidden="1" customHeight="1" outlineLevel="5">
      <c r="A155" s="1865"/>
      <c r="B155" s="31" t="s">
        <v>7213</v>
      </c>
      <c r="C155" s="43"/>
    </row>
    <row r="156" spans="1:3" s="3" customFormat="1" ht="14.25" hidden="1" customHeight="1" outlineLevel="4" collapsed="1">
      <c r="A156" s="1865"/>
      <c r="B156" s="36" t="s">
        <v>7214</v>
      </c>
      <c r="C156" s="25">
        <f>'05 成本测算明细'!O2729</f>
        <v>0</v>
      </c>
    </row>
    <row r="157" spans="1:3" s="3" customFormat="1" ht="14.25" hidden="1" customHeight="1" outlineLevel="5">
      <c r="A157" s="1865"/>
      <c r="B157" s="37" t="s">
        <v>694</v>
      </c>
      <c r="C157" s="32">
        <f>'05 成本测算明细'!G2730</f>
        <v>0</v>
      </c>
    </row>
    <row r="158" spans="1:3" s="3" customFormat="1" ht="14.25" hidden="1" customHeight="1" outlineLevel="5">
      <c r="A158" s="1865"/>
      <c r="B158" s="37" t="s">
        <v>730</v>
      </c>
      <c r="C158" s="38">
        <f>'05 成本测算明细'!K2730</f>
        <v>0</v>
      </c>
    </row>
    <row r="159" spans="1:3" s="3" customFormat="1" ht="14.25" hidden="1" customHeight="1" outlineLevel="4">
      <c r="A159" s="1865"/>
      <c r="B159" s="16" t="s">
        <v>7215</v>
      </c>
      <c r="C159" s="25">
        <f>'05 成本测算明细'!O2733</f>
        <v>0</v>
      </c>
    </row>
    <row r="160" spans="1:3" s="3" customFormat="1" ht="14.25" hidden="1" customHeight="1" outlineLevel="4">
      <c r="A160" s="1865"/>
      <c r="B160" s="16" t="s">
        <v>7216</v>
      </c>
      <c r="C160" s="25">
        <f>'05 成本测算明细'!O2734</f>
        <v>0</v>
      </c>
    </row>
    <row r="161" spans="1:3" s="3" customFormat="1" ht="14.25" hidden="1" customHeight="1" outlineLevel="4">
      <c r="A161" s="1866"/>
      <c r="B161" s="16" t="s">
        <v>7217</v>
      </c>
      <c r="C161" s="25">
        <f>'05 成本测算明细'!O2735</f>
        <v>0</v>
      </c>
    </row>
    <row r="162" spans="1:3" s="3" customFormat="1" ht="14.25" hidden="1" customHeight="1" outlineLevel="3">
      <c r="A162" s="10"/>
      <c r="B162" s="16" t="s">
        <v>7218</v>
      </c>
      <c r="C162" s="25">
        <f>'05 成本测算明细'!O2736</f>
        <v>0</v>
      </c>
    </row>
    <row r="163" spans="1:3" s="3" customFormat="1" ht="14.25" hidden="1" customHeight="1" outlineLevel="3">
      <c r="A163" s="10"/>
      <c r="B163" s="16" t="s">
        <v>7219</v>
      </c>
      <c r="C163" s="25">
        <f>'05 成本测算明细'!O2752</f>
        <v>0</v>
      </c>
    </row>
    <row r="164" spans="1:3" s="3" customFormat="1" ht="14.25" hidden="1" customHeight="1" outlineLevel="2" collapsed="1">
      <c r="A164" s="10" t="s">
        <v>7220</v>
      </c>
      <c r="B164" s="16" t="s">
        <v>7105</v>
      </c>
      <c r="C164" s="25">
        <f>'05 成本测算明细'!O2756</f>
        <v>0</v>
      </c>
    </row>
    <row r="165" spans="1:3" s="3" customFormat="1" ht="14.25" hidden="1" customHeight="1" outlineLevel="3">
      <c r="A165" s="10"/>
      <c r="B165" s="31" t="s">
        <v>7240</v>
      </c>
      <c r="C165" s="32">
        <f>'05 成本测算明细'!G2758</f>
        <v>0</v>
      </c>
    </row>
    <row r="166" spans="1:3" s="3" customFormat="1" ht="14.25" hidden="1" customHeight="1" outlineLevel="3">
      <c r="A166" s="10"/>
      <c r="B166" s="31" t="s">
        <v>7222</v>
      </c>
      <c r="C166" s="38">
        <f>'05 成本测算明细'!O2757</f>
        <v>0</v>
      </c>
    </row>
    <row r="167" spans="1:3" s="3" customFormat="1" ht="14.25" hidden="1" customHeight="1" outlineLevel="3">
      <c r="A167" s="44"/>
      <c r="B167" s="31" t="s">
        <v>7223</v>
      </c>
      <c r="C167" s="38">
        <f>'05 成本测算明细'!O2761+'05 成本测算明细'!O2762+'05 成本测算明细'!O2763+'05 成本测算明细'!O2765</f>
        <v>0</v>
      </c>
    </row>
    <row r="168" spans="1:3" s="3" customFormat="1" ht="14.25" hidden="1" customHeight="1" outlineLevel="3">
      <c r="A168" s="44"/>
      <c r="B168" s="31" t="s">
        <v>7224</v>
      </c>
      <c r="C168" s="40"/>
    </row>
    <row r="169" spans="1:3" s="3" customFormat="1" ht="14.25" hidden="1" customHeight="1" outlineLevel="2" collapsed="1">
      <c r="A169" s="10" t="s">
        <v>7241</v>
      </c>
      <c r="B169" s="36" t="s">
        <v>7051</v>
      </c>
      <c r="C169" s="25">
        <f>'05 成本测算明细'!O2768</f>
        <v>0</v>
      </c>
    </row>
    <row r="170" spans="1:3" s="3" customFormat="1" ht="14.25" hidden="1" customHeight="1" outlineLevel="3">
      <c r="A170" s="10"/>
      <c r="B170" s="37" t="s">
        <v>7242</v>
      </c>
      <c r="C170" s="38">
        <f>'05 成本测算明细'!$K$2771+'05 成本测算明细'!$K$2772</f>
        <v>0</v>
      </c>
    </row>
    <row r="171" spans="1:3" s="3" customFormat="1" ht="14.25" hidden="1" customHeight="1" outlineLevel="3">
      <c r="A171" s="10"/>
      <c r="B171" s="37" t="s">
        <v>4496</v>
      </c>
      <c r="C171" s="32">
        <f>'05 成本测算明细'!G2771</f>
        <v>0</v>
      </c>
    </row>
    <row r="172" spans="1:3" s="3" customFormat="1" ht="14.25" hidden="1" customHeight="1" outlineLevel="3">
      <c r="A172" s="10"/>
      <c r="B172" s="37" t="s">
        <v>7243</v>
      </c>
      <c r="C172" s="38">
        <f>'05 成本测算明细'!$K$2773</f>
        <v>0</v>
      </c>
    </row>
    <row r="173" spans="1:3" s="3" customFormat="1" ht="14.25" hidden="1" customHeight="1" outlineLevel="3">
      <c r="A173" s="10"/>
      <c r="B173" s="37" t="s">
        <v>4501</v>
      </c>
      <c r="C173" s="32">
        <f>'05 成本测算明细'!G2773</f>
        <v>0</v>
      </c>
    </row>
    <row r="174" spans="1:3" s="3" customFormat="1" ht="14.25" hidden="1" customHeight="1" outlineLevel="3">
      <c r="A174" s="10"/>
      <c r="B174" s="37" t="s">
        <v>7244</v>
      </c>
      <c r="C174" s="38">
        <f>'05 成本测算明细'!$K$2774</f>
        <v>0</v>
      </c>
    </row>
    <row r="175" spans="1:3" s="3" customFormat="1" ht="14.25" hidden="1" customHeight="1" outlineLevel="3">
      <c r="A175" s="10"/>
      <c r="B175" s="37" t="s">
        <v>7245</v>
      </c>
      <c r="C175" s="32">
        <f>'05 成本测算明细'!G2774</f>
        <v>0</v>
      </c>
    </row>
    <row r="176" spans="1:3" s="3" customFormat="1" ht="14.25" hidden="1" customHeight="1" outlineLevel="3">
      <c r="A176" s="10"/>
      <c r="B176" s="37" t="s">
        <v>7246</v>
      </c>
      <c r="C176" s="32">
        <f>'05 成本测算明细'!$K$2777+'05 成本测算明细'!$K$2778</f>
        <v>0</v>
      </c>
    </row>
    <row r="177" spans="1:3" s="3" customFormat="1" ht="14.25" hidden="1" customHeight="1" outlineLevel="3">
      <c r="A177" s="10"/>
      <c r="B177" s="37" t="s">
        <v>7247</v>
      </c>
      <c r="C177" s="32">
        <f>'05 成本测算明细'!G2777</f>
        <v>0</v>
      </c>
    </row>
    <row r="178" spans="1:3" s="3" customFormat="1" ht="14.25" hidden="1" customHeight="1" outlineLevel="3">
      <c r="A178" s="10"/>
      <c r="B178" s="37" t="s">
        <v>7248</v>
      </c>
      <c r="C178" s="38">
        <f>'05 成本测算明细'!O2775+'05 成本测算明细'!O2779+'05 成本测算明细'!O2780+'05 成本测算明细'!O2781</f>
        <v>0</v>
      </c>
    </row>
    <row r="179" spans="1:3" s="3" customFormat="1" ht="14.25" hidden="1" customHeight="1" outlineLevel="2" collapsed="1">
      <c r="A179" s="10" t="s">
        <v>7252</v>
      </c>
      <c r="B179" s="16" t="s">
        <v>189</v>
      </c>
      <c r="C179" s="25">
        <f>'05 成本测算明细'!O2788</f>
        <v>0</v>
      </c>
    </row>
    <row r="180" spans="1:3" s="2" customFormat="1" ht="14.25" hidden="1" customHeight="1" outlineLevel="3">
      <c r="A180" s="10"/>
      <c r="B180" s="31" t="s">
        <v>7265</v>
      </c>
      <c r="C180" s="46">
        <f>IFERROR('05 成本测算明细'!I2790/'05 成本测算明细'!N2790,0)</f>
        <v>0</v>
      </c>
    </row>
    <row r="181" spans="1:3" s="2" customFormat="1" ht="14.25" hidden="1" customHeight="1" outlineLevel="3">
      <c r="A181" s="10"/>
      <c r="B181" s="31" t="s">
        <v>7266</v>
      </c>
      <c r="C181" s="38">
        <f>'05 成本测算明细'!K2790+'05 成本测算明细'!K2791+'05 成本测算明细'!K2792</f>
        <v>0</v>
      </c>
    </row>
    <row r="182" spans="1:3" s="2" customFormat="1" ht="14.25" hidden="1" customHeight="1" outlineLevel="3">
      <c r="A182" s="10"/>
      <c r="B182" s="31" t="s">
        <v>7267</v>
      </c>
      <c r="C182" s="46">
        <f>IFERROR('05 成本测算明细'!I2794/'05 成本测算明细'!N2794,0)</f>
        <v>0</v>
      </c>
    </row>
    <row r="183" spans="1:3" s="2" customFormat="1" ht="14.25" hidden="1" customHeight="1" outlineLevel="3">
      <c r="A183" s="10"/>
      <c r="B183" s="31" t="s">
        <v>7268</v>
      </c>
      <c r="C183" s="38">
        <f>'05 成本测算明细'!K2794+'05 成本测算明细'!K2795+'05 成本测算明细'!K2796</f>
        <v>0</v>
      </c>
    </row>
    <row r="184" spans="1:3" s="2" customFormat="1" ht="14.25" hidden="1" customHeight="1" outlineLevel="3">
      <c r="A184" s="10"/>
      <c r="B184" s="31" t="s">
        <v>7269</v>
      </c>
      <c r="C184" s="46">
        <f>IFERROR('05 成本测算明细'!I2798/'05 成本测算明细'!N2798,0)</f>
        <v>0</v>
      </c>
    </row>
    <row r="185" spans="1:3" s="2" customFormat="1" ht="14.25" hidden="1" customHeight="1" outlineLevel="3">
      <c r="A185" s="10"/>
      <c r="B185" s="31" t="s">
        <v>7270</v>
      </c>
      <c r="C185" s="38">
        <f>'05 成本测算明细'!K2798+'05 成本测算明细'!K2799+'05 成本测算明细'!K2800</f>
        <v>0</v>
      </c>
    </row>
    <row r="186" spans="1:3" s="2" customFormat="1" ht="14.25" hidden="1" customHeight="1" outlineLevel="3">
      <c r="A186" s="10"/>
      <c r="B186" s="31" t="s">
        <v>7271</v>
      </c>
      <c r="C186" s="46">
        <f>IFERROR('05 成本测算明细'!I2802/'05 成本测算明细'!N2802,0)</f>
        <v>0</v>
      </c>
    </row>
    <row r="187" spans="1:3" s="2" customFormat="1" ht="14.25" hidden="1" customHeight="1" outlineLevel="3">
      <c r="A187" s="10"/>
      <c r="B187" s="31" t="s">
        <v>7272</v>
      </c>
      <c r="C187" s="38">
        <f>'05 成本测算明细'!K2802+'05 成本测算明细'!K2803+'05 成本测算明细'!K2804</f>
        <v>0</v>
      </c>
    </row>
    <row r="188" spans="1:3" s="2" customFormat="1" ht="14.25" hidden="1" customHeight="1" outlineLevel="3">
      <c r="A188" s="10"/>
      <c r="B188" s="31" t="s">
        <v>7273</v>
      </c>
      <c r="C188" s="46">
        <f>IFERROR('05 成本测算明细'!I2806/'05 成本测算明细'!N2806,0)</f>
        <v>0</v>
      </c>
    </row>
    <row r="189" spans="1:3" s="2" customFormat="1" ht="14.25" hidden="1" customHeight="1" outlineLevel="3">
      <c r="A189" s="10"/>
      <c r="B189" s="31" t="s">
        <v>7274</v>
      </c>
      <c r="C189" s="38">
        <f>'05 成本测算明细'!K2806+'05 成本测算明细'!K2807+'05 成本测算明细'!K2808</f>
        <v>0</v>
      </c>
    </row>
    <row r="190" spans="1:3" s="2" customFormat="1" ht="14.25" hidden="1" customHeight="1" outlineLevel="3">
      <c r="A190" s="10"/>
      <c r="B190" s="31" t="s">
        <v>7275</v>
      </c>
      <c r="C190" s="46">
        <f>IFERROR('05 成本测算明细'!I2810/'05 成本测算明细'!N2810,0)</f>
        <v>0</v>
      </c>
    </row>
    <row r="191" spans="1:3" s="2" customFormat="1" ht="14.25" hidden="1" customHeight="1" outlineLevel="3">
      <c r="A191" s="10"/>
      <c r="B191" s="31" t="s">
        <v>7276</v>
      </c>
      <c r="C191" s="38">
        <f>'05 成本测算明细'!K2811</f>
        <v>0</v>
      </c>
    </row>
    <row r="192" spans="1:3" s="2" customFormat="1" ht="14.25" hidden="1" customHeight="1" outlineLevel="3">
      <c r="A192" s="10"/>
      <c r="B192" s="31" t="s">
        <v>7277</v>
      </c>
      <c r="C192" s="46">
        <f>IFERROR('05 成本测算明细'!#REF!/'05 成本测算明细'!N2813,0)</f>
        <v>0</v>
      </c>
    </row>
    <row r="193" spans="1:3" s="2" customFormat="1" ht="14.25" hidden="1" customHeight="1" outlineLevel="3">
      <c r="A193" s="10"/>
      <c r="B193" s="31" t="s">
        <v>7278</v>
      </c>
      <c r="C193" s="38">
        <f>'05 成本测算明细'!K2813+'05 成本测算明细'!K2814+'05 成本测算明细'!K2815</f>
        <v>0</v>
      </c>
    </row>
    <row r="194" spans="1:3" s="2" customFormat="1" ht="14.25" hidden="1" customHeight="1" outlineLevel="3">
      <c r="A194" s="10"/>
      <c r="B194" s="31" t="s">
        <v>7258</v>
      </c>
      <c r="C194" s="46">
        <f>IFERROR('05 成本测算明细'!I2817/'05 成本测算明细'!N2817,0)</f>
        <v>0</v>
      </c>
    </row>
    <row r="195" spans="1:3" s="2" customFormat="1" ht="14.25" hidden="1" customHeight="1" outlineLevel="3">
      <c r="A195" s="10"/>
      <c r="B195" s="31" t="s">
        <v>7259</v>
      </c>
      <c r="C195" s="38">
        <f>'05 成本测算明细'!K2817+'05 成本测算明细'!K2818</f>
        <v>0</v>
      </c>
    </row>
    <row r="196" spans="1:3" s="2" customFormat="1" ht="14.25" hidden="1" customHeight="1" outlineLevel="2">
      <c r="A196" s="10" t="s">
        <v>7260</v>
      </c>
      <c r="B196" s="16" t="s">
        <v>7052</v>
      </c>
      <c r="C196" s="25">
        <f>'05 成本测算明细'!O2823</f>
        <v>0</v>
      </c>
    </row>
    <row r="197" spans="1:3" s="2" customFormat="1" ht="14.25" hidden="1" customHeight="1" outlineLevel="2">
      <c r="A197" s="10" t="s">
        <v>7261</v>
      </c>
      <c r="B197" s="16" t="s">
        <v>787</v>
      </c>
      <c r="C197" s="25">
        <f>'05 成本测算明细'!O2836</f>
        <v>0</v>
      </c>
    </row>
    <row r="198" spans="1:3" s="2" customFormat="1" ht="14.25" hidden="1" customHeight="1" outlineLevel="2">
      <c r="A198" s="10" t="s">
        <v>7262</v>
      </c>
      <c r="B198" s="16" t="s">
        <v>193</v>
      </c>
      <c r="C198" s="25">
        <f>'05 成本测算明细'!O2840</f>
        <v>0</v>
      </c>
    </row>
    <row r="199" spans="1:3" s="2" customFormat="1" ht="14.25" hidden="1" customHeight="1" outlineLevel="2" collapsed="1">
      <c r="A199" s="10" t="s">
        <v>7225</v>
      </c>
      <c r="B199" s="16" t="s">
        <v>7057</v>
      </c>
      <c r="C199" s="25">
        <f>'05 成本测算明细'!O2843</f>
        <v>0</v>
      </c>
    </row>
    <row r="200" spans="1:3" s="2" customFormat="1" ht="14.25" hidden="1" customHeight="1" outlineLevel="3">
      <c r="A200" s="10"/>
      <c r="B200" s="31" t="s">
        <v>7226</v>
      </c>
      <c r="C200" s="41"/>
    </row>
    <row r="201" spans="1:3" s="3" customFormat="1" ht="14.25" hidden="1" customHeight="1" outlineLevel="2" collapsed="1">
      <c r="A201" s="10" t="s">
        <v>7227</v>
      </c>
      <c r="B201" s="16" t="s">
        <v>7053</v>
      </c>
      <c r="C201" s="25">
        <f>'05 成本测算明细'!O2865</f>
        <v>0</v>
      </c>
    </row>
    <row r="202" spans="1:3" s="3" customFormat="1" ht="14.25" hidden="1" customHeight="1" outlineLevel="3">
      <c r="A202" s="10"/>
      <c r="B202" s="31" t="s">
        <v>7228</v>
      </c>
      <c r="C202" s="41"/>
    </row>
    <row r="203" spans="1:3" s="3" customFormat="1" ht="14.25" hidden="1" customHeight="1" outlineLevel="3">
      <c r="A203" s="10"/>
      <c r="B203" s="31" t="s">
        <v>7151</v>
      </c>
      <c r="C203" s="41"/>
    </row>
    <row r="204" spans="1:3" s="3" customFormat="1" ht="14.25" hidden="1" customHeight="1" outlineLevel="2">
      <c r="A204" s="10" t="s">
        <v>7229</v>
      </c>
      <c r="B204" s="16" t="s">
        <v>205</v>
      </c>
      <c r="C204" s="25">
        <f>'05 成本测算明细'!O2882</f>
        <v>0</v>
      </c>
    </row>
    <row r="205" spans="1:3" s="3" customFormat="1" ht="14.25" hidden="1" customHeight="1" outlineLevel="2">
      <c r="A205" s="10" t="s">
        <v>7230</v>
      </c>
      <c r="B205" s="16" t="s">
        <v>1124</v>
      </c>
      <c r="C205" s="25">
        <f>'05 成本测算明细'!O2895</f>
        <v>0</v>
      </c>
    </row>
    <row r="206" spans="1:3" s="3" customFormat="1" ht="14.25" hidden="1" customHeight="1" outlineLevel="2">
      <c r="A206" s="10" t="s">
        <v>7231</v>
      </c>
      <c r="B206" s="16" t="s">
        <v>7054</v>
      </c>
      <c r="C206" s="25">
        <f>'05 成本测算明细'!O2928</f>
        <v>0</v>
      </c>
    </row>
    <row r="207" spans="1:3" s="3" customFormat="1" ht="14.25" hidden="1" customHeight="1" outlineLevel="2">
      <c r="A207" s="10" t="s">
        <v>7233</v>
      </c>
      <c r="B207" s="16" t="s">
        <v>7264</v>
      </c>
      <c r="C207" s="25">
        <f>'05 成本测算明细'!O2933</f>
        <v>0</v>
      </c>
    </row>
    <row r="208" spans="1:3" s="3" customFormat="1" ht="14.25" hidden="1" customHeight="1" outlineLevel="2">
      <c r="A208" s="10" t="s">
        <v>7235</v>
      </c>
      <c r="B208" s="16" t="s">
        <v>7056</v>
      </c>
      <c r="C208" s="25">
        <f>'05 成本测算明细'!O2935</f>
        <v>0</v>
      </c>
    </row>
    <row r="209" spans="1:3" s="3" customFormat="1" ht="14.25" hidden="1" customHeight="1" outlineLevel="1" collapsed="1">
      <c r="A209" s="26"/>
      <c r="B209" s="27" t="str">
        <f>'05 成本测算明细'!A2940</f>
        <v>$pnamej01$酒店</v>
      </c>
      <c r="C209" s="28">
        <f>'05 成本测算明细'!O2940</f>
        <v>0</v>
      </c>
    </row>
    <row r="210" spans="1:3" s="4" customFormat="1" ht="14.25" hidden="1" customHeight="1" outlineLevel="2" collapsed="1">
      <c r="A210" s="10" t="s">
        <v>7201</v>
      </c>
      <c r="B210" s="16" t="s">
        <v>7104</v>
      </c>
      <c r="C210" s="25">
        <f>'05 成本测算明细'!O2941</f>
        <v>0</v>
      </c>
    </row>
    <row r="211" spans="1:3" s="3" customFormat="1" ht="14.25" hidden="1" customHeight="1" outlineLevel="3" collapsed="1">
      <c r="A211" s="29"/>
      <c r="B211" s="16" t="s">
        <v>7202</v>
      </c>
      <c r="C211" s="30">
        <f>'05 成本测算明细'!O2942</f>
        <v>0</v>
      </c>
    </row>
    <row r="212" spans="1:3" s="3" customFormat="1" ht="14.25" hidden="1" customHeight="1" outlineLevel="4" collapsed="1">
      <c r="A212" s="1864" t="s">
        <v>7203</v>
      </c>
      <c r="B212" s="16" t="s">
        <v>688</v>
      </c>
      <c r="C212" s="30">
        <f>'05 成本测算明细'!O2943</f>
        <v>0</v>
      </c>
    </row>
    <row r="213" spans="1:3" s="3" customFormat="1" ht="14.25" hidden="1" customHeight="1" outlineLevel="5">
      <c r="A213" s="1865"/>
      <c r="B213" s="31" t="s">
        <v>7236</v>
      </c>
      <c r="C213" s="32">
        <f>'05 成本测算明细'!G2944</f>
        <v>0</v>
      </c>
    </row>
    <row r="214" spans="1:3" s="4" customFormat="1" ht="14.25" hidden="1" customHeight="1" outlineLevel="5">
      <c r="A214" s="1865"/>
      <c r="B214" s="31" t="s">
        <v>7237</v>
      </c>
      <c r="C214" s="43">
        <f>'05 成本测算明细'!K2944</f>
        <v>0</v>
      </c>
    </row>
    <row r="215" spans="1:3" s="3" customFormat="1" ht="14.25" hidden="1" customHeight="1" outlineLevel="5">
      <c r="A215" s="1865"/>
      <c r="B215" s="31" t="s">
        <v>7206</v>
      </c>
      <c r="C215" s="43">
        <f>'05 成本测算明细'!K2945</f>
        <v>0</v>
      </c>
    </row>
    <row r="216" spans="1:3" s="3" customFormat="1" ht="14.25" hidden="1" customHeight="1" outlineLevel="5">
      <c r="A216" s="1865"/>
      <c r="B216" s="31" t="s">
        <v>7207</v>
      </c>
      <c r="C216" s="34"/>
    </row>
    <row r="217" spans="1:3" s="3" customFormat="1" ht="14.25" hidden="1" customHeight="1" outlineLevel="5">
      <c r="A217" s="1865"/>
      <c r="B217" s="31" t="s">
        <v>7208</v>
      </c>
      <c r="C217" s="34"/>
    </row>
    <row r="218" spans="1:3" s="3" customFormat="1" ht="14.25" hidden="1" customHeight="1" outlineLevel="4">
      <c r="A218" s="1865"/>
      <c r="B218" s="16" t="s">
        <v>973</v>
      </c>
      <c r="C218" s="30">
        <f>'05 成本测算明细'!O2946</f>
        <v>0</v>
      </c>
    </row>
    <row r="219" spans="1:3" s="3" customFormat="1" ht="14.25" hidden="1" customHeight="1" outlineLevel="4" collapsed="1">
      <c r="A219" s="1865"/>
      <c r="B219" s="16" t="s">
        <v>691</v>
      </c>
      <c r="C219" s="30">
        <f>'05 成本测算明细'!O2951</f>
        <v>0</v>
      </c>
    </row>
    <row r="220" spans="1:3" s="3" customFormat="1" ht="14.25" hidden="1" customHeight="1" outlineLevel="5">
      <c r="A220" s="1865"/>
      <c r="B220" s="31" t="s">
        <v>7238</v>
      </c>
      <c r="C220" s="42">
        <f>'05 成本测算明细'!G2952</f>
        <v>0</v>
      </c>
    </row>
    <row r="221" spans="1:3" s="3" customFormat="1" ht="14.25" hidden="1" customHeight="1" outlineLevel="5">
      <c r="A221" s="1865"/>
      <c r="B221" s="31" t="s">
        <v>7239</v>
      </c>
      <c r="C221" s="43">
        <f>'05 成本测算明细'!K2952</f>
        <v>0</v>
      </c>
    </row>
    <row r="222" spans="1:3" s="3" customFormat="1" ht="14.25" hidden="1" customHeight="1" outlineLevel="5">
      <c r="A222" s="1865"/>
      <c r="B222" s="31" t="s">
        <v>7211</v>
      </c>
      <c r="C222" s="43">
        <f>'05 成本测算明细'!K2953</f>
        <v>0</v>
      </c>
    </row>
    <row r="223" spans="1:3" s="3" customFormat="1" ht="14.25" hidden="1" customHeight="1" outlineLevel="5">
      <c r="A223" s="1865"/>
      <c r="B223" s="31" t="s">
        <v>7212</v>
      </c>
      <c r="C223" s="43"/>
    </row>
    <row r="224" spans="1:3" s="3" customFormat="1" ht="14.25" hidden="1" customHeight="1" outlineLevel="5">
      <c r="A224" s="1865"/>
      <c r="B224" s="31" t="s">
        <v>7213</v>
      </c>
      <c r="C224" s="43"/>
    </row>
    <row r="225" spans="1:3" s="3" customFormat="1" ht="14.25" hidden="1" customHeight="1" outlineLevel="4" collapsed="1">
      <c r="A225" s="1865"/>
      <c r="B225" s="36" t="s">
        <v>7214</v>
      </c>
      <c r="C225" s="25">
        <f>'05 成本测算明细'!O2956</f>
        <v>0</v>
      </c>
    </row>
    <row r="226" spans="1:3" s="3" customFormat="1" ht="14.25" hidden="1" customHeight="1" outlineLevel="5">
      <c r="A226" s="1865"/>
      <c r="B226" s="37" t="s">
        <v>694</v>
      </c>
      <c r="C226" s="32">
        <f>'05 成本测算明细'!G2957</f>
        <v>0</v>
      </c>
    </row>
    <row r="227" spans="1:3" s="3" customFormat="1" ht="14.25" hidden="1" customHeight="1" outlineLevel="5">
      <c r="A227" s="1865"/>
      <c r="B227" s="37" t="s">
        <v>730</v>
      </c>
      <c r="C227" s="38">
        <f>'05 成本测算明细'!K2957</f>
        <v>0</v>
      </c>
    </row>
    <row r="228" spans="1:3" s="3" customFormat="1" ht="14.25" hidden="1" customHeight="1" outlineLevel="4">
      <c r="A228" s="1865"/>
      <c r="B228" s="16" t="s">
        <v>7215</v>
      </c>
      <c r="C228" s="25">
        <f>'05 成本测算明细'!O2960</f>
        <v>0</v>
      </c>
    </row>
    <row r="229" spans="1:3" s="3" customFormat="1" ht="14.25" hidden="1" customHeight="1" outlineLevel="4">
      <c r="A229" s="1865"/>
      <c r="B229" s="16" t="s">
        <v>7216</v>
      </c>
      <c r="C229" s="25">
        <f>'05 成本测算明细'!O2961</f>
        <v>0</v>
      </c>
    </row>
    <row r="230" spans="1:3" s="3" customFormat="1" ht="14.25" hidden="1" customHeight="1" outlineLevel="4">
      <c r="A230" s="1866"/>
      <c r="B230" s="16" t="s">
        <v>7217</v>
      </c>
      <c r="C230" s="25">
        <f>'05 成本测算明细'!O2962</f>
        <v>0</v>
      </c>
    </row>
    <row r="231" spans="1:3" s="3" customFormat="1" ht="14.25" hidden="1" customHeight="1" outlineLevel="3">
      <c r="A231" s="10"/>
      <c r="B231" s="16" t="s">
        <v>7218</v>
      </c>
      <c r="C231" s="25">
        <f>'05 成本测算明细'!O2963</f>
        <v>0</v>
      </c>
    </row>
    <row r="232" spans="1:3" s="3" customFormat="1" ht="14.25" hidden="1" customHeight="1" outlineLevel="3">
      <c r="A232" s="10"/>
      <c r="B232" s="16" t="s">
        <v>7219</v>
      </c>
      <c r="C232" s="25">
        <f>'05 成本测算明细'!O2979</f>
        <v>0</v>
      </c>
    </row>
    <row r="233" spans="1:3" s="3" customFormat="1" ht="14.25" hidden="1" customHeight="1" outlineLevel="2" collapsed="1">
      <c r="A233" s="10" t="s">
        <v>7220</v>
      </c>
      <c r="B233" s="16" t="s">
        <v>7105</v>
      </c>
      <c r="C233" s="25">
        <f>'05 成本测算明细'!O2983</f>
        <v>0</v>
      </c>
    </row>
    <row r="234" spans="1:3" s="3" customFormat="1" ht="14.25" hidden="1" customHeight="1" outlineLevel="3">
      <c r="A234" s="10"/>
      <c r="B234" s="31" t="s">
        <v>7240</v>
      </c>
      <c r="C234" s="32">
        <f>'05 成本测算明细'!G2985</f>
        <v>0</v>
      </c>
    </row>
    <row r="235" spans="1:3" s="3" customFormat="1" ht="14.25" hidden="1" customHeight="1" outlineLevel="3">
      <c r="A235" s="10"/>
      <c r="B235" s="31" t="s">
        <v>7222</v>
      </c>
      <c r="C235" s="38">
        <f>'05 成本测算明细'!O2984</f>
        <v>0</v>
      </c>
    </row>
    <row r="236" spans="1:3" s="3" customFormat="1" ht="14.25" hidden="1" customHeight="1" outlineLevel="3">
      <c r="A236" s="44"/>
      <c r="B236" s="31" t="s">
        <v>7223</v>
      </c>
      <c r="C236" s="38">
        <f>'05 成本测算明细'!O2988+'05 成本测算明细'!O2989+'05 成本测算明细'!O2990+'05 成本测算明细'!O2992</f>
        <v>0</v>
      </c>
    </row>
    <row r="237" spans="1:3" s="3" customFormat="1" ht="14.25" hidden="1" customHeight="1" outlineLevel="3">
      <c r="A237" s="44"/>
      <c r="B237" s="31" t="s">
        <v>7224</v>
      </c>
      <c r="C237" s="40"/>
    </row>
    <row r="238" spans="1:3" s="3" customFormat="1" ht="14.25" hidden="1" customHeight="1" outlineLevel="2" collapsed="1">
      <c r="A238" s="10" t="s">
        <v>7241</v>
      </c>
      <c r="B238" s="36" t="s">
        <v>7051</v>
      </c>
      <c r="C238" s="25">
        <f>'05 成本测算明细'!O2995</f>
        <v>0</v>
      </c>
    </row>
    <row r="239" spans="1:3" s="3" customFormat="1" ht="14.25" hidden="1" customHeight="1" outlineLevel="3">
      <c r="A239" s="10"/>
      <c r="B239" s="37" t="s">
        <v>7242</v>
      </c>
      <c r="C239" s="38">
        <f>'05 成本测算明细'!$K$2998+'05 成本测算明细'!$K$2999</f>
        <v>0</v>
      </c>
    </row>
    <row r="240" spans="1:3" s="3" customFormat="1" ht="14.25" hidden="1" customHeight="1" outlineLevel="3">
      <c r="A240" s="10"/>
      <c r="B240" s="37" t="s">
        <v>4496</v>
      </c>
      <c r="C240" s="32">
        <f>'05 成本测算明细'!G2998</f>
        <v>0</v>
      </c>
    </row>
    <row r="241" spans="1:3" s="3" customFormat="1" ht="14.25" hidden="1" customHeight="1" outlineLevel="3">
      <c r="A241" s="10"/>
      <c r="B241" s="37" t="s">
        <v>7243</v>
      </c>
      <c r="C241" s="38">
        <f>'05 成本测算明细'!$K$3000</f>
        <v>0</v>
      </c>
    </row>
    <row r="242" spans="1:3" s="3" customFormat="1" ht="14.25" hidden="1" customHeight="1" outlineLevel="3">
      <c r="A242" s="10"/>
      <c r="B242" s="37" t="s">
        <v>4501</v>
      </c>
      <c r="C242" s="32">
        <f>'05 成本测算明细'!G3000</f>
        <v>0</v>
      </c>
    </row>
    <row r="243" spans="1:3" s="3" customFormat="1" ht="14.25" hidden="1" customHeight="1" outlineLevel="3">
      <c r="A243" s="10"/>
      <c r="B243" s="37" t="s">
        <v>7244</v>
      </c>
      <c r="C243" s="38">
        <f>'05 成本测算明细'!$K$3001</f>
        <v>0</v>
      </c>
    </row>
    <row r="244" spans="1:3" s="3" customFormat="1" ht="14.25" hidden="1" customHeight="1" outlineLevel="3">
      <c r="A244" s="10"/>
      <c r="B244" s="37" t="s">
        <v>7245</v>
      </c>
      <c r="C244" s="32">
        <f>'05 成本测算明细'!G3001</f>
        <v>0</v>
      </c>
    </row>
    <row r="245" spans="1:3" s="3" customFormat="1" ht="14.25" hidden="1" customHeight="1" outlineLevel="3">
      <c r="A245" s="10"/>
      <c r="B245" s="37" t="s">
        <v>7246</v>
      </c>
      <c r="C245" s="32">
        <f>'05 成本测算明细'!$K$3004+'05 成本测算明细'!$K$3005</f>
        <v>0</v>
      </c>
    </row>
    <row r="246" spans="1:3" s="3" customFormat="1" ht="14.25" hidden="1" customHeight="1" outlineLevel="3">
      <c r="A246" s="10"/>
      <c r="B246" s="37" t="s">
        <v>7247</v>
      </c>
      <c r="C246" s="32">
        <f>'05 成本测算明细'!G3004</f>
        <v>0</v>
      </c>
    </row>
    <row r="247" spans="1:3" s="3" customFormat="1" ht="14.25" hidden="1" customHeight="1" outlineLevel="3">
      <c r="A247" s="10"/>
      <c r="B247" s="37" t="s">
        <v>7248</v>
      </c>
      <c r="C247" s="38">
        <f>'05 成本测算明细'!O3002+'05 成本测算明细'!O3006+'05 成本测算明细'!O3007+'05 成本测算明细'!O3008</f>
        <v>0</v>
      </c>
    </row>
    <row r="248" spans="1:3" s="3" customFormat="1" ht="14.25" hidden="1" customHeight="1" outlineLevel="2" collapsed="1">
      <c r="A248" s="10" t="s">
        <v>7252</v>
      </c>
      <c r="B248" s="16" t="s">
        <v>189</v>
      </c>
      <c r="C248" s="25">
        <f>'05 成本测算明细'!O3015</f>
        <v>0</v>
      </c>
    </row>
    <row r="249" spans="1:3" s="2" customFormat="1" ht="14.25" hidden="1" customHeight="1" outlineLevel="3">
      <c r="A249" s="10"/>
      <c r="B249" s="31" t="s">
        <v>7265</v>
      </c>
      <c r="C249" s="46">
        <f>IFERROR('05 成本测算明细'!I3017/'05 成本测算明细'!N3017,0)</f>
        <v>0</v>
      </c>
    </row>
    <row r="250" spans="1:3" s="2" customFormat="1" ht="14.25" hidden="1" customHeight="1" outlineLevel="3">
      <c r="A250" s="10"/>
      <c r="B250" s="31" t="s">
        <v>7266</v>
      </c>
      <c r="C250" s="38">
        <f>'05 成本测算明细'!K3017+'05 成本测算明细'!K3018+'05 成本测算明细'!K3019</f>
        <v>0</v>
      </c>
    </row>
    <row r="251" spans="1:3" s="2" customFormat="1" ht="14.25" hidden="1" customHeight="1" outlineLevel="3">
      <c r="A251" s="10"/>
      <c r="B251" s="31" t="s">
        <v>7267</v>
      </c>
      <c r="C251" s="46">
        <f>IFERROR('05 成本测算明细'!K3021/'05 成本测算明细'!N3021,0)</f>
        <v>0</v>
      </c>
    </row>
    <row r="252" spans="1:3" s="2" customFormat="1" ht="14.25" hidden="1" customHeight="1" outlineLevel="3">
      <c r="A252" s="10"/>
      <c r="B252" s="31" t="s">
        <v>7268</v>
      </c>
      <c r="C252" s="38">
        <f>'05 成本测算明细'!K3021+'05 成本测算明细'!K3022+'05 成本测算明细'!K3023</f>
        <v>0</v>
      </c>
    </row>
    <row r="253" spans="1:3" s="2" customFormat="1" ht="14.25" hidden="1" customHeight="1" outlineLevel="3">
      <c r="A253" s="10"/>
      <c r="B253" s="31" t="s">
        <v>7269</v>
      </c>
      <c r="C253" s="46">
        <f>IFERROR('05 成本测算明细'!K3025/'05 成本测算明细'!N3025,0)</f>
        <v>0</v>
      </c>
    </row>
    <row r="254" spans="1:3" s="2" customFormat="1" ht="14.25" hidden="1" customHeight="1" outlineLevel="3">
      <c r="A254" s="10"/>
      <c r="B254" s="31" t="s">
        <v>7270</v>
      </c>
      <c r="C254" s="38">
        <f>'05 成本测算明细'!K3025+'05 成本测算明细'!K3026+'05 成本测算明细'!K3027</f>
        <v>0</v>
      </c>
    </row>
    <row r="255" spans="1:3" s="2" customFormat="1" ht="14.25" hidden="1" customHeight="1" outlineLevel="3">
      <c r="A255" s="10"/>
      <c r="B255" s="31" t="s">
        <v>7279</v>
      </c>
      <c r="C255" s="46">
        <f>IFERROR('05 成本测算明细'!I3029/'05 成本测算明细'!N3029,0)</f>
        <v>0</v>
      </c>
    </row>
    <row r="256" spans="1:3" s="2" customFormat="1" ht="14.25" hidden="1" customHeight="1" outlineLevel="3">
      <c r="A256" s="10"/>
      <c r="B256" s="31" t="s">
        <v>7280</v>
      </c>
      <c r="C256" s="38">
        <f>'05 成本测算明细'!K3029+'05 成本测算明细'!K3030+'05 成本测算明细'!K3031</f>
        <v>0</v>
      </c>
    </row>
    <row r="257" spans="1:3" s="2" customFormat="1" ht="14.25" hidden="1" customHeight="1" outlineLevel="3">
      <c r="A257" s="10"/>
      <c r="B257" s="31" t="s">
        <v>7281</v>
      </c>
      <c r="C257" s="46">
        <f>IFERROR('05 成本测算明细'!I3033/'05 成本测算明细'!N3033,0)</f>
        <v>0</v>
      </c>
    </row>
    <row r="258" spans="1:3" s="2" customFormat="1" ht="14.25" hidden="1" customHeight="1" outlineLevel="3">
      <c r="A258" s="10"/>
      <c r="B258" s="31" t="s">
        <v>7282</v>
      </c>
      <c r="C258" s="38">
        <f>'05 成本测算明细'!K3033+'05 成本测算明细'!K3034+'05 成本测算明细'!K3035</f>
        <v>0</v>
      </c>
    </row>
    <row r="259" spans="1:3" s="2" customFormat="1" ht="14.25" hidden="1" customHeight="1" outlineLevel="3">
      <c r="A259" s="10"/>
      <c r="B259" s="31" t="s">
        <v>7283</v>
      </c>
      <c r="C259" s="46">
        <f>IFERROR('05 成本测算明细'!I3037/'05 成本测算明细'!N3037,0)</f>
        <v>0</v>
      </c>
    </row>
    <row r="260" spans="1:3" s="2" customFormat="1" ht="14.25" hidden="1" customHeight="1" outlineLevel="3">
      <c r="A260" s="10"/>
      <c r="B260" s="31" t="s">
        <v>7284</v>
      </c>
      <c r="C260" s="38">
        <f>'05 成本测算明细'!K3037+'05 成本测算明细'!K3038+'05 成本测算明细'!K3039</f>
        <v>0</v>
      </c>
    </row>
    <row r="261" spans="1:3" s="2" customFormat="1" ht="14.25" hidden="1" customHeight="1" outlineLevel="3">
      <c r="A261" s="10"/>
      <c r="B261" s="31" t="s">
        <v>7285</v>
      </c>
      <c r="C261" s="46">
        <f>IFERROR('05 成本测算明细'!$I$3041/'05 成本测算明细'!$N$3041,0)</f>
        <v>0</v>
      </c>
    </row>
    <row r="262" spans="1:3" s="2" customFormat="1" ht="14.25" hidden="1" customHeight="1" outlineLevel="3">
      <c r="A262" s="10"/>
      <c r="B262" s="31" t="s">
        <v>7286</v>
      </c>
      <c r="C262" s="38">
        <f>'05 成本测算明细'!$K$3041+'05 成本测算明细'!$K$3042+'05 成本测算明细'!$K$3043</f>
        <v>0</v>
      </c>
    </row>
    <row r="263" spans="1:3" s="2" customFormat="1" ht="14.25" hidden="1" customHeight="1" outlineLevel="3">
      <c r="A263" s="10"/>
      <c r="B263" s="31" t="s">
        <v>7287</v>
      </c>
      <c r="C263" s="46">
        <f>IFERROR('05 成本测算明细'!$I$3045/'05 成本测算明细'!$N$3045,0)</f>
        <v>0</v>
      </c>
    </row>
    <row r="264" spans="1:3" s="2" customFormat="1" ht="14.25" hidden="1" customHeight="1" outlineLevel="3">
      <c r="A264" s="10"/>
      <c r="B264" s="31" t="s">
        <v>7288</v>
      </c>
      <c r="C264" s="38">
        <f>'05 成本测算明细'!$K$3045+'05 成本测算明细'!$K$3046+'05 成本测算明细'!$K$3047</f>
        <v>0</v>
      </c>
    </row>
    <row r="265" spans="1:3" s="2" customFormat="1" ht="14.25" hidden="1" customHeight="1" outlineLevel="3">
      <c r="A265" s="10"/>
      <c r="B265" s="31" t="s">
        <v>7289</v>
      </c>
      <c r="C265" s="46">
        <f>IFERROR('05 成本测算明细'!$I$3049/'05 成本测算明细'!$N$3049,0)</f>
        <v>0</v>
      </c>
    </row>
    <row r="266" spans="1:3" s="2" customFormat="1" ht="14.25" hidden="1" customHeight="1" outlineLevel="3">
      <c r="A266" s="10"/>
      <c r="B266" s="31" t="s">
        <v>7290</v>
      </c>
      <c r="C266" s="38">
        <f>'05 成本测算明细'!$K$3049+'05 成本测算明细'!$K$3050+'05 成本测算明细'!$K$3051</f>
        <v>0</v>
      </c>
    </row>
    <row r="267" spans="1:3" s="2" customFormat="1" ht="14.25" hidden="1" customHeight="1" outlineLevel="3">
      <c r="A267" s="10"/>
      <c r="B267" s="31" t="s">
        <v>7291</v>
      </c>
      <c r="C267" s="46">
        <f>IFERROR('05 成本测算明细'!$I$3053/'05 成本测算明细'!$N$3053,0)</f>
        <v>0</v>
      </c>
    </row>
    <row r="268" spans="1:3" s="2" customFormat="1" ht="14.25" hidden="1" customHeight="1" outlineLevel="3">
      <c r="A268" s="10"/>
      <c r="B268" s="31" t="s">
        <v>7292</v>
      </c>
      <c r="C268" s="38">
        <f>'05 成本测算明细'!$K$3053+'05 成本测算明细'!$K$3054+'05 成本测算明细'!$K$3055</f>
        <v>0</v>
      </c>
    </row>
    <row r="269" spans="1:3" s="2" customFormat="1" ht="14.25" hidden="1" customHeight="1" outlineLevel="3">
      <c r="A269" s="10"/>
      <c r="B269" s="31" t="s">
        <v>7293</v>
      </c>
      <c r="C269" s="46">
        <f>IFERROR('05 成本测算明细'!$I$3057/'05 成本测算明细'!$N$3057,0)</f>
        <v>0</v>
      </c>
    </row>
    <row r="270" spans="1:3" s="2" customFormat="1" ht="14.25" hidden="1" customHeight="1" outlineLevel="3">
      <c r="A270" s="10"/>
      <c r="B270" s="31" t="s">
        <v>7294</v>
      </c>
      <c r="C270" s="38">
        <f>'05 成本测算明细'!$K$3057+'05 成本测算明细'!$K$3058+'05 成本测算明细'!$K$3059</f>
        <v>0</v>
      </c>
    </row>
    <row r="271" spans="1:3" s="2" customFormat="1" ht="14.25" hidden="1" customHeight="1" outlineLevel="3">
      <c r="A271" s="10"/>
      <c r="B271" s="31" t="s">
        <v>7295</v>
      </c>
      <c r="C271" s="46">
        <f>IFERROR('05 成本测算明细'!$I$3061/'05 成本测算明细'!$N$3061,0)</f>
        <v>0</v>
      </c>
    </row>
    <row r="272" spans="1:3" s="2" customFormat="1" ht="14.25" hidden="1" customHeight="1" outlineLevel="3">
      <c r="A272" s="10"/>
      <c r="B272" s="31" t="s">
        <v>7296</v>
      </c>
      <c r="C272" s="38">
        <f>'05 成本测算明细'!$K$3061+'05 成本测算明细'!$K$3062+'05 成本测算明细'!$K$3063</f>
        <v>0</v>
      </c>
    </row>
    <row r="273" spans="1:3" s="2" customFormat="1" ht="14.25" hidden="1" customHeight="1" outlineLevel="3">
      <c r="A273" s="10"/>
      <c r="B273" s="31" t="s">
        <v>7297</v>
      </c>
      <c r="C273" s="46">
        <f>IFERROR('05 成本测算明细'!$I$3065/'05 成本测算明细'!$N$3065,0)</f>
        <v>0</v>
      </c>
    </row>
    <row r="274" spans="1:3" s="2" customFormat="1" ht="14.25" hidden="1" customHeight="1" outlineLevel="3">
      <c r="A274" s="10"/>
      <c r="B274" s="31" t="s">
        <v>7298</v>
      </c>
      <c r="C274" s="38">
        <f>'05 成本测算明细'!$K$3065+'05 成本测算明细'!$K$3066+'05 成本测算明细'!$K$3067</f>
        <v>0</v>
      </c>
    </row>
    <row r="275" spans="1:3" s="2" customFormat="1" ht="14.25" hidden="1" customHeight="1" outlineLevel="3">
      <c r="A275" s="10"/>
      <c r="B275" s="31" t="s">
        <v>7299</v>
      </c>
      <c r="C275" s="46">
        <f>IFERROR('05 成本测算明细'!$I$3069/'05 成本测算明细'!$N$3069,0)</f>
        <v>0</v>
      </c>
    </row>
    <row r="276" spans="1:3" s="2" customFormat="1" ht="14.25" hidden="1" customHeight="1" outlineLevel="3">
      <c r="A276" s="10"/>
      <c r="B276" s="31" t="s">
        <v>7300</v>
      </c>
      <c r="C276" s="38">
        <f>'05 成本测算明细'!$K$3069+'05 成本测算明细'!$K$3070+'05 成本测算明细'!$K$3071</f>
        <v>0</v>
      </c>
    </row>
    <row r="277" spans="1:3" s="2" customFormat="1" ht="14.25" hidden="1" customHeight="1" outlineLevel="3">
      <c r="A277" s="10"/>
      <c r="B277" s="31" t="s">
        <v>7301</v>
      </c>
      <c r="C277" s="46">
        <f>IFERROR('05 成本测算明细'!$I$3073/'05 成本测算明细'!$N$3073,0)</f>
        <v>0</v>
      </c>
    </row>
    <row r="278" spans="1:3" s="2" customFormat="1" ht="14.25" hidden="1" customHeight="1" outlineLevel="3">
      <c r="A278" s="10"/>
      <c r="B278" s="31" t="s">
        <v>7302</v>
      </c>
      <c r="C278" s="38">
        <f>'05 成本测算明细'!$K$3073+'05 成本测算明细'!$K$3074+'05 成本测算明细'!$K$3075</f>
        <v>0</v>
      </c>
    </row>
    <row r="279" spans="1:3" s="2" customFormat="1" ht="14.25" hidden="1" customHeight="1" outlineLevel="3">
      <c r="A279" s="10"/>
      <c r="B279" s="31" t="s">
        <v>7258</v>
      </c>
      <c r="C279" s="46">
        <f>IFERROR('05 成本测算明细'!$I$3077/'05 成本测算明细'!$N$3077,0)</f>
        <v>0</v>
      </c>
    </row>
    <row r="280" spans="1:3" s="2" customFormat="1" ht="14.25" hidden="1" customHeight="1" outlineLevel="3">
      <c r="A280" s="10"/>
      <c r="B280" s="31" t="s">
        <v>7259</v>
      </c>
      <c r="C280" s="38">
        <f>'05 成本测算明细'!$K$3077+'05 成本测算明细'!$K$3078</f>
        <v>0</v>
      </c>
    </row>
    <row r="281" spans="1:3" s="2" customFormat="1" ht="14.25" hidden="1" customHeight="1" outlineLevel="2">
      <c r="A281" s="10" t="s">
        <v>7260</v>
      </c>
      <c r="B281" s="16" t="s">
        <v>7052</v>
      </c>
      <c r="C281" s="25">
        <f>'05 成本测算明细'!O3083</f>
        <v>0</v>
      </c>
    </row>
    <row r="282" spans="1:3" s="2" customFormat="1" ht="14.25" hidden="1" customHeight="1" outlineLevel="2">
      <c r="A282" s="10" t="s">
        <v>7261</v>
      </c>
      <c r="B282" s="16" t="s">
        <v>787</v>
      </c>
      <c r="C282" s="25">
        <f>'05 成本测算明细'!O3096</f>
        <v>0</v>
      </c>
    </row>
    <row r="283" spans="1:3" s="2" customFormat="1" ht="14.25" hidden="1" customHeight="1" outlineLevel="2">
      <c r="A283" s="10" t="s">
        <v>7262</v>
      </c>
      <c r="B283" s="16" t="s">
        <v>193</v>
      </c>
      <c r="C283" s="25">
        <f>'05 成本测算明细'!O3100</f>
        <v>0</v>
      </c>
    </row>
    <row r="284" spans="1:3" s="2" customFormat="1" ht="14.25" hidden="1" customHeight="1" outlineLevel="2" collapsed="1">
      <c r="A284" s="10" t="s">
        <v>7225</v>
      </c>
      <c r="B284" s="16" t="s">
        <v>7057</v>
      </c>
      <c r="C284" s="25">
        <f>'05 成本测算明细'!O3103</f>
        <v>0</v>
      </c>
    </row>
    <row r="285" spans="1:3" s="2" customFormat="1" ht="14.25" hidden="1" customHeight="1" outlineLevel="3">
      <c r="A285" s="10"/>
      <c r="B285" s="31" t="s">
        <v>7226</v>
      </c>
      <c r="C285" s="41"/>
    </row>
    <row r="286" spans="1:3" s="3" customFormat="1" ht="14.25" hidden="1" customHeight="1" outlineLevel="2" collapsed="1">
      <c r="A286" s="10" t="s">
        <v>7227</v>
      </c>
      <c r="B286" s="16" t="s">
        <v>7053</v>
      </c>
      <c r="C286" s="25">
        <f>'05 成本测算明细'!O3125</f>
        <v>0</v>
      </c>
    </row>
    <row r="287" spans="1:3" s="3" customFormat="1" ht="14.25" hidden="1" customHeight="1" outlineLevel="3">
      <c r="A287" s="10"/>
      <c r="B287" s="31" t="s">
        <v>7228</v>
      </c>
      <c r="C287" s="41"/>
    </row>
    <row r="288" spans="1:3" s="3" customFormat="1" ht="14.25" hidden="1" customHeight="1" outlineLevel="3">
      <c r="A288" s="10"/>
      <c r="B288" s="31" t="s">
        <v>7151</v>
      </c>
      <c r="C288" s="41"/>
    </row>
    <row r="289" spans="1:3" s="3" customFormat="1" ht="14.25" hidden="1" customHeight="1" outlineLevel="2">
      <c r="A289" s="10" t="s">
        <v>7229</v>
      </c>
      <c r="B289" s="16" t="s">
        <v>205</v>
      </c>
      <c r="C289" s="25">
        <f>'05 成本测算明细'!O3142</f>
        <v>0</v>
      </c>
    </row>
    <row r="290" spans="1:3" s="3" customFormat="1" ht="14.25" hidden="1" customHeight="1" outlineLevel="2">
      <c r="A290" s="10" t="s">
        <v>7230</v>
      </c>
      <c r="B290" s="16" t="s">
        <v>1124</v>
      </c>
      <c r="C290" s="25">
        <f>'05 成本测算明细'!O3155</f>
        <v>0</v>
      </c>
    </row>
    <row r="291" spans="1:3" s="3" customFormat="1" ht="14.25" hidden="1" customHeight="1" outlineLevel="2">
      <c r="A291" s="10" t="s">
        <v>7231</v>
      </c>
      <c r="B291" s="16" t="s">
        <v>7054</v>
      </c>
      <c r="C291" s="25">
        <f>'05 成本测算明细'!O3191</f>
        <v>0</v>
      </c>
    </row>
    <row r="292" spans="1:3" s="3" customFormat="1" ht="14.25" hidden="1" customHeight="1" outlineLevel="2">
      <c r="A292" s="10" t="s">
        <v>7233</v>
      </c>
      <c r="B292" s="16" t="s">
        <v>7264</v>
      </c>
      <c r="C292" s="25">
        <f>'05 成本测算明细'!O3196</f>
        <v>0</v>
      </c>
    </row>
    <row r="293" spans="1:3" s="3" customFormat="1" ht="14.25" hidden="1" customHeight="1" outlineLevel="2">
      <c r="A293" s="10" t="s">
        <v>7235</v>
      </c>
      <c r="B293" s="16" t="s">
        <v>7056</v>
      </c>
      <c r="C293" s="25">
        <f>'05 成本测算明细'!O3198</f>
        <v>0</v>
      </c>
    </row>
    <row r="294" spans="1:3" s="3" customFormat="1" ht="14.25" hidden="1" customHeight="1" outlineLevel="1" collapsed="1">
      <c r="A294" s="26"/>
      <c r="B294" s="27" t="str">
        <f>'05 成本测算明细'!A3211</f>
        <v>$pname7$商业</v>
      </c>
      <c r="C294" s="28">
        <f>'05 成本测算明细'!O3211</f>
        <v>0</v>
      </c>
    </row>
    <row r="295" spans="1:3" s="4" customFormat="1" ht="14.25" hidden="1" customHeight="1" outlineLevel="2" collapsed="1">
      <c r="A295" s="10" t="s">
        <v>7201</v>
      </c>
      <c r="B295" s="16" t="s">
        <v>7104</v>
      </c>
      <c r="C295" s="25">
        <f>'05 成本测算明细'!$O$3212</f>
        <v>0</v>
      </c>
    </row>
    <row r="296" spans="1:3" s="3" customFormat="1" ht="14.25" hidden="1" customHeight="1" outlineLevel="3" collapsed="1">
      <c r="A296" s="29"/>
      <c r="B296" s="16" t="s">
        <v>7202</v>
      </c>
      <c r="C296" s="30">
        <f>'05 成本测算明细'!$O$3213</f>
        <v>0</v>
      </c>
    </row>
    <row r="297" spans="1:3" s="3" customFormat="1" ht="14.25" hidden="1" customHeight="1" outlineLevel="4" collapsed="1">
      <c r="A297" s="1864" t="s">
        <v>7203</v>
      </c>
      <c r="B297" s="16" t="s">
        <v>688</v>
      </c>
      <c r="C297" s="30">
        <f>'05 成本测算明细'!$O$3214</f>
        <v>0</v>
      </c>
    </row>
    <row r="298" spans="1:3" s="3" customFormat="1" ht="14.25" hidden="1" customHeight="1" outlineLevel="5">
      <c r="A298" s="1865"/>
      <c r="B298" s="31" t="s">
        <v>7204</v>
      </c>
      <c r="C298" s="32">
        <f>'05 成本测算明细'!$G$3215</f>
        <v>0</v>
      </c>
    </row>
    <row r="299" spans="1:3" s="3" customFormat="1" ht="14.25" hidden="1" customHeight="1" outlineLevel="5">
      <c r="A299" s="1865"/>
      <c r="B299" s="31" t="s">
        <v>7205</v>
      </c>
      <c r="C299" s="43">
        <f>'05 成本测算明细'!$K$3215</f>
        <v>0</v>
      </c>
    </row>
    <row r="300" spans="1:3" s="3" customFormat="1" ht="14.25" hidden="1" customHeight="1" outlineLevel="5">
      <c r="A300" s="1865"/>
      <c r="B300" s="31" t="s">
        <v>7236</v>
      </c>
      <c r="C300" s="32">
        <f>'05 成本测算明细'!$G$3216</f>
        <v>0</v>
      </c>
    </row>
    <row r="301" spans="1:3" s="4" customFormat="1" ht="14.25" hidden="1" customHeight="1" outlineLevel="5">
      <c r="A301" s="1865"/>
      <c r="B301" s="31" t="s">
        <v>7237</v>
      </c>
      <c r="C301" s="43">
        <f>'05 成本测算明细'!$K$3216</f>
        <v>0</v>
      </c>
    </row>
    <row r="302" spans="1:3" s="3" customFormat="1" ht="14.25" hidden="1" customHeight="1" outlineLevel="5">
      <c r="A302" s="1865"/>
      <c r="B302" s="31" t="s">
        <v>7206</v>
      </c>
      <c r="C302" s="43">
        <f>'05 成本测算明细'!$K$3217</f>
        <v>0</v>
      </c>
    </row>
    <row r="303" spans="1:3" s="3" customFormat="1" ht="14.25" hidden="1" customHeight="1" outlineLevel="5">
      <c r="A303" s="1865"/>
      <c r="B303" s="31" t="s">
        <v>7207</v>
      </c>
      <c r="C303" s="34"/>
    </row>
    <row r="304" spans="1:3" s="3" customFormat="1" ht="14.25" hidden="1" customHeight="1" outlineLevel="5">
      <c r="A304" s="1865"/>
      <c r="B304" s="31" t="s">
        <v>7208</v>
      </c>
      <c r="C304" s="34"/>
    </row>
    <row r="305" spans="1:3" s="3" customFormat="1" ht="14.25" hidden="1" customHeight="1" outlineLevel="4">
      <c r="A305" s="1865"/>
      <c r="B305" s="16" t="s">
        <v>973</v>
      </c>
      <c r="C305" s="30">
        <f>'05 成本测算明细'!$O$3218</f>
        <v>0</v>
      </c>
    </row>
    <row r="306" spans="1:3" s="3" customFormat="1" ht="14.25" hidden="1" customHeight="1" outlineLevel="4" collapsed="1">
      <c r="A306" s="1865"/>
      <c r="B306" s="16" t="s">
        <v>691</v>
      </c>
      <c r="C306" s="30">
        <f>'05 成本测算明细'!$O$3223</f>
        <v>0</v>
      </c>
    </row>
    <row r="307" spans="1:3" s="3" customFormat="1" ht="14.25" hidden="1" customHeight="1" outlineLevel="5">
      <c r="A307" s="1865"/>
      <c r="B307" s="31" t="s">
        <v>7209</v>
      </c>
      <c r="C307" s="42">
        <f>'05 成本测算明细'!$G$3224</f>
        <v>0</v>
      </c>
    </row>
    <row r="308" spans="1:3" s="3" customFormat="1" ht="14.25" hidden="1" customHeight="1" outlineLevel="5">
      <c r="A308" s="1865"/>
      <c r="B308" s="31" t="s">
        <v>7210</v>
      </c>
      <c r="C308" s="43">
        <f>'05 成本测算明细'!$K$3224</f>
        <v>0</v>
      </c>
    </row>
    <row r="309" spans="1:3" s="3" customFormat="1" ht="14.25" hidden="1" customHeight="1" outlineLevel="5">
      <c r="A309" s="1865"/>
      <c r="B309" s="31" t="s">
        <v>7238</v>
      </c>
      <c r="C309" s="42">
        <f>'05 成本测算明细'!$G$3225</f>
        <v>0</v>
      </c>
    </row>
    <row r="310" spans="1:3" s="3" customFormat="1" ht="14.25" hidden="1" customHeight="1" outlineLevel="5">
      <c r="A310" s="1865"/>
      <c r="B310" s="31" t="s">
        <v>7239</v>
      </c>
      <c r="C310" s="43">
        <f>'05 成本测算明细'!$K$3225</f>
        <v>0</v>
      </c>
    </row>
    <row r="311" spans="1:3" s="3" customFormat="1" ht="14.25" hidden="1" customHeight="1" outlineLevel="5">
      <c r="A311" s="1865"/>
      <c r="B311" s="31" t="s">
        <v>7211</v>
      </c>
      <c r="C311" s="43">
        <f>'05 成本测算明细'!$K$3226</f>
        <v>0</v>
      </c>
    </row>
    <row r="312" spans="1:3" s="3" customFormat="1" ht="14.25" hidden="1" customHeight="1" outlineLevel="5">
      <c r="A312" s="1865"/>
      <c r="B312" s="31" t="s">
        <v>7212</v>
      </c>
      <c r="C312" s="43"/>
    </row>
    <row r="313" spans="1:3" s="3" customFormat="1" ht="14.25" hidden="1" customHeight="1" outlineLevel="5">
      <c r="A313" s="1865"/>
      <c r="B313" s="31" t="s">
        <v>7213</v>
      </c>
      <c r="C313" s="43"/>
    </row>
    <row r="314" spans="1:3" s="3" customFormat="1" ht="14.25" hidden="1" customHeight="1" outlineLevel="4" collapsed="1">
      <c r="A314" s="1865"/>
      <c r="B314" s="36" t="s">
        <v>7214</v>
      </c>
      <c r="C314" s="25">
        <f>'05 成本测算明细'!$O$3229</f>
        <v>0</v>
      </c>
    </row>
    <row r="315" spans="1:3" s="3" customFormat="1" ht="14.25" hidden="1" customHeight="1" outlineLevel="5">
      <c r="A315" s="1865"/>
      <c r="B315" s="37" t="s">
        <v>694</v>
      </c>
      <c r="C315" s="32">
        <f>'05 成本测算明细'!$G$3230</f>
        <v>0</v>
      </c>
    </row>
    <row r="316" spans="1:3" s="3" customFormat="1" ht="14.25" hidden="1" customHeight="1" outlineLevel="5">
      <c r="A316" s="1865"/>
      <c r="B316" s="37" t="s">
        <v>730</v>
      </c>
      <c r="C316" s="38">
        <f>'05 成本测算明细'!$K$3230</f>
        <v>0</v>
      </c>
    </row>
    <row r="317" spans="1:3" s="3" customFormat="1" ht="14.25" hidden="1" customHeight="1" outlineLevel="4">
      <c r="A317" s="1865"/>
      <c r="B317" s="16" t="s">
        <v>7215</v>
      </c>
      <c r="C317" s="25">
        <f>'05 成本测算明细'!$O$3233</f>
        <v>0</v>
      </c>
    </row>
    <row r="318" spans="1:3" s="3" customFormat="1" ht="14.25" hidden="1" customHeight="1" outlineLevel="4">
      <c r="A318" s="1865"/>
      <c r="B318" s="16" t="s">
        <v>7216</v>
      </c>
      <c r="C318" s="25">
        <f>'05 成本测算明细'!$O$3234</f>
        <v>0</v>
      </c>
    </row>
    <row r="319" spans="1:3" s="3" customFormat="1" ht="14.25" hidden="1" customHeight="1" outlineLevel="4">
      <c r="A319" s="1866"/>
      <c r="B319" s="16" t="s">
        <v>7217</v>
      </c>
      <c r="C319" s="25">
        <f>'05 成本测算明细'!$O$3235</f>
        <v>0</v>
      </c>
    </row>
    <row r="320" spans="1:3" s="3" customFormat="1" ht="14.25" hidden="1" customHeight="1" outlineLevel="3">
      <c r="A320" s="10"/>
      <c r="B320" s="16" t="s">
        <v>7218</v>
      </c>
      <c r="C320" s="25">
        <f>'05 成本测算明细'!$O$3236</f>
        <v>0</v>
      </c>
    </row>
    <row r="321" spans="1:3" s="3" customFormat="1" ht="14.25" hidden="1" customHeight="1" outlineLevel="3">
      <c r="A321" s="10"/>
      <c r="B321" s="16" t="s">
        <v>7219</v>
      </c>
      <c r="C321" s="25">
        <f>'05 成本测算明细'!$O$3258</f>
        <v>0</v>
      </c>
    </row>
    <row r="322" spans="1:3" s="3" customFormat="1" ht="14.25" hidden="1" customHeight="1" outlineLevel="2" collapsed="1">
      <c r="A322" s="10" t="s">
        <v>7220</v>
      </c>
      <c r="B322" s="16" t="s">
        <v>7105</v>
      </c>
      <c r="C322" s="25">
        <f>'05 成本测算明细'!$O$3262</f>
        <v>0</v>
      </c>
    </row>
    <row r="323" spans="1:3" s="3" customFormat="1" ht="14.25" hidden="1" customHeight="1" outlineLevel="3">
      <c r="A323" s="10"/>
      <c r="B323" s="31" t="s">
        <v>7221</v>
      </c>
      <c r="C323" s="32">
        <f>'05 成本测算明细'!$G$3264</f>
        <v>0</v>
      </c>
    </row>
    <row r="324" spans="1:3" s="3" customFormat="1" ht="14.25" hidden="1" customHeight="1" outlineLevel="3">
      <c r="A324" s="10"/>
      <c r="B324" s="31" t="s">
        <v>7240</v>
      </c>
      <c r="C324" s="32">
        <f>'05 成本测算明细'!$G$3265</f>
        <v>0</v>
      </c>
    </row>
    <row r="325" spans="1:3" s="3" customFormat="1" ht="14.25" hidden="1" customHeight="1" outlineLevel="3">
      <c r="A325" s="10"/>
      <c r="B325" s="31" t="s">
        <v>7222</v>
      </c>
      <c r="C325" s="38">
        <f>'05 成本测算明细'!O3263</f>
        <v>0</v>
      </c>
    </row>
    <row r="326" spans="1:3" s="3" customFormat="1" ht="14.25" hidden="1" customHeight="1" outlineLevel="3">
      <c r="A326" s="44"/>
      <c r="B326" s="31" t="s">
        <v>7223</v>
      </c>
      <c r="C326" s="38">
        <f>'05 成本测算明细'!O3268+'05 成本测算明细'!O3269+'05 成本测算明细'!O3270+'05 成本测算明细'!O3272</f>
        <v>0</v>
      </c>
    </row>
    <row r="327" spans="1:3" s="3" customFormat="1" ht="14.25" hidden="1" customHeight="1" outlineLevel="3">
      <c r="A327" s="44"/>
      <c r="B327" s="31" t="s">
        <v>7224</v>
      </c>
      <c r="C327" s="40"/>
    </row>
    <row r="328" spans="1:3" s="3" customFormat="1" ht="14.25" hidden="1" customHeight="1" outlineLevel="2" collapsed="1">
      <c r="A328" s="10" t="s">
        <v>7241</v>
      </c>
      <c r="B328" s="36" t="s">
        <v>7051</v>
      </c>
      <c r="C328" s="25">
        <f>'05 成本测算明细'!$O$3275</f>
        <v>0</v>
      </c>
    </row>
    <row r="329" spans="1:3" s="3" customFormat="1" ht="14.25" hidden="1" customHeight="1" outlineLevel="3">
      <c r="A329" s="10"/>
      <c r="B329" s="37" t="s">
        <v>7242</v>
      </c>
      <c r="C329" s="38">
        <f>'05 成本测算明细'!$K$3278+'05 成本测算明细'!$K$3279</f>
        <v>0</v>
      </c>
    </row>
    <row r="330" spans="1:3" s="3" customFormat="1" ht="14.25" hidden="1" customHeight="1" outlineLevel="3">
      <c r="A330" s="10"/>
      <c r="B330" s="37" t="s">
        <v>4496</v>
      </c>
      <c r="C330" s="32">
        <f>'05 成本测算明细'!$G$3278</f>
        <v>0</v>
      </c>
    </row>
    <row r="331" spans="1:3" s="3" customFormat="1" ht="14.25" hidden="1" customHeight="1" outlineLevel="3">
      <c r="A331" s="10"/>
      <c r="B331" s="37" t="s">
        <v>7243</v>
      </c>
      <c r="C331" s="38">
        <f>'05 成本测算明细'!$K$3280</f>
        <v>0</v>
      </c>
    </row>
    <row r="332" spans="1:3" s="3" customFormat="1" ht="14.25" hidden="1" customHeight="1" outlineLevel="3">
      <c r="A332" s="10"/>
      <c r="B332" s="37" t="s">
        <v>4501</v>
      </c>
      <c r="C332" s="32">
        <f>'05 成本测算明细'!$G$3280</f>
        <v>0</v>
      </c>
    </row>
    <row r="333" spans="1:3" s="3" customFormat="1" ht="14.25" hidden="1" customHeight="1" outlineLevel="3">
      <c r="A333" s="10"/>
      <c r="B333" s="37" t="s">
        <v>7244</v>
      </c>
      <c r="C333" s="38">
        <f>'05 成本测算明细'!$K$3281</f>
        <v>0</v>
      </c>
    </row>
    <row r="334" spans="1:3" s="3" customFormat="1" ht="14.25" hidden="1" customHeight="1" outlineLevel="3">
      <c r="A334" s="10"/>
      <c r="B334" s="37" t="s">
        <v>7245</v>
      </c>
      <c r="C334" s="32">
        <f>'05 成本测算明细'!$G$3281</f>
        <v>0</v>
      </c>
    </row>
    <row r="335" spans="1:3" s="3" customFormat="1" ht="14.25" hidden="1" customHeight="1" outlineLevel="3">
      <c r="A335" s="10"/>
      <c r="B335" s="37" t="s">
        <v>7246</v>
      </c>
      <c r="C335" s="32">
        <f>'05 成本测算明细'!$K$3284+'05 成本测算明细'!$K$3285</f>
        <v>0</v>
      </c>
    </row>
    <row r="336" spans="1:3" s="3" customFormat="1" ht="14.25" hidden="1" customHeight="1" outlineLevel="3">
      <c r="A336" s="10"/>
      <c r="B336" s="37" t="s">
        <v>7247</v>
      </c>
      <c r="C336" s="32">
        <f>'05 成本测算明细'!$G$3284</f>
        <v>0</v>
      </c>
    </row>
    <row r="337" spans="1:3" s="3" customFormat="1" ht="14.25" hidden="1" customHeight="1" outlineLevel="3">
      <c r="A337" s="10"/>
      <c r="B337" s="37" t="s">
        <v>7248</v>
      </c>
      <c r="C337" s="38">
        <f>'05 成本测算明细'!$O$3282+'05 成本测算明细'!$O$3286+'05 成本测算明细'!$O$3288+'05 成本测算明细'!$O$3289</f>
        <v>0</v>
      </c>
    </row>
    <row r="338" spans="1:3" s="3" customFormat="1" ht="14.25" hidden="1" customHeight="1" outlineLevel="3">
      <c r="A338" s="10"/>
      <c r="B338" s="37" t="s">
        <v>7249</v>
      </c>
      <c r="C338" s="45">
        <f>'05 成本测算明细'!$O$3287</f>
        <v>0</v>
      </c>
    </row>
    <row r="339" spans="1:3" s="3" customFormat="1" ht="14.25" hidden="1" customHeight="1" outlineLevel="3">
      <c r="A339" s="10"/>
      <c r="B339" s="37" t="s">
        <v>7250</v>
      </c>
      <c r="C339" s="38">
        <f>'05 成本测算明细'!$K$3287</f>
        <v>0</v>
      </c>
    </row>
    <row r="340" spans="1:3" s="3" customFormat="1" ht="14.25" hidden="1" customHeight="1" outlineLevel="3">
      <c r="A340" s="10"/>
      <c r="B340" s="37" t="s">
        <v>7251</v>
      </c>
      <c r="C340" s="38">
        <f>'05 成本测算明细'!$I$3287</f>
        <v>0</v>
      </c>
    </row>
    <row r="341" spans="1:3" s="3" customFormat="1" ht="14.25" hidden="1" customHeight="1" outlineLevel="2" collapsed="1">
      <c r="A341" s="10" t="s">
        <v>7252</v>
      </c>
      <c r="B341" s="16" t="s">
        <v>189</v>
      </c>
      <c r="C341" s="25">
        <f>'05 成本测算明细'!$O$3296</f>
        <v>0</v>
      </c>
    </row>
    <row r="342" spans="1:3" s="2" customFormat="1" ht="14.25" hidden="1" customHeight="1" outlineLevel="3">
      <c r="A342" s="10"/>
      <c r="B342" s="31" t="s">
        <v>7253</v>
      </c>
      <c r="C342" s="46">
        <f>'05 成本测算明细'!$G$3299</f>
        <v>0</v>
      </c>
    </row>
    <row r="343" spans="1:3" s="2" customFormat="1" ht="14.25" hidden="1" customHeight="1" outlineLevel="3">
      <c r="A343" s="10"/>
      <c r="B343" s="31" t="s">
        <v>7254</v>
      </c>
      <c r="C343" s="38">
        <f>'05 成本测算明细'!$K$3299+'05 成本测算明细'!$K$3300</f>
        <v>0</v>
      </c>
    </row>
    <row r="344" spans="1:3" s="2" customFormat="1" ht="14.25" hidden="1" customHeight="1" outlineLevel="3">
      <c r="A344" s="10"/>
      <c r="B344" s="31" t="s">
        <v>7255</v>
      </c>
      <c r="C344" s="38">
        <f>'05 成本测算明细'!$K$3301</f>
        <v>0</v>
      </c>
    </row>
    <row r="345" spans="1:3" s="2" customFormat="1" ht="14.25" hidden="1" customHeight="1" outlineLevel="3">
      <c r="A345" s="10"/>
      <c r="B345" s="31" t="s">
        <v>7256</v>
      </c>
      <c r="C345" s="46">
        <f>'05 成本测算明细'!$G$3306</f>
        <v>0</v>
      </c>
    </row>
    <row r="346" spans="1:3" s="2" customFormat="1" ht="14.25" hidden="1" customHeight="1" outlineLevel="3">
      <c r="A346" s="10"/>
      <c r="B346" s="31" t="s">
        <v>7257</v>
      </c>
      <c r="C346" s="38">
        <f>'05 成本测算明细'!$K$3306+'05 成本测算明细'!$K$3307+'05 成本测算明细'!$K$3308</f>
        <v>0</v>
      </c>
    </row>
    <row r="347" spans="1:3" s="2" customFormat="1" ht="14.25" hidden="1" customHeight="1" outlineLevel="3">
      <c r="A347" s="10"/>
      <c r="B347" s="31" t="s">
        <v>7258</v>
      </c>
      <c r="C347" s="46">
        <f>IFERROR('05 成本测算明细'!$I$3311/'05 成本测算明细'!$N$3311,0)</f>
        <v>0</v>
      </c>
    </row>
    <row r="348" spans="1:3" s="2" customFormat="1" ht="14.25" hidden="1" customHeight="1" outlineLevel="3">
      <c r="A348" s="10"/>
      <c r="B348" s="31" t="s">
        <v>7259</v>
      </c>
      <c r="C348" s="38">
        <f>'05 成本测算明细'!$K$3311+'05 成本测算明细'!$K$3312</f>
        <v>0</v>
      </c>
    </row>
    <row r="349" spans="1:3" s="2" customFormat="1" ht="14.25" hidden="1" customHeight="1" outlineLevel="2">
      <c r="A349" s="10" t="s">
        <v>7260</v>
      </c>
      <c r="B349" s="16" t="s">
        <v>7052</v>
      </c>
      <c r="C349" s="25">
        <f>'05 成本测算明细'!$O$3317</f>
        <v>0</v>
      </c>
    </row>
    <row r="350" spans="1:3" s="2" customFormat="1" ht="14.25" hidden="1" customHeight="1" outlineLevel="2">
      <c r="A350" s="10" t="s">
        <v>7261</v>
      </c>
      <c r="B350" s="16" t="s">
        <v>787</v>
      </c>
      <c r="C350" s="25">
        <f>'05 成本测算明细'!$O$3330</f>
        <v>0</v>
      </c>
    </row>
    <row r="351" spans="1:3" s="2" customFormat="1" ht="14.25" hidden="1" customHeight="1" outlineLevel="2">
      <c r="A351" s="10" t="s">
        <v>7262</v>
      </c>
      <c r="B351" s="16" t="s">
        <v>193</v>
      </c>
      <c r="C351" s="25">
        <f>'05 成本测算明细'!$O$3334</f>
        <v>0</v>
      </c>
    </row>
    <row r="352" spans="1:3" s="2" customFormat="1" ht="14.25" hidden="1" customHeight="1" outlineLevel="2" collapsed="1">
      <c r="A352" s="10" t="s">
        <v>7225</v>
      </c>
      <c r="B352" s="16" t="s">
        <v>7057</v>
      </c>
      <c r="C352" s="25">
        <f>'05 成本测算明细'!$O$3341</f>
        <v>0</v>
      </c>
    </row>
    <row r="353" spans="1:3" s="2" customFormat="1" ht="14.25" hidden="1" customHeight="1" outlineLevel="3">
      <c r="A353" s="10"/>
      <c r="B353" s="31" t="s">
        <v>7226</v>
      </c>
      <c r="C353" s="41"/>
    </row>
    <row r="354" spans="1:3" s="3" customFormat="1" ht="14.25" hidden="1" customHeight="1" outlineLevel="2" collapsed="1">
      <c r="A354" s="10" t="s">
        <v>7227</v>
      </c>
      <c r="B354" s="16" t="s">
        <v>7053</v>
      </c>
      <c r="C354" s="25">
        <f>'05 成本测算明细'!$O$3363</f>
        <v>0</v>
      </c>
    </row>
    <row r="355" spans="1:3" s="3" customFormat="1" ht="14.25" hidden="1" customHeight="1" outlineLevel="3">
      <c r="A355" s="10"/>
      <c r="B355" s="31" t="s">
        <v>7228</v>
      </c>
      <c r="C355" s="41"/>
    </row>
    <row r="356" spans="1:3" s="3" customFormat="1" ht="14.25" hidden="1" customHeight="1" outlineLevel="3">
      <c r="A356" s="10"/>
      <c r="B356" s="31" t="s">
        <v>7151</v>
      </c>
      <c r="C356" s="41"/>
    </row>
    <row r="357" spans="1:3" s="3" customFormat="1" ht="14.25" hidden="1" customHeight="1" outlineLevel="2">
      <c r="A357" s="10" t="s">
        <v>7229</v>
      </c>
      <c r="B357" s="16" t="s">
        <v>205</v>
      </c>
      <c r="C357" s="25">
        <f>'05 成本测算明细'!$O$3380</f>
        <v>0</v>
      </c>
    </row>
    <row r="358" spans="1:3" s="3" customFormat="1" ht="14.25" hidden="1" customHeight="1" outlineLevel="2">
      <c r="A358" s="10" t="s">
        <v>7230</v>
      </c>
      <c r="B358" s="16" t="s">
        <v>1124</v>
      </c>
      <c r="C358" s="25">
        <f>'05 成本测算明细'!$O$3393</f>
        <v>0</v>
      </c>
    </row>
    <row r="359" spans="1:3" s="3" customFormat="1" ht="14.25" hidden="1" customHeight="1" outlineLevel="2">
      <c r="A359" s="10" t="s">
        <v>7231</v>
      </c>
      <c r="B359" s="16" t="s">
        <v>7054</v>
      </c>
      <c r="C359" s="25">
        <f>'05 成本测算明细'!$O$3424</f>
        <v>0</v>
      </c>
    </row>
    <row r="360" spans="1:3" s="3" customFormat="1" ht="14.25" hidden="1" customHeight="1" outlineLevel="2">
      <c r="A360" s="10" t="s">
        <v>7233</v>
      </c>
      <c r="B360" s="16" t="s">
        <v>7264</v>
      </c>
      <c r="C360" s="25">
        <f>'05 成本测算明细'!$O$3429</f>
        <v>0</v>
      </c>
    </row>
    <row r="361" spans="1:3" s="3" customFormat="1" ht="14.25" hidden="1" customHeight="1" outlineLevel="2">
      <c r="A361" s="10" t="s">
        <v>7235</v>
      </c>
      <c r="B361" s="16" t="s">
        <v>7056</v>
      </c>
      <c r="C361" s="25">
        <f>'05 成本测算明细'!$O$3431</f>
        <v>0</v>
      </c>
    </row>
    <row r="362" spans="1:3" s="3" customFormat="1" ht="14.25" hidden="1" customHeight="1" outlineLevel="1" collapsed="1">
      <c r="A362" s="26"/>
      <c r="B362" s="27" t="str">
        <f>'05 成本测算明细'!A3439</f>
        <v>$pname8$写字楼</v>
      </c>
      <c r="C362" s="28">
        <f>'05 成本测算明细'!O3439</f>
        <v>0</v>
      </c>
    </row>
    <row r="363" spans="1:3" s="4" customFormat="1" ht="14.25" hidden="1" customHeight="1" outlineLevel="2" collapsed="1">
      <c r="A363" s="10" t="s">
        <v>7201</v>
      </c>
      <c r="B363" s="16" t="s">
        <v>7104</v>
      </c>
      <c r="C363" s="25">
        <f>'05 成本测算明细'!$O$3440</f>
        <v>0</v>
      </c>
    </row>
    <row r="364" spans="1:3" s="3" customFormat="1" ht="14.25" hidden="1" customHeight="1" outlineLevel="3" collapsed="1">
      <c r="A364" s="29"/>
      <c r="B364" s="16" t="s">
        <v>7202</v>
      </c>
      <c r="C364" s="30">
        <f>'05 成本测算明细'!$O$3441</f>
        <v>0</v>
      </c>
    </row>
    <row r="365" spans="1:3" s="3" customFormat="1" ht="14.25" hidden="1" customHeight="1" outlineLevel="4" collapsed="1">
      <c r="A365" s="1864" t="s">
        <v>7203</v>
      </c>
      <c r="B365" s="16" t="s">
        <v>688</v>
      </c>
      <c r="C365" s="30">
        <f>'05 成本测算明细'!$O$3442</f>
        <v>0</v>
      </c>
    </row>
    <row r="366" spans="1:3" s="3" customFormat="1" ht="14.25" hidden="1" customHeight="1" outlineLevel="5">
      <c r="A366" s="1865"/>
      <c r="B366" s="31" t="s">
        <v>7236</v>
      </c>
      <c r="C366" s="32">
        <f>'05 成本测算明细'!$G$3443</f>
        <v>0</v>
      </c>
    </row>
    <row r="367" spans="1:3" s="4" customFormat="1" ht="14.25" hidden="1" customHeight="1" outlineLevel="5">
      <c r="A367" s="1865"/>
      <c r="B367" s="31" t="s">
        <v>7237</v>
      </c>
      <c r="C367" s="43">
        <f>'05 成本测算明细'!$K$3443</f>
        <v>0</v>
      </c>
    </row>
    <row r="368" spans="1:3" s="3" customFormat="1" ht="14.25" hidden="1" customHeight="1" outlineLevel="5">
      <c r="A368" s="1865"/>
      <c r="B368" s="31" t="s">
        <v>7206</v>
      </c>
      <c r="C368" s="43">
        <f>'05 成本测算明细'!$K$3444</f>
        <v>0</v>
      </c>
    </row>
    <row r="369" spans="1:3" s="3" customFormat="1" ht="14.25" hidden="1" customHeight="1" outlineLevel="5">
      <c r="A369" s="1865"/>
      <c r="B369" s="31" t="s">
        <v>7207</v>
      </c>
      <c r="C369" s="34"/>
    </row>
    <row r="370" spans="1:3" s="3" customFormat="1" ht="14.25" hidden="1" customHeight="1" outlineLevel="5">
      <c r="A370" s="1865"/>
      <c r="B370" s="31" t="s">
        <v>7208</v>
      </c>
      <c r="C370" s="34"/>
    </row>
    <row r="371" spans="1:3" s="3" customFormat="1" ht="14.25" hidden="1" customHeight="1" outlineLevel="4">
      <c r="A371" s="1865"/>
      <c r="B371" s="16" t="s">
        <v>973</v>
      </c>
      <c r="C371" s="30">
        <f>'05 成本测算明细'!$O$3445</f>
        <v>0</v>
      </c>
    </row>
    <row r="372" spans="1:3" s="3" customFormat="1" ht="14.25" hidden="1" customHeight="1" outlineLevel="4" collapsed="1">
      <c r="A372" s="1865"/>
      <c r="B372" s="16" t="s">
        <v>691</v>
      </c>
      <c r="C372" s="30">
        <f>'05 成本测算明细'!$O$3450</f>
        <v>0</v>
      </c>
    </row>
    <row r="373" spans="1:3" s="3" customFormat="1" ht="14.25" hidden="1" customHeight="1" outlineLevel="5">
      <c r="A373" s="1865"/>
      <c r="B373" s="31" t="s">
        <v>7238</v>
      </c>
      <c r="C373" s="42">
        <f>'05 成本测算明细'!$G$3451</f>
        <v>0</v>
      </c>
    </row>
    <row r="374" spans="1:3" s="3" customFormat="1" ht="14.25" hidden="1" customHeight="1" outlineLevel="5">
      <c r="A374" s="1865"/>
      <c r="B374" s="31" t="s">
        <v>7239</v>
      </c>
      <c r="C374" s="43">
        <f>'05 成本测算明细'!$K$3451</f>
        <v>0</v>
      </c>
    </row>
    <row r="375" spans="1:3" s="3" customFormat="1" ht="14.25" hidden="1" customHeight="1" outlineLevel="5">
      <c r="A375" s="1865"/>
      <c r="B375" s="31" t="s">
        <v>7211</v>
      </c>
      <c r="C375" s="43">
        <f>'05 成本测算明细'!$K$3452</f>
        <v>0</v>
      </c>
    </row>
    <row r="376" spans="1:3" s="3" customFormat="1" ht="14.25" hidden="1" customHeight="1" outlineLevel="5">
      <c r="A376" s="1865"/>
      <c r="B376" s="31" t="s">
        <v>7212</v>
      </c>
      <c r="C376" s="43"/>
    </row>
    <row r="377" spans="1:3" s="3" customFormat="1" ht="14.25" hidden="1" customHeight="1" outlineLevel="5">
      <c r="A377" s="1865"/>
      <c r="B377" s="31" t="s">
        <v>7213</v>
      </c>
      <c r="C377" s="43"/>
    </row>
    <row r="378" spans="1:3" s="3" customFormat="1" ht="14.25" hidden="1" customHeight="1" outlineLevel="4" collapsed="1">
      <c r="A378" s="1865"/>
      <c r="B378" s="36" t="s">
        <v>7214</v>
      </c>
      <c r="C378" s="25">
        <f>'05 成本测算明细'!$O$3455</f>
        <v>0</v>
      </c>
    </row>
    <row r="379" spans="1:3" s="3" customFormat="1" ht="14.25" hidden="1" customHeight="1" outlineLevel="5">
      <c r="A379" s="1865"/>
      <c r="B379" s="37" t="s">
        <v>694</v>
      </c>
      <c r="C379" s="32">
        <f>'05 成本测算明细'!$G$3456</f>
        <v>0</v>
      </c>
    </row>
    <row r="380" spans="1:3" s="3" customFormat="1" ht="14.25" hidden="1" customHeight="1" outlineLevel="5">
      <c r="A380" s="1865"/>
      <c r="B380" s="37" t="s">
        <v>730</v>
      </c>
      <c r="C380" s="38">
        <f>'05 成本测算明细'!$K$3456</f>
        <v>0</v>
      </c>
    </row>
    <row r="381" spans="1:3" s="3" customFormat="1" ht="14.25" hidden="1" customHeight="1" outlineLevel="4">
      <c r="A381" s="1865"/>
      <c r="B381" s="16" t="s">
        <v>7215</v>
      </c>
      <c r="C381" s="25">
        <f>'05 成本测算明细'!$O$3459</f>
        <v>0</v>
      </c>
    </row>
    <row r="382" spans="1:3" s="3" customFormat="1" ht="14.25" hidden="1" customHeight="1" outlineLevel="4">
      <c r="A382" s="1865"/>
      <c r="B382" s="16" t="s">
        <v>7216</v>
      </c>
      <c r="C382" s="25">
        <f>'05 成本测算明细'!$O$3460</f>
        <v>0</v>
      </c>
    </row>
    <row r="383" spans="1:3" s="3" customFormat="1" ht="14.25" hidden="1" customHeight="1" outlineLevel="4">
      <c r="A383" s="1866"/>
      <c r="B383" s="16" t="s">
        <v>7217</v>
      </c>
      <c r="C383" s="25">
        <f>'05 成本测算明细'!$O$3461</f>
        <v>0</v>
      </c>
    </row>
    <row r="384" spans="1:3" s="3" customFormat="1" ht="14.25" hidden="1" customHeight="1" outlineLevel="3">
      <c r="A384" s="10"/>
      <c r="B384" s="16" t="s">
        <v>7218</v>
      </c>
      <c r="C384" s="25">
        <f>'05 成本测算明细'!$O$3462</f>
        <v>0</v>
      </c>
    </row>
    <row r="385" spans="1:3" s="3" customFormat="1" ht="14.25" hidden="1" customHeight="1" outlineLevel="3">
      <c r="A385" s="10"/>
      <c r="B385" s="16" t="s">
        <v>7219</v>
      </c>
      <c r="C385" s="25">
        <f>'05 成本测算明细'!$O$3478</f>
        <v>0</v>
      </c>
    </row>
    <row r="386" spans="1:3" s="3" customFormat="1" ht="14.25" hidden="1" customHeight="1" outlineLevel="2" collapsed="1">
      <c r="A386" s="10" t="s">
        <v>7220</v>
      </c>
      <c r="B386" s="16" t="s">
        <v>7105</v>
      </c>
      <c r="C386" s="25">
        <f>'05 成本测算明细'!$O$3482</f>
        <v>0</v>
      </c>
    </row>
    <row r="387" spans="1:3" s="3" customFormat="1" ht="14.25" hidden="1" customHeight="1" outlineLevel="3">
      <c r="A387" s="10"/>
      <c r="B387" s="31" t="s">
        <v>7240</v>
      </c>
      <c r="C387" s="32">
        <f>'05 成本测算明细'!$G$3484</f>
        <v>0</v>
      </c>
    </row>
    <row r="388" spans="1:3" s="3" customFormat="1" ht="14.25" hidden="1" customHeight="1" outlineLevel="3">
      <c r="A388" s="10"/>
      <c r="B388" s="31" t="s">
        <v>7222</v>
      </c>
      <c r="C388" s="38">
        <f>'05 成本测算明细'!$O$3483</f>
        <v>0</v>
      </c>
    </row>
    <row r="389" spans="1:3" s="3" customFormat="1" ht="14.25" hidden="1" customHeight="1" outlineLevel="3">
      <c r="A389" s="44"/>
      <c r="B389" s="31" t="s">
        <v>7223</v>
      </c>
      <c r="C389" s="38">
        <f>'05 成本测算明细'!O3487+'05 成本测算明细'!O3488+'05 成本测算明细'!O3489+'05 成本测算明细'!O3491</f>
        <v>0</v>
      </c>
    </row>
    <row r="390" spans="1:3" s="3" customFormat="1" ht="14.25" hidden="1" customHeight="1" outlineLevel="3">
      <c r="A390" s="44"/>
      <c r="B390" s="31" t="s">
        <v>7224</v>
      </c>
      <c r="C390" s="40"/>
    </row>
    <row r="391" spans="1:3" s="3" customFormat="1" ht="14.25" hidden="1" customHeight="1" outlineLevel="2" collapsed="1">
      <c r="A391" s="10" t="s">
        <v>7241</v>
      </c>
      <c r="B391" s="36" t="s">
        <v>7051</v>
      </c>
      <c r="C391" s="25">
        <f>'05 成本测算明细'!$O$3494</f>
        <v>0</v>
      </c>
    </row>
    <row r="392" spans="1:3" s="3" customFormat="1" ht="14.25" hidden="1" customHeight="1" outlineLevel="3">
      <c r="A392" s="10"/>
      <c r="B392" s="37" t="s">
        <v>7242</v>
      </c>
      <c r="C392" s="38">
        <f>'05 成本测算明细'!K3497+'05 成本测算明细'!K3498</f>
        <v>0</v>
      </c>
    </row>
    <row r="393" spans="1:3" s="3" customFormat="1" ht="14.25" hidden="1" customHeight="1" outlineLevel="3">
      <c r="A393" s="10"/>
      <c r="B393" s="37" t="s">
        <v>4496</v>
      </c>
      <c r="C393" s="32">
        <f>'05 成本测算明细'!G3497</f>
        <v>0</v>
      </c>
    </row>
    <row r="394" spans="1:3" s="3" customFormat="1" ht="14.25" hidden="1" customHeight="1" outlineLevel="3">
      <c r="A394" s="10"/>
      <c r="B394" s="37" t="s">
        <v>7243</v>
      </c>
      <c r="C394" s="38">
        <f>'05 成本测算明细'!O3499</f>
        <v>0</v>
      </c>
    </row>
    <row r="395" spans="1:3" s="3" customFormat="1" ht="14.25" hidden="1" customHeight="1" outlineLevel="3">
      <c r="A395" s="10"/>
      <c r="B395" s="37" t="s">
        <v>4501</v>
      </c>
      <c r="C395" s="32">
        <f>'05 成本测算明细'!G3499</f>
        <v>0</v>
      </c>
    </row>
    <row r="396" spans="1:3" s="3" customFormat="1" ht="14.25" hidden="1" customHeight="1" outlineLevel="3">
      <c r="A396" s="10"/>
      <c r="B396" s="37" t="s">
        <v>7244</v>
      </c>
      <c r="C396" s="38">
        <f>'05 成本测算明细'!O3500</f>
        <v>0</v>
      </c>
    </row>
    <row r="397" spans="1:3" s="3" customFormat="1" ht="14.25" hidden="1" customHeight="1" outlineLevel="3">
      <c r="A397" s="10"/>
      <c r="B397" s="37" t="s">
        <v>7245</v>
      </c>
      <c r="C397" s="32">
        <f>'05 成本测算明细'!G3500</f>
        <v>0</v>
      </c>
    </row>
    <row r="398" spans="1:3" s="3" customFormat="1" ht="14.25" hidden="1" customHeight="1" outlineLevel="3">
      <c r="A398" s="10"/>
      <c r="B398" s="37" t="s">
        <v>7246</v>
      </c>
      <c r="C398" s="32">
        <f>'05 成本测算明细'!K3503+'05 成本测算明细'!K3504</f>
        <v>0</v>
      </c>
    </row>
    <row r="399" spans="1:3" s="3" customFormat="1" ht="14.25" hidden="1" customHeight="1" outlineLevel="3">
      <c r="A399" s="10"/>
      <c r="B399" s="37" t="s">
        <v>7247</v>
      </c>
      <c r="C399" s="32">
        <f>'05 成本测算明细'!G3503</f>
        <v>0</v>
      </c>
    </row>
    <row r="400" spans="1:3" s="3" customFormat="1" ht="14.25" hidden="1" customHeight="1" outlineLevel="3">
      <c r="A400" s="10"/>
      <c r="B400" s="37" t="s">
        <v>7248</v>
      </c>
      <c r="C400" s="38">
        <f>'05 成本测算明细'!O3501+'05 成本测算明细'!O3505+'05 成本测算明细'!O3506+'05 成本测算明细'!O3507</f>
        <v>0</v>
      </c>
    </row>
    <row r="401" spans="1:3" s="3" customFormat="1" ht="14.25" hidden="1" customHeight="1" outlineLevel="2" collapsed="1">
      <c r="A401" s="10" t="s">
        <v>7252</v>
      </c>
      <c r="B401" s="16" t="s">
        <v>189</v>
      </c>
      <c r="C401" s="25">
        <f>'05 成本测算明细'!$O$3514</f>
        <v>0</v>
      </c>
    </row>
    <row r="402" spans="1:3" s="2" customFormat="1" ht="14.25" hidden="1" customHeight="1" outlineLevel="3">
      <c r="A402" s="10"/>
      <c r="B402" s="31" t="s">
        <v>7265</v>
      </c>
      <c r="C402" s="46">
        <f>IFERROR('05 成本测算明细'!I3516/'05 成本测算明细'!N3516,0)</f>
        <v>0</v>
      </c>
    </row>
    <row r="403" spans="1:3" s="2" customFormat="1" ht="14.25" hidden="1" customHeight="1" outlineLevel="3">
      <c r="A403" s="10"/>
      <c r="B403" s="31" t="s">
        <v>7266</v>
      </c>
      <c r="C403" s="38">
        <f>'05 成本测算明细'!K3516+'05 成本测算明细'!K3517+'05 成本测算明细'!K3518</f>
        <v>0</v>
      </c>
    </row>
    <row r="404" spans="1:3" s="2" customFormat="1" ht="14.25" hidden="1" customHeight="1" outlineLevel="3">
      <c r="A404" s="10"/>
      <c r="B404" s="31" t="s">
        <v>7267</v>
      </c>
      <c r="C404" s="46">
        <f>IFERROR('05 成本测算明细'!I3520/'05 成本测算明细'!O3520,0)</f>
        <v>0</v>
      </c>
    </row>
    <row r="405" spans="1:3" s="2" customFormat="1" ht="14.25" hidden="1" customHeight="1" outlineLevel="3">
      <c r="A405" s="10"/>
      <c r="B405" s="31" t="s">
        <v>7268</v>
      </c>
      <c r="C405" s="38">
        <f>'05 成本测算明细'!K3520+'05 成本测算明细'!K3521+'05 成本测算明细'!K3522</f>
        <v>0</v>
      </c>
    </row>
    <row r="406" spans="1:3" s="2" customFormat="1" ht="14.25" hidden="1" customHeight="1" outlineLevel="3">
      <c r="A406" s="10"/>
      <c r="B406" s="31" t="s">
        <v>7269</v>
      </c>
      <c r="C406" s="46">
        <f>IFERROR('05 成本测算明细'!I3524/'05 成本测算明细'!O3524,0)</f>
        <v>0</v>
      </c>
    </row>
    <row r="407" spans="1:3" s="2" customFormat="1" ht="14.25" hidden="1" customHeight="1" outlineLevel="3">
      <c r="A407" s="10"/>
      <c r="B407" s="31" t="s">
        <v>7270</v>
      </c>
      <c r="C407" s="38">
        <f>'05 成本测算明细'!K3524+'05 成本测算明细'!K3525+'05 成本测算明细'!K3526</f>
        <v>0</v>
      </c>
    </row>
    <row r="408" spans="1:3" s="2" customFormat="1" ht="14.25" hidden="1" customHeight="1" outlineLevel="3">
      <c r="A408" s="10"/>
      <c r="B408" s="31" t="s">
        <v>7271</v>
      </c>
      <c r="C408" s="46">
        <f>IFERROR('05 成本测算明细'!I3528/'05 成本测算明细'!O3528,0)</f>
        <v>0</v>
      </c>
    </row>
    <row r="409" spans="1:3" s="2" customFormat="1" ht="14.25" hidden="1" customHeight="1" outlineLevel="3">
      <c r="A409" s="10"/>
      <c r="B409" s="31" t="s">
        <v>7272</v>
      </c>
      <c r="C409" s="38">
        <f>'05 成本测算明细'!K3528+'05 成本测算明细'!K3529+'05 成本测算明细'!K3530</f>
        <v>0</v>
      </c>
    </row>
    <row r="410" spans="1:3" s="2" customFormat="1" ht="14.25" hidden="1" customHeight="1" outlineLevel="3">
      <c r="A410" s="10"/>
      <c r="B410" s="31" t="s">
        <v>7273</v>
      </c>
      <c r="C410" s="46">
        <f>IFERROR('05 成本测算明细'!I3532/'05 成本测算明细'!N3532,0)</f>
        <v>0</v>
      </c>
    </row>
    <row r="411" spans="1:3" s="2" customFormat="1" ht="14.25" hidden="1" customHeight="1" outlineLevel="3">
      <c r="A411" s="10"/>
      <c r="B411" s="31" t="s">
        <v>7274</v>
      </c>
      <c r="C411" s="38">
        <f>'05 成本测算明细'!K3532+'05 成本测算明细'!K3533+'05 成本测算明细'!K3534</f>
        <v>0</v>
      </c>
    </row>
    <row r="412" spans="1:3" s="2" customFormat="1" ht="14.25" hidden="1" customHeight="1" outlineLevel="3">
      <c r="A412" s="10"/>
      <c r="B412" s="31" t="s">
        <v>7275</v>
      </c>
      <c r="C412" s="46">
        <f>IFERROR('05 成本测算明细'!I3536/'05 成本测算明细'!N3536,0)</f>
        <v>0</v>
      </c>
    </row>
    <row r="413" spans="1:3" s="2" customFormat="1" ht="14.25" hidden="1" customHeight="1" outlineLevel="3">
      <c r="A413" s="10"/>
      <c r="B413" s="31" t="s">
        <v>7276</v>
      </c>
      <c r="C413" s="38">
        <f>'05 成本测算明细'!K3536+'05 成本测算明细'!K3537</f>
        <v>0</v>
      </c>
    </row>
    <row r="414" spans="1:3" s="2" customFormat="1" ht="14.25" hidden="1" customHeight="1" outlineLevel="3">
      <c r="A414" s="10"/>
      <c r="B414" s="31" t="s">
        <v>7277</v>
      </c>
      <c r="C414" s="46">
        <f>IFERROR('05 成本测算明细'!#REF!/'05 成本测算明细'!N3539,0)</f>
        <v>0</v>
      </c>
    </row>
    <row r="415" spans="1:3" s="2" customFormat="1" ht="14.25" hidden="1" customHeight="1" outlineLevel="3">
      <c r="A415" s="10"/>
      <c r="B415" s="31" t="s">
        <v>7278</v>
      </c>
      <c r="C415" s="38">
        <f>'05 成本测算明细'!K3539+'05 成本测算明细'!K3540+'05 成本测算明细'!K3541</f>
        <v>0</v>
      </c>
    </row>
    <row r="416" spans="1:3" s="2" customFormat="1" ht="14.25" hidden="1" customHeight="1" outlineLevel="3">
      <c r="A416" s="10"/>
      <c r="B416" s="31" t="s">
        <v>7258</v>
      </c>
      <c r="C416" s="46">
        <f>IFERROR('05 成本测算明细'!I3543/'05 成本测算明细'!N3543,0)</f>
        <v>0</v>
      </c>
    </row>
    <row r="417" spans="1:3" s="2" customFormat="1" ht="14.25" hidden="1" customHeight="1" outlineLevel="3">
      <c r="A417" s="10"/>
      <c r="B417" s="31" t="s">
        <v>7259</v>
      </c>
      <c r="C417" s="38">
        <f>'05 成本测算明细'!K3543+'05 成本测算明细'!K3544</f>
        <v>0</v>
      </c>
    </row>
    <row r="418" spans="1:3" s="2" customFormat="1" ht="14.25" hidden="1" customHeight="1" outlineLevel="2">
      <c r="A418" s="10" t="s">
        <v>7260</v>
      </c>
      <c r="B418" s="16" t="s">
        <v>7052</v>
      </c>
      <c r="C418" s="25">
        <f>'05 成本测算明细'!$O$3549</f>
        <v>0</v>
      </c>
    </row>
    <row r="419" spans="1:3" s="2" customFormat="1" ht="14.25" hidden="1" customHeight="1" outlineLevel="2">
      <c r="A419" s="10" t="s">
        <v>7261</v>
      </c>
      <c r="B419" s="16" t="s">
        <v>787</v>
      </c>
      <c r="C419" s="25">
        <f>'05 成本测算明细'!$O$3562</f>
        <v>0</v>
      </c>
    </row>
    <row r="420" spans="1:3" s="2" customFormat="1" ht="14.25" hidden="1" customHeight="1" outlineLevel="2">
      <c r="A420" s="10" t="s">
        <v>7262</v>
      </c>
      <c r="B420" s="16" t="s">
        <v>193</v>
      </c>
      <c r="C420" s="25">
        <f>'05 成本测算明细'!$O$3566</f>
        <v>0</v>
      </c>
    </row>
    <row r="421" spans="1:3" s="2" customFormat="1" ht="14.25" hidden="1" customHeight="1" outlineLevel="2" collapsed="1">
      <c r="A421" s="10" t="s">
        <v>7225</v>
      </c>
      <c r="B421" s="16" t="s">
        <v>7057</v>
      </c>
      <c r="C421" s="25">
        <f>'05 成本测算明细'!$O$3569</f>
        <v>0</v>
      </c>
    </row>
    <row r="422" spans="1:3" s="2" customFormat="1" ht="14.25" hidden="1" customHeight="1" outlineLevel="3">
      <c r="A422" s="10"/>
      <c r="B422" s="31" t="s">
        <v>7226</v>
      </c>
      <c r="C422" s="41"/>
    </row>
    <row r="423" spans="1:3" s="3" customFormat="1" ht="14.25" hidden="1" customHeight="1" outlineLevel="2" collapsed="1">
      <c r="A423" s="10" t="s">
        <v>7227</v>
      </c>
      <c r="B423" s="16" t="s">
        <v>7053</v>
      </c>
      <c r="C423" s="25">
        <f>'05 成本测算明细'!$O$3591</f>
        <v>0</v>
      </c>
    </row>
    <row r="424" spans="1:3" s="3" customFormat="1" ht="14.25" hidden="1" customHeight="1" outlineLevel="3">
      <c r="A424" s="10"/>
      <c r="B424" s="31" t="s">
        <v>7228</v>
      </c>
      <c r="C424" s="41"/>
    </row>
    <row r="425" spans="1:3" s="3" customFormat="1" ht="14.25" hidden="1" customHeight="1" outlineLevel="3">
      <c r="A425" s="10"/>
      <c r="B425" s="31" t="s">
        <v>7151</v>
      </c>
      <c r="C425" s="41"/>
    </row>
    <row r="426" spans="1:3" s="3" customFormat="1" ht="14.25" hidden="1" customHeight="1" outlineLevel="2">
      <c r="A426" s="10" t="s">
        <v>7229</v>
      </c>
      <c r="B426" s="16" t="s">
        <v>205</v>
      </c>
      <c r="C426" s="25">
        <f>'05 成本测算明细'!$O$3608</f>
        <v>0</v>
      </c>
    </row>
    <row r="427" spans="1:3" s="3" customFormat="1" ht="14.25" hidden="1" customHeight="1" outlineLevel="2">
      <c r="A427" s="10" t="s">
        <v>7230</v>
      </c>
      <c r="B427" s="16" t="s">
        <v>1124</v>
      </c>
      <c r="C427" s="25">
        <f>'05 成本测算明细'!$O$3621</f>
        <v>0</v>
      </c>
    </row>
    <row r="428" spans="1:3" s="3" customFormat="1" ht="14.25" hidden="1" customHeight="1" outlineLevel="2">
      <c r="A428" s="10" t="s">
        <v>7231</v>
      </c>
      <c r="B428" s="16" t="s">
        <v>7054</v>
      </c>
      <c r="C428" s="25">
        <f>'05 成本测算明细'!$O$3654</f>
        <v>0</v>
      </c>
    </row>
    <row r="429" spans="1:3" s="3" customFormat="1" ht="14.25" hidden="1" customHeight="1" outlineLevel="2">
      <c r="A429" s="10" t="s">
        <v>7233</v>
      </c>
      <c r="B429" s="16" t="s">
        <v>7264</v>
      </c>
      <c r="C429" s="25">
        <f>'05 成本测算明细'!$O$3659</f>
        <v>0</v>
      </c>
    </row>
    <row r="430" spans="1:3" s="3" customFormat="1" ht="14.25" hidden="1" customHeight="1" outlineLevel="2">
      <c r="A430" s="10" t="s">
        <v>7235</v>
      </c>
      <c r="B430" s="16" t="s">
        <v>7056</v>
      </c>
      <c r="C430" s="25">
        <f>'05 成本测算明细'!$O$3661</f>
        <v>0</v>
      </c>
    </row>
    <row r="431" spans="1:3" s="3" customFormat="1" ht="14.25" hidden="1" customHeight="1" outlineLevel="1" collapsed="1">
      <c r="A431" s="26"/>
      <c r="B431" s="27" t="str">
        <f>'05 成本测算明细'!A3666</f>
        <v>$pname9$写字楼</v>
      </c>
      <c r="C431" s="28">
        <f>'05 成本测算明细'!O3666</f>
        <v>0</v>
      </c>
    </row>
    <row r="432" spans="1:3" s="4" customFormat="1" ht="14.25" hidden="1" customHeight="1" outlineLevel="2" collapsed="1">
      <c r="A432" s="10" t="s">
        <v>7201</v>
      </c>
      <c r="B432" s="16" t="s">
        <v>7104</v>
      </c>
      <c r="C432" s="25">
        <f>'05 成本测算明细'!$O$3667</f>
        <v>0</v>
      </c>
    </row>
    <row r="433" spans="1:3" s="3" customFormat="1" ht="14.25" hidden="1" customHeight="1" outlineLevel="3" collapsed="1">
      <c r="A433" s="29"/>
      <c r="B433" s="16" t="s">
        <v>7202</v>
      </c>
      <c r="C433" s="30">
        <f>'05 成本测算明细'!$O$3668</f>
        <v>0</v>
      </c>
    </row>
    <row r="434" spans="1:3" s="3" customFormat="1" ht="14.25" hidden="1" customHeight="1" outlineLevel="4" collapsed="1">
      <c r="A434" s="1864" t="s">
        <v>7203</v>
      </c>
      <c r="B434" s="16" t="s">
        <v>688</v>
      </c>
      <c r="C434" s="30">
        <f>'05 成本测算明细'!$O$3669</f>
        <v>0</v>
      </c>
    </row>
    <row r="435" spans="1:3" s="3" customFormat="1" ht="14.25" hidden="1" customHeight="1" outlineLevel="5">
      <c r="A435" s="1865"/>
      <c r="B435" s="31" t="s">
        <v>7236</v>
      </c>
      <c r="C435" s="32">
        <f>'05 成本测算明细'!G3670</f>
        <v>0</v>
      </c>
    </row>
    <row r="436" spans="1:3" s="4" customFormat="1" ht="14.25" hidden="1" customHeight="1" outlineLevel="5">
      <c r="A436" s="1865"/>
      <c r="B436" s="31" t="s">
        <v>7237</v>
      </c>
      <c r="C436" s="43">
        <f>'05 成本测算明细'!K3670</f>
        <v>0</v>
      </c>
    </row>
    <row r="437" spans="1:3" s="3" customFormat="1" ht="14.25" hidden="1" customHeight="1" outlineLevel="5">
      <c r="A437" s="1865"/>
      <c r="B437" s="31" t="s">
        <v>7206</v>
      </c>
      <c r="C437" s="43">
        <f>'05 成本测算明细'!K3671</f>
        <v>0</v>
      </c>
    </row>
    <row r="438" spans="1:3" s="3" customFormat="1" ht="14.25" hidden="1" customHeight="1" outlineLevel="5">
      <c r="A438" s="1865"/>
      <c r="B438" s="31" t="s">
        <v>7207</v>
      </c>
      <c r="C438" s="34"/>
    </row>
    <row r="439" spans="1:3" s="3" customFormat="1" ht="14.25" hidden="1" customHeight="1" outlineLevel="5">
      <c r="A439" s="1865"/>
      <c r="B439" s="31" t="s">
        <v>7208</v>
      </c>
      <c r="C439" s="34"/>
    </row>
    <row r="440" spans="1:3" s="3" customFormat="1" ht="14.25" hidden="1" customHeight="1" outlineLevel="4">
      <c r="A440" s="1865"/>
      <c r="B440" s="16" t="s">
        <v>973</v>
      </c>
      <c r="C440" s="30">
        <f>'05 成本测算明细'!$O$3672</f>
        <v>0</v>
      </c>
    </row>
    <row r="441" spans="1:3" s="3" customFormat="1" ht="14.25" hidden="1" customHeight="1" outlineLevel="4" collapsed="1">
      <c r="A441" s="1865"/>
      <c r="B441" s="16" t="s">
        <v>691</v>
      </c>
      <c r="C441" s="30">
        <f>'05 成本测算明细'!$O$3677</f>
        <v>0</v>
      </c>
    </row>
    <row r="442" spans="1:3" s="3" customFormat="1" ht="14.25" hidden="1" customHeight="1" outlineLevel="5">
      <c r="A442" s="1865"/>
      <c r="B442" s="31" t="s">
        <v>7238</v>
      </c>
      <c r="C442" s="42">
        <f>'05 成本测算明细'!G3678</f>
        <v>0</v>
      </c>
    </row>
    <row r="443" spans="1:3" s="3" customFormat="1" ht="14.25" hidden="1" customHeight="1" outlineLevel="5">
      <c r="A443" s="1865"/>
      <c r="B443" s="31" t="s">
        <v>7239</v>
      </c>
      <c r="C443" s="43">
        <f>'05 成本测算明细'!K3678</f>
        <v>0</v>
      </c>
    </row>
    <row r="444" spans="1:3" s="3" customFormat="1" ht="14.25" hidden="1" customHeight="1" outlineLevel="5">
      <c r="A444" s="1865"/>
      <c r="B444" s="31" t="s">
        <v>7211</v>
      </c>
      <c r="C444" s="43">
        <f>'05 成本测算明细'!K3679</f>
        <v>0</v>
      </c>
    </row>
    <row r="445" spans="1:3" s="3" customFormat="1" ht="14.25" hidden="1" customHeight="1" outlineLevel="5">
      <c r="A445" s="1865"/>
      <c r="B445" s="31" t="s">
        <v>7212</v>
      </c>
      <c r="C445" s="43"/>
    </row>
    <row r="446" spans="1:3" s="3" customFormat="1" ht="14.25" hidden="1" customHeight="1" outlineLevel="5">
      <c r="A446" s="1865"/>
      <c r="B446" s="31" t="s">
        <v>7213</v>
      </c>
      <c r="C446" s="43"/>
    </row>
    <row r="447" spans="1:3" s="3" customFormat="1" ht="14.25" hidden="1" customHeight="1" outlineLevel="4" collapsed="1">
      <c r="A447" s="1865"/>
      <c r="B447" s="36" t="s">
        <v>7214</v>
      </c>
      <c r="C447" s="25">
        <f>'05 成本测算明细'!$O$3682</f>
        <v>0</v>
      </c>
    </row>
    <row r="448" spans="1:3" s="3" customFormat="1" ht="14.25" hidden="1" customHeight="1" outlineLevel="5">
      <c r="A448" s="1865"/>
      <c r="B448" s="37" t="s">
        <v>694</v>
      </c>
      <c r="C448" s="32">
        <f>'05 成本测算明细'!G3683</f>
        <v>0</v>
      </c>
    </row>
    <row r="449" spans="1:3" s="3" customFormat="1" ht="14.25" hidden="1" customHeight="1" outlineLevel="5">
      <c r="A449" s="1865"/>
      <c r="B449" s="37" t="s">
        <v>730</v>
      </c>
      <c r="C449" s="38">
        <f>'05 成本测算明细'!K3683</f>
        <v>0</v>
      </c>
    </row>
    <row r="450" spans="1:3" s="3" customFormat="1" ht="14.25" hidden="1" customHeight="1" outlineLevel="4">
      <c r="A450" s="1865"/>
      <c r="B450" s="16" t="s">
        <v>7215</v>
      </c>
      <c r="C450" s="25">
        <f>'05 成本测算明细'!$O$3686</f>
        <v>0</v>
      </c>
    </row>
    <row r="451" spans="1:3" s="3" customFormat="1" ht="14.25" hidden="1" customHeight="1" outlineLevel="4">
      <c r="A451" s="1865"/>
      <c r="B451" s="16" t="s">
        <v>7216</v>
      </c>
      <c r="C451" s="25">
        <f>'05 成本测算明细'!$O$3687</f>
        <v>0</v>
      </c>
    </row>
    <row r="452" spans="1:3" s="3" customFormat="1" ht="14.25" hidden="1" customHeight="1" outlineLevel="4">
      <c r="A452" s="1866"/>
      <c r="B452" s="16" t="s">
        <v>7217</v>
      </c>
      <c r="C452" s="25">
        <f>'05 成本测算明细'!$O$3688</f>
        <v>0</v>
      </c>
    </row>
    <row r="453" spans="1:3" s="3" customFormat="1" ht="14.25" hidden="1" customHeight="1" outlineLevel="3">
      <c r="A453" s="10"/>
      <c r="B453" s="16" t="s">
        <v>7218</v>
      </c>
      <c r="C453" s="25">
        <f>'05 成本测算明细'!$O$3689</f>
        <v>0</v>
      </c>
    </row>
    <row r="454" spans="1:3" s="3" customFormat="1" ht="14.25" hidden="1" customHeight="1" outlineLevel="3">
      <c r="A454" s="10"/>
      <c r="B454" s="16" t="s">
        <v>7219</v>
      </c>
      <c r="C454" s="25">
        <f>'05 成本测算明细'!$O$3705</f>
        <v>0</v>
      </c>
    </row>
    <row r="455" spans="1:3" s="3" customFormat="1" ht="14.25" hidden="1" customHeight="1" outlineLevel="2" collapsed="1">
      <c r="A455" s="10" t="s">
        <v>7220</v>
      </c>
      <c r="B455" s="16" t="s">
        <v>7105</v>
      </c>
      <c r="C455" s="25">
        <f>'05 成本测算明细'!$O$3709</f>
        <v>0</v>
      </c>
    </row>
    <row r="456" spans="1:3" s="3" customFormat="1" ht="14.25" hidden="1" customHeight="1" outlineLevel="3">
      <c r="A456" s="10"/>
      <c r="B456" s="31" t="s">
        <v>7240</v>
      </c>
      <c r="C456" s="32">
        <f>'05 成本测算明细'!G3711</f>
        <v>0</v>
      </c>
    </row>
    <row r="457" spans="1:3" s="3" customFormat="1" ht="14.25" hidden="1" customHeight="1" outlineLevel="3">
      <c r="A457" s="10"/>
      <c r="B457" s="31" t="s">
        <v>7222</v>
      </c>
      <c r="C457" s="38">
        <f>'05 成本测算明细'!O3710</f>
        <v>0</v>
      </c>
    </row>
    <row r="458" spans="1:3" s="3" customFormat="1" ht="14.25" hidden="1" customHeight="1" outlineLevel="3">
      <c r="A458" s="44"/>
      <c r="B458" s="31" t="s">
        <v>7223</v>
      </c>
      <c r="C458" s="38">
        <f>'05 成本测算明细'!O3714+'05 成本测算明细'!O3715+'05 成本测算明细'!O3716+'05 成本测算明细'!O3718</f>
        <v>0</v>
      </c>
    </row>
    <row r="459" spans="1:3" s="3" customFormat="1" ht="14.25" hidden="1" customHeight="1" outlineLevel="3">
      <c r="A459" s="44"/>
      <c r="B459" s="31" t="s">
        <v>7224</v>
      </c>
      <c r="C459" s="40"/>
    </row>
    <row r="460" spans="1:3" s="3" customFormat="1" ht="14.25" hidden="1" customHeight="1" outlineLevel="2" collapsed="1">
      <c r="A460" s="10" t="s">
        <v>7241</v>
      </c>
      <c r="B460" s="36" t="s">
        <v>7051</v>
      </c>
      <c r="C460" s="25">
        <f>'05 成本测算明细'!$O$3721</f>
        <v>0</v>
      </c>
    </row>
    <row r="461" spans="1:3" s="3" customFormat="1" ht="14.25" hidden="1" customHeight="1" outlineLevel="3">
      <c r="A461" s="10"/>
      <c r="B461" s="37" t="s">
        <v>7242</v>
      </c>
      <c r="C461" s="38">
        <f>'05 成本测算明细'!K3724+'05 成本测算明细'!K3725</f>
        <v>0</v>
      </c>
    </row>
    <row r="462" spans="1:3" s="3" customFormat="1" ht="14.25" hidden="1" customHeight="1" outlineLevel="3">
      <c r="A462" s="10"/>
      <c r="B462" s="37" t="s">
        <v>4496</v>
      </c>
      <c r="C462" s="32">
        <f>'05 成本测算明细'!G3724</f>
        <v>0</v>
      </c>
    </row>
    <row r="463" spans="1:3" s="3" customFormat="1" ht="14.25" hidden="1" customHeight="1" outlineLevel="3">
      <c r="A463" s="10"/>
      <c r="B463" s="37" t="s">
        <v>7243</v>
      </c>
      <c r="C463" s="38">
        <f>'05 成本测算明细'!K3726</f>
        <v>0</v>
      </c>
    </row>
    <row r="464" spans="1:3" s="3" customFormat="1" ht="14.25" hidden="1" customHeight="1" outlineLevel="3">
      <c r="A464" s="10"/>
      <c r="B464" s="37" t="s">
        <v>4501</v>
      </c>
      <c r="C464" s="32">
        <f>'05 成本测算明细'!G3726</f>
        <v>0</v>
      </c>
    </row>
    <row r="465" spans="1:3" s="3" customFormat="1" ht="14.25" hidden="1" customHeight="1" outlineLevel="3">
      <c r="A465" s="10"/>
      <c r="B465" s="37" t="s">
        <v>7244</v>
      </c>
      <c r="C465" s="38">
        <f>'05 成本测算明细'!K3727</f>
        <v>0</v>
      </c>
    </row>
    <row r="466" spans="1:3" s="3" customFormat="1" ht="14.25" hidden="1" customHeight="1" outlineLevel="3">
      <c r="A466" s="10"/>
      <c r="B466" s="37" t="s">
        <v>7245</v>
      </c>
      <c r="C466" s="32">
        <f>'05 成本测算明细'!G3727</f>
        <v>0</v>
      </c>
    </row>
    <row r="467" spans="1:3" s="3" customFormat="1" ht="14.25" hidden="1" customHeight="1" outlineLevel="3">
      <c r="A467" s="10"/>
      <c r="B467" s="37" t="s">
        <v>7246</v>
      </c>
      <c r="C467" s="32">
        <f>'05 成本测算明细'!K3730+'05 成本测算明细'!K3731</f>
        <v>0</v>
      </c>
    </row>
    <row r="468" spans="1:3" s="3" customFormat="1" ht="14.25" hidden="1" customHeight="1" outlineLevel="3">
      <c r="A468" s="10"/>
      <c r="B468" s="37" t="s">
        <v>7247</v>
      </c>
      <c r="C468" s="32">
        <f>'05 成本测算明细'!G3730</f>
        <v>0</v>
      </c>
    </row>
    <row r="469" spans="1:3" s="3" customFormat="1" ht="14.25" hidden="1" customHeight="1" outlineLevel="3">
      <c r="A469" s="10"/>
      <c r="B469" s="37" t="s">
        <v>7248</v>
      </c>
      <c r="C469" s="38">
        <f>'05 成本测算明细'!O3728+'05 成本测算明细'!O3732+'05 成本测算明细'!O3733+'05 成本测算明细'!O3734</f>
        <v>0</v>
      </c>
    </row>
    <row r="470" spans="1:3" s="3" customFormat="1" ht="14.25" hidden="1" customHeight="1" outlineLevel="2" collapsed="1">
      <c r="A470" s="10" t="s">
        <v>7252</v>
      </c>
      <c r="B470" s="16" t="s">
        <v>189</v>
      </c>
      <c r="C470" s="25">
        <f>'05 成本测算明细'!$O$3741</f>
        <v>0</v>
      </c>
    </row>
    <row r="471" spans="1:3" s="2" customFormat="1" ht="14.25" hidden="1" customHeight="1" outlineLevel="3">
      <c r="A471" s="10"/>
      <c r="B471" s="31" t="s">
        <v>7265</v>
      </c>
      <c r="C471" s="46">
        <f>IFERROR('05 成本测算明细'!I3743/'05 成本测算明细'!N3743,0)</f>
        <v>0</v>
      </c>
    </row>
    <row r="472" spans="1:3" s="2" customFormat="1" ht="14.25" hidden="1" customHeight="1" outlineLevel="3">
      <c r="A472" s="10"/>
      <c r="B472" s="31" t="s">
        <v>7266</v>
      </c>
      <c r="C472" s="38">
        <f>'05 成本测算明细'!K3743+'05 成本测算明细'!K3744+'05 成本测算明细'!K3745</f>
        <v>0</v>
      </c>
    </row>
    <row r="473" spans="1:3" s="2" customFormat="1" ht="14.25" hidden="1" customHeight="1" outlineLevel="3">
      <c r="A473" s="10"/>
      <c r="B473" s="31" t="s">
        <v>7267</v>
      </c>
      <c r="C473" s="46">
        <f>IFERROR('05 成本测算明细'!I3747/'05 成本测算明细'!N3747,0)</f>
        <v>0</v>
      </c>
    </row>
    <row r="474" spans="1:3" s="2" customFormat="1" ht="14.25" hidden="1" customHeight="1" outlineLevel="3">
      <c r="A474" s="10"/>
      <c r="B474" s="31" t="s">
        <v>7268</v>
      </c>
      <c r="C474" s="38">
        <f>'05 成本测算明细'!K3747+'05 成本测算明细'!K3748+'05 成本测算明细'!K3749</f>
        <v>0</v>
      </c>
    </row>
    <row r="475" spans="1:3" s="2" customFormat="1" ht="14.25" hidden="1" customHeight="1" outlineLevel="3">
      <c r="A475" s="10"/>
      <c r="B475" s="31" t="s">
        <v>7269</v>
      </c>
      <c r="C475" s="46">
        <f>IFERROR('05 成本测算明细'!I3751/'05 成本测算明细'!N3751,0)</f>
        <v>0</v>
      </c>
    </row>
    <row r="476" spans="1:3" s="2" customFormat="1" ht="14.25" hidden="1" customHeight="1" outlineLevel="3">
      <c r="A476" s="10"/>
      <c r="B476" s="31" t="s">
        <v>7270</v>
      </c>
      <c r="C476" s="38">
        <f>'05 成本测算明细'!K3751+'05 成本测算明细'!K3752+'05 成本测算明细'!K3753</f>
        <v>0</v>
      </c>
    </row>
    <row r="477" spans="1:3" s="2" customFormat="1" ht="14.25" hidden="1" customHeight="1" outlineLevel="3">
      <c r="A477" s="10"/>
      <c r="B477" s="31" t="s">
        <v>7271</v>
      </c>
      <c r="C477" s="46">
        <f>IFERROR('05 成本测算明细'!I3755/'05 成本测算明细'!N3755,0)</f>
        <v>0</v>
      </c>
    </row>
    <row r="478" spans="1:3" s="2" customFormat="1" ht="14.25" hidden="1" customHeight="1" outlineLevel="3">
      <c r="A478" s="10"/>
      <c r="B478" s="31" t="s">
        <v>7272</v>
      </c>
      <c r="C478" s="38">
        <f>'05 成本测算明细'!K3755+'05 成本测算明细'!K3756+'05 成本测算明细'!K3757</f>
        <v>0</v>
      </c>
    </row>
    <row r="479" spans="1:3" s="2" customFormat="1" ht="14.25" hidden="1" customHeight="1" outlineLevel="3">
      <c r="A479" s="10"/>
      <c r="B479" s="31" t="s">
        <v>7273</v>
      </c>
      <c r="C479" s="46">
        <f>IFERROR('05 成本测算明细'!I3759/'05 成本测算明细'!N3759,0)</f>
        <v>0</v>
      </c>
    </row>
    <row r="480" spans="1:3" s="2" customFormat="1" ht="14.25" hidden="1" customHeight="1" outlineLevel="3">
      <c r="A480" s="10"/>
      <c r="B480" s="31" t="s">
        <v>7274</v>
      </c>
      <c r="C480" s="38">
        <f>'05 成本测算明细'!K3759+'05 成本测算明细'!K3760+'05 成本测算明细'!K3761</f>
        <v>0</v>
      </c>
    </row>
    <row r="481" spans="1:3" s="2" customFormat="1" ht="14.25" hidden="1" customHeight="1" outlineLevel="3">
      <c r="A481" s="10"/>
      <c r="B481" s="31" t="s">
        <v>7275</v>
      </c>
      <c r="C481" s="46">
        <f>IFERROR('05 成本测算明细'!I3763/'05 成本测算明细'!N3763,0)</f>
        <v>0</v>
      </c>
    </row>
    <row r="482" spans="1:3" s="2" customFormat="1" ht="14.25" hidden="1" customHeight="1" outlineLevel="3">
      <c r="A482" s="10"/>
      <c r="B482" s="31" t="s">
        <v>7276</v>
      </c>
      <c r="C482" s="38">
        <f>'05 成本测算明细'!K3763+'05 成本测算明细'!K3764</f>
        <v>0</v>
      </c>
    </row>
    <row r="483" spans="1:3" s="2" customFormat="1" ht="14.25" hidden="1" customHeight="1" outlineLevel="3">
      <c r="A483" s="10"/>
      <c r="B483" s="31" t="s">
        <v>7277</v>
      </c>
      <c r="C483" s="46">
        <f>IFERROR('05 成本测算明细'!#REF!/'05 成本测算明细'!N3766,0)</f>
        <v>0</v>
      </c>
    </row>
    <row r="484" spans="1:3" s="2" customFormat="1" ht="14.25" hidden="1" customHeight="1" outlineLevel="3">
      <c r="A484" s="10"/>
      <c r="B484" s="31" t="s">
        <v>7278</v>
      </c>
      <c r="C484" s="38">
        <f>'05 成本测算明细'!K3766+'05 成本测算明细'!K3767+'05 成本测算明细'!K3768</f>
        <v>0</v>
      </c>
    </row>
    <row r="485" spans="1:3" s="2" customFormat="1" ht="14.25" hidden="1" customHeight="1" outlineLevel="3">
      <c r="A485" s="10"/>
      <c r="B485" s="31" t="s">
        <v>7258</v>
      </c>
      <c r="C485" s="46">
        <f>IFERROR('05 成本测算明细'!I3770/'05 成本测算明细'!N3770,0)</f>
        <v>0</v>
      </c>
    </row>
    <row r="486" spans="1:3" s="2" customFormat="1" ht="14.25" hidden="1" customHeight="1" outlineLevel="3">
      <c r="A486" s="10"/>
      <c r="B486" s="31" t="s">
        <v>7259</v>
      </c>
      <c r="C486" s="38">
        <f>'05 成本测算明细'!K3770+'05 成本测算明细'!K3771</f>
        <v>0</v>
      </c>
    </row>
    <row r="487" spans="1:3" s="2" customFormat="1" ht="14.25" hidden="1" customHeight="1" outlineLevel="2">
      <c r="A487" s="10" t="s">
        <v>7260</v>
      </c>
      <c r="B487" s="16" t="s">
        <v>7052</v>
      </c>
      <c r="C487" s="25">
        <f>'05 成本测算明细'!$O$3776</f>
        <v>0</v>
      </c>
    </row>
    <row r="488" spans="1:3" s="2" customFormat="1" ht="14.25" hidden="1" customHeight="1" outlineLevel="2">
      <c r="A488" s="10" t="s">
        <v>7261</v>
      </c>
      <c r="B488" s="16" t="s">
        <v>787</v>
      </c>
      <c r="C488" s="25">
        <f>'05 成本测算明细'!$O$3789</f>
        <v>0</v>
      </c>
    </row>
    <row r="489" spans="1:3" s="2" customFormat="1" ht="14.25" hidden="1" customHeight="1" outlineLevel="2">
      <c r="A489" s="10" t="s">
        <v>7262</v>
      </c>
      <c r="B489" s="16" t="s">
        <v>193</v>
      </c>
      <c r="C489" s="25">
        <f>'05 成本测算明细'!$O$3793</f>
        <v>0</v>
      </c>
    </row>
    <row r="490" spans="1:3" s="2" customFormat="1" ht="14.25" hidden="1" customHeight="1" outlineLevel="2" collapsed="1">
      <c r="A490" s="10" t="s">
        <v>7225</v>
      </c>
      <c r="B490" s="16" t="s">
        <v>7057</v>
      </c>
      <c r="C490" s="25">
        <f>'05 成本测算明细'!$O$3796</f>
        <v>0</v>
      </c>
    </row>
    <row r="491" spans="1:3" s="2" customFormat="1" ht="14.25" hidden="1" customHeight="1" outlineLevel="3">
      <c r="A491" s="10"/>
      <c r="B491" s="31" t="s">
        <v>7226</v>
      </c>
      <c r="C491" s="41"/>
    </row>
    <row r="492" spans="1:3" s="3" customFormat="1" ht="14.25" hidden="1" customHeight="1" outlineLevel="2" collapsed="1">
      <c r="A492" s="10" t="s">
        <v>7227</v>
      </c>
      <c r="B492" s="16" t="s">
        <v>7053</v>
      </c>
      <c r="C492" s="25">
        <f>'05 成本测算明细'!$O$3818</f>
        <v>0</v>
      </c>
    </row>
    <row r="493" spans="1:3" s="3" customFormat="1" ht="14.25" hidden="1" customHeight="1" outlineLevel="3">
      <c r="A493" s="10"/>
      <c r="B493" s="31" t="s">
        <v>7228</v>
      </c>
      <c r="C493" s="41"/>
    </row>
    <row r="494" spans="1:3" s="3" customFormat="1" ht="14.25" hidden="1" customHeight="1" outlineLevel="3">
      <c r="A494" s="10"/>
      <c r="B494" s="31" t="s">
        <v>7151</v>
      </c>
      <c r="C494" s="41"/>
    </row>
    <row r="495" spans="1:3" s="3" customFormat="1" ht="14.25" hidden="1" customHeight="1" outlineLevel="2">
      <c r="A495" s="10" t="s">
        <v>7229</v>
      </c>
      <c r="B495" s="16" t="s">
        <v>205</v>
      </c>
      <c r="C495" s="25">
        <f>'05 成本测算明细'!$O$3835</f>
        <v>0</v>
      </c>
    </row>
    <row r="496" spans="1:3" s="3" customFormat="1" ht="14.25" hidden="1" customHeight="1" outlineLevel="2">
      <c r="A496" s="10" t="s">
        <v>7230</v>
      </c>
      <c r="B496" s="16" t="s">
        <v>1124</v>
      </c>
      <c r="C496" s="25">
        <f>'05 成本测算明细'!$O$3848</f>
        <v>0</v>
      </c>
    </row>
    <row r="497" spans="1:3" s="3" customFormat="1" ht="14.25" hidden="1" customHeight="1" outlineLevel="2">
      <c r="A497" s="10" t="s">
        <v>7231</v>
      </c>
      <c r="B497" s="16" t="s">
        <v>7054</v>
      </c>
      <c r="C497" s="25">
        <f>'05 成本测算明细'!$O$3881</f>
        <v>0</v>
      </c>
    </row>
    <row r="498" spans="1:3" s="3" customFormat="1" ht="14.25" hidden="1" customHeight="1" outlineLevel="2">
      <c r="A498" s="10" t="s">
        <v>7233</v>
      </c>
      <c r="B498" s="16" t="s">
        <v>7264</v>
      </c>
      <c r="C498" s="25">
        <f>'05 成本测算明细'!$O$3886</f>
        <v>0</v>
      </c>
    </row>
    <row r="499" spans="1:3" s="3" customFormat="1" ht="14.25" hidden="1" customHeight="1" outlineLevel="2">
      <c r="A499" s="10" t="s">
        <v>7235</v>
      </c>
      <c r="B499" s="16" t="s">
        <v>7056</v>
      </c>
      <c r="C499" s="25">
        <f>'05 成本测算明细'!$O$3888</f>
        <v>0</v>
      </c>
    </row>
    <row r="500" spans="1:3" s="3" customFormat="1" ht="14.25" hidden="1" customHeight="1" outlineLevel="1" collapsed="1">
      <c r="A500" s="26"/>
      <c r="B500" s="27" t="str">
        <f>'05 成本测算明细'!A3893</f>
        <v>$pname10$酒店</v>
      </c>
      <c r="C500" s="28">
        <f>'05 成本测算明细'!O3893</f>
        <v>0</v>
      </c>
    </row>
    <row r="501" spans="1:3" s="4" customFormat="1" ht="14.25" hidden="1" customHeight="1" outlineLevel="2" collapsed="1">
      <c r="A501" s="10" t="s">
        <v>7201</v>
      </c>
      <c r="B501" s="16" t="s">
        <v>7104</v>
      </c>
      <c r="C501" s="25">
        <f>'05 成本测算明细'!$O$3894</f>
        <v>0</v>
      </c>
    </row>
    <row r="502" spans="1:3" s="3" customFormat="1" ht="14.25" hidden="1" customHeight="1" outlineLevel="3" collapsed="1">
      <c r="A502" s="29"/>
      <c r="B502" s="16" t="s">
        <v>7202</v>
      </c>
      <c r="C502" s="30">
        <f>'05 成本测算明细'!$O$3895</f>
        <v>0</v>
      </c>
    </row>
    <row r="503" spans="1:3" s="3" customFormat="1" ht="14.25" hidden="1" customHeight="1" outlineLevel="4" collapsed="1">
      <c r="A503" s="1864" t="s">
        <v>7203</v>
      </c>
      <c r="B503" s="16" t="s">
        <v>688</v>
      </c>
      <c r="C503" s="30">
        <f>'05 成本测算明细'!$O$3896</f>
        <v>0</v>
      </c>
    </row>
    <row r="504" spans="1:3" s="3" customFormat="1" ht="14.25" hidden="1" customHeight="1" outlineLevel="5">
      <c r="A504" s="1865"/>
      <c r="B504" s="31" t="s">
        <v>7236</v>
      </c>
      <c r="C504" s="32">
        <f>'05 成本测算明细'!G3897</f>
        <v>0</v>
      </c>
    </row>
    <row r="505" spans="1:3" s="4" customFormat="1" ht="14.25" hidden="1" customHeight="1" outlineLevel="5">
      <c r="A505" s="1865"/>
      <c r="B505" s="31" t="s">
        <v>7237</v>
      </c>
      <c r="C505" s="43">
        <f>'05 成本测算明细'!K3897</f>
        <v>0</v>
      </c>
    </row>
    <row r="506" spans="1:3" s="3" customFormat="1" ht="14.25" hidden="1" customHeight="1" outlineLevel="5">
      <c r="A506" s="1865"/>
      <c r="B506" s="31" t="s">
        <v>7206</v>
      </c>
      <c r="C506" s="43">
        <f>'05 成本测算明细'!K3898</f>
        <v>0</v>
      </c>
    </row>
    <row r="507" spans="1:3" s="3" customFormat="1" ht="14.25" hidden="1" customHeight="1" outlineLevel="5">
      <c r="A507" s="1865"/>
      <c r="B507" s="31" t="s">
        <v>7207</v>
      </c>
      <c r="C507" s="34"/>
    </row>
    <row r="508" spans="1:3" s="3" customFormat="1" ht="14.25" hidden="1" customHeight="1" outlineLevel="5">
      <c r="A508" s="1865"/>
      <c r="B508" s="31" t="s">
        <v>7208</v>
      </c>
      <c r="C508" s="34"/>
    </row>
    <row r="509" spans="1:3" s="3" customFormat="1" ht="14.25" hidden="1" customHeight="1" outlineLevel="4">
      <c r="A509" s="1865"/>
      <c r="B509" s="16" t="s">
        <v>973</v>
      </c>
      <c r="C509" s="30">
        <f>'05 成本测算明细'!$O$3899</f>
        <v>0</v>
      </c>
    </row>
    <row r="510" spans="1:3" s="3" customFormat="1" ht="14.25" hidden="1" customHeight="1" outlineLevel="4" collapsed="1">
      <c r="A510" s="1865"/>
      <c r="B510" s="16" t="s">
        <v>691</v>
      </c>
      <c r="C510" s="30">
        <f>'05 成本测算明细'!$O$3904</f>
        <v>0</v>
      </c>
    </row>
    <row r="511" spans="1:3" s="3" customFormat="1" ht="14.25" hidden="1" customHeight="1" outlineLevel="5">
      <c r="A511" s="1865"/>
      <c r="B511" s="31" t="s">
        <v>7238</v>
      </c>
      <c r="C511" s="42">
        <f>'05 成本测算明细'!G3905</f>
        <v>0</v>
      </c>
    </row>
    <row r="512" spans="1:3" s="3" customFormat="1" ht="14.25" hidden="1" customHeight="1" outlineLevel="5">
      <c r="A512" s="1865"/>
      <c r="B512" s="31" t="s">
        <v>7239</v>
      </c>
      <c r="C512" s="43">
        <f>'05 成本测算明细'!K3905</f>
        <v>0</v>
      </c>
    </row>
    <row r="513" spans="1:3" s="3" customFormat="1" ht="14.25" hidden="1" customHeight="1" outlineLevel="5">
      <c r="A513" s="1865"/>
      <c r="B513" s="31" t="s">
        <v>7211</v>
      </c>
      <c r="C513" s="43">
        <f>'05 成本测算明细'!K3906</f>
        <v>0</v>
      </c>
    </row>
    <row r="514" spans="1:3" s="3" customFormat="1" ht="14.25" hidden="1" customHeight="1" outlineLevel="5">
      <c r="A514" s="1865"/>
      <c r="B514" s="31" t="s">
        <v>7212</v>
      </c>
      <c r="C514" s="43"/>
    </row>
    <row r="515" spans="1:3" s="3" customFormat="1" ht="14.25" hidden="1" customHeight="1" outlineLevel="5">
      <c r="A515" s="1865"/>
      <c r="B515" s="31" t="s">
        <v>7213</v>
      </c>
      <c r="C515" s="43"/>
    </row>
    <row r="516" spans="1:3" s="3" customFormat="1" ht="14.25" hidden="1" customHeight="1" outlineLevel="4" collapsed="1">
      <c r="A516" s="1865"/>
      <c r="B516" s="36" t="s">
        <v>7214</v>
      </c>
      <c r="C516" s="25">
        <f>'05 成本测算明细'!$O$3909</f>
        <v>0</v>
      </c>
    </row>
    <row r="517" spans="1:3" s="3" customFormat="1" ht="14.25" hidden="1" customHeight="1" outlineLevel="5">
      <c r="A517" s="1865"/>
      <c r="B517" s="37" t="s">
        <v>694</v>
      </c>
      <c r="C517" s="32">
        <f>'05 成本测算明细'!G3910</f>
        <v>0</v>
      </c>
    </row>
    <row r="518" spans="1:3" s="3" customFormat="1" ht="14.25" hidden="1" customHeight="1" outlineLevel="5">
      <c r="A518" s="1865"/>
      <c r="B518" s="37" t="s">
        <v>730</v>
      </c>
      <c r="C518" s="38">
        <f>'05 成本测算明细'!K3910</f>
        <v>0</v>
      </c>
    </row>
    <row r="519" spans="1:3" s="3" customFormat="1" ht="14.25" hidden="1" customHeight="1" outlineLevel="4">
      <c r="A519" s="1865"/>
      <c r="B519" s="16" t="s">
        <v>7215</v>
      </c>
      <c r="C519" s="25">
        <f>'05 成本测算明细'!$O$3913</f>
        <v>0</v>
      </c>
    </row>
    <row r="520" spans="1:3" s="3" customFormat="1" ht="14.25" hidden="1" customHeight="1" outlineLevel="4">
      <c r="A520" s="1865"/>
      <c r="B520" s="16" t="s">
        <v>7216</v>
      </c>
      <c r="C520" s="25">
        <f>'05 成本测算明细'!$O$3914</f>
        <v>0</v>
      </c>
    </row>
    <row r="521" spans="1:3" s="3" customFormat="1" ht="14.25" hidden="1" customHeight="1" outlineLevel="4">
      <c r="A521" s="1866"/>
      <c r="B521" s="16" t="s">
        <v>7217</v>
      </c>
      <c r="C521" s="25">
        <f>'05 成本测算明细'!$O$3915</f>
        <v>0</v>
      </c>
    </row>
    <row r="522" spans="1:3" s="3" customFormat="1" ht="14.25" hidden="1" customHeight="1" outlineLevel="3">
      <c r="A522" s="10"/>
      <c r="B522" s="16" t="s">
        <v>7218</v>
      </c>
      <c r="C522" s="25">
        <f>'05 成本测算明细'!$O$3916</f>
        <v>0</v>
      </c>
    </row>
    <row r="523" spans="1:3" s="3" customFormat="1" ht="14.25" hidden="1" customHeight="1" outlineLevel="3">
      <c r="A523" s="10"/>
      <c r="B523" s="16" t="s">
        <v>7219</v>
      </c>
      <c r="C523" s="25">
        <f>'05 成本测算明细'!$O$3932</f>
        <v>0</v>
      </c>
    </row>
    <row r="524" spans="1:3" s="3" customFormat="1" ht="14.25" hidden="1" customHeight="1" outlineLevel="2" collapsed="1">
      <c r="A524" s="10" t="s">
        <v>7220</v>
      </c>
      <c r="B524" s="16" t="s">
        <v>7105</v>
      </c>
      <c r="C524" s="25">
        <f>'05 成本测算明细'!$O$3936</f>
        <v>0</v>
      </c>
    </row>
    <row r="525" spans="1:3" s="3" customFormat="1" ht="14.25" hidden="1" customHeight="1" outlineLevel="3">
      <c r="A525" s="10"/>
      <c r="B525" s="31" t="s">
        <v>7240</v>
      </c>
      <c r="C525" s="32">
        <f>'05 成本测算明细'!G3938</f>
        <v>0</v>
      </c>
    </row>
    <row r="526" spans="1:3" s="3" customFormat="1" ht="14.25" hidden="1" customHeight="1" outlineLevel="3">
      <c r="A526" s="10"/>
      <c r="B526" s="31" t="s">
        <v>7222</v>
      </c>
      <c r="C526" s="38">
        <f>'05 成本测算明细'!O3937</f>
        <v>0</v>
      </c>
    </row>
    <row r="527" spans="1:3" s="3" customFormat="1" ht="14.25" hidden="1" customHeight="1" outlineLevel="3">
      <c r="A527" s="44"/>
      <c r="B527" s="31" t="s">
        <v>7223</v>
      </c>
      <c r="C527" s="38">
        <f>'05 成本测算明细'!O3941+'05 成本测算明细'!O3942+'05 成本测算明细'!O3943+'05 成本测算明细'!O3945</f>
        <v>0</v>
      </c>
    </row>
    <row r="528" spans="1:3" s="3" customFormat="1" ht="14.25" hidden="1" customHeight="1" outlineLevel="3">
      <c r="A528" s="44"/>
      <c r="B528" s="31" t="s">
        <v>7224</v>
      </c>
      <c r="C528" s="40"/>
    </row>
    <row r="529" spans="1:3" s="3" customFormat="1" ht="14.25" hidden="1" customHeight="1" outlineLevel="2" collapsed="1">
      <c r="A529" s="10" t="s">
        <v>7241</v>
      </c>
      <c r="B529" s="36" t="s">
        <v>7051</v>
      </c>
      <c r="C529" s="25">
        <f>'05 成本测算明细'!$O$3948</f>
        <v>0</v>
      </c>
    </row>
    <row r="530" spans="1:3" s="3" customFormat="1" ht="14.25" hidden="1" customHeight="1" outlineLevel="3">
      <c r="A530" s="10"/>
      <c r="B530" s="37" t="s">
        <v>7242</v>
      </c>
      <c r="C530" s="38">
        <f>'05 成本测算明细'!K3951+'05 成本测算明细'!K3952</f>
        <v>0</v>
      </c>
    </row>
    <row r="531" spans="1:3" s="3" customFormat="1" ht="14.25" hidden="1" customHeight="1" outlineLevel="3">
      <c r="A531" s="10"/>
      <c r="B531" s="37" t="s">
        <v>4496</v>
      </c>
      <c r="C531" s="32">
        <f>'05 成本测算明细'!G3951</f>
        <v>0</v>
      </c>
    </row>
    <row r="532" spans="1:3" s="3" customFormat="1" ht="14.25" hidden="1" customHeight="1" outlineLevel="3">
      <c r="A532" s="10"/>
      <c r="B532" s="37" t="s">
        <v>7243</v>
      </c>
      <c r="C532" s="38">
        <f>'05 成本测算明细'!K3953</f>
        <v>0</v>
      </c>
    </row>
    <row r="533" spans="1:3" s="3" customFormat="1" ht="14.25" hidden="1" customHeight="1" outlineLevel="3">
      <c r="A533" s="10"/>
      <c r="B533" s="37" t="s">
        <v>4501</v>
      </c>
      <c r="C533" s="32">
        <f>'05 成本测算明细'!G3953</f>
        <v>0</v>
      </c>
    </row>
    <row r="534" spans="1:3" s="3" customFormat="1" ht="14.25" hidden="1" customHeight="1" outlineLevel="3">
      <c r="A534" s="10"/>
      <c r="B534" s="37" t="s">
        <v>7244</v>
      </c>
      <c r="C534" s="38">
        <f>'05 成本测算明细'!K3954</f>
        <v>0</v>
      </c>
    </row>
    <row r="535" spans="1:3" s="3" customFormat="1" ht="14.25" hidden="1" customHeight="1" outlineLevel="3">
      <c r="A535" s="10"/>
      <c r="B535" s="37" t="s">
        <v>7245</v>
      </c>
      <c r="C535" s="32">
        <f>'05 成本测算明细'!G3954</f>
        <v>0</v>
      </c>
    </row>
    <row r="536" spans="1:3" s="3" customFormat="1" ht="14.25" hidden="1" customHeight="1" outlineLevel="3">
      <c r="A536" s="10"/>
      <c r="B536" s="37" t="s">
        <v>7246</v>
      </c>
      <c r="C536" s="32">
        <f>'05 成本测算明细'!K3957+'05 成本测算明细'!K3958</f>
        <v>0</v>
      </c>
    </row>
    <row r="537" spans="1:3" s="3" customFormat="1" ht="14.25" hidden="1" customHeight="1" outlineLevel="3">
      <c r="A537" s="10"/>
      <c r="B537" s="37" t="s">
        <v>7247</v>
      </c>
      <c r="C537" s="32">
        <f>'05 成本测算明细'!G3957</f>
        <v>0</v>
      </c>
    </row>
    <row r="538" spans="1:3" s="3" customFormat="1" ht="14.25" hidden="1" customHeight="1" outlineLevel="3">
      <c r="A538" s="10"/>
      <c r="B538" s="37" t="s">
        <v>7248</v>
      </c>
      <c r="C538" s="38">
        <f>'05 成本测算明细'!O3955+'05 成本测算明细'!O3959+'05 成本测算明细'!O3960+'05 成本测算明细'!O3961</f>
        <v>0</v>
      </c>
    </row>
    <row r="539" spans="1:3" s="3" customFormat="1" ht="14.25" hidden="1" customHeight="1" outlineLevel="2" collapsed="1">
      <c r="A539" s="10" t="s">
        <v>7252</v>
      </c>
      <c r="B539" s="16" t="s">
        <v>189</v>
      </c>
      <c r="C539" s="25">
        <f>'05 成本测算明细'!$O$3968</f>
        <v>0</v>
      </c>
    </row>
    <row r="540" spans="1:3" s="2" customFormat="1" ht="14.25" hidden="1" customHeight="1" outlineLevel="3">
      <c r="A540" s="10"/>
      <c r="B540" s="31" t="s">
        <v>7265</v>
      </c>
      <c r="C540" s="46">
        <f>IFERROR('05 成本测算明细'!I3970/'05 成本测算明细'!N3970,0)</f>
        <v>0</v>
      </c>
    </row>
    <row r="541" spans="1:3" s="2" customFormat="1" ht="14.25" hidden="1" customHeight="1" outlineLevel="3">
      <c r="A541" s="10"/>
      <c r="B541" s="31" t="s">
        <v>7266</v>
      </c>
      <c r="C541" s="38">
        <f>'05 成本测算明细'!K3970+'05 成本测算明细'!K3971+'05 成本测算明细'!K3972</f>
        <v>0</v>
      </c>
    </row>
    <row r="542" spans="1:3" s="2" customFormat="1" ht="14.25" hidden="1" customHeight="1" outlineLevel="3">
      <c r="A542" s="10"/>
      <c r="B542" s="31" t="s">
        <v>7267</v>
      </c>
      <c r="C542" s="46">
        <f>IFERROR('05 成本测算明细'!I3974/'05 成本测算明细'!N3974,0)</f>
        <v>0</v>
      </c>
    </row>
    <row r="543" spans="1:3" s="2" customFormat="1" ht="14.25" hidden="1" customHeight="1" outlineLevel="3">
      <c r="A543" s="10"/>
      <c r="B543" s="31" t="s">
        <v>7268</v>
      </c>
      <c r="C543" s="38">
        <f>'05 成本测算明细'!K3974+'05 成本测算明细'!K3975+'05 成本测算明细'!K3976</f>
        <v>0</v>
      </c>
    </row>
    <row r="544" spans="1:3" s="2" customFormat="1" ht="14.25" hidden="1" customHeight="1" outlineLevel="3">
      <c r="A544" s="10"/>
      <c r="B544" s="31" t="s">
        <v>7269</v>
      </c>
      <c r="C544" s="46">
        <f>IFERROR('05 成本测算明细'!I3978/'05 成本测算明细'!N3978,0)</f>
        <v>0</v>
      </c>
    </row>
    <row r="545" spans="1:3" s="2" customFormat="1" ht="14.25" hidden="1" customHeight="1" outlineLevel="3">
      <c r="A545" s="10"/>
      <c r="B545" s="31" t="s">
        <v>7270</v>
      </c>
      <c r="C545" s="38">
        <f>'05 成本测算明细'!K3978+'05 成本测算明细'!K3979+'05 成本测算明细'!K3980</f>
        <v>0</v>
      </c>
    </row>
    <row r="546" spans="1:3" s="2" customFormat="1" ht="14.25" hidden="1" customHeight="1" outlineLevel="3">
      <c r="A546" s="10"/>
      <c r="B546" s="31" t="s">
        <v>7279</v>
      </c>
      <c r="C546" s="46">
        <f>IFERROR('05 成本测算明细'!I3986/'05 成本测算明细'!N3986,0)</f>
        <v>0</v>
      </c>
    </row>
    <row r="547" spans="1:3" s="2" customFormat="1" ht="14.25" hidden="1" customHeight="1" outlineLevel="3">
      <c r="A547" s="10"/>
      <c r="B547" s="31" t="s">
        <v>7280</v>
      </c>
      <c r="C547" s="38">
        <f>'05 成本测算明细'!K3982+'05 成本测算明细'!K3983+'05 成本测算明细'!K3984</f>
        <v>0</v>
      </c>
    </row>
    <row r="548" spans="1:3" s="2" customFormat="1" ht="14.25" hidden="1" customHeight="1" outlineLevel="3">
      <c r="A548" s="10"/>
      <c r="B548" s="31" t="s">
        <v>7281</v>
      </c>
      <c r="C548" s="46">
        <f>IFERROR('05 成本测算明细'!I3986/'05 成本测算明细'!N3986,0)</f>
        <v>0</v>
      </c>
    </row>
    <row r="549" spans="1:3" s="2" customFormat="1" ht="14.25" hidden="1" customHeight="1" outlineLevel="3">
      <c r="A549" s="10"/>
      <c r="B549" s="31" t="s">
        <v>7282</v>
      </c>
      <c r="C549" s="38">
        <f>'05 成本测算明细'!K3986+'05 成本测算明细'!K3987+'05 成本测算明细'!K3988</f>
        <v>0</v>
      </c>
    </row>
    <row r="550" spans="1:3" s="2" customFormat="1" ht="14.25" hidden="1" customHeight="1" outlineLevel="3">
      <c r="A550" s="10"/>
      <c r="B550" s="31" t="s">
        <v>7283</v>
      </c>
      <c r="C550" s="46">
        <f>IFERROR('05 成本测算明细'!I3990/'05 成本测算明细'!N3990,0)</f>
        <v>0</v>
      </c>
    </row>
    <row r="551" spans="1:3" s="2" customFormat="1" ht="14.25" hidden="1" customHeight="1" outlineLevel="3">
      <c r="A551" s="10"/>
      <c r="B551" s="31" t="s">
        <v>7284</v>
      </c>
      <c r="C551" s="38">
        <f>'05 成本测算明细'!K3990+'05 成本测算明细'!K3991+'05 成本测算明细'!K3992</f>
        <v>0</v>
      </c>
    </row>
    <row r="552" spans="1:3" s="2" customFormat="1" ht="14.25" hidden="1" customHeight="1" outlineLevel="3">
      <c r="A552" s="10"/>
      <c r="B552" s="31" t="s">
        <v>7285</v>
      </c>
      <c r="C552" s="46">
        <f>IFERROR('05 成本测算明细'!I3994/'05 成本测算明细'!N3994,0)</f>
        <v>0</v>
      </c>
    </row>
    <row r="553" spans="1:3" s="2" customFormat="1" ht="14.25" hidden="1" customHeight="1" outlineLevel="3">
      <c r="A553" s="10"/>
      <c r="B553" s="31" t="s">
        <v>7286</v>
      </c>
      <c r="C553" s="38">
        <f>'05 成本测算明细'!K3994+'05 成本测算明细'!K3995+'05 成本测算明细'!K3996</f>
        <v>0</v>
      </c>
    </row>
    <row r="554" spans="1:3" s="2" customFormat="1" ht="14.25" hidden="1" customHeight="1" outlineLevel="3">
      <c r="A554" s="10"/>
      <c r="B554" s="31" t="s">
        <v>7287</v>
      </c>
      <c r="C554" s="46">
        <f>IFERROR('05 成本测算明细'!I3998/'05 成本测算明细'!N3998,0)</f>
        <v>0</v>
      </c>
    </row>
    <row r="555" spans="1:3" s="2" customFormat="1" ht="14.25" hidden="1" customHeight="1" outlineLevel="3">
      <c r="A555" s="10"/>
      <c r="B555" s="31" t="s">
        <v>7288</v>
      </c>
      <c r="C555" s="38">
        <f>'05 成本测算明细'!K3998+'05 成本测算明细'!K3999+'05 成本测算明细'!K4000</f>
        <v>0</v>
      </c>
    </row>
    <row r="556" spans="1:3" s="2" customFormat="1" ht="14.25" hidden="1" customHeight="1" outlineLevel="3">
      <c r="A556" s="10"/>
      <c r="B556" s="31" t="s">
        <v>7289</v>
      </c>
      <c r="C556" s="46">
        <f>IFERROR('05 成本测算明细'!I4002/'05 成本测算明细'!N4002,0)</f>
        <v>0</v>
      </c>
    </row>
    <row r="557" spans="1:3" s="2" customFormat="1" ht="14.25" hidden="1" customHeight="1" outlineLevel="3">
      <c r="A557" s="10"/>
      <c r="B557" s="31" t="s">
        <v>7290</v>
      </c>
      <c r="C557" s="38">
        <f>'05 成本测算明细'!K4002+'05 成本测算明细'!K4003+'05 成本测算明细'!K4004</f>
        <v>0</v>
      </c>
    </row>
    <row r="558" spans="1:3" s="2" customFormat="1" ht="14.25" hidden="1" customHeight="1" outlineLevel="3">
      <c r="A558" s="10"/>
      <c r="B558" s="31" t="s">
        <v>7291</v>
      </c>
      <c r="C558" s="46">
        <f>IFERROR('05 成本测算明细'!I4006/'05 成本测算明细'!N4006,0)</f>
        <v>0</v>
      </c>
    </row>
    <row r="559" spans="1:3" s="2" customFormat="1" ht="14.25" hidden="1" customHeight="1" outlineLevel="3">
      <c r="A559" s="10"/>
      <c r="B559" s="31" t="s">
        <v>7292</v>
      </c>
      <c r="C559" s="38">
        <f>'05 成本测算明细'!K4006+'05 成本测算明细'!K4007+'05 成本测算明细'!K4008</f>
        <v>0</v>
      </c>
    </row>
    <row r="560" spans="1:3" s="2" customFormat="1" ht="14.25" hidden="1" customHeight="1" outlineLevel="3">
      <c r="A560" s="10"/>
      <c r="B560" s="31" t="s">
        <v>7293</v>
      </c>
      <c r="C560" s="46">
        <f>IFERROR('05 成本测算明细'!I4010/'05 成本测算明细'!N4010,0)</f>
        <v>0</v>
      </c>
    </row>
    <row r="561" spans="1:3" s="2" customFormat="1" ht="14.25" hidden="1" customHeight="1" outlineLevel="3">
      <c r="A561" s="10"/>
      <c r="B561" s="31" t="s">
        <v>7294</v>
      </c>
      <c r="C561" s="38">
        <f>'05 成本测算明细'!K4010+'05 成本测算明细'!K4011+'05 成本测算明细'!K4012</f>
        <v>0</v>
      </c>
    </row>
    <row r="562" spans="1:3" s="2" customFormat="1" ht="14.25" hidden="1" customHeight="1" outlineLevel="3">
      <c r="A562" s="10"/>
      <c r="B562" s="31" t="s">
        <v>7295</v>
      </c>
      <c r="C562" s="46">
        <f>IFERROR('05 成本测算明细'!I4014/'05 成本测算明细'!N4014,0)</f>
        <v>0</v>
      </c>
    </row>
    <row r="563" spans="1:3" s="2" customFormat="1" ht="14.25" hidden="1" customHeight="1" outlineLevel="3">
      <c r="A563" s="10"/>
      <c r="B563" s="31" t="s">
        <v>7296</v>
      </c>
      <c r="C563" s="38">
        <f>'05 成本测算明细'!K4014+'05 成本测算明细'!K4015+'05 成本测算明细'!K4016</f>
        <v>0</v>
      </c>
    </row>
    <row r="564" spans="1:3" s="2" customFormat="1" ht="14.25" hidden="1" customHeight="1" outlineLevel="3">
      <c r="A564" s="10"/>
      <c r="B564" s="31" t="s">
        <v>7297</v>
      </c>
      <c r="C564" s="46">
        <f>IFERROR('05 成本测算明细'!I4018/'05 成本测算明细'!N4018,0)</f>
        <v>0</v>
      </c>
    </row>
    <row r="565" spans="1:3" s="2" customFormat="1" ht="14.25" hidden="1" customHeight="1" outlineLevel="3">
      <c r="A565" s="10"/>
      <c r="B565" s="31" t="s">
        <v>7298</v>
      </c>
      <c r="C565" s="38">
        <f>'05 成本测算明细'!K4018+'05 成本测算明细'!K4019+'05 成本测算明细'!K4020</f>
        <v>0</v>
      </c>
    </row>
    <row r="566" spans="1:3" s="2" customFormat="1" ht="14.25" hidden="1" customHeight="1" outlineLevel="3">
      <c r="A566" s="10"/>
      <c r="B566" s="31" t="s">
        <v>7299</v>
      </c>
      <c r="C566" s="46">
        <f>IFERROR('05 成本测算明细'!I4022/'05 成本测算明细'!N4022,0)</f>
        <v>0</v>
      </c>
    </row>
    <row r="567" spans="1:3" s="2" customFormat="1" ht="14.25" hidden="1" customHeight="1" outlineLevel="3">
      <c r="A567" s="10"/>
      <c r="B567" s="31" t="s">
        <v>7300</v>
      </c>
      <c r="C567" s="38">
        <f>'05 成本测算明细'!K4022+'05 成本测算明细'!K4023+'05 成本测算明细'!K4024</f>
        <v>0</v>
      </c>
    </row>
    <row r="568" spans="1:3" s="2" customFormat="1" ht="14.25" hidden="1" customHeight="1" outlineLevel="3">
      <c r="A568" s="10"/>
      <c r="B568" s="31" t="s">
        <v>7301</v>
      </c>
      <c r="C568" s="46">
        <f>IFERROR('05 成本测算明细'!I4026/'05 成本测算明细'!N4026,0)</f>
        <v>0</v>
      </c>
    </row>
    <row r="569" spans="1:3" s="2" customFormat="1" ht="14.25" hidden="1" customHeight="1" outlineLevel="3">
      <c r="A569" s="10"/>
      <c r="B569" s="31" t="s">
        <v>7302</v>
      </c>
      <c r="C569" s="38">
        <f>'05 成本测算明细'!K4026+'05 成本测算明细'!K4027+'05 成本测算明细'!K4028</f>
        <v>0</v>
      </c>
    </row>
    <row r="570" spans="1:3" s="2" customFormat="1" ht="14.25" hidden="1" customHeight="1" outlineLevel="3">
      <c r="A570" s="10"/>
      <c r="B570" s="31" t="s">
        <v>7258</v>
      </c>
      <c r="C570" s="46">
        <f>IFERROR('05 成本测算明细'!I4030/'05 成本测算明细'!N4030,0)</f>
        <v>0</v>
      </c>
    </row>
    <row r="571" spans="1:3" s="2" customFormat="1" ht="14.25" hidden="1" customHeight="1" outlineLevel="3">
      <c r="A571" s="10"/>
      <c r="B571" s="31" t="s">
        <v>7259</v>
      </c>
      <c r="C571" s="38">
        <f>'05 成本测算明细'!K4030+'05 成本测算明细'!K4031</f>
        <v>0</v>
      </c>
    </row>
    <row r="572" spans="1:3" s="2" customFormat="1" ht="14.25" hidden="1" customHeight="1" outlineLevel="2">
      <c r="A572" s="10" t="s">
        <v>7260</v>
      </c>
      <c r="B572" s="16" t="s">
        <v>7052</v>
      </c>
      <c r="C572" s="25">
        <f>'05 成本测算明细'!$O$4036</f>
        <v>0</v>
      </c>
    </row>
    <row r="573" spans="1:3" s="2" customFormat="1" ht="14.25" hidden="1" customHeight="1" outlineLevel="2">
      <c r="A573" s="10" t="s">
        <v>7261</v>
      </c>
      <c r="B573" s="16" t="s">
        <v>787</v>
      </c>
      <c r="C573" s="25">
        <f>'05 成本测算明细'!$O$4049</f>
        <v>0</v>
      </c>
    </row>
    <row r="574" spans="1:3" s="2" customFormat="1" ht="14.25" hidden="1" customHeight="1" outlineLevel="2">
      <c r="A574" s="10" t="s">
        <v>7262</v>
      </c>
      <c r="B574" s="16" t="s">
        <v>193</v>
      </c>
      <c r="C574" s="25">
        <f>'05 成本测算明细'!$O$4053</f>
        <v>0</v>
      </c>
    </row>
    <row r="575" spans="1:3" s="2" customFormat="1" ht="14.25" hidden="1" customHeight="1" outlineLevel="2" collapsed="1">
      <c r="A575" s="10" t="s">
        <v>7225</v>
      </c>
      <c r="B575" s="16" t="s">
        <v>7057</v>
      </c>
      <c r="C575" s="25">
        <f>'05 成本测算明细'!$O$4056</f>
        <v>0</v>
      </c>
    </row>
    <row r="576" spans="1:3" s="2" customFormat="1" ht="14.25" hidden="1" customHeight="1" outlineLevel="3">
      <c r="A576" s="10"/>
      <c r="B576" s="31" t="s">
        <v>7226</v>
      </c>
      <c r="C576" s="41"/>
    </row>
    <row r="577" spans="1:3" s="3" customFormat="1" ht="14.25" hidden="1" customHeight="1" outlineLevel="2" collapsed="1">
      <c r="A577" s="10" t="s">
        <v>7227</v>
      </c>
      <c r="B577" s="16" t="s">
        <v>7053</v>
      </c>
      <c r="C577" s="25">
        <f>'05 成本测算明细'!$O$4078</f>
        <v>0</v>
      </c>
    </row>
    <row r="578" spans="1:3" s="3" customFormat="1" ht="14.25" hidden="1" customHeight="1" outlineLevel="3">
      <c r="A578" s="10"/>
      <c r="B578" s="31" t="s">
        <v>7228</v>
      </c>
      <c r="C578" s="41"/>
    </row>
    <row r="579" spans="1:3" s="3" customFormat="1" ht="14.25" hidden="1" customHeight="1" outlineLevel="3">
      <c r="A579" s="10"/>
      <c r="B579" s="31" t="s">
        <v>7151</v>
      </c>
      <c r="C579" s="41"/>
    </row>
    <row r="580" spans="1:3" s="3" customFormat="1" ht="14.25" hidden="1" customHeight="1" outlineLevel="2">
      <c r="A580" s="10" t="s">
        <v>7229</v>
      </c>
      <c r="B580" s="16" t="s">
        <v>205</v>
      </c>
      <c r="C580" s="25">
        <f>'05 成本测算明细'!$O$4095</f>
        <v>0</v>
      </c>
    </row>
    <row r="581" spans="1:3" s="3" customFormat="1" ht="14.25" hidden="1" customHeight="1" outlineLevel="2">
      <c r="A581" s="10" t="s">
        <v>7230</v>
      </c>
      <c r="B581" s="16" t="s">
        <v>1124</v>
      </c>
      <c r="C581" s="25">
        <f>'05 成本测算明细'!$O$4108</f>
        <v>0</v>
      </c>
    </row>
    <row r="582" spans="1:3" s="3" customFormat="1" ht="14.25" hidden="1" customHeight="1" outlineLevel="2">
      <c r="A582" s="10" t="s">
        <v>7231</v>
      </c>
      <c r="B582" s="16" t="s">
        <v>7054</v>
      </c>
      <c r="C582" s="25">
        <f>'05 成本测算明细'!$O$4144</f>
        <v>0</v>
      </c>
    </row>
    <row r="583" spans="1:3" s="3" customFormat="1" ht="14.25" hidden="1" customHeight="1" outlineLevel="2">
      <c r="A583" s="10" t="s">
        <v>7233</v>
      </c>
      <c r="B583" s="16" t="s">
        <v>7264</v>
      </c>
      <c r="C583" s="25">
        <f>'05 成本测算明细'!$O$4149</f>
        <v>0</v>
      </c>
    </row>
    <row r="584" spans="1:3" s="3" customFormat="1" ht="14.25" hidden="1" customHeight="1" outlineLevel="2">
      <c r="A584" s="10" t="s">
        <v>7235</v>
      </c>
      <c r="B584" s="16" t="s">
        <v>7056</v>
      </c>
      <c r="C584" s="25">
        <f>'05 成本测算明细'!$O$4151</f>
        <v>0</v>
      </c>
    </row>
    <row r="585" spans="1:3" s="3" customFormat="1" ht="14.25" customHeight="1">
      <c r="A585" s="10" t="s">
        <v>7303</v>
      </c>
      <c r="B585" s="16" t="s">
        <v>229</v>
      </c>
      <c r="C585" s="25">
        <f>'05 成本测算明细'!O4164</f>
        <v>423.74</v>
      </c>
    </row>
    <row r="586" spans="1:3" s="3" customFormat="1" ht="14.25" customHeight="1">
      <c r="A586" s="10" t="s">
        <v>7304</v>
      </c>
      <c r="B586" s="16" t="s">
        <v>230</v>
      </c>
      <c r="C586" s="25">
        <f>'05 成本测算明细'!O4190</f>
        <v>1045</v>
      </c>
    </row>
    <row r="587" spans="1:3" s="3" customFormat="1" ht="14.25" customHeight="1">
      <c r="A587" s="10" t="s">
        <v>7305</v>
      </c>
      <c r="B587" s="16" t="s">
        <v>231</v>
      </c>
      <c r="C587" s="25">
        <f>'05 成本测算明细'!O4252</f>
        <v>30.55</v>
      </c>
    </row>
    <row r="588" spans="1:3" s="3" customFormat="1" ht="14.25" customHeight="1">
      <c r="A588" s="10" t="s">
        <v>7306</v>
      </c>
      <c r="B588" s="16" t="s">
        <v>232</v>
      </c>
      <c r="C588" s="25">
        <f>'05 成本测算明细'!O4281</f>
        <v>429.75</v>
      </c>
    </row>
    <row r="589" spans="1:3" s="3" customFormat="1" ht="14.25" customHeight="1">
      <c r="A589" s="10" t="s">
        <v>7307</v>
      </c>
      <c r="B589" s="16" t="s">
        <v>1366</v>
      </c>
      <c r="C589" s="25">
        <f>'05 成本测算明细'!O4310</f>
        <v>0</v>
      </c>
    </row>
    <row r="590" spans="1:3" s="5" customFormat="1" ht="14.25" customHeight="1" collapsed="1">
      <c r="A590" s="47" t="s">
        <v>7308</v>
      </c>
      <c r="B590" s="48" t="s">
        <v>7309</v>
      </c>
      <c r="C590" s="49"/>
    </row>
    <row r="591" spans="1:3" s="6" customFormat="1" ht="14.25" hidden="1" customHeight="1" outlineLevel="1" collapsed="1">
      <c r="A591" s="50" t="s">
        <v>7310</v>
      </c>
      <c r="B591" s="51" t="str">
        <f>B71</f>
        <v>$pnames01$集中商业</v>
      </c>
      <c r="C591" s="52">
        <f>'04 目标成本控制表'!E61</f>
        <v>0</v>
      </c>
    </row>
    <row r="592" spans="1:3" s="6" customFormat="1" ht="14.25" hidden="1" customHeight="1" outlineLevel="1" collapsed="1">
      <c r="A592" s="50" t="s">
        <v>7311</v>
      </c>
      <c r="B592" s="51" t="str">
        <f>B140</f>
        <v>$pnamex01$写字楼</v>
      </c>
      <c r="C592" s="52">
        <f>'04 目标成本控制表'!E62</f>
        <v>0</v>
      </c>
    </row>
    <row r="593" spans="1:3" s="6" customFormat="1" ht="14.25" hidden="1" customHeight="1" outlineLevel="1" collapsed="1">
      <c r="A593" s="50" t="s">
        <v>7312</v>
      </c>
      <c r="B593" s="51" t="str">
        <f>B209</f>
        <v>$pnamej01$酒店</v>
      </c>
      <c r="C593" s="52">
        <f>'04 目标成本控制表'!E63</f>
        <v>0</v>
      </c>
    </row>
    <row r="594" spans="1:3" s="6" customFormat="1" ht="14.25" hidden="1" customHeight="1" outlineLevel="1" collapsed="1">
      <c r="A594" s="50" t="s">
        <v>7313</v>
      </c>
      <c r="B594" s="51" t="str">
        <f>B294</f>
        <v>$pname7$商业</v>
      </c>
      <c r="C594" s="52">
        <f>'04 目标成本控制表'!E64</f>
        <v>0</v>
      </c>
    </row>
    <row r="595" spans="1:3" s="6" customFormat="1" ht="14.25" hidden="1" customHeight="1" outlineLevel="1" collapsed="1">
      <c r="A595" s="50" t="s">
        <v>7314</v>
      </c>
      <c r="B595" s="51" t="str">
        <f>B362</f>
        <v>$pname8$写字楼</v>
      </c>
      <c r="C595" s="52">
        <f>'04 目标成本控制表'!E65</f>
        <v>0</v>
      </c>
    </row>
    <row r="596" spans="1:3" s="6" customFormat="1" ht="14.25" hidden="1" customHeight="1" outlineLevel="1" collapsed="1">
      <c r="A596" s="50" t="s">
        <v>7315</v>
      </c>
      <c r="B596" s="51" t="str">
        <f>B431</f>
        <v>$pname9$写字楼</v>
      </c>
      <c r="C596" s="52">
        <f>'04 目标成本控制表'!E66</f>
        <v>0</v>
      </c>
    </row>
    <row r="597" spans="1:3" s="5" customFormat="1" ht="14.25" customHeight="1" collapsed="1">
      <c r="A597" s="53" t="s">
        <v>7316</v>
      </c>
      <c r="B597" s="54" t="s">
        <v>7317</v>
      </c>
      <c r="C597" s="55"/>
    </row>
    <row r="598" spans="1:3" s="6" customFormat="1" ht="14.25" hidden="1" customHeight="1" outlineLevel="1" collapsed="1">
      <c r="A598" s="56" t="s">
        <v>7318</v>
      </c>
      <c r="B598" s="57" t="str">
        <f>B31</f>
        <v>地库及机房</v>
      </c>
      <c r="C598" s="58"/>
    </row>
    <row r="599" spans="1:3" s="6" customFormat="1" ht="14.25" hidden="1" customHeight="1" outlineLevel="2">
      <c r="A599" s="50" t="s">
        <v>7319</v>
      </c>
      <c r="B599" s="59" t="s">
        <v>7202</v>
      </c>
      <c r="C599" s="60">
        <f>'05 成本测算明细'!G2393</f>
        <v>0</v>
      </c>
    </row>
    <row r="600" spans="1:3" s="6" customFormat="1" ht="14.25" hidden="1" customHeight="1" outlineLevel="2">
      <c r="A600" s="50" t="s">
        <v>7320</v>
      </c>
      <c r="B600" s="59" t="s">
        <v>7105</v>
      </c>
      <c r="C600" s="60">
        <f>'05 成本测算明细'!G2426</f>
        <v>0</v>
      </c>
    </row>
    <row r="601" spans="1:3" s="6" customFormat="1" ht="14.25" hidden="1" customHeight="1" outlineLevel="2">
      <c r="A601" s="50" t="s">
        <v>7321</v>
      </c>
      <c r="B601" s="59" t="s">
        <v>7057</v>
      </c>
      <c r="C601" s="60">
        <f>'05 成本测算明细'!G2448</f>
        <v>0</v>
      </c>
    </row>
    <row r="602" spans="1:3" s="6" customFormat="1" ht="14.25" hidden="1" customHeight="1" outlineLevel="2">
      <c r="A602" s="50" t="s">
        <v>7322</v>
      </c>
      <c r="B602" s="59" t="s">
        <v>7053</v>
      </c>
      <c r="C602" s="60">
        <f>'05 成本测算明细'!G2459</f>
        <v>0</v>
      </c>
    </row>
    <row r="603" spans="1:3" s="6" customFormat="1" ht="14.25" hidden="1" customHeight="1" outlineLevel="2">
      <c r="A603" s="50" t="s">
        <v>7323</v>
      </c>
      <c r="B603" s="59" t="s">
        <v>205</v>
      </c>
      <c r="C603" s="60">
        <f>'05 成本测算明细'!G2472</f>
        <v>0</v>
      </c>
    </row>
    <row r="604" spans="1:3" s="6" customFormat="1" ht="14.25" hidden="1" customHeight="1" outlineLevel="1" collapsed="1">
      <c r="A604" s="56" t="s">
        <v>7324</v>
      </c>
      <c r="B604" s="57" t="str">
        <f>B71</f>
        <v>$pnames01$集中商业</v>
      </c>
      <c r="C604" s="58"/>
    </row>
    <row r="605" spans="1:3" s="6" customFormat="1" ht="14.25" hidden="1" customHeight="1" outlineLevel="2">
      <c r="A605" s="50" t="s">
        <v>7325</v>
      </c>
      <c r="B605" s="59" t="s">
        <v>7202</v>
      </c>
      <c r="C605" s="60">
        <f>'05 成本测算明细'!G2509</f>
        <v>0</v>
      </c>
    </row>
    <row r="606" spans="1:3" s="6" customFormat="1" ht="14.25" hidden="1" customHeight="1" outlineLevel="2">
      <c r="A606" s="50" t="s">
        <v>7326</v>
      </c>
      <c r="B606" s="59" t="s">
        <v>7105</v>
      </c>
      <c r="C606" s="60">
        <f>'05 成本测算明细'!G2548</f>
        <v>0</v>
      </c>
    </row>
    <row r="607" spans="1:3" s="6" customFormat="1" ht="14.25" hidden="1" customHeight="1" outlineLevel="2">
      <c r="A607" s="50" t="s">
        <v>7327</v>
      </c>
      <c r="B607" s="59" t="s">
        <v>191</v>
      </c>
      <c r="C607" s="60">
        <f>'05 成本测算明细'!G2564</f>
        <v>0</v>
      </c>
    </row>
    <row r="608" spans="1:3" s="6" customFormat="1" ht="14.25" hidden="1" customHeight="1" outlineLevel="2">
      <c r="A608" s="50" t="s">
        <v>7328</v>
      </c>
      <c r="B608" s="59" t="s">
        <v>189</v>
      </c>
      <c r="C608" s="60">
        <f>'05 成本测算明细'!G2590</f>
        <v>0</v>
      </c>
    </row>
    <row r="609" spans="1:3" s="6" customFormat="1" ht="14.25" hidden="1" customHeight="1" outlineLevel="2">
      <c r="A609" s="50" t="s">
        <v>7329</v>
      </c>
      <c r="B609" s="59" t="s">
        <v>7057</v>
      </c>
      <c r="C609" s="60">
        <f>'05 成本测算明细'!G2636</f>
        <v>0</v>
      </c>
    </row>
    <row r="610" spans="1:3" s="6" customFormat="1" ht="14.25" hidden="1" customHeight="1" outlineLevel="2">
      <c r="A610" s="50" t="s">
        <v>7330</v>
      </c>
      <c r="B610" s="59" t="s">
        <v>7053</v>
      </c>
      <c r="C610" s="60">
        <f>'05 成本测算明细'!G2653</f>
        <v>0</v>
      </c>
    </row>
    <row r="611" spans="1:3" s="6" customFormat="1" ht="14.25" hidden="1" customHeight="1" outlineLevel="2">
      <c r="A611" s="50" t="s">
        <v>7331</v>
      </c>
      <c r="B611" s="59" t="s">
        <v>205</v>
      </c>
      <c r="C611" s="60">
        <f>'05 成本测算明细'!G2666</f>
        <v>0</v>
      </c>
    </row>
    <row r="612" spans="1:3" s="6" customFormat="1" ht="14.25" hidden="1" customHeight="1" outlineLevel="1" collapsed="1">
      <c r="A612" s="56" t="s">
        <v>7332</v>
      </c>
      <c r="B612" s="57" t="str">
        <f>B140</f>
        <v>$pnamex01$写字楼</v>
      </c>
      <c r="C612" s="58"/>
    </row>
    <row r="613" spans="1:3" s="6" customFormat="1" ht="14.25" hidden="1" customHeight="1" outlineLevel="2">
      <c r="A613" s="50" t="s">
        <v>7333</v>
      </c>
      <c r="B613" s="59" t="s">
        <v>7202</v>
      </c>
      <c r="C613" s="60">
        <f>'05 成本测算明细'!G2735</f>
        <v>0</v>
      </c>
    </row>
    <row r="614" spans="1:3" s="6" customFormat="1" ht="14.25" hidden="1" customHeight="1" outlineLevel="2">
      <c r="A614" s="50" t="s">
        <v>7334</v>
      </c>
      <c r="B614" s="59" t="s">
        <v>7105</v>
      </c>
      <c r="C614" s="60">
        <f>'05 成本测算明细'!G2767</f>
        <v>0</v>
      </c>
    </row>
    <row r="615" spans="1:3" s="6" customFormat="1" ht="14.25" hidden="1" customHeight="1" outlineLevel="2">
      <c r="A615" s="50" t="s">
        <v>7335</v>
      </c>
      <c r="B615" s="59" t="s">
        <v>191</v>
      </c>
      <c r="C615" s="60">
        <f>'05 成本测算明细'!G2782</f>
        <v>0</v>
      </c>
    </row>
    <row r="616" spans="1:3" s="6" customFormat="1" ht="14.25" hidden="1" customHeight="1" outlineLevel="2">
      <c r="A616" s="50" t="s">
        <v>7336</v>
      </c>
      <c r="B616" s="59" t="s">
        <v>189</v>
      </c>
      <c r="C616" s="60">
        <f>'05 成本测算明细'!G2822</f>
        <v>0</v>
      </c>
    </row>
    <row r="617" spans="1:3" s="6" customFormat="1" ht="14.25" hidden="1" customHeight="1" outlineLevel="2">
      <c r="A617" s="50" t="s">
        <v>7337</v>
      </c>
      <c r="B617" s="59" t="s">
        <v>7057</v>
      </c>
      <c r="C617" s="60">
        <f>'05 成本测算明细'!G2864</f>
        <v>0</v>
      </c>
    </row>
    <row r="618" spans="1:3" s="6" customFormat="1" ht="14.25" hidden="1" customHeight="1" outlineLevel="2">
      <c r="A618" s="50" t="s">
        <v>7338</v>
      </c>
      <c r="B618" s="59" t="s">
        <v>7053</v>
      </c>
      <c r="C618" s="60">
        <f>'05 成本测算明细'!G2881</f>
        <v>0</v>
      </c>
    </row>
    <row r="619" spans="1:3" s="6" customFormat="1" ht="14.25" hidden="1" customHeight="1" outlineLevel="2">
      <c r="A619" s="50" t="s">
        <v>7339</v>
      </c>
      <c r="B619" s="59" t="s">
        <v>205</v>
      </c>
      <c r="C619" s="60">
        <f>'05 成本测算明细'!G2894</f>
        <v>0</v>
      </c>
    </row>
    <row r="620" spans="1:3" s="6" customFormat="1" ht="14.25" hidden="1" customHeight="1" outlineLevel="1" collapsed="1">
      <c r="A620" s="56" t="s">
        <v>7340</v>
      </c>
      <c r="B620" s="57" t="str">
        <f>B209</f>
        <v>$pnamej01$酒店</v>
      </c>
      <c r="C620" s="58"/>
    </row>
    <row r="621" spans="1:3" s="6" customFormat="1" ht="14.25" hidden="1" customHeight="1" outlineLevel="2">
      <c r="A621" s="50" t="s">
        <v>7341</v>
      </c>
      <c r="B621" s="59" t="s">
        <v>7202</v>
      </c>
      <c r="C621" s="60">
        <f>'05 成本测算明细'!G2962</f>
        <v>0</v>
      </c>
    </row>
    <row r="622" spans="1:3" s="6" customFormat="1" ht="14.25" hidden="1" customHeight="1" outlineLevel="2">
      <c r="A622" s="50" t="s">
        <v>7342</v>
      </c>
      <c r="B622" s="59" t="s">
        <v>7105</v>
      </c>
      <c r="C622" s="60">
        <f>'05 成本测算明细'!G2994</f>
        <v>0</v>
      </c>
    </row>
    <row r="623" spans="1:3" s="6" customFormat="1" ht="14.25" hidden="1" customHeight="1" outlineLevel="2">
      <c r="A623" s="50" t="s">
        <v>7343</v>
      </c>
      <c r="B623" s="59" t="s">
        <v>191</v>
      </c>
      <c r="C623" s="60">
        <f>'05 成本测算明细'!G3009</f>
        <v>0</v>
      </c>
    </row>
    <row r="624" spans="1:3" s="6" customFormat="1" ht="14.25" hidden="1" customHeight="1" outlineLevel="2">
      <c r="A624" s="50" t="s">
        <v>7344</v>
      </c>
      <c r="B624" s="59" t="s">
        <v>189</v>
      </c>
      <c r="C624" s="60">
        <f>'05 成本测算明细'!G3082</f>
        <v>0</v>
      </c>
    </row>
    <row r="625" spans="1:3" s="6" customFormat="1" ht="14.25" hidden="1" customHeight="1" outlineLevel="2">
      <c r="A625" s="50" t="s">
        <v>7345</v>
      </c>
      <c r="B625" s="59" t="s">
        <v>7057</v>
      </c>
      <c r="C625" s="60">
        <f>'05 成本测算明细'!G3124</f>
        <v>0</v>
      </c>
    </row>
    <row r="626" spans="1:3" s="6" customFormat="1" ht="14.25" hidden="1" customHeight="1" outlineLevel="2">
      <c r="A626" s="50" t="s">
        <v>7346</v>
      </c>
      <c r="B626" s="59" t="s">
        <v>7053</v>
      </c>
      <c r="C626" s="60">
        <f>'05 成本测算明细'!G3141</f>
        <v>0</v>
      </c>
    </row>
    <row r="627" spans="1:3" s="6" customFormat="1" ht="14.25" hidden="1" customHeight="1" outlineLevel="2">
      <c r="A627" s="50" t="s">
        <v>7347</v>
      </c>
      <c r="B627" s="59" t="s">
        <v>205</v>
      </c>
      <c r="C627" s="60">
        <f>'05 成本测算明细'!G3154</f>
        <v>0</v>
      </c>
    </row>
    <row r="628" spans="1:3" s="6" customFormat="1" ht="14.25" hidden="1" customHeight="1" outlineLevel="1" collapsed="1">
      <c r="A628" s="56" t="s">
        <v>7340</v>
      </c>
      <c r="B628" s="57" t="str">
        <f>B294</f>
        <v>$pname7$商业</v>
      </c>
      <c r="C628" s="58"/>
    </row>
    <row r="629" spans="1:3" s="6" customFormat="1" ht="14.25" hidden="1" customHeight="1" outlineLevel="2">
      <c r="A629" s="50" t="s">
        <v>7341</v>
      </c>
      <c r="B629" s="59" t="s">
        <v>7202</v>
      </c>
      <c r="C629" s="60">
        <f>'05 成本测算明细'!G3235</f>
        <v>0</v>
      </c>
    </row>
    <row r="630" spans="1:3" s="6" customFormat="1" ht="14.25" hidden="1" customHeight="1" outlineLevel="2">
      <c r="A630" s="50" t="s">
        <v>7342</v>
      </c>
      <c r="B630" s="59" t="s">
        <v>7105</v>
      </c>
      <c r="C630" s="60">
        <f>'05 成本测算明细'!G3274</f>
        <v>0</v>
      </c>
    </row>
    <row r="631" spans="1:3" s="6" customFormat="1" ht="14.25" hidden="1" customHeight="1" outlineLevel="2">
      <c r="A631" s="50" t="s">
        <v>7343</v>
      </c>
      <c r="B631" s="59" t="s">
        <v>191</v>
      </c>
      <c r="C631" s="60">
        <f>'05 成本测算明细'!G3290</f>
        <v>0</v>
      </c>
    </row>
    <row r="632" spans="1:3" s="6" customFormat="1" ht="14.25" hidden="1" customHeight="1" outlineLevel="2">
      <c r="A632" s="50" t="s">
        <v>7344</v>
      </c>
      <c r="B632" s="59" t="s">
        <v>189</v>
      </c>
      <c r="C632" s="60">
        <f>'05 成本测算明细'!G3316</f>
        <v>0</v>
      </c>
    </row>
    <row r="633" spans="1:3" s="6" customFormat="1" ht="14.25" hidden="1" customHeight="1" outlineLevel="2">
      <c r="A633" s="50" t="s">
        <v>7345</v>
      </c>
      <c r="B633" s="59" t="s">
        <v>7057</v>
      </c>
      <c r="C633" s="60">
        <f>'05 成本测算明细'!G3362</f>
        <v>0</v>
      </c>
    </row>
    <row r="634" spans="1:3" s="6" customFormat="1" ht="14.25" hidden="1" customHeight="1" outlineLevel="2">
      <c r="A634" s="50" t="s">
        <v>7346</v>
      </c>
      <c r="B634" s="59" t="s">
        <v>7053</v>
      </c>
      <c r="C634" s="60">
        <f>'05 成本测算明细'!G3379</f>
        <v>0</v>
      </c>
    </row>
    <row r="635" spans="1:3" s="6" customFormat="1" ht="14.25" hidden="1" customHeight="1" outlineLevel="2">
      <c r="A635" s="50" t="s">
        <v>7347</v>
      </c>
      <c r="B635" s="59" t="s">
        <v>205</v>
      </c>
      <c r="C635" s="60">
        <f>'05 成本测算明细'!G3392</f>
        <v>0</v>
      </c>
    </row>
    <row r="636" spans="1:3" s="6" customFormat="1" ht="14.25" hidden="1" customHeight="1" outlineLevel="1" collapsed="1">
      <c r="A636" s="56" t="s">
        <v>7340</v>
      </c>
      <c r="B636" s="57" t="str">
        <f>B362</f>
        <v>$pname8$写字楼</v>
      </c>
      <c r="C636" s="58"/>
    </row>
    <row r="637" spans="1:3" s="6" customFormat="1" ht="14.25" hidden="1" customHeight="1" outlineLevel="2">
      <c r="A637" s="50" t="s">
        <v>7341</v>
      </c>
      <c r="B637" s="59" t="s">
        <v>7202</v>
      </c>
      <c r="C637" s="60">
        <f>'05 成本测算明细'!G3461</f>
        <v>0</v>
      </c>
    </row>
    <row r="638" spans="1:3" s="6" customFormat="1" ht="14.25" hidden="1" customHeight="1" outlineLevel="2">
      <c r="A638" s="50" t="s">
        <v>7342</v>
      </c>
      <c r="B638" s="59" t="s">
        <v>7105</v>
      </c>
      <c r="C638" s="60">
        <f>'05 成本测算明细'!G3493</f>
        <v>0</v>
      </c>
    </row>
    <row r="639" spans="1:3" s="6" customFormat="1" ht="14.25" hidden="1" customHeight="1" outlineLevel="2">
      <c r="A639" s="50" t="s">
        <v>7343</v>
      </c>
      <c r="B639" s="59" t="s">
        <v>191</v>
      </c>
      <c r="C639" s="60">
        <f>'05 成本测算明细'!G3508</f>
        <v>0</v>
      </c>
    </row>
    <row r="640" spans="1:3" s="6" customFormat="1" ht="14.25" hidden="1" customHeight="1" outlineLevel="2">
      <c r="A640" s="50" t="s">
        <v>7344</v>
      </c>
      <c r="B640" s="59" t="s">
        <v>189</v>
      </c>
      <c r="C640" s="60">
        <f>'05 成本测算明细'!G3548</f>
        <v>0</v>
      </c>
    </row>
    <row r="641" spans="1:3" s="6" customFormat="1" ht="14.25" hidden="1" customHeight="1" outlineLevel="2">
      <c r="A641" s="50" t="s">
        <v>7345</v>
      </c>
      <c r="B641" s="59" t="s">
        <v>7057</v>
      </c>
      <c r="C641" s="60">
        <f>'05 成本测算明细'!G3590</f>
        <v>0</v>
      </c>
    </row>
    <row r="642" spans="1:3" s="6" customFormat="1" ht="14.25" hidden="1" customHeight="1" outlineLevel="2">
      <c r="A642" s="50" t="s">
        <v>7346</v>
      </c>
      <c r="B642" s="59" t="s">
        <v>7053</v>
      </c>
      <c r="C642" s="60">
        <f>'05 成本测算明细'!G3607</f>
        <v>0</v>
      </c>
    </row>
    <row r="643" spans="1:3" s="6" customFormat="1" ht="14.25" hidden="1" customHeight="1" outlineLevel="2">
      <c r="A643" s="50" t="s">
        <v>7347</v>
      </c>
      <c r="B643" s="59" t="s">
        <v>205</v>
      </c>
      <c r="C643" s="60">
        <f>'05 成本测算明细'!G3620</f>
        <v>0</v>
      </c>
    </row>
    <row r="644" spans="1:3" s="6" customFormat="1" ht="14.25" hidden="1" customHeight="1" outlineLevel="1" collapsed="1">
      <c r="A644" s="56" t="s">
        <v>7340</v>
      </c>
      <c r="B644" s="57" t="str">
        <f>B431</f>
        <v>$pname9$写字楼</v>
      </c>
      <c r="C644" s="58"/>
    </row>
    <row r="645" spans="1:3" s="6" customFormat="1" ht="14.25" hidden="1" customHeight="1" outlineLevel="2">
      <c r="A645" s="50" t="s">
        <v>7341</v>
      </c>
      <c r="B645" s="59" t="s">
        <v>7202</v>
      </c>
      <c r="C645" s="60">
        <f>'05 成本测算明细'!G3688</f>
        <v>0</v>
      </c>
    </row>
    <row r="646" spans="1:3" s="6" customFormat="1" ht="14.25" hidden="1" customHeight="1" outlineLevel="2">
      <c r="A646" s="50" t="s">
        <v>7342</v>
      </c>
      <c r="B646" s="59" t="s">
        <v>7105</v>
      </c>
      <c r="C646" s="60">
        <f>'05 成本测算明细'!G3720</f>
        <v>0</v>
      </c>
    </row>
    <row r="647" spans="1:3" s="6" customFormat="1" ht="14.25" hidden="1" customHeight="1" outlineLevel="2">
      <c r="A647" s="50" t="s">
        <v>7343</v>
      </c>
      <c r="B647" s="59" t="s">
        <v>191</v>
      </c>
      <c r="C647" s="60">
        <f>'05 成本测算明细'!G3735</f>
        <v>0</v>
      </c>
    </row>
    <row r="648" spans="1:3" s="6" customFormat="1" ht="14.25" hidden="1" customHeight="1" outlineLevel="2">
      <c r="A648" s="50" t="s">
        <v>7344</v>
      </c>
      <c r="B648" s="59" t="s">
        <v>189</v>
      </c>
      <c r="C648" s="60">
        <f>'05 成本测算明细'!G3775</f>
        <v>0</v>
      </c>
    </row>
    <row r="649" spans="1:3" s="6" customFormat="1" ht="14.25" hidden="1" customHeight="1" outlineLevel="2">
      <c r="A649" s="50" t="s">
        <v>7345</v>
      </c>
      <c r="B649" s="59" t="s">
        <v>7057</v>
      </c>
      <c r="C649" s="60">
        <f>'05 成本测算明细'!G3817</f>
        <v>0</v>
      </c>
    </row>
    <row r="650" spans="1:3" s="6" customFormat="1" ht="14.25" hidden="1" customHeight="1" outlineLevel="2">
      <c r="A650" s="50" t="s">
        <v>7346</v>
      </c>
      <c r="B650" s="59" t="s">
        <v>7053</v>
      </c>
      <c r="C650" s="60">
        <f>'05 成本测算明细'!G3834</f>
        <v>0</v>
      </c>
    </row>
    <row r="651" spans="1:3" s="6" customFormat="1" ht="14.25" hidden="1" customHeight="1" outlineLevel="2">
      <c r="A651" s="50" t="s">
        <v>7347</v>
      </c>
      <c r="B651" s="59" t="s">
        <v>205</v>
      </c>
      <c r="C651" s="60">
        <f>'05 成本测算明细'!G3847</f>
        <v>0</v>
      </c>
    </row>
    <row r="652" spans="1:3" s="6" customFormat="1" ht="14.25" hidden="1" customHeight="1" outlineLevel="1" collapsed="1">
      <c r="A652" s="56" t="s">
        <v>7340</v>
      </c>
      <c r="B652" s="57" t="str">
        <f>'05 成本测算明细'!A3893</f>
        <v>$pname10$酒店</v>
      </c>
      <c r="C652" s="58"/>
    </row>
    <row r="653" spans="1:3" s="6" customFormat="1" ht="14.25" hidden="1" customHeight="1" outlineLevel="2">
      <c r="A653" s="50" t="s">
        <v>7341</v>
      </c>
      <c r="B653" s="59" t="s">
        <v>7202</v>
      </c>
      <c r="C653" s="60">
        <f>'05 成本测算明细'!G3915</f>
        <v>0</v>
      </c>
    </row>
    <row r="654" spans="1:3" s="6" customFormat="1" ht="14.25" hidden="1" customHeight="1" outlineLevel="2">
      <c r="A654" s="50" t="s">
        <v>7342</v>
      </c>
      <c r="B654" s="59" t="s">
        <v>7105</v>
      </c>
      <c r="C654" s="60">
        <f>'05 成本测算明细'!G3947</f>
        <v>0</v>
      </c>
    </row>
    <row r="655" spans="1:3" s="6" customFormat="1" ht="14.25" hidden="1" customHeight="1" outlineLevel="2">
      <c r="A655" s="50" t="s">
        <v>7343</v>
      </c>
      <c r="B655" s="59" t="s">
        <v>191</v>
      </c>
      <c r="C655" s="60">
        <f>'05 成本测算明细'!G3962</f>
        <v>0</v>
      </c>
    </row>
    <row r="656" spans="1:3" s="6" customFormat="1" ht="14.25" hidden="1" customHeight="1" outlineLevel="2">
      <c r="A656" s="50" t="s">
        <v>7344</v>
      </c>
      <c r="B656" s="59" t="s">
        <v>189</v>
      </c>
      <c r="C656" s="60">
        <f>'05 成本测算明细'!G4035</f>
        <v>0</v>
      </c>
    </row>
    <row r="657" spans="1:3" s="6" customFormat="1" ht="14.25" hidden="1" customHeight="1" outlineLevel="2">
      <c r="A657" s="50" t="s">
        <v>7345</v>
      </c>
      <c r="B657" s="59" t="s">
        <v>7057</v>
      </c>
      <c r="C657" s="60">
        <f>'05 成本测算明细'!G4077</f>
        <v>0</v>
      </c>
    </row>
    <row r="658" spans="1:3" s="6" customFormat="1" ht="14.25" hidden="1" customHeight="1" outlineLevel="2">
      <c r="A658" s="50" t="s">
        <v>7346</v>
      </c>
      <c r="B658" s="59" t="s">
        <v>7053</v>
      </c>
      <c r="C658" s="60">
        <f>'05 成本测算明细'!G4094</f>
        <v>0</v>
      </c>
    </row>
    <row r="659" spans="1:3" s="6" customFormat="1" ht="14.25" hidden="1" customHeight="1" outlineLevel="2">
      <c r="A659" s="50" t="s">
        <v>7347</v>
      </c>
      <c r="B659" s="59" t="s">
        <v>205</v>
      </c>
      <c r="C659" s="60">
        <f>'05 成本测算明细'!G4107</f>
        <v>0</v>
      </c>
    </row>
  </sheetData>
  <sheetProtection sheet="1" objects="1" formatCells="0" formatColumns="0" formatRows="0" insertColumns="0" insertHyperlinks="0" deleteColumns="0" sort="0" autoFilter="0" pivotTables="0"/>
  <mergeCells count="8">
    <mergeCell ref="A365:A383"/>
    <mergeCell ref="A434:A452"/>
    <mergeCell ref="A503:A521"/>
    <mergeCell ref="A34:A52"/>
    <mergeCell ref="A74:A96"/>
    <mergeCell ref="A143:A161"/>
    <mergeCell ref="A212:A230"/>
    <mergeCell ref="A297:A319"/>
  </mergeCells>
  <phoneticPr fontId="84" type="noConversion"/>
  <pageMargins left="0.75" right="0.75" top="1" bottom="1" header="0.5" footer="0.5"/>
  <pageSetup paperSize="9" orientation="portrait"/>
  <headerFooter>
    <oddHeader>&amp;L&amp;C&amp;R</oddHeader>
    <oddFooter>&amp;L&amp;C&amp;R</oddFooter>
    <evenHeader>&amp;L&amp;C&amp;R</evenHeader>
    <evenFooter>&amp;L&amp;C&amp;R</even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24</vt:i4>
      </vt:variant>
      <vt:variant>
        <vt:lpstr>命名范围</vt:lpstr>
      </vt:variant>
      <vt:variant>
        <vt:i4>21</vt:i4>
      </vt:variant>
    </vt:vector>
  </HeadingPairs>
  <TitlesOfParts>
    <vt:vector size="45" baseType="lpstr">
      <vt:lpstr>args</vt:lpstr>
      <vt:lpstr>00 成本测算关注点</vt:lpstr>
      <vt:lpstr>01 商业总则</vt:lpstr>
      <vt:lpstr>02 项目基础信息（输入）</vt:lpstr>
      <vt:lpstr>03 成本测算（输入）</vt:lpstr>
      <vt:lpstr>04 目标成本控制表</vt:lpstr>
      <vt:lpstr>05 成本测算明细</vt:lpstr>
      <vt:lpstr>06 分析汇报表（住宅）</vt:lpstr>
      <vt:lpstr>投资会简述</vt:lpstr>
      <vt:lpstr>总指标</vt:lpstr>
      <vt:lpstr>含量测算</vt:lpstr>
      <vt:lpstr>PC 增量测算</vt:lpstr>
      <vt:lpstr>苏州园区配套参考</vt:lpstr>
      <vt:lpstr>桩基单价</vt:lpstr>
      <vt:lpstr>桩基</vt:lpstr>
      <vt:lpstr>土方</vt:lpstr>
      <vt:lpstr>支护</vt:lpstr>
      <vt:lpstr>电梯</vt:lpstr>
      <vt:lpstr>门窗栏杆</vt:lpstr>
      <vt:lpstr>太阳能</vt:lpstr>
      <vt:lpstr>卖场策划</vt:lpstr>
      <vt:lpstr>07 大数据沉淀（住宅）</vt:lpstr>
      <vt:lpstr>08分析报表（商业）</vt:lpstr>
      <vt:lpstr>09大数据沉淀（商业）</vt:lpstr>
      <vt:lpstr>'05 成本测算明细'!_FilterDatabase</vt:lpstr>
      <vt:lpstr>'00 成本测算关注点'!Print_Area</vt:lpstr>
      <vt:lpstr>电梯!Print_Area</vt:lpstr>
      <vt:lpstr>土方!Print_Area</vt:lpstr>
      <vt:lpstr>支护!Print_Area</vt:lpstr>
      <vt:lpstr>桩基!Print_Area</vt:lpstr>
      <vt:lpstr>桩基单价!Print_Area</vt:lpstr>
      <vt:lpstr>'00 成本测算关注点'!Print_Titles</vt:lpstr>
      <vt:lpstr>'01 商业总则'!Print_Titles</vt:lpstr>
      <vt:lpstr>'02 项目基础信息（输入）'!Print_Titles</vt:lpstr>
      <vt:lpstr>'03 成本测算（输入）'!Print_Titles</vt:lpstr>
      <vt:lpstr>'04 目标成本控制表'!Print_Titles</vt:lpstr>
      <vt:lpstr>'05 成本测算明细'!Print_Titles</vt:lpstr>
      <vt:lpstr>'06 分析汇报表（住宅）'!Print_Titles</vt:lpstr>
      <vt:lpstr>'07 大数据沉淀（住宅）'!Print_Titles</vt:lpstr>
      <vt:lpstr>'08分析报表（商业）'!Print_Titles</vt:lpstr>
      <vt:lpstr>'09大数据沉淀（商业）'!Print_Titles</vt:lpstr>
      <vt:lpstr>土方!Print_Titles</vt:lpstr>
      <vt:lpstr>支护!Print_Titles</vt:lpstr>
      <vt:lpstr>桩基!Print_Titles</vt:lpstr>
      <vt:lpstr>'01 商业总则'!Z_D9CAD22C_EDFA_407B_9680_56518E9E07BF_.wvu.PrintArea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zhenfei</cp:lastModifiedBy>
  <dcterms:created xsi:type="dcterms:W3CDTF">2025-11-17T10:04:35Z</dcterms:created>
  <dcterms:modified xsi:type="dcterms:W3CDTF">2025-12-08T01:04:47Z</dcterms:modified>
</cp:coreProperties>
</file>